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1.xml" ContentType="application/vnd.openxmlformats-officedocument.spreadsheetml.worksheet+xml"/>
  <Override PartName="/xl/sharedStrings.xml" ContentType="application/vnd.openxmlformats-officedocument.spreadsheetml.sharedString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6.xml" ContentType="application/vnd.openxmlformats-officedocument.spreadsheetml.worksheet+xml"/>
  <Override PartName="/xl/comments30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xl/comments3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.xml" ContentType="application/vnd.openxmlformats-officedocument.spreadsheetml.comments+xml"/>
  <Override PartName="/xl/comments21.xml" ContentType="application/vnd.openxmlformats-officedocument.spreadsheetml.comments+xml"/>
  <Override PartName="/xl/comments24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comments1.xml" ContentType="application/vnd.openxmlformats-officedocument.spreadsheetml.comments+xml"/>
  <Override PartName="/xl/comments25.xml" ContentType="application/vnd.openxmlformats-officedocument.spreadsheetml.comments+xml"/>
  <Override PartName="/xl/comments20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6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Reporting\WUTC\2021 Reporting\2020-2021 Biennial Report\June 1 Filed Report\"/>
    </mc:Choice>
  </mc:AlternateContent>
  <bookViews>
    <workbookView xWindow="0" yWindow="0" windowWidth="25200" windowHeight="11700"/>
  </bookViews>
  <sheets>
    <sheet name="Summary" sheetId="2" r:id="rId1"/>
    <sheet name="Electric CE" sheetId="68" r:id="rId2"/>
    <sheet name="Gas CE" sheetId="67" r:id="rId3"/>
    <sheet name="Program Costs" sheetId="1" r:id="rId4"/>
    <sheet name="Program Costs-old" sheetId="77" state="hidden" r:id="rId5"/>
    <sheet name="Program Costs-new" sheetId="76" state="hidden" r:id="rId6"/>
    <sheet name="E201 LIW {E}" sheetId="65" r:id="rId7"/>
    <sheet name="Residential Lighting {E}" sheetId="3" r:id="rId8"/>
    <sheet name="SF Existing Space Heat {E}" sheetId="5" r:id="rId9"/>
    <sheet name="SF Existing Water Heat {E}" sheetId="6" r:id="rId10"/>
    <sheet name="Home Appliances {E}" sheetId="12" r:id="rId11"/>
    <sheet name="Web-Enabled Thermostats {E}" sheetId="13" r:id="rId12"/>
    <sheet name="Residential Showerheads {E}" sheetId="14" r:id="rId13"/>
    <sheet name="SF Existing Weatherization {E}" sheetId="15" r:id="rId14"/>
    <sheet name="Home Energy Reports {E}" sheetId="16" r:id="rId15"/>
    <sheet name="Home Energy Assessments {E}" sheetId="78" r:id="rId16"/>
    <sheet name="Efficiency Boost {E}" sheetId="74" r:id="rId17"/>
    <sheet name="SF New Construction {E}" sheetId="18" r:id="rId18"/>
    <sheet name="MH New Construction {E}" sheetId="19" r:id="rId19"/>
    <sheet name="Multi Family Retrofit {E}" sheetId="20" r:id="rId20"/>
    <sheet name="MF New Construction {E}" sheetId="21" r:id="rId21"/>
    <sheet name="CI Retrofit {E}" sheetId="22" r:id="rId22"/>
    <sheet name="Bus Lighting Grants {E}" sheetId="69" r:id="rId23"/>
    <sheet name="Industrial EM {E}" sheetId="70" r:id="rId24"/>
    <sheet name="CBA {E}" sheetId="72" r:id="rId25"/>
    <sheet name="CI New Construction {E}" sheetId="23" r:id="rId26"/>
    <sheet name="Com SEM {E}" sheetId="24" r:id="rId27"/>
    <sheet name="P4P {E}" sheetId="25" r:id="rId28"/>
    <sheet name="LPU 449 {E}" sheetId="26" r:id="rId29"/>
    <sheet name="LPU Non-449 {E}" sheetId="27" r:id="rId30"/>
    <sheet name="Lighting to Go {E}" sheetId="28" r:id="rId31"/>
    <sheet name="Commercial Kitchen Laundry {E}" sheetId="29" r:id="rId32"/>
    <sheet name="Commercial HVAC {E}" sheetId="30" r:id="rId33"/>
    <sheet name="Commercial Midstream {E}" sheetId="31" r:id="rId34"/>
    <sheet name="SBDI {E}" sheetId="32" r:id="rId35"/>
    <sheet name="Lodging Rebates {E}" sheetId="33" r:id="rId36"/>
    <sheet name="Residential Pilots {E}" sheetId="34" r:id="rId37"/>
    <sheet name="Commercial Pilots {E}" sheetId="35" r:id="rId38"/>
    <sheet name="TDSM {E}" sheetId="36" r:id="rId39"/>
    <sheet name="NEEA {E}" sheetId="37" r:id="rId40"/>
    <sheet name="T&amp;D {E}" sheetId="38" r:id="rId41"/>
    <sheet name="G201 LIW {G}" sheetId="66" r:id="rId42"/>
    <sheet name="SF Existing Space Heat {G}" sheetId="39" r:id="rId43"/>
    <sheet name="SF Existing Water Heat {G}" sheetId="40" r:id="rId44"/>
    <sheet name="Home Energy Assessments {G}" sheetId="41" r:id="rId45"/>
    <sheet name="Single Family Rental Pilot {G}" sheetId="42" r:id="rId46"/>
    <sheet name="Home Appliances {G}" sheetId="43" r:id="rId47"/>
    <sheet name="Web Enabled Thermostats {G}" sheetId="44" r:id="rId48"/>
    <sheet name="Residential Showerheads {G}" sheetId="45" r:id="rId49"/>
    <sheet name="SF Existing Weatherization {G}" sheetId="46" r:id="rId50"/>
    <sheet name="Home Energy Reports {G}" sheetId="47" r:id="rId51"/>
    <sheet name="Efficiency Boost {G}" sheetId="75" r:id="rId52"/>
    <sheet name="SF New Construction {G}" sheetId="49" r:id="rId53"/>
    <sheet name="MH New Construction {G}" sheetId="50" r:id="rId54"/>
    <sheet name="Multi Family Retrofit {G}" sheetId="51" r:id="rId55"/>
    <sheet name="MF New Construction {G}" sheetId="52" r:id="rId56"/>
    <sheet name="CI Retrofit {G}" sheetId="53" r:id="rId57"/>
    <sheet name="CBA {G}" sheetId="71" r:id="rId58"/>
    <sheet name="Industrial EM {G}" sheetId="73" r:id="rId59"/>
    <sheet name="CI New Construction {G}" sheetId="54" r:id="rId60"/>
    <sheet name="Com SEM {G}" sheetId="55" r:id="rId61"/>
    <sheet name="P4P {G}" sheetId="56" r:id="rId62"/>
    <sheet name="Commercial Kitchen Laundry {G}" sheetId="57" r:id="rId63"/>
    <sheet name="Commercial HVAC {G}" sheetId="58" r:id="rId64"/>
    <sheet name="Commercial Midstream {G}" sheetId="59" r:id="rId65"/>
    <sheet name="SBDI {G}" sheetId="60" r:id="rId66"/>
    <sheet name="G245 NEEA GAS" sheetId="61" r:id="rId67"/>
    <sheet name="G249 Res Gas Pilot" sheetId="62" r:id="rId68"/>
    <sheet name="G249 Com Gas Pilot" sheetId="63" r:id="rId69"/>
    <sheet name="TDSM {G}" sheetId="64" r:id="rId70"/>
    <sheet name="ElecAvoidedCostsWOCC" sheetId="9" r:id="rId71"/>
    <sheet name="GasAvoidedCostsWOCC" sheetId="10" r:id="rId72"/>
  </sheets>
  <externalReferences>
    <externalReference r:id="rId73"/>
  </externalReferences>
  <definedNames>
    <definedName name="_xlnm._FilterDatabase" localSheetId="6" hidden="1">'E201 LIW {E}'!$B$4:$AQ$232</definedName>
    <definedName name="_xlnm._FilterDatabase" localSheetId="3" hidden="1">'Program Costs'!$A$1:$P$124</definedName>
    <definedName name="_xlnm._FilterDatabase" localSheetId="5" hidden="1">'Program Costs-new'!$A$1:$P$124</definedName>
    <definedName name="_xlnm._FilterDatabase" localSheetId="4" hidden="1">'Program Costs-old'!$A$1:$P$117</definedName>
    <definedName name="ElecDiscountRate">0.0697</definedName>
    <definedName name="GasDiscountRate">0.0697</definedName>
    <definedName name="_xlnm.Print_Area" localSheetId="1">'Electric CE'!$A$1:$W$75</definedName>
    <definedName name="_xlnm.Print_Area" localSheetId="2">'Gas CE'!$A$1:$W$67</definedName>
    <definedName name="_xlnm.Print_Area" localSheetId="0">Summary!$A$1:$P$57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6" i="65" l="1"/>
  <c r="AA5" i="65" l="1"/>
  <c r="A20" i="65"/>
  <c r="AA181" i="65"/>
  <c r="AA182" i="65"/>
  <c r="AA183" i="65"/>
  <c r="AA184" i="65"/>
  <c r="AA185" i="65"/>
  <c r="AA186" i="65"/>
  <c r="AA187" i="65"/>
  <c r="AA188" i="65"/>
  <c r="AA189" i="65"/>
  <c r="AA190" i="65"/>
  <c r="AA191" i="65"/>
  <c r="AA192" i="65"/>
  <c r="AA193" i="65"/>
  <c r="AA194" i="65"/>
  <c r="AA195" i="65"/>
  <c r="AA196" i="65"/>
  <c r="AA197" i="65"/>
  <c r="AA198" i="65"/>
  <c r="AA199" i="65"/>
  <c r="AA200" i="65"/>
  <c r="AA201" i="65"/>
  <c r="AA202" i="65"/>
  <c r="AA203" i="65"/>
  <c r="AA204" i="65"/>
  <c r="AA205" i="65"/>
  <c r="AA206" i="65"/>
  <c r="AA207" i="65"/>
  <c r="AA208" i="65"/>
  <c r="AA209" i="65"/>
  <c r="AA210" i="65"/>
  <c r="AA211" i="65"/>
  <c r="AA212" i="65"/>
  <c r="AA213" i="65"/>
  <c r="AA214" i="65"/>
  <c r="AA215" i="65"/>
  <c r="AA216" i="65"/>
  <c r="AA217" i="65"/>
  <c r="AA218" i="65"/>
  <c r="AA219" i="65"/>
  <c r="AA220" i="65"/>
  <c r="AA221" i="65"/>
  <c r="AA222" i="65"/>
  <c r="AA223" i="65"/>
  <c r="AA224" i="65"/>
  <c r="AA225" i="65"/>
  <c r="AA226" i="65"/>
  <c r="AA227" i="65"/>
  <c r="AA228" i="65"/>
  <c r="AA229" i="65"/>
  <c r="AA230" i="65"/>
  <c r="AA231" i="65"/>
  <c r="AA232" i="65"/>
  <c r="AA7" i="65"/>
  <c r="AA8" i="65"/>
  <c r="AA9" i="65"/>
  <c r="AA10" i="65"/>
  <c r="AA11" i="65"/>
  <c r="AA12" i="65"/>
  <c r="AA13" i="65"/>
  <c r="AA14" i="65"/>
  <c r="AA15" i="65"/>
  <c r="AA16" i="65"/>
  <c r="AA17" i="65"/>
  <c r="AA18" i="65"/>
  <c r="AA19" i="65"/>
  <c r="AA20" i="65"/>
  <c r="AA21" i="65"/>
  <c r="AA22" i="65"/>
  <c r="AA23" i="65"/>
  <c r="AA24" i="65"/>
  <c r="AA25" i="65"/>
  <c r="AA26" i="65"/>
  <c r="AA27" i="65"/>
  <c r="AA28" i="65"/>
  <c r="AA29" i="65"/>
  <c r="AA30" i="65"/>
  <c r="AA31" i="65"/>
  <c r="AA32" i="65"/>
  <c r="AA33" i="65"/>
  <c r="AA34" i="65"/>
  <c r="AA35" i="65"/>
  <c r="AA36" i="65"/>
  <c r="AA37" i="65"/>
  <c r="AA38" i="65"/>
  <c r="AA39" i="65"/>
  <c r="AA40" i="65"/>
  <c r="AA41" i="65"/>
  <c r="AA42" i="65"/>
  <c r="AA43" i="65"/>
  <c r="AA44" i="65"/>
  <c r="AA45" i="65"/>
  <c r="AA46" i="65"/>
  <c r="AA47" i="65"/>
  <c r="AA48" i="65"/>
  <c r="AA49" i="65"/>
  <c r="AA50" i="65"/>
  <c r="AA51" i="65"/>
  <c r="AA52" i="65"/>
  <c r="AA53" i="65"/>
  <c r="AA54" i="65"/>
  <c r="AA55" i="65"/>
  <c r="AA56" i="65"/>
  <c r="AA57" i="65"/>
  <c r="AA58" i="65"/>
  <c r="AA59" i="65"/>
  <c r="AA60" i="65"/>
  <c r="AA61" i="65"/>
  <c r="AA62" i="65"/>
  <c r="AA63" i="65"/>
  <c r="AA64" i="65"/>
  <c r="AA65" i="65"/>
  <c r="AA66" i="65"/>
  <c r="AA67" i="65"/>
  <c r="AA68" i="65"/>
  <c r="AA69" i="65"/>
  <c r="AA70" i="65"/>
  <c r="AA71" i="65"/>
  <c r="AA72" i="65"/>
  <c r="AA73" i="65"/>
  <c r="AA74" i="65"/>
  <c r="AA75" i="65"/>
  <c r="AA76" i="65"/>
  <c r="AA77" i="65"/>
  <c r="AA78" i="65"/>
  <c r="AA79" i="65"/>
  <c r="AA80" i="65"/>
  <c r="AA81" i="65"/>
  <c r="AA82" i="65"/>
  <c r="AA83" i="65"/>
  <c r="AA84" i="65"/>
  <c r="AA85" i="65"/>
  <c r="AA86" i="65"/>
  <c r="AA87" i="65"/>
  <c r="AA88" i="65"/>
  <c r="AA89" i="65"/>
  <c r="AA90" i="65"/>
  <c r="AA91" i="65"/>
  <c r="AA92" i="65"/>
  <c r="AA93" i="65"/>
  <c r="AA94" i="65"/>
  <c r="AA95" i="65"/>
  <c r="AA96" i="65"/>
  <c r="AA97" i="65"/>
  <c r="AA98" i="65"/>
  <c r="AA99" i="65"/>
  <c r="AA100" i="65"/>
  <c r="AA101" i="65"/>
  <c r="AA102" i="65"/>
  <c r="AA103" i="65"/>
  <c r="AA104" i="65"/>
  <c r="AA105" i="65"/>
  <c r="AA106" i="65"/>
  <c r="AA107" i="65"/>
  <c r="AA108" i="65"/>
  <c r="AA109" i="65"/>
  <c r="AA110" i="65"/>
  <c r="AA111" i="65"/>
  <c r="AA112" i="65"/>
  <c r="AA113" i="65"/>
  <c r="AA114" i="65"/>
  <c r="AA115" i="65"/>
  <c r="AA116" i="65"/>
  <c r="AA117" i="65"/>
  <c r="AA118" i="65"/>
  <c r="AA119" i="65"/>
  <c r="AA120" i="65"/>
  <c r="AA121" i="65"/>
  <c r="AA122" i="65"/>
  <c r="AA123" i="65"/>
  <c r="AA124" i="65"/>
  <c r="AA125" i="65"/>
  <c r="AA126" i="65"/>
  <c r="AA127" i="65"/>
  <c r="AA128" i="65"/>
  <c r="AA129" i="65"/>
  <c r="AA130" i="65"/>
  <c r="AA131" i="65"/>
  <c r="AA132" i="65"/>
  <c r="AA133" i="65"/>
  <c r="AA134" i="65"/>
  <c r="AA135" i="65"/>
  <c r="AA136" i="65"/>
  <c r="AA137" i="65"/>
  <c r="AA138" i="65"/>
  <c r="AA139" i="65"/>
  <c r="AA140" i="65"/>
  <c r="AA141" i="65"/>
  <c r="AA142" i="65"/>
  <c r="AA143" i="65"/>
  <c r="AA144" i="65"/>
  <c r="AA145" i="65"/>
  <c r="AA146" i="65"/>
  <c r="AA147" i="65"/>
  <c r="AA148" i="65"/>
  <c r="AA149" i="65"/>
  <c r="AA150" i="65"/>
  <c r="AA151" i="65"/>
  <c r="AA152" i="65"/>
  <c r="AA153" i="65"/>
  <c r="AA154" i="65"/>
  <c r="AA155" i="65"/>
  <c r="AA156" i="65"/>
  <c r="AA157" i="65"/>
  <c r="AA158" i="65"/>
  <c r="AA159" i="65"/>
  <c r="AA160" i="65"/>
  <c r="AA161" i="65"/>
  <c r="AA162" i="65"/>
  <c r="AA163" i="65"/>
  <c r="AA164" i="65"/>
  <c r="AA165" i="65"/>
  <c r="AA166" i="65"/>
  <c r="AA167" i="65"/>
  <c r="AA168" i="65"/>
  <c r="AA169" i="65"/>
  <c r="AA170" i="65"/>
  <c r="AA171" i="65"/>
  <c r="AA172" i="65"/>
  <c r="AA173" i="65"/>
  <c r="AA174" i="65"/>
  <c r="AA175" i="65"/>
  <c r="AA176" i="65"/>
  <c r="AA177" i="65"/>
  <c r="AA178" i="65"/>
  <c r="AA179" i="65"/>
  <c r="AA180" i="65"/>
  <c r="O55" i="67" l="1"/>
  <c r="P55" i="67"/>
  <c r="Q55" i="67"/>
  <c r="R55" i="67"/>
  <c r="N55" i="67"/>
  <c r="I55" i="67"/>
  <c r="AN8" i="34"/>
  <c r="AM8" i="34"/>
  <c r="AK8" i="34"/>
  <c r="AH8" i="34"/>
  <c r="AI8" i="34" s="1"/>
  <c r="AF8" i="34"/>
  <c r="AG8" i="34" s="1"/>
  <c r="AM5" i="34"/>
  <c r="AK5" i="34"/>
  <c r="AH5" i="34"/>
  <c r="AI5" i="34" s="1"/>
  <c r="AF5" i="34"/>
  <c r="AG5" i="34" s="1"/>
  <c r="W8" i="34"/>
  <c r="AD5" i="34"/>
  <c r="Y5" i="34"/>
  <c r="W5" i="34"/>
  <c r="V5" i="34"/>
  <c r="U5" i="34"/>
  <c r="N58" i="1"/>
  <c r="O58" i="1" s="1"/>
  <c r="AL8" i="34" l="1"/>
  <c r="AJ8" i="34"/>
  <c r="AL5" i="34"/>
  <c r="AJ5" i="34"/>
  <c r="AN5" i="34"/>
  <c r="H22" i="67"/>
  <c r="I54" i="67"/>
  <c r="H24" i="68"/>
  <c r="H41" i="68"/>
  <c r="H44" i="68"/>
  <c r="H48" i="68"/>
  <c r="A6" i="34"/>
  <c r="T5" i="34"/>
  <c r="T6" i="34"/>
  <c r="T7" i="34"/>
  <c r="T8" i="34"/>
  <c r="T9" i="34"/>
  <c r="O117" i="1"/>
  <c r="O105" i="1"/>
  <c r="O97" i="1"/>
  <c r="O49" i="1"/>
  <c r="A8" i="33"/>
  <c r="A6" i="33"/>
  <c r="A8" i="32"/>
  <c r="A6" i="32"/>
  <c r="T34" i="68"/>
  <c r="S34" i="68"/>
  <c r="P34" i="68"/>
  <c r="L34" i="68"/>
  <c r="K34" i="68"/>
  <c r="J34" i="68"/>
  <c r="H34" i="68"/>
  <c r="O15" i="1"/>
  <c r="N15" i="1"/>
  <c r="I15" i="1"/>
  <c r="T15" i="70"/>
  <c r="T16" i="70"/>
  <c r="T104" i="22"/>
  <c r="V104" i="22"/>
  <c r="Y104" i="22"/>
  <c r="AD104" i="22"/>
  <c r="AE104" i="22"/>
  <c r="AF104" i="22"/>
  <c r="AG104" i="22" s="1"/>
  <c r="AH104" i="22"/>
  <c r="AI104" i="22" s="1"/>
  <c r="AK104" i="22"/>
  <c r="AM104" i="22"/>
  <c r="T105" i="22"/>
  <c r="AH105" i="22" s="1"/>
  <c r="AI105" i="22" s="1"/>
  <c r="V105" i="22"/>
  <c r="Y105" i="22"/>
  <c r="AF105" i="22"/>
  <c r="AG105" i="22" s="1"/>
  <c r="AK105" i="22"/>
  <c r="A6" i="22"/>
  <c r="T23" i="70"/>
  <c r="AD23" i="70" s="1"/>
  <c r="V23" i="70"/>
  <c r="Y23" i="70"/>
  <c r="AE23" i="70"/>
  <c r="AF23" i="70"/>
  <c r="AG23" i="70" s="1"/>
  <c r="AJ23" i="70" s="1"/>
  <c r="AH23" i="70"/>
  <c r="AI23" i="70" s="1"/>
  <c r="AK23" i="70"/>
  <c r="AM23" i="70"/>
  <c r="T24" i="70"/>
  <c r="AH24" i="70" s="1"/>
  <c r="AI24" i="70" s="1"/>
  <c r="V24" i="70"/>
  <c r="Y24" i="70"/>
  <c r="AF24" i="70"/>
  <c r="AG24" i="70" s="1"/>
  <c r="AK24" i="70"/>
  <c r="AM24" i="70"/>
  <c r="T25" i="70"/>
  <c r="AD25" i="70" s="1"/>
  <c r="V25" i="70"/>
  <c r="Y25" i="70"/>
  <c r="AF25" i="70"/>
  <c r="AG25" i="70" s="1"/>
  <c r="AK25" i="70"/>
  <c r="AM25" i="70"/>
  <c r="T26" i="70"/>
  <c r="AD26" i="70" s="1"/>
  <c r="V26" i="70"/>
  <c r="Y26" i="70"/>
  <c r="AF26" i="70"/>
  <c r="AG26" i="70" s="1"/>
  <c r="AK26" i="70"/>
  <c r="AM26" i="70"/>
  <c r="T27" i="70"/>
  <c r="V27" i="70"/>
  <c r="Y27" i="70"/>
  <c r="AD27" i="70"/>
  <c r="AE27" i="70"/>
  <c r="AF27" i="70"/>
  <c r="AG27" i="70" s="1"/>
  <c r="AH27" i="70"/>
  <c r="AI27" i="70" s="1"/>
  <c r="AL27" i="70" s="1"/>
  <c r="AK27" i="70"/>
  <c r="AM27" i="70"/>
  <c r="AN27" i="70" s="1"/>
  <c r="T28" i="70"/>
  <c r="AE28" i="70" s="1"/>
  <c r="V28" i="70"/>
  <c r="Y28" i="70"/>
  <c r="AD28" i="70"/>
  <c r="AF28" i="70"/>
  <c r="AG28" i="70" s="1"/>
  <c r="AH28" i="70"/>
  <c r="AI28" i="70" s="1"/>
  <c r="AK28" i="70"/>
  <c r="AM28" i="70"/>
  <c r="T29" i="70"/>
  <c r="AD29" i="70" s="1"/>
  <c r="V29" i="70"/>
  <c r="Y29" i="70"/>
  <c r="AF29" i="70"/>
  <c r="AG29" i="70" s="1"/>
  <c r="AK29" i="70"/>
  <c r="AM29" i="70"/>
  <c r="T30" i="70"/>
  <c r="AD30" i="70" s="1"/>
  <c r="V30" i="70"/>
  <c r="Y30" i="70"/>
  <c r="AF30" i="70"/>
  <c r="AG30" i="70" s="1"/>
  <c r="AK30" i="70"/>
  <c r="AM30" i="70"/>
  <c r="T31" i="70"/>
  <c r="AD31" i="70" s="1"/>
  <c r="V31" i="70"/>
  <c r="Y31" i="70"/>
  <c r="AE31" i="70"/>
  <c r="AF31" i="70"/>
  <c r="AG31" i="70" s="1"/>
  <c r="AJ31" i="70" s="1"/>
  <c r="AH31" i="70"/>
  <c r="AI31" i="70"/>
  <c r="AK31" i="70"/>
  <c r="AM31" i="70"/>
  <c r="T32" i="70"/>
  <c r="AD32" i="70" s="1"/>
  <c r="V32" i="70"/>
  <c r="Y32" i="70"/>
  <c r="AF32" i="70"/>
  <c r="AG32" i="70" s="1"/>
  <c r="AH32" i="70"/>
  <c r="AI32" i="70" s="1"/>
  <c r="AK32" i="70"/>
  <c r="AM32" i="70"/>
  <c r="T33" i="70"/>
  <c r="AD33" i="70" s="1"/>
  <c r="V33" i="70"/>
  <c r="Y33" i="70"/>
  <c r="AF33" i="70"/>
  <c r="AG33" i="70" s="1"/>
  <c r="AK33" i="70"/>
  <c r="AM33" i="70"/>
  <c r="T34" i="70"/>
  <c r="AE34" i="70" s="1"/>
  <c r="V34" i="70"/>
  <c r="Y34" i="70"/>
  <c r="AD34" i="70"/>
  <c r="AF34" i="70"/>
  <c r="AG34" i="70"/>
  <c r="AK34" i="70"/>
  <c r="AM34" i="70"/>
  <c r="T35" i="70"/>
  <c r="AD35" i="70" s="1"/>
  <c r="V35" i="70"/>
  <c r="Y35" i="70"/>
  <c r="AF35" i="70"/>
  <c r="AG35" i="70"/>
  <c r="AH35" i="70"/>
  <c r="AI35" i="70" s="1"/>
  <c r="AK35" i="70"/>
  <c r="AM35" i="70"/>
  <c r="T36" i="70"/>
  <c r="AH36" i="70" s="1"/>
  <c r="AI36" i="70" s="1"/>
  <c r="V36" i="70"/>
  <c r="Y36" i="70"/>
  <c r="AF36" i="70"/>
  <c r="AG36" i="70" s="1"/>
  <c r="AK36" i="70"/>
  <c r="AM36" i="70"/>
  <c r="T37" i="70"/>
  <c r="AD37" i="70" s="1"/>
  <c r="V37" i="70"/>
  <c r="Y37" i="70"/>
  <c r="AE37" i="70"/>
  <c r="AF37" i="70"/>
  <c r="AG37" i="70"/>
  <c r="AH37" i="70"/>
  <c r="AI37" i="70" s="1"/>
  <c r="AK37" i="70"/>
  <c r="AM37" i="70"/>
  <c r="T38" i="70"/>
  <c r="AE38" i="70" s="1"/>
  <c r="V38" i="70"/>
  <c r="Y38" i="70"/>
  <c r="AD38" i="70"/>
  <c r="AF38" i="70"/>
  <c r="AG38" i="70" s="1"/>
  <c r="AH38" i="70"/>
  <c r="AI38" i="70" s="1"/>
  <c r="AK38" i="70"/>
  <c r="AM38" i="70"/>
  <c r="T39" i="70"/>
  <c r="AE39" i="70" s="1"/>
  <c r="V39" i="70"/>
  <c r="Y39" i="70"/>
  <c r="AF39" i="70"/>
  <c r="AG39" i="70" s="1"/>
  <c r="AK39" i="70"/>
  <c r="AM39" i="70"/>
  <c r="T40" i="70"/>
  <c r="AE40" i="70" s="1"/>
  <c r="V40" i="70"/>
  <c r="Y40" i="70"/>
  <c r="AD40" i="70"/>
  <c r="AF40" i="70"/>
  <c r="AG40" i="70" s="1"/>
  <c r="AK40" i="70"/>
  <c r="AM40" i="70"/>
  <c r="T41" i="70"/>
  <c r="AD41" i="70" s="1"/>
  <c r="V41" i="70"/>
  <c r="Y41" i="70"/>
  <c r="AE41" i="70"/>
  <c r="AF41" i="70"/>
  <c r="AG41" i="70" s="1"/>
  <c r="AK41" i="70"/>
  <c r="AM41" i="70"/>
  <c r="T42" i="70"/>
  <c r="AD42" i="70" s="1"/>
  <c r="V42" i="70"/>
  <c r="Y42" i="70"/>
  <c r="AF42" i="70"/>
  <c r="AG42" i="70" s="1"/>
  <c r="AK42" i="70"/>
  <c r="AM42" i="70"/>
  <c r="T43" i="70"/>
  <c r="V43" i="70"/>
  <c r="Y43" i="70"/>
  <c r="AD43" i="70"/>
  <c r="AE43" i="70"/>
  <c r="AF43" i="70"/>
  <c r="AG43" i="70"/>
  <c r="AH43" i="70"/>
  <c r="AI43" i="70" s="1"/>
  <c r="AK43" i="70"/>
  <c r="AM43" i="70"/>
  <c r="T44" i="70"/>
  <c r="V44" i="70"/>
  <c r="Y44" i="70"/>
  <c r="AD44" i="70"/>
  <c r="AE44" i="70"/>
  <c r="AF44" i="70"/>
  <c r="AG44" i="70" s="1"/>
  <c r="AH44" i="70"/>
  <c r="AI44" i="70" s="1"/>
  <c r="AK44" i="70"/>
  <c r="AM44" i="70"/>
  <c r="AN44" i="70" s="1"/>
  <c r="T45" i="70"/>
  <c r="AD45" i="70" s="1"/>
  <c r="V45" i="70"/>
  <c r="Y45" i="70"/>
  <c r="AF45" i="70"/>
  <c r="AG45" i="70" s="1"/>
  <c r="AK45" i="70"/>
  <c r="AM45" i="70"/>
  <c r="AK59" i="69"/>
  <c r="AF59" i="69"/>
  <c r="AG59" i="69" s="1"/>
  <c r="AE59" i="69"/>
  <c r="Y59" i="69"/>
  <c r="V59" i="69"/>
  <c r="T59" i="69"/>
  <c r="AD59" i="69" s="1"/>
  <c r="AK58" i="69"/>
  <c r="AH58" i="69"/>
  <c r="AI58" i="69" s="1"/>
  <c r="AG58" i="69"/>
  <c r="AL58" i="69" s="1"/>
  <c r="AF58" i="69"/>
  <c r="AE58" i="69"/>
  <c r="AD58" i="69"/>
  <c r="Y58" i="69"/>
  <c r="V58" i="69"/>
  <c r="T58" i="69"/>
  <c r="AM58" i="69" s="1"/>
  <c r="AK57" i="69"/>
  <c r="AF57" i="69"/>
  <c r="AG57" i="69" s="1"/>
  <c r="AD57" i="69"/>
  <c r="Y57" i="69"/>
  <c r="V57" i="69"/>
  <c r="T57" i="69"/>
  <c r="AM57" i="69" s="1"/>
  <c r="AK56" i="69"/>
  <c r="AF56" i="69"/>
  <c r="AG56" i="69" s="1"/>
  <c r="AE56" i="69"/>
  <c r="Y56" i="69"/>
  <c r="V56" i="69"/>
  <c r="T56" i="69"/>
  <c r="AM56" i="69" s="1"/>
  <c r="AM55" i="69"/>
  <c r="AN55" i="69" s="1"/>
  <c r="AK55" i="69"/>
  <c r="AF55" i="69"/>
  <c r="AG55" i="69" s="1"/>
  <c r="AE55" i="69"/>
  <c r="AD55" i="69"/>
  <c r="Y55" i="69"/>
  <c r="V55" i="69"/>
  <c r="T55" i="69"/>
  <c r="AH55" i="69" s="1"/>
  <c r="AI55" i="69" s="1"/>
  <c r="AM54" i="69"/>
  <c r="AK54" i="69"/>
  <c r="AF54" i="69"/>
  <c r="AG54" i="69" s="1"/>
  <c r="AD54" i="69"/>
  <c r="Y54" i="69"/>
  <c r="V54" i="69"/>
  <c r="T54" i="69"/>
  <c r="AH54" i="69" s="1"/>
  <c r="AI54" i="69" s="1"/>
  <c r="AK53" i="69"/>
  <c r="AF53" i="69"/>
  <c r="AG53" i="69" s="1"/>
  <c r="AE53" i="69"/>
  <c r="AD53" i="69"/>
  <c r="Y53" i="69"/>
  <c r="V53" i="69"/>
  <c r="T53" i="69"/>
  <c r="AH53" i="69" s="1"/>
  <c r="AI53" i="69" s="1"/>
  <c r="AM52" i="69"/>
  <c r="AK52" i="69"/>
  <c r="AF52" i="69"/>
  <c r="AG52" i="69" s="1"/>
  <c r="AD52" i="69"/>
  <c r="Y52" i="69"/>
  <c r="V52" i="69"/>
  <c r="T52" i="69"/>
  <c r="AH52" i="69" s="1"/>
  <c r="AI52" i="69" s="1"/>
  <c r="AM51" i="69"/>
  <c r="AK51" i="69"/>
  <c r="AF51" i="69"/>
  <c r="AG51" i="69" s="1"/>
  <c r="Y51" i="69"/>
  <c r="V51" i="69"/>
  <c r="T51" i="69"/>
  <c r="AH51" i="69" s="1"/>
  <c r="AI51" i="69" s="1"/>
  <c r="AK50" i="69"/>
  <c r="AH50" i="69"/>
  <c r="AI50" i="69" s="1"/>
  <c r="AF50" i="69"/>
  <c r="AG50" i="69" s="1"/>
  <c r="Y50" i="69"/>
  <c r="V50" i="69"/>
  <c r="T50" i="69"/>
  <c r="AE50" i="69" s="1"/>
  <c r="AM49" i="69"/>
  <c r="AK49" i="69"/>
  <c r="AH49" i="69"/>
  <c r="AI49" i="69" s="1"/>
  <c r="AG49" i="69"/>
  <c r="AL49" i="69" s="1"/>
  <c r="AF49" i="69"/>
  <c r="AE49" i="69"/>
  <c r="AD49" i="69"/>
  <c r="Y49" i="69"/>
  <c r="V49" i="69"/>
  <c r="T49" i="69"/>
  <c r="AK48" i="69"/>
  <c r="AF48" i="69"/>
  <c r="AG48" i="69" s="1"/>
  <c r="Y48" i="69"/>
  <c r="V48" i="69"/>
  <c r="T48" i="69"/>
  <c r="AE48" i="69" s="1"/>
  <c r="AK47" i="69"/>
  <c r="AF47" i="69"/>
  <c r="AG47" i="69" s="1"/>
  <c r="AE47" i="69"/>
  <c r="Y47" i="69"/>
  <c r="V47" i="69"/>
  <c r="T47" i="69"/>
  <c r="AD47" i="69" s="1"/>
  <c r="AK46" i="69"/>
  <c r="AH46" i="69"/>
  <c r="AI46" i="69" s="1"/>
  <c r="AG46" i="69"/>
  <c r="AF46" i="69"/>
  <c r="AE46" i="69"/>
  <c r="AD46" i="69"/>
  <c r="Y46" i="69"/>
  <c r="V46" i="69"/>
  <c r="T46" i="69"/>
  <c r="AM46" i="69" s="1"/>
  <c r="AK45" i="69"/>
  <c r="AF45" i="69"/>
  <c r="AG45" i="69" s="1"/>
  <c r="AD45" i="69"/>
  <c r="Y45" i="69"/>
  <c r="V45" i="69"/>
  <c r="T45" i="69"/>
  <c r="AM45" i="69" s="1"/>
  <c r="AK44" i="69"/>
  <c r="AF44" i="69"/>
  <c r="AG44" i="69" s="1"/>
  <c r="AE44" i="69"/>
  <c r="Y44" i="69"/>
  <c r="V44" i="69"/>
  <c r="T44" i="69"/>
  <c r="AM44" i="69" s="1"/>
  <c r="AM43" i="69"/>
  <c r="AN43" i="69" s="1"/>
  <c r="AK43" i="69"/>
  <c r="AG43" i="69"/>
  <c r="AF43" i="69"/>
  <c r="AE43" i="69"/>
  <c r="AD43" i="69"/>
  <c r="Y43" i="69"/>
  <c r="V43" i="69"/>
  <c r="T43" i="69"/>
  <c r="AH43" i="69" s="1"/>
  <c r="AI43" i="69" s="1"/>
  <c r="AM42" i="69"/>
  <c r="AK42" i="69"/>
  <c r="AF42" i="69"/>
  <c r="AG42" i="69" s="1"/>
  <c r="AD42" i="69"/>
  <c r="Y42" i="69"/>
  <c r="V42" i="69"/>
  <c r="T42" i="69"/>
  <c r="AH42" i="69" s="1"/>
  <c r="AI42" i="69" s="1"/>
  <c r="AK41" i="69"/>
  <c r="AI41" i="69"/>
  <c r="AH41" i="69"/>
  <c r="AF41" i="69"/>
  <c r="AG41" i="69" s="1"/>
  <c r="AE41" i="69"/>
  <c r="AD41" i="69"/>
  <c r="Y41" i="69"/>
  <c r="V41" i="69"/>
  <c r="T41" i="69"/>
  <c r="AM41" i="69" s="1"/>
  <c r="AM40" i="69"/>
  <c r="AK40" i="69"/>
  <c r="AH40" i="69"/>
  <c r="AI40" i="69" s="1"/>
  <c r="AJ40" i="69" s="1"/>
  <c r="AG40" i="69"/>
  <c r="AF40" i="69"/>
  <c r="AD40" i="69"/>
  <c r="Y40" i="69"/>
  <c r="V40" i="69"/>
  <c r="T40" i="69"/>
  <c r="AE40" i="69" s="1"/>
  <c r="AM39" i="69"/>
  <c r="AK39" i="69"/>
  <c r="AG39" i="69"/>
  <c r="AF39" i="69"/>
  <c r="Y39" i="69"/>
  <c r="V39" i="69"/>
  <c r="T39" i="69"/>
  <c r="AH39" i="69" s="1"/>
  <c r="AI39" i="69" s="1"/>
  <c r="AK38" i="69"/>
  <c r="AH38" i="69"/>
  <c r="AI38" i="69" s="1"/>
  <c r="AF38" i="69"/>
  <c r="AG38" i="69" s="1"/>
  <c r="Y38" i="69"/>
  <c r="V38" i="69"/>
  <c r="T38" i="69"/>
  <c r="AE38" i="69" s="1"/>
  <c r="AM37" i="69"/>
  <c r="AK37" i="69"/>
  <c r="AH37" i="69"/>
  <c r="AI37" i="69" s="1"/>
  <c r="AG37" i="69"/>
  <c r="AF37" i="69"/>
  <c r="AE37" i="69"/>
  <c r="AD37" i="69"/>
  <c r="Y37" i="69"/>
  <c r="V37" i="69"/>
  <c r="T37" i="69"/>
  <c r="W185" i="65"/>
  <c r="T39" i="3"/>
  <c r="V39" i="3"/>
  <c r="Y39" i="3"/>
  <c r="AD39" i="3"/>
  <c r="AE39" i="3"/>
  <c r="AF39" i="3"/>
  <c r="AG39" i="3" s="1"/>
  <c r="AH39" i="3"/>
  <c r="AI39" i="3" s="1"/>
  <c r="AK39" i="3"/>
  <c r="AM39" i="3"/>
  <c r="AN39" i="3"/>
  <c r="T40" i="3"/>
  <c r="AH40" i="3" s="1"/>
  <c r="AI40" i="3" s="1"/>
  <c r="V40" i="3"/>
  <c r="Y40" i="3"/>
  <c r="AE40" i="3"/>
  <c r="AF40" i="3"/>
  <c r="AG40" i="3" s="1"/>
  <c r="AK40" i="3"/>
  <c r="AM40" i="3"/>
  <c r="T41" i="3"/>
  <c r="V41" i="3"/>
  <c r="Y41" i="3"/>
  <c r="AF41" i="3"/>
  <c r="AG41" i="3" s="1"/>
  <c r="AK41" i="3"/>
  <c r="AM41" i="3"/>
  <c r="T42" i="3"/>
  <c r="AD42" i="3" s="1"/>
  <c r="V42" i="3"/>
  <c r="Y42" i="3"/>
  <c r="AE42" i="3"/>
  <c r="AF42" i="3"/>
  <c r="AG42" i="3"/>
  <c r="AH42" i="3"/>
  <c r="AI42" i="3" s="1"/>
  <c r="AK42" i="3"/>
  <c r="AM42" i="3"/>
  <c r="T43" i="3"/>
  <c r="V43" i="3"/>
  <c r="Y43" i="3"/>
  <c r="AF43" i="3"/>
  <c r="AG43" i="3" s="1"/>
  <c r="AH43" i="3"/>
  <c r="AI43" i="3" s="1"/>
  <c r="AK43" i="3"/>
  <c r="AM43" i="3"/>
  <c r="T44" i="3"/>
  <c r="AE44" i="3" s="1"/>
  <c r="V44" i="3"/>
  <c r="Y44" i="3"/>
  <c r="AD44" i="3"/>
  <c r="AF44" i="3"/>
  <c r="AG44" i="3"/>
  <c r="AH44" i="3"/>
  <c r="AI44" i="3"/>
  <c r="AK44" i="3"/>
  <c r="AM44" i="3"/>
  <c r="T45" i="3"/>
  <c r="AD45" i="3" s="1"/>
  <c r="AN45" i="3" s="1"/>
  <c r="V45" i="3"/>
  <c r="Y45" i="3"/>
  <c r="AE45" i="3"/>
  <c r="AF45" i="3"/>
  <c r="AG45" i="3"/>
  <c r="AH45" i="3"/>
  <c r="AI45" i="3" s="1"/>
  <c r="AJ45" i="3" s="1"/>
  <c r="AK45" i="3"/>
  <c r="AM45" i="3"/>
  <c r="T46" i="3"/>
  <c r="AD46" i="3" s="1"/>
  <c r="V46" i="3"/>
  <c r="Y46" i="3"/>
  <c r="AF46" i="3"/>
  <c r="AG46" i="3" s="1"/>
  <c r="AH46" i="3"/>
  <c r="AI46" i="3"/>
  <c r="AK46" i="3"/>
  <c r="AM46" i="3"/>
  <c r="T47" i="3"/>
  <c r="AE47" i="3" s="1"/>
  <c r="V47" i="3"/>
  <c r="Y47" i="3"/>
  <c r="AD47" i="3"/>
  <c r="AF47" i="3"/>
  <c r="AG47" i="3"/>
  <c r="AH47" i="3"/>
  <c r="AI47" i="3"/>
  <c r="AJ47" i="3"/>
  <c r="AK47" i="3"/>
  <c r="AL47" i="3"/>
  <c r="AM47" i="3"/>
  <c r="T48" i="3"/>
  <c r="AD48" i="3" s="1"/>
  <c r="V48" i="3"/>
  <c r="Y48" i="3"/>
  <c r="AE48" i="3"/>
  <c r="AF48" i="3"/>
  <c r="AG48" i="3"/>
  <c r="AH48" i="3"/>
  <c r="AI48" i="3" s="1"/>
  <c r="AK48" i="3"/>
  <c r="AM48" i="3"/>
  <c r="T49" i="3"/>
  <c r="AD49" i="3" s="1"/>
  <c r="V49" i="3"/>
  <c r="Y49" i="3"/>
  <c r="AF49" i="3"/>
  <c r="AG49" i="3" s="1"/>
  <c r="AK49" i="3"/>
  <c r="AM49" i="3"/>
  <c r="T50" i="3"/>
  <c r="V50" i="3"/>
  <c r="Y50" i="3"/>
  <c r="AD50" i="3"/>
  <c r="AE50" i="3"/>
  <c r="AF50" i="3"/>
  <c r="AG50" i="3"/>
  <c r="AH50" i="3"/>
  <c r="AI50" i="3"/>
  <c r="AJ50" i="3"/>
  <c r="AK50" i="3"/>
  <c r="AL50" i="3"/>
  <c r="AM50" i="3"/>
  <c r="AN50" i="3" s="1"/>
  <c r="T51" i="3"/>
  <c r="V51" i="3"/>
  <c r="Y51" i="3"/>
  <c r="AD51" i="3"/>
  <c r="AE51" i="3"/>
  <c r="AF51" i="3"/>
  <c r="AG51" i="3" s="1"/>
  <c r="AH51" i="3"/>
  <c r="AI51" i="3" s="1"/>
  <c r="AK51" i="3"/>
  <c r="AM51" i="3"/>
  <c r="AN51" i="3"/>
  <c r="T52" i="3"/>
  <c r="AH52" i="3" s="1"/>
  <c r="AI52" i="3" s="1"/>
  <c r="V52" i="3"/>
  <c r="Y52" i="3"/>
  <c r="AD52" i="3"/>
  <c r="AE52" i="3"/>
  <c r="AF52" i="3"/>
  <c r="AG52" i="3" s="1"/>
  <c r="AK52" i="3"/>
  <c r="AM52" i="3"/>
  <c r="T53" i="3"/>
  <c r="V53" i="3"/>
  <c r="Y53" i="3"/>
  <c r="AD53" i="3"/>
  <c r="AF53" i="3"/>
  <c r="AG53" i="3" s="1"/>
  <c r="AK53" i="3"/>
  <c r="AM53" i="3"/>
  <c r="T54" i="3"/>
  <c r="AD54" i="3" s="1"/>
  <c r="V54" i="3"/>
  <c r="Y54" i="3"/>
  <c r="AE54" i="3"/>
  <c r="AF54" i="3"/>
  <c r="AG54" i="3"/>
  <c r="AK54" i="3"/>
  <c r="AM54" i="3"/>
  <c r="T55" i="3"/>
  <c r="V55" i="3"/>
  <c r="Y55" i="3"/>
  <c r="AF55" i="3"/>
  <c r="AG55" i="3" s="1"/>
  <c r="AK55" i="3"/>
  <c r="AM55" i="3"/>
  <c r="T56" i="3"/>
  <c r="AE56" i="3" s="1"/>
  <c r="V56" i="3"/>
  <c r="Y56" i="3"/>
  <c r="AD56" i="3"/>
  <c r="AF56" i="3"/>
  <c r="AG56" i="3"/>
  <c r="AH56" i="3"/>
  <c r="AI56" i="3"/>
  <c r="AK56" i="3"/>
  <c r="AM56" i="3"/>
  <c r="T57" i="3"/>
  <c r="AD57" i="3" s="1"/>
  <c r="AN57" i="3" s="1"/>
  <c r="V57" i="3"/>
  <c r="Y57" i="3"/>
  <c r="AE57" i="3"/>
  <c r="AF57" i="3"/>
  <c r="AG57" i="3"/>
  <c r="AH57" i="3"/>
  <c r="AI57" i="3" s="1"/>
  <c r="AJ57" i="3"/>
  <c r="AK57" i="3"/>
  <c r="AM57" i="3"/>
  <c r="T58" i="3"/>
  <c r="AD58" i="3" s="1"/>
  <c r="V58" i="3"/>
  <c r="Y58" i="3"/>
  <c r="AF58" i="3"/>
  <c r="AG58" i="3" s="1"/>
  <c r="AH58" i="3"/>
  <c r="AI58" i="3"/>
  <c r="AK58" i="3"/>
  <c r="AM58" i="3"/>
  <c r="T59" i="3"/>
  <c r="AE59" i="3" s="1"/>
  <c r="V59" i="3"/>
  <c r="Y59" i="3"/>
  <c r="AD59" i="3"/>
  <c r="AF59" i="3"/>
  <c r="AG59" i="3"/>
  <c r="AH59" i="3"/>
  <c r="AI59" i="3"/>
  <c r="AJ59" i="3"/>
  <c r="AK59" i="3"/>
  <c r="AL59" i="3"/>
  <c r="AM59" i="3"/>
  <c r="T60" i="3"/>
  <c r="V60" i="3"/>
  <c r="Y60" i="3"/>
  <c r="AD60" i="3"/>
  <c r="AE60" i="3"/>
  <c r="AF60" i="3"/>
  <c r="AG60" i="3"/>
  <c r="AH60" i="3"/>
  <c r="AI60" i="3" s="1"/>
  <c r="AK60" i="3"/>
  <c r="AM60" i="3"/>
  <c r="T61" i="3"/>
  <c r="AD61" i="3" s="1"/>
  <c r="V61" i="3"/>
  <c r="Y61" i="3"/>
  <c r="AF61" i="3"/>
  <c r="AG61" i="3" s="1"/>
  <c r="AK61" i="3"/>
  <c r="AM61" i="3"/>
  <c r="T62" i="3"/>
  <c r="AE62" i="3" s="1"/>
  <c r="V62" i="3"/>
  <c r="Y62" i="3"/>
  <c r="AD62" i="3"/>
  <c r="AF62" i="3"/>
  <c r="AG62" i="3"/>
  <c r="AK62" i="3"/>
  <c r="AM62" i="3"/>
  <c r="AN62" i="3" s="1"/>
  <c r="T63" i="3"/>
  <c r="V63" i="3"/>
  <c r="Y63" i="3"/>
  <c r="AD63" i="3"/>
  <c r="AE63" i="3"/>
  <c r="AF63" i="3"/>
  <c r="AG63" i="3"/>
  <c r="AH63" i="3"/>
  <c r="AI63" i="3" s="1"/>
  <c r="AL63" i="3" s="1"/>
  <c r="AK63" i="3"/>
  <c r="AM63" i="3"/>
  <c r="AN63" i="3"/>
  <c r="T64" i="3"/>
  <c r="AH64" i="3" s="1"/>
  <c r="AI64" i="3" s="1"/>
  <c r="V64" i="3"/>
  <c r="Y64" i="3"/>
  <c r="AD64" i="3"/>
  <c r="AE64" i="3"/>
  <c r="AF64" i="3"/>
  <c r="AG64" i="3" s="1"/>
  <c r="AK64" i="3"/>
  <c r="AM64" i="3"/>
  <c r="T65" i="3"/>
  <c r="V65" i="3"/>
  <c r="Y65" i="3"/>
  <c r="AF65" i="3"/>
  <c r="AG65" i="3" s="1"/>
  <c r="AK65" i="3"/>
  <c r="AM65" i="3"/>
  <c r="T66" i="3"/>
  <c r="AD66" i="3" s="1"/>
  <c r="V66" i="3"/>
  <c r="Y66" i="3"/>
  <c r="AE66" i="3"/>
  <c r="AF66" i="3"/>
  <c r="AG66" i="3"/>
  <c r="AK66" i="3"/>
  <c r="AM66" i="3"/>
  <c r="T67" i="3"/>
  <c r="V67" i="3"/>
  <c r="Y67" i="3"/>
  <c r="AF67" i="3"/>
  <c r="AG67" i="3" s="1"/>
  <c r="AH67" i="3"/>
  <c r="AI67" i="3" s="1"/>
  <c r="AK67" i="3"/>
  <c r="AM67" i="3"/>
  <c r="T68" i="3"/>
  <c r="AE68" i="3" s="1"/>
  <c r="V68" i="3"/>
  <c r="Y68" i="3"/>
  <c r="AD68" i="3"/>
  <c r="AF68" i="3"/>
  <c r="AG68" i="3"/>
  <c r="AH68" i="3"/>
  <c r="AI68" i="3"/>
  <c r="AK68" i="3"/>
  <c r="AM68" i="3"/>
  <c r="T69" i="3"/>
  <c r="AD69" i="3" s="1"/>
  <c r="AN69" i="3" s="1"/>
  <c r="V69" i="3"/>
  <c r="Y69" i="3"/>
  <c r="AE69" i="3"/>
  <c r="AF69" i="3"/>
  <c r="AG69" i="3"/>
  <c r="AH69" i="3"/>
  <c r="AI69" i="3"/>
  <c r="AJ69" i="3"/>
  <c r="AK69" i="3"/>
  <c r="AM69" i="3"/>
  <c r="T70" i="3"/>
  <c r="AD70" i="3" s="1"/>
  <c r="V70" i="3"/>
  <c r="Y70" i="3"/>
  <c r="AF70" i="3"/>
  <c r="AG70" i="3" s="1"/>
  <c r="AK70" i="3"/>
  <c r="AM70" i="3"/>
  <c r="T71" i="3"/>
  <c r="AE71" i="3" s="1"/>
  <c r="V71" i="3"/>
  <c r="Y71" i="3"/>
  <c r="AD71" i="3"/>
  <c r="AF71" i="3"/>
  <c r="AG71" i="3"/>
  <c r="AH71" i="3"/>
  <c r="AI71" i="3"/>
  <c r="AJ71" i="3"/>
  <c r="AK71" i="3"/>
  <c r="AL71" i="3" s="1"/>
  <c r="AM71" i="3"/>
  <c r="T72" i="3"/>
  <c r="V72" i="3"/>
  <c r="Y72" i="3"/>
  <c r="AD72" i="3"/>
  <c r="AE72" i="3"/>
  <c r="AF72" i="3"/>
  <c r="AG72" i="3"/>
  <c r="AH72" i="3"/>
  <c r="AI72" i="3" s="1"/>
  <c r="AJ72" i="3" s="1"/>
  <c r="AK72" i="3"/>
  <c r="AL72" i="3" s="1"/>
  <c r="AM72" i="3"/>
  <c r="AN72" i="3" s="1"/>
  <c r="T73" i="3"/>
  <c r="AD73" i="3" s="1"/>
  <c r="V73" i="3"/>
  <c r="Y73" i="3"/>
  <c r="AF73" i="3"/>
  <c r="AG73" i="3" s="1"/>
  <c r="AK73" i="3"/>
  <c r="AM73" i="3"/>
  <c r="T74" i="3"/>
  <c r="AE74" i="3" s="1"/>
  <c r="V74" i="3"/>
  <c r="Y74" i="3"/>
  <c r="AD74" i="3"/>
  <c r="AF74" i="3"/>
  <c r="AG74" i="3"/>
  <c r="AK74" i="3"/>
  <c r="AM74" i="3"/>
  <c r="AN74" i="3"/>
  <c r="T75" i="3"/>
  <c r="V75" i="3"/>
  <c r="Y75" i="3"/>
  <c r="AD75" i="3"/>
  <c r="AE75" i="3"/>
  <c r="AF75" i="3"/>
  <c r="AG75" i="3"/>
  <c r="AH75" i="3"/>
  <c r="AI75" i="3" s="1"/>
  <c r="AL75" i="3" s="1"/>
  <c r="AK75" i="3"/>
  <c r="AM75" i="3"/>
  <c r="AN75" i="3"/>
  <c r="T76" i="3"/>
  <c r="AH76" i="3" s="1"/>
  <c r="AI76" i="3" s="1"/>
  <c r="V76" i="3"/>
  <c r="Y76" i="3"/>
  <c r="AD76" i="3"/>
  <c r="AN76" i="3" s="1"/>
  <c r="AE76" i="3"/>
  <c r="AF76" i="3"/>
  <c r="AG76" i="3" s="1"/>
  <c r="AK76" i="3"/>
  <c r="AM76" i="3"/>
  <c r="T77" i="3"/>
  <c r="AH77" i="3" s="1"/>
  <c r="AI77" i="3" s="1"/>
  <c r="V77" i="3"/>
  <c r="Y77" i="3"/>
  <c r="AD77" i="3"/>
  <c r="AE77" i="3"/>
  <c r="AF77" i="3"/>
  <c r="AG77" i="3"/>
  <c r="AK77" i="3"/>
  <c r="AM77" i="3"/>
  <c r="AN77" i="3" s="1"/>
  <c r="T78" i="3"/>
  <c r="AD78" i="3" s="1"/>
  <c r="V78" i="3"/>
  <c r="Y78" i="3"/>
  <c r="AE78" i="3"/>
  <c r="AF78" i="3"/>
  <c r="AG78" i="3"/>
  <c r="AH78" i="3"/>
  <c r="AI78" i="3" s="1"/>
  <c r="AK78" i="3"/>
  <c r="AM78" i="3"/>
  <c r="T79" i="3"/>
  <c r="V79" i="3"/>
  <c r="Y79" i="3"/>
  <c r="AF79" i="3"/>
  <c r="AG79" i="3"/>
  <c r="AK79" i="3"/>
  <c r="AM79" i="3"/>
  <c r="T80" i="3"/>
  <c r="AE80" i="3" s="1"/>
  <c r="V80" i="3"/>
  <c r="Y80" i="3"/>
  <c r="AD80" i="3"/>
  <c r="AF80" i="3"/>
  <c r="AG80" i="3"/>
  <c r="AH80" i="3"/>
  <c r="AI80" i="3" s="1"/>
  <c r="AJ80" i="3" s="1"/>
  <c r="AK80" i="3"/>
  <c r="AM80" i="3"/>
  <c r="AN80" i="3" s="1"/>
  <c r="T81" i="3"/>
  <c r="AD81" i="3" s="1"/>
  <c r="AN81" i="3" s="1"/>
  <c r="V81" i="3"/>
  <c r="Y81" i="3"/>
  <c r="AE81" i="3"/>
  <c r="AF81" i="3"/>
  <c r="AG81" i="3"/>
  <c r="AH81" i="3"/>
  <c r="AI81" i="3"/>
  <c r="AJ81" i="3" s="1"/>
  <c r="AK81" i="3"/>
  <c r="AM81" i="3"/>
  <c r="T82" i="3"/>
  <c r="V82" i="3"/>
  <c r="Y82" i="3"/>
  <c r="AF82" i="3"/>
  <c r="AG82" i="3" s="1"/>
  <c r="AK82" i="3"/>
  <c r="AM82" i="3"/>
  <c r="T83" i="3"/>
  <c r="AE83" i="3" s="1"/>
  <c r="V83" i="3"/>
  <c r="Y83" i="3"/>
  <c r="AD83" i="3"/>
  <c r="AF83" i="3"/>
  <c r="AG83" i="3"/>
  <c r="AJ83" i="3" s="1"/>
  <c r="AH83" i="3"/>
  <c r="AI83" i="3"/>
  <c r="AK83" i="3"/>
  <c r="AM83" i="3"/>
  <c r="T84" i="3"/>
  <c r="V84" i="3"/>
  <c r="Y84" i="3"/>
  <c r="AD84" i="3"/>
  <c r="AE84" i="3"/>
  <c r="AF84" i="3"/>
  <c r="AG84" i="3"/>
  <c r="AH84" i="3"/>
  <c r="AI84" i="3" s="1"/>
  <c r="AJ84" i="3" s="1"/>
  <c r="AK84" i="3"/>
  <c r="AL84" i="3" s="1"/>
  <c r="AM84" i="3"/>
  <c r="AN84" i="3" s="1"/>
  <c r="T85" i="3"/>
  <c r="AD85" i="3" s="1"/>
  <c r="V85" i="3"/>
  <c r="Y85" i="3"/>
  <c r="AF85" i="3"/>
  <c r="AG85" i="3" s="1"/>
  <c r="AK85" i="3"/>
  <c r="AM85" i="3"/>
  <c r="T86" i="3"/>
  <c r="AE86" i="3" s="1"/>
  <c r="V86" i="3"/>
  <c r="Y86" i="3"/>
  <c r="AD86" i="3"/>
  <c r="AF86" i="3"/>
  <c r="AG86" i="3"/>
  <c r="AK86" i="3"/>
  <c r="AM86" i="3"/>
  <c r="T87" i="3"/>
  <c r="V87" i="3"/>
  <c r="Y87" i="3"/>
  <c r="AD87" i="3"/>
  <c r="AN87" i="3" s="1"/>
  <c r="AE87" i="3"/>
  <c r="AF87" i="3"/>
  <c r="AG87" i="3"/>
  <c r="AJ87" i="3" s="1"/>
  <c r="AH87" i="3"/>
  <c r="AI87" i="3" s="1"/>
  <c r="AK87" i="3"/>
  <c r="AM87" i="3"/>
  <c r="T88" i="3"/>
  <c r="AH88" i="3" s="1"/>
  <c r="AI88" i="3" s="1"/>
  <c r="V88" i="3"/>
  <c r="Y88" i="3"/>
  <c r="AF88" i="3"/>
  <c r="AG88" i="3" s="1"/>
  <c r="AJ88" i="3" s="1"/>
  <c r="AK88" i="3"/>
  <c r="AM88" i="3"/>
  <c r="T89" i="3"/>
  <c r="AH89" i="3" s="1"/>
  <c r="AI89" i="3" s="1"/>
  <c r="V89" i="3"/>
  <c r="Y89" i="3"/>
  <c r="AD89" i="3"/>
  <c r="AE89" i="3"/>
  <c r="AF89" i="3"/>
  <c r="AG89" i="3"/>
  <c r="AK89" i="3"/>
  <c r="AM89" i="3"/>
  <c r="AN89" i="3" s="1"/>
  <c r="T90" i="3"/>
  <c r="AE90" i="3" s="1"/>
  <c r="V90" i="3"/>
  <c r="Y90" i="3"/>
  <c r="AD90" i="3"/>
  <c r="AN90" i="3" s="1"/>
  <c r="AF90" i="3"/>
  <c r="AG90" i="3" s="1"/>
  <c r="AK90" i="3"/>
  <c r="AM90" i="3"/>
  <c r="T91" i="3"/>
  <c r="AD91" i="3" s="1"/>
  <c r="V91" i="3"/>
  <c r="Y91" i="3"/>
  <c r="AF91" i="3"/>
  <c r="AG91" i="3"/>
  <c r="AK91" i="3"/>
  <c r="AM91" i="3"/>
  <c r="T92" i="3"/>
  <c r="V92" i="3"/>
  <c r="Y92" i="3"/>
  <c r="AD92" i="3"/>
  <c r="AE92" i="3"/>
  <c r="AF92" i="3"/>
  <c r="AG92" i="3"/>
  <c r="AH92" i="3"/>
  <c r="AI92" i="3" s="1"/>
  <c r="AK92" i="3"/>
  <c r="AM92" i="3"/>
  <c r="T93" i="3"/>
  <c r="AD93" i="3" s="1"/>
  <c r="V93" i="3"/>
  <c r="Y93" i="3"/>
  <c r="AF93" i="3"/>
  <c r="AG93" i="3" s="1"/>
  <c r="AK93" i="3"/>
  <c r="AM93" i="3"/>
  <c r="T94" i="3"/>
  <c r="V94" i="3"/>
  <c r="Y94" i="3"/>
  <c r="AF94" i="3"/>
  <c r="AG94" i="3" s="1"/>
  <c r="AH94" i="3"/>
  <c r="AI94" i="3" s="1"/>
  <c r="AK94" i="3"/>
  <c r="AM94" i="3"/>
  <c r="T95" i="3"/>
  <c r="AE95" i="3" s="1"/>
  <c r="V95" i="3"/>
  <c r="Y95" i="3"/>
  <c r="AD95" i="3"/>
  <c r="AF95" i="3"/>
  <c r="AG95" i="3"/>
  <c r="AH95" i="3"/>
  <c r="AI95" i="3"/>
  <c r="AJ95" i="3" s="1"/>
  <c r="AK95" i="3"/>
  <c r="AM95" i="3"/>
  <c r="AN95" i="3"/>
  <c r="T96" i="3"/>
  <c r="V96" i="3"/>
  <c r="Y96" i="3"/>
  <c r="AD96" i="3"/>
  <c r="AE96" i="3"/>
  <c r="AF96" i="3"/>
  <c r="AG96" i="3"/>
  <c r="AH96" i="3"/>
  <c r="AI96" i="3" s="1"/>
  <c r="AK96" i="3"/>
  <c r="AM96" i="3"/>
  <c r="AN96" i="3"/>
  <c r="T97" i="3"/>
  <c r="V97" i="3"/>
  <c r="Y97" i="3"/>
  <c r="AD97" i="3"/>
  <c r="AE97" i="3"/>
  <c r="AF97" i="3"/>
  <c r="AG97" i="3" s="1"/>
  <c r="AH97" i="3"/>
  <c r="AI97" i="3" s="1"/>
  <c r="AK97" i="3"/>
  <c r="AM97" i="3"/>
  <c r="AN97" i="3" s="1"/>
  <c r="T98" i="3"/>
  <c r="AH98" i="3" s="1"/>
  <c r="AI98" i="3" s="1"/>
  <c r="V98" i="3"/>
  <c r="Y98" i="3"/>
  <c r="AF98" i="3"/>
  <c r="AG98" i="3"/>
  <c r="AK98" i="3"/>
  <c r="AM98" i="3"/>
  <c r="T99" i="3"/>
  <c r="AD99" i="3" s="1"/>
  <c r="V99" i="3"/>
  <c r="Y99" i="3"/>
  <c r="AE99" i="3"/>
  <c r="AF99" i="3"/>
  <c r="AG99" i="3"/>
  <c r="AK99" i="3"/>
  <c r="AM99" i="3"/>
  <c r="T100" i="3"/>
  <c r="AD100" i="3" s="1"/>
  <c r="V100" i="3"/>
  <c r="Y100" i="3"/>
  <c r="AF100" i="3"/>
  <c r="AG100" i="3" s="1"/>
  <c r="AK100" i="3"/>
  <c r="AM100" i="3"/>
  <c r="T101" i="3"/>
  <c r="AD101" i="3" s="1"/>
  <c r="AN101" i="3" s="1"/>
  <c r="V101" i="3"/>
  <c r="Y101" i="3"/>
  <c r="AE101" i="3"/>
  <c r="AF101" i="3"/>
  <c r="AG101" i="3"/>
  <c r="AJ101" i="3" s="1"/>
  <c r="AH101" i="3"/>
  <c r="AI101" i="3"/>
  <c r="AK101" i="3"/>
  <c r="AL101" i="3"/>
  <c r="AM101" i="3"/>
  <c r="T102" i="3"/>
  <c r="AD102" i="3" s="1"/>
  <c r="V102" i="3"/>
  <c r="Y102" i="3"/>
  <c r="AF102" i="3"/>
  <c r="AG102" i="3" s="1"/>
  <c r="AH102" i="3"/>
  <c r="AI102" i="3" s="1"/>
  <c r="AK102" i="3"/>
  <c r="AM102" i="3"/>
  <c r="T103" i="3"/>
  <c r="V103" i="3"/>
  <c r="Y103" i="3"/>
  <c r="AD103" i="3"/>
  <c r="AE103" i="3"/>
  <c r="AF103" i="3"/>
  <c r="AG103" i="3"/>
  <c r="AJ103" i="3" s="1"/>
  <c r="AH103" i="3"/>
  <c r="AI103" i="3"/>
  <c r="AL103" i="3" s="1"/>
  <c r="AK103" i="3"/>
  <c r="AM103" i="3"/>
  <c r="AN103" i="3"/>
  <c r="T104" i="3"/>
  <c r="AD104" i="3" s="1"/>
  <c r="AN104" i="3" s="1"/>
  <c r="V104" i="3"/>
  <c r="Y104" i="3"/>
  <c r="AE104" i="3"/>
  <c r="AF104" i="3"/>
  <c r="AG104" i="3" s="1"/>
  <c r="AH104" i="3"/>
  <c r="AI104" i="3" s="1"/>
  <c r="AK104" i="3"/>
  <c r="AM104" i="3"/>
  <c r="T105" i="3"/>
  <c r="AE105" i="3" s="1"/>
  <c r="V105" i="3"/>
  <c r="Y105" i="3"/>
  <c r="AD105" i="3"/>
  <c r="AF105" i="3"/>
  <c r="AG105" i="3" s="1"/>
  <c r="AK105" i="3"/>
  <c r="AM105" i="3"/>
  <c r="AN105" i="3" s="1"/>
  <c r="T106" i="3"/>
  <c r="V106" i="3"/>
  <c r="Y106" i="3"/>
  <c r="AD106" i="3"/>
  <c r="AE106" i="3"/>
  <c r="AF106" i="3"/>
  <c r="AG106" i="3"/>
  <c r="AH106" i="3"/>
  <c r="AI106" i="3" s="1"/>
  <c r="AK106" i="3"/>
  <c r="AM106" i="3"/>
  <c r="T107" i="3"/>
  <c r="V107" i="3"/>
  <c r="Y107" i="3"/>
  <c r="AF107" i="3"/>
  <c r="AG107" i="3" s="1"/>
  <c r="AK107" i="3"/>
  <c r="AM107" i="3"/>
  <c r="T108" i="3"/>
  <c r="AH108" i="3" s="1"/>
  <c r="AI108" i="3" s="1"/>
  <c r="V108" i="3"/>
  <c r="Y108" i="3"/>
  <c r="AF108" i="3"/>
  <c r="AG108" i="3"/>
  <c r="AK108" i="3"/>
  <c r="AM108" i="3"/>
  <c r="T109" i="3"/>
  <c r="AD109" i="3" s="1"/>
  <c r="V109" i="3"/>
  <c r="Y109" i="3"/>
  <c r="AE109" i="3"/>
  <c r="AF109" i="3"/>
  <c r="AG109" i="3"/>
  <c r="AH109" i="3"/>
  <c r="AI109" i="3" s="1"/>
  <c r="AK109" i="3"/>
  <c r="AM109" i="3"/>
  <c r="AN109" i="3" s="1"/>
  <c r="T110" i="3"/>
  <c r="AE110" i="3" s="1"/>
  <c r="V110" i="3"/>
  <c r="Y110" i="3"/>
  <c r="AD110" i="3"/>
  <c r="AF110" i="3"/>
  <c r="AG110" i="3" s="1"/>
  <c r="AH110" i="3"/>
  <c r="AI110" i="3"/>
  <c r="AK110" i="3"/>
  <c r="AM110" i="3"/>
  <c r="T111" i="3"/>
  <c r="AD111" i="3" s="1"/>
  <c r="V111" i="3"/>
  <c r="Y111" i="3"/>
  <c r="AE111" i="3"/>
  <c r="AF111" i="3"/>
  <c r="AG111" i="3"/>
  <c r="AL111" i="3" s="1"/>
  <c r="AH111" i="3"/>
  <c r="AI111" i="3"/>
  <c r="AJ111" i="3"/>
  <c r="AK111" i="3"/>
  <c r="AM111" i="3"/>
  <c r="T112" i="3"/>
  <c r="AD112" i="3" s="1"/>
  <c r="V112" i="3"/>
  <c r="Y112" i="3"/>
  <c r="AF112" i="3"/>
  <c r="AG112" i="3" s="1"/>
  <c r="AK112" i="3"/>
  <c r="AM112" i="3"/>
  <c r="T113" i="3"/>
  <c r="AD113" i="3" s="1"/>
  <c r="AN113" i="3" s="1"/>
  <c r="V113" i="3"/>
  <c r="Y113" i="3"/>
  <c r="AE113" i="3"/>
  <c r="AF113" i="3"/>
  <c r="AG113" i="3"/>
  <c r="AJ113" i="3" s="1"/>
  <c r="AH113" i="3"/>
  <c r="AI113" i="3"/>
  <c r="AK113" i="3"/>
  <c r="AL113" i="3"/>
  <c r="AM113" i="3"/>
  <c r="T114" i="3"/>
  <c r="AD114" i="3" s="1"/>
  <c r="V114" i="3"/>
  <c r="Y114" i="3"/>
  <c r="AF114" i="3"/>
  <c r="AG114" i="3" s="1"/>
  <c r="AH114" i="3"/>
  <c r="AI114" i="3" s="1"/>
  <c r="AK114" i="3"/>
  <c r="AL114" i="3"/>
  <c r="AM114" i="3"/>
  <c r="T115" i="3"/>
  <c r="V115" i="3"/>
  <c r="Y115" i="3"/>
  <c r="AD115" i="3"/>
  <c r="AE115" i="3"/>
  <c r="AF115" i="3"/>
  <c r="AG115" i="3"/>
  <c r="AJ115" i="3" s="1"/>
  <c r="AH115" i="3"/>
  <c r="AI115" i="3"/>
  <c r="AL115" i="3" s="1"/>
  <c r="AK115" i="3"/>
  <c r="AM115" i="3"/>
  <c r="T116" i="3"/>
  <c r="AD116" i="3" s="1"/>
  <c r="V116" i="3"/>
  <c r="Y116" i="3"/>
  <c r="AE116" i="3"/>
  <c r="AF116" i="3"/>
  <c r="AG116" i="3" s="1"/>
  <c r="AH116" i="3"/>
  <c r="AI116" i="3" s="1"/>
  <c r="AJ116" i="3" s="1"/>
  <c r="AK116" i="3"/>
  <c r="AM116" i="3"/>
  <c r="AN116" i="3"/>
  <c r="T117" i="3"/>
  <c r="AE117" i="3" s="1"/>
  <c r="V117" i="3"/>
  <c r="Y117" i="3"/>
  <c r="AD117" i="3"/>
  <c r="AF117" i="3"/>
  <c r="AG117" i="3" s="1"/>
  <c r="AK117" i="3"/>
  <c r="AM117" i="3"/>
  <c r="AN117" i="3" s="1"/>
  <c r="T118" i="3"/>
  <c r="V118" i="3"/>
  <c r="Y118" i="3"/>
  <c r="AD118" i="3"/>
  <c r="AE118" i="3"/>
  <c r="AF118" i="3"/>
  <c r="AG118" i="3"/>
  <c r="AH118" i="3"/>
  <c r="AI118" i="3" s="1"/>
  <c r="AJ118" i="3" s="1"/>
  <c r="AK118" i="3"/>
  <c r="AL118" i="3"/>
  <c r="AM118" i="3"/>
  <c r="T119" i="3"/>
  <c r="V119" i="3"/>
  <c r="Y119" i="3"/>
  <c r="AE119" i="3"/>
  <c r="AF119" i="3"/>
  <c r="AG119" i="3" s="1"/>
  <c r="AK119" i="3"/>
  <c r="AM119" i="3"/>
  <c r="T120" i="3"/>
  <c r="V120" i="3"/>
  <c r="Y120" i="3"/>
  <c r="AD120" i="3"/>
  <c r="AF120" i="3"/>
  <c r="AG120" i="3"/>
  <c r="AK120" i="3"/>
  <c r="AM120" i="3"/>
  <c r="T121" i="3"/>
  <c r="AD121" i="3" s="1"/>
  <c r="V121" i="3"/>
  <c r="Y121" i="3"/>
  <c r="AE121" i="3"/>
  <c r="AF121" i="3"/>
  <c r="AG121" i="3"/>
  <c r="AH121" i="3"/>
  <c r="AI121" i="3" s="1"/>
  <c r="AK121" i="3"/>
  <c r="AM121" i="3"/>
  <c r="AN121" i="3" s="1"/>
  <c r="T122" i="3"/>
  <c r="AE122" i="3" s="1"/>
  <c r="V122" i="3"/>
  <c r="Y122" i="3"/>
  <c r="AD122" i="3"/>
  <c r="AN122" i="3" s="1"/>
  <c r="AF122" i="3"/>
  <c r="AG122" i="3" s="1"/>
  <c r="AH122" i="3"/>
  <c r="AI122" i="3"/>
  <c r="AK122" i="3"/>
  <c r="AM122" i="3"/>
  <c r="T123" i="3"/>
  <c r="AD123" i="3" s="1"/>
  <c r="V123" i="3"/>
  <c r="Y123" i="3"/>
  <c r="AE123" i="3"/>
  <c r="AF123" i="3"/>
  <c r="AG123" i="3"/>
  <c r="AH123" i="3"/>
  <c r="AI123" i="3"/>
  <c r="AJ123" i="3"/>
  <c r="AK123" i="3"/>
  <c r="AM123" i="3"/>
  <c r="T124" i="3"/>
  <c r="AE124" i="3" s="1"/>
  <c r="V124" i="3"/>
  <c r="Y124" i="3"/>
  <c r="AD124" i="3"/>
  <c r="AF124" i="3"/>
  <c r="AG124" i="3" s="1"/>
  <c r="AH124" i="3"/>
  <c r="AI124" i="3"/>
  <c r="AK124" i="3"/>
  <c r="AM124" i="3"/>
  <c r="T125" i="3"/>
  <c r="AD125" i="3" s="1"/>
  <c r="V125" i="3"/>
  <c r="Y125" i="3"/>
  <c r="AE125" i="3"/>
  <c r="AF125" i="3"/>
  <c r="AG125" i="3"/>
  <c r="AH125" i="3"/>
  <c r="AI125" i="3"/>
  <c r="AJ125" i="3"/>
  <c r="AK125" i="3"/>
  <c r="AL125" i="3" s="1"/>
  <c r="AM125" i="3"/>
  <c r="T126" i="3"/>
  <c r="V126" i="3"/>
  <c r="Y126" i="3"/>
  <c r="AF126" i="3"/>
  <c r="AG126" i="3" s="1"/>
  <c r="AK126" i="3"/>
  <c r="AM126" i="3"/>
  <c r="T127" i="3"/>
  <c r="V127" i="3"/>
  <c r="Y127" i="3"/>
  <c r="AD127" i="3"/>
  <c r="AE127" i="3"/>
  <c r="AF127" i="3"/>
  <c r="AG127" i="3"/>
  <c r="AH127" i="3"/>
  <c r="AI127" i="3"/>
  <c r="AK127" i="3"/>
  <c r="AL127" i="3"/>
  <c r="AM127" i="3"/>
  <c r="AN127" i="3"/>
  <c r="T128" i="3"/>
  <c r="V128" i="3"/>
  <c r="Y128" i="3"/>
  <c r="AD128" i="3"/>
  <c r="AE128" i="3"/>
  <c r="AF128" i="3"/>
  <c r="AG128" i="3" s="1"/>
  <c r="AJ128" i="3" s="1"/>
  <c r="AH128" i="3"/>
  <c r="AI128" i="3" s="1"/>
  <c r="AK128" i="3"/>
  <c r="AL128" i="3" s="1"/>
  <c r="AM128" i="3"/>
  <c r="AN128" i="3"/>
  <c r="T129" i="3"/>
  <c r="V129" i="3"/>
  <c r="Y129" i="3"/>
  <c r="AF129" i="3"/>
  <c r="AG129" i="3" s="1"/>
  <c r="AK129" i="3"/>
  <c r="AM129" i="3"/>
  <c r="T130" i="3"/>
  <c r="V130" i="3"/>
  <c r="Y130" i="3"/>
  <c r="AD130" i="3"/>
  <c r="AE130" i="3"/>
  <c r="AF130" i="3"/>
  <c r="AG130" i="3"/>
  <c r="AH130" i="3"/>
  <c r="AI130" i="3" s="1"/>
  <c r="AJ130" i="3"/>
  <c r="AK130" i="3"/>
  <c r="AL130" i="3" s="1"/>
  <c r="AM130" i="3"/>
  <c r="T131" i="3"/>
  <c r="V131" i="3"/>
  <c r="Y131" i="3"/>
  <c r="AF131" i="3"/>
  <c r="AG131" i="3" s="1"/>
  <c r="AK131" i="3"/>
  <c r="AM131" i="3"/>
  <c r="T132" i="3"/>
  <c r="AH132" i="3" s="1"/>
  <c r="AI132" i="3" s="1"/>
  <c r="V132" i="3"/>
  <c r="Y132" i="3"/>
  <c r="AF132" i="3"/>
  <c r="AG132" i="3"/>
  <c r="AL132" i="3" s="1"/>
  <c r="AK132" i="3"/>
  <c r="AM132" i="3"/>
  <c r="T133" i="3"/>
  <c r="V133" i="3"/>
  <c r="Y133" i="3"/>
  <c r="AD133" i="3"/>
  <c r="AE133" i="3"/>
  <c r="AN133" i="3" s="1"/>
  <c r="AF133" i="3"/>
  <c r="AG133" i="3"/>
  <c r="AH133" i="3"/>
  <c r="AI133" i="3" s="1"/>
  <c r="AK133" i="3"/>
  <c r="AM133" i="3"/>
  <c r="T134" i="3"/>
  <c r="AD134" i="3" s="1"/>
  <c r="V134" i="3"/>
  <c r="Y134" i="3"/>
  <c r="AF134" i="3"/>
  <c r="AG134" i="3" s="1"/>
  <c r="AK134" i="3"/>
  <c r="AM134" i="3"/>
  <c r="T135" i="3"/>
  <c r="V135" i="3"/>
  <c r="Y135" i="3"/>
  <c r="AD135" i="3"/>
  <c r="AE135" i="3"/>
  <c r="AF135" i="3"/>
  <c r="AG135" i="3" s="1"/>
  <c r="AH135" i="3"/>
  <c r="AI135" i="3" s="1"/>
  <c r="AK135" i="3"/>
  <c r="AM135" i="3"/>
  <c r="T136" i="3"/>
  <c r="AD136" i="3" s="1"/>
  <c r="V136" i="3"/>
  <c r="Y136" i="3"/>
  <c r="AF136" i="3"/>
  <c r="AG136" i="3"/>
  <c r="AK136" i="3"/>
  <c r="AM136" i="3"/>
  <c r="T137" i="3"/>
  <c r="AD137" i="3" s="1"/>
  <c r="V137" i="3"/>
  <c r="Y137" i="3"/>
  <c r="AE137" i="3"/>
  <c r="AN137" i="3" s="1"/>
  <c r="AF137" i="3"/>
  <c r="AG137" i="3" s="1"/>
  <c r="AH137" i="3"/>
  <c r="AI137" i="3" s="1"/>
  <c r="AK137" i="3"/>
  <c r="AM137" i="3"/>
  <c r="T138" i="3"/>
  <c r="V138" i="3"/>
  <c r="Y138" i="3"/>
  <c r="AF138" i="3"/>
  <c r="AG138" i="3"/>
  <c r="AL138" i="3" s="1"/>
  <c r="AH138" i="3"/>
  <c r="AI138" i="3"/>
  <c r="AJ138" i="3"/>
  <c r="AK138" i="3"/>
  <c r="AM138" i="3"/>
  <c r="T139" i="3"/>
  <c r="V139" i="3"/>
  <c r="Y139" i="3"/>
  <c r="AD139" i="3"/>
  <c r="AE139" i="3"/>
  <c r="AF139" i="3"/>
  <c r="AG139" i="3"/>
  <c r="AH139" i="3"/>
  <c r="AI139" i="3"/>
  <c r="AJ139" i="3"/>
  <c r="AK139" i="3"/>
  <c r="AL139" i="3"/>
  <c r="AM139" i="3"/>
  <c r="T140" i="3"/>
  <c r="AD140" i="3" s="1"/>
  <c r="AN140" i="3" s="1"/>
  <c r="V140" i="3"/>
  <c r="Y140" i="3"/>
  <c r="AE140" i="3"/>
  <c r="AF140" i="3"/>
  <c r="AG140" i="3" s="1"/>
  <c r="AH140" i="3"/>
  <c r="AI140" i="3"/>
  <c r="AJ140" i="3" s="1"/>
  <c r="AK140" i="3"/>
  <c r="AM140" i="3"/>
  <c r="T141" i="3"/>
  <c r="V141" i="3"/>
  <c r="Y141" i="3"/>
  <c r="AD141" i="3"/>
  <c r="AE141" i="3"/>
  <c r="AF141" i="3"/>
  <c r="AG141" i="3"/>
  <c r="AH141" i="3"/>
  <c r="AI141" i="3"/>
  <c r="AJ141" i="3"/>
  <c r="AK141" i="3"/>
  <c r="AL141" i="3"/>
  <c r="AM141" i="3"/>
  <c r="T142" i="3"/>
  <c r="V142" i="3"/>
  <c r="Y142" i="3"/>
  <c r="AF142" i="3"/>
  <c r="AG142" i="3" s="1"/>
  <c r="AK142" i="3"/>
  <c r="AM142" i="3"/>
  <c r="T143" i="3"/>
  <c r="AH143" i="3" s="1"/>
  <c r="AI143" i="3" s="1"/>
  <c r="V143" i="3"/>
  <c r="Y143" i="3"/>
  <c r="AF143" i="3"/>
  <c r="AG143" i="3"/>
  <c r="AK143" i="3"/>
  <c r="AM143" i="3"/>
  <c r="T144" i="3"/>
  <c r="AD144" i="3" s="1"/>
  <c r="V144" i="3"/>
  <c r="Y144" i="3"/>
  <c r="AF144" i="3"/>
  <c r="AG144" i="3"/>
  <c r="AH144" i="3"/>
  <c r="AI144" i="3" s="1"/>
  <c r="AK144" i="3"/>
  <c r="AM144" i="3"/>
  <c r="T145" i="3"/>
  <c r="AD145" i="3" s="1"/>
  <c r="V145" i="3"/>
  <c r="Y145" i="3"/>
  <c r="AF145" i="3"/>
  <c r="AG145" i="3"/>
  <c r="AH145" i="3"/>
  <c r="AI145" i="3"/>
  <c r="AK145" i="3"/>
  <c r="AM145" i="3"/>
  <c r="T146" i="3"/>
  <c r="AD146" i="3" s="1"/>
  <c r="V146" i="3"/>
  <c r="Y146" i="3"/>
  <c r="AF146" i="3"/>
  <c r="AG146" i="3"/>
  <c r="AL146" i="3" s="1"/>
  <c r="AH146" i="3"/>
  <c r="AI146" i="3"/>
  <c r="AJ146" i="3"/>
  <c r="AK146" i="3"/>
  <c r="AM146" i="3"/>
  <c r="T147" i="3"/>
  <c r="AE147" i="3" s="1"/>
  <c r="V147" i="3"/>
  <c r="Y147" i="3"/>
  <c r="AD147" i="3"/>
  <c r="AF147" i="3"/>
  <c r="AG147" i="3"/>
  <c r="AH147" i="3"/>
  <c r="AI147" i="3"/>
  <c r="AK147" i="3"/>
  <c r="AM147" i="3"/>
  <c r="T148" i="3"/>
  <c r="AD148" i="3" s="1"/>
  <c r="AN148" i="3" s="1"/>
  <c r="V148" i="3"/>
  <c r="Y148" i="3"/>
  <c r="AE148" i="3"/>
  <c r="AF148" i="3"/>
  <c r="AG148" i="3"/>
  <c r="AH148" i="3"/>
  <c r="AI148" i="3" s="1"/>
  <c r="AJ148" i="3" s="1"/>
  <c r="AK148" i="3"/>
  <c r="AL148" i="3"/>
  <c r="AM148" i="3"/>
  <c r="T149" i="3"/>
  <c r="AD149" i="3" s="1"/>
  <c r="V149" i="3"/>
  <c r="Y149" i="3"/>
  <c r="AF149" i="3"/>
  <c r="AG149" i="3" s="1"/>
  <c r="AK149" i="3"/>
  <c r="AM149" i="3"/>
  <c r="T150" i="3"/>
  <c r="V150" i="3"/>
  <c r="Y150" i="3"/>
  <c r="AD150" i="3"/>
  <c r="AE150" i="3"/>
  <c r="AF150" i="3"/>
  <c r="AG150" i="3"/>
  <c r="AL150" i="3" s="1"/>
  <c r="AH150" i="3"/>
  <c r="AI150" i="3"/>
  <c r="AJ150" i="3"/>
  <c r="AK150" i="3"/>
  <c r="AM150" i="3"/>
  <c r="AN150" i="3"/>
  <c r="T151" i="3"/>
  <c r="AD151" i="3" s="1"/>
  <c r="AN151" i="3" s="1"/>
  <c r="V151" i="3"/>
  <c r="Y151" i="3"/>
  <c r="AE151" i="3"/>
  <c r="AF151" i="3"/>
  <c r="AG151" i="3" s="1"/>
  <c r="AH151" i="3"/>
  <c r="AI151" i="3" s="1"/>
  <c r="AK151" i="3"/>
  <c r="AM151" i="3"/>
  <c r="T152" i="3"/>
  <c r="AE152" i="3" s="1"/>
  <c r="V152" i="3"/>
  <c r="Y152" i="3"/>
  <c r="AD152" i="3"/>
  <c r="AN152" i="3" s="1"/>
  <c r="AF152" i="3"/>
  <c r="AG152" i="3" s="1"/>
  <c r="AK152" i="3"/>
  <c r="AM152" i="3"/>
  <c r="T153" i="3"/>
  <c r="V153" i="3"/>
  <c r="Y153" i="3"/>
  <c r="AD153" i="3"/>
  <c r="AE153" i="3"/>
  <c r="AF153" i="3"/>
  <c r="AG153" i="3"/>
  <c r="AH153" i="3"/>
  <c r="AI153" i="3" s="1"/>
  <c r="AK153" i="3"/>
  <c r="AM153" i="3"/>
  <c r="AN153" i="3" s="1"/>
  <c r="T154" i="3"/>
  <c r="V154" i="3"/>
  <c r="Y154" i="3"/>
  <c r="AF154" i="3"/>
  <c r="AG154" i="3" s="1"/>
  <c r="AK154" i="3"/>
  <c r="AM154" i="3"/>
  <c r="T155" i="3"/>
  <c r="AH155" i="3" s="1"/>
  <c r="AI155" i="3" s="1"/>
  <c r="V155" i="3"/>
  <c r="Y155" i="3"/>
  <c r="AF155" i="3"/>
  <c r="AG155" i="3"/>
  <c r="AK155" i="3"/>
  <c r="AM155" i="3"/>
  <c r="T156" i="3"/>
  <c r="AE156" i="3" s="1"/>
  <c r="V156" i="3"/>
  <c r="Y156" i="3"/>
  <c r="AD156" i="3"/>
  <c r="AF156" i="3"/>
  <c r="AG156" i="3"/>
  <c r="AH156" i="3"/>
  <c r="AI156" i="3" s="1"/>
  <c r="AK156" i="3"/>
  <c r="AM156" i="3"/>
  <c r="T157" i="3"/>
  <c r="AD157" i="3" s="1"/>
  <c r="AN157" i="3" s="1"/>
  <c r="V157" i="3"/>
  <c r="Y157" i="3"/>
  <c r="AE157" i="3"/>
  <c r="AF157" i="3"/>
  <c r="AG157" i="3"/>
  <c r="AH157" i="3"/>
  <c r="AI157" i="3"/>
  <c r="AK157" i="3"/>
  <c r="AM157" i="3"/>
  <c r="T158" i="3"/>
  <c r="V158" i="3"/>
  <c r="Y158" i="3"/>
  <c r="AF158" i="3"/>
  <c r="AG158" i="3" s="1"/>
  <c r="AK158" i="3"/>
  <c r="AM158" i="3"/>
  <c r="T159" i="3"/>
  <c r="V159" i="3"/>
  <c r="Y159" i="3"/>
  <c r="AD159" i="3"/>
  <c r="AE159" i="3"/>
  <c r="AF159" i="3"/>
  <c r="AG159" i="3"/>
  <c r="AH159" i="3"/>
  <c r="AI159" i="3"/>
  <c r="AJ159" i="3"/>
  <c r="AK159" i="3"/>
  <c r="AM159" i="3"/>
  <c r="T160" i="3"/>
  <c r="AD160" i="3" s="1"/>
  <c r="AN160" i="3" s="1"/>
  <c r="V160" i="3"/>
  <c r="Y160" i="3"/>
  <c r="AE160" i="3"/>
  <c r="AF160" i="3"/>
  <c r="AG160" i="3" s="1"/>
  <c r="AH160" i="3"/>
  <c r="AI160" i="3" s="1"/>
  <c r="AK160" i="3"/>
  <c r="AL160" i="3" s="1"/>
  <c r="AM160" i="3"/>
  <c r="T161" i="3"/>
  <c r="V161" i="3"/>
  <c r="Y161" i="3"/>
  <c r="AF161" i="3"/>
  <c r="AG161" i="3" s="1"/>
  <c r="AK161" i="3"/>
  <c r="AM161" i="3"/>
  <c r="T162" i="3"/>
  <c r="V162" i="3"/>
  <c r="Y162" i="3"/>
  <c r="AD162" i="3"/>
  <c r="AE162" i="3"/>
  <c r="AF162" i="3"/>
  <c r="AG162" i="3"/>
  <c r="AL162" i="3" s="1"/>
  <c r="AH162" i="3"/>
  <c r="AI162" i="3" s="1"/>
  <c r="AK162" i="3"/>
  <c r="AM162" i="3"/>
  <c r="AN162" i="3"/>
  <c r="T163" i="3"/>
  <c r="V163" i="3"/>
  <c r="Y163" i="3"/>
  <c r="AD163" i="3"/>
  <c r="AE163" i="3"/>
  <c r="AF163" i="3"/>
  <c r="AG163" i="3" s="1"/>
  <c r="AH163" i="3"/>
  <c r="AI163" i="3" s="1"/>
  <c r="AK163" i="3"/>
  <c r="AM163" i="3"/>
  <c r="AN163" i="3"/>
  <c r="T164" i="3"/>
  <c r="AE164" i="3" s="1"/>
  <c r="V164" i="3"/>
  <c r="Y164" i="3"/>
  <c r="AD164" i="3"/>
  <c r="AN164" i="3" s="1"/>
  <c r="AF164" i="3"/>
  <c r="AG164" i="3" s="1"/>
  <c r="AK164" i="3"/>
  <c r="AM164" i="3"/>
  <c r="T165" i="3"/>
  <c r="AH165" i="3" s="1"/>
  <c r="AI165" i="3" s="1"/>
  <c r="AL165" i="3" s="1"/>
  <c r="V165" i="3"/>
  <c r="Y165" i="3"/>
  <c r="AD165" i="3"/>
  <c r="AE165" i="3"/>
  <c r="AF165" i="3"/>
  <c r="AG165" i="3"/>
  <c r="AK165" i="3"/>
  <c r="AM165" i="3"/>
  <c r="T166" i="3"/>
  <c r="AH166" i="3" s="1"/>
  <c r="AI166" i="3" s="1"/>
  <c r="V166" i="3"/>
  <c r="Y166" i="3"/>
  <c r="AD166" i="3"/>
  <c r="AE166" i="3"/>
  <c r="AF166" i="3"/>
  <c r="AG166" i="3" s="1"/>
  <c r="AK166" i="3"/>
  <c r="AM166" i="3"/>
  <c r="T167" i="3"/>
  <c r="AH167" i="3" s="1"/>
  <c r="AI167" i="3" s="1"/>
  <c r="V167" i="3"/>
  <c r="Y167" i="3"/>
  <c r="AD167" i="3"/>
  <c r="AF167" i="3"/>
  <c r="AG167" i="3" s="1"/>
  <c r="AK167" i="3"/>
  <c r="AM167" i="3"/>
  <c r="T168" i="3"/>
  <c r="AD168" i="3" s="1"/>
  <c r="V168" i="3"/>
  <c r="Y168" i="3"/>
  <c r="AF168" i="3"/>
  <c r="AG168" i="3"/>
  <c r="AK168" i="3"/>
  <c r="AM168" i="3"/>
  <c r="T169" i="3"/>
  <c r="AD169" i="3" s="1"/>
  <c r="V169" i="3"/>
  <c r="Y169" i="3"/>
  <c r="AF169" i="3"/>
  <c r="AG169" i="3"/>
  <c r="AK169" i="3"/>
  <c r="AM169" i="3"/>
  <c r="T170" i="3"/>
  <c r="V170" i="3"/>
  <c r="Y170" i="3"/>
  <c r="AF170" i="3"/>
  <c r="AG170" i="3"/>
  <c r="AK170" i="3"/>
  <c r="AM170" i="3"/>
  <c r="T171" i="3"/>
  <c r="V171" i="3"/>
  <c r="Y171" i="3"/>
  <c r="AD171" i="3"/>
  <c r="AE171" i="3"/>
  <c r="AF171" i="3"/>
  <c r="AG171" i="3"/>
  <c r="AH171" i="3"/>
  <c r="AI171" i="3"/>
  <c r="AK171" i="3"/>
  <c r="AM171" i="3"/>
  <c r="T172" i="3"/>
  <c r="AD172" i="3" s="1"/>
  <c r="AN172" i="3" s="1"/>
  <c r="V172" i="3"/>
  <c r="Y172" i="3"/>
  <c r="AE172" i="3"/>
  <c r="AF172" i="3"/>
  <c r="AG172" i="3" s="1"/>
  <c r="AH172" i="3"/>
  <c r="AI172" i="3"/>
  <c r="AJ172" i="3"/>
  <c r="AK172" i="3"/>
  <c r="AL172" i="3"/>
  <c r="AM172" i="3"/>
  <c r="T173" i="3"/>
  <c r="V173" i="3"/>
  <c r="Y173" i="3"/>
  <c r="AF173" i="3"/>
  <c r="AG173" i="3" s="1"/>
  <c r="AK173" i="3"/>
  <c r="AM173" i="3"/>
  <c r="T174" i="3"/>
  <c r="V174" i="3"/>
  <c r="Y174" i="3"/>
  <c r="AD174" i="3"/>
  <c r="AE174" i="3"/>
  <c r="AF174" i="3"/>
  <c r="AG174" i="3"/>
  <c r="AH174" i="3"/>
  <c r="AI174" i="3" s="1"/>
  <c r="AJ174" i="3"/>
  <c r="AK174" i="3"/>
  <c r="AM174" i="3"/>
  <c r="AN174" i="3" s="1"/>
  <c r="T175" i="3"/>
  <c r="V175" i="3"/>
  <c r="Y175" i="3"/>
  <c r="AD175" i="3"/>
  <c r="AE175" i="3"/>
  <c r="AF175" i="3"/>
  <c r="AG175" i="3" s="1"/>
  <c r="AH175" i="3"/>
  <c r="AI175" i="3"/>
  <c r="AK175" i="3"/>
  <c r="AL175" i="3" s="1"/>
  <c r="AM175" i="3"/>
  <c r="AN175" i="3"/>
  <c r="T176" i="3"/>
  <c r="AE176" i="3" s="1"/>
  <c r="V176" i="3"/>
  <c r="Y176" i="3"/>
  <c r="AD176" i="3"/>
  <c r="AN176" i="3" s="1"/>
  <c r="AF176" i="3"/>
  <c r="AG176" i="3" s="1"/>
  <c r="AK176" i="3"/>
  <c r="AM176" i="3"/>
  <c r="T177" i="3"/>
  <c r="AH177" i="3" s="1"/>
  <c r="AI177" i="3" s="1"/>
  <c r="AJ177" i="3" s="1"/>
  <c r="V177" i="3"/>
  <c r="Y177" i="3"/>
  <c r="AD177" i="3"/>
  <c r="AN177" i="3" s="1"/>
  <c r="AE177" i="3"/>
  <c r="AF177" i="3"/>
  <c r="AG177" i="3"/>
  <c r="AK177" i="3"/>
  <c r="AM177" i="3"/>
  <c r="T178" i="3"/>
  <c r="AD178" i="3" s="1"/>
  <c r="V178" i="3"/>
  <c r="Y178" i="3"/>
  <c r="AF178" i="3"/>
  <c r="AG178" i="3" s="1"/>
  <c r="AK178" i="3"/>
  <c r="AM178" i="3"/>
  <c r="T179" i="3"/>
  <c r="AH179" i="3" s="1"/>
  <c r="V179" i="3"/>
  <c r="Y179" i="3"/>
  <c r="AD179" i="3"/>
  <c r="AN179" i="3" s="1"/>
  <c r="AE179" i="3"/>
  <c r="AF179" i="3"/>
  <c r="AG179" i="3" s="1"/>
  <c r="AI179" i="3"/>
  <c r="AK179" i="3"/>
  <c r="AM179" i="3"/>
  <c r="T180" i="3"/>
  <c r="AD180" i="3" s="1"/>
  <c r="V180" i="3"/>
  <c r="Y180" i="3"/>
  <c r="AF180" i="3"/>
  <c r="AG180" i="3"/>
  <c r="AH180" i="3"/>
  <c r="AI180" i="3" s="1"/>
  <c r="AJ180" i="3"/>
  <c r="AK180" i="3"/>
  <c r="AM180" i="3"/>
  <c r="T181" i="3"/>
  <c r="AD181" i="3" s="1"/>
  <c r="V181" i="3"/>
  <c r="Y181" i="3"/>
  <c r="AF181" i="3"/>
  <c r="AG181" i="3"/>
  <c r="AH181" i="3"/>
  <c r="AI181" i="3" s="1"/>
  <c r="AK181" i="3"/>
  <c r="AM181" i="3"/>
  <c r="T182" i="3"/>
  <c r="V182" i="3"/>
  <c r="Y182" i="3"/>
  <c r="AF182" i="3"/>
  <c r="AG182" i="3"/>
  <c r="AH182" i="3"/>
  <c r="AI182" i="3" s="1"/>
  <c r="AK182" i="3"/>
  <c r="AM182" i="3"/>
  <c r="T183" i="3"/>
  <c r="AD183" i="3" s="1"/>
  <c r="V183" i="3"/>
  <c r="Y183" i="3"/>
  <c r="AF183" i="3"/>
  <c r="AG183" i="3" s="1"/>
  <c r="AK183" i="3"/>
  <c r="AM183" i="3"/>
  <c r="T184" i="3"/>
  <c r="AD184" i="3" s="1"/>
  <c r="V184" i="3"/>
  <c r="Y184" i="3"/>
  <c r="AE184" i="3"/>
  <c r="AN184" i="3" s="1"/>
  <c r="AF184" i="3"/>
  <c r="AG184" i="3" s="1"/>
  <c r="AH184" i="3"/>
  <c r="AI184" i="3" s="1"/>
  <c r="AK184" i="3"/>
  <c r="AM184" i="3"/>
  <c r="T185" i="3"/>
  <c r="V185" i="3"/>
  <c r="Y185" i="3"/>
  <c r="AF185" i="3"/>
  <c r="AG185" i="3" s="1"/>
  <c r="AH185" i="3"/>
  <c r="AI185" i="3"/>
  <c r="AK185" i="3"/>
  <c r="AM185" i="3"/>
  <c r="T186" i="3"/>
  <c r="V186" i="3"/>
  <c r="Y186" i="3"/>
  <c r="AD186" i="3"/>
  <c r="AE186" i="3"/>
  <c r="AF186" i="3"/>
  <c r="AG186" i="3"/>
  <c r="AH186" i="3"/>
  <c r="AI186" i="3" s="1"/>
  <c r="AK186" i="3"/>
  <c r="AM186" i="3"/>
  <c r="T187" i="3"/>
  <c r="AE187" i="3" s="1"/>
  <c r="V187" i="3"/>
  <c r="Y187" i="3"/>
  <c r="AD187" i="3"/>
  <c r="AF187" i="3"/>
  <c r="AG187" i="3"/>
  <c r="AJ187" i="3" s="1"/>
  <c r="AH187" i="3"/>
  <c r="AI187" i="3"/>
  <c r="AK187" i="3"/>
  <c r="AL187" i="3"/>
  <c r="AM187" i="3"/>
  <c r="AN187" i="3"/>
  <c r="T188" i="3"/>
  <c r="V188" i="3"/>
  <c r="Y188" i="3"/>
  <c r="AD188" i="3"/>
  <c r="AE188" i="3"/>
  <c r="AF188" i="3"/>
  <c r="AG188" i="3"/>
  <c r="AH188" i="3"/>
  <c r="AI188" i="3" s="1"/>
  <c r="AK188" i="3"/>
  <c r="AM188" i="3"/>
  <c r="AN188" i="3"/>
  <c r="T189" i="3"/>
  <c r="AE189" i="3" s="1"/>
  <c r="V189" i="3"/>
  <c r="Y189" i="3"/>
  <c r="AD189" i="3"/>
  <c r="AF189" i="3"/>
  <c r="AG189" i="3" s="1"/>
  <c r="AK189" i="3"/>
  <c r="AM189" i="3"/>
  <c r="T190" i="3"/>
  <c r="AH190" i="3" s="1"/>
  <c r="AI190" i="3" s="1"/>
  <c r="V190" i="3"/>
  <c r="Y190" i="3"/>
  <c r="AD190" i="3"/>
  <c r="AE190" i="3"/>
  <c r="AF190" i="3"/>
  <c r="AG190" i="3"/>
  <c r="AK190" i="3"/>
  <c r="AM190" i="3"/>
  <c r="T191" i="3"/>
  <c r="V191" i="3"/>
  <c r="Y191" i="3"/>
  <c r="AF191" i="3"/>
  <c r="AG191" i="3" s="1"/>
  <c r="AK191" i="3"/>
  <c r="AM191" i="3"/>
  <c r="T192" i="3"/>
  <c r="AH192" i="3" s="1"/>
  <c r="AI192" i="3" s="1"/>
  <c r="V192" i="3"/>
  <c r="Y192" i="3"/>
  <c r="AF192" i="3"/>
  <c r="AG192" i="3"/>
  <c r="AK192" i="3"/>
  <c r="AM192" i="3"/>
  <c r="T193" i="3"/>
  <c r="AD193" i="3" s="1"/>
  <c r="V193" i="3"/>
  <c r="Y193" i="3"/>
  <c r="AF193" i="3"/>
  <c r="AG193" i="3"/>
  <c r="AH193" i="3"/>
  <c r="AI193" i="3" s="1"/>
  <c r="AK193" i="3"/>
  <c r="AM193" i="3"/>
  <c r="T194" i="3"/>
  <c r="AE194" i="3" s="1"/>
  <c r="AN194" i="3" s="1"/>
  <c r="V194" i="3"/>
  <c r="Y194" i="3"/>
  <c r="AD194" i="3"/>
  <c r="AF194" i="3"/>
  <c r="AG194" i="3"/>
  <c r="AH194" i="3"/>
  <c r="AI194" i="3"/>
  <c r="AK194" i="3"/>
  <c r="AM194" i="3"/>
  <c r="T195" i="3"/>
  <c r="AD195" i="3" s="1"/>
  <c r="AN195" i="3" s="1"/>
  <c r="V195" i="3"/>
  <c r="Y195" i="3"/>
  <c r="AE195" i="3"/>
  <c r="AF195" i="3"/>
  <c r="AG195" i="3"/>
  <c r="AL195" i="3" s="1"/>
  <c r="AH195" i="3"/>
  <c r="AI195" i="3"/>
  <c r="AJ195" i="3"/>
  <c r="AK195" i="3"/>
  <c r="AM195" i="3"/>
  <c r="T196" i="3"/>
  <c r="AE196" i="3" s="1"/>
  <c r="V196" i="3"/>
  <c r="Y196" i="3"/>
  <c r="AD196" i="3"/>
  <c r="AF196" i="3"/>
  <c r="AG196" i="3" s="1"/>
  <c r="AH196" i="3"/>
  <c r="AI196" i="3" s="1"/>
  <c r="AK196" i="3"/>
  <c r="AM196" i="3"/>
  <c r="AN196" i="3" s="1"/>
  <c r="T197" i="3"/>
  <c r="AD197" i="3" s="1"/>
  <c r="AN197" i="3" s="1"/>
  <c r="V197" i="3"/>
  <c r="Y197" i="3"/>
  <c r="AE197" i="3"/>
  <c r="AF197" i="3"/>
  <c r="AG197" i="3"/>
  <c r="AH197" i="3"/>
  <c r="AI197" i="3"/>
  <c r="AJ197" i="3" s="1"/>
  <c r="AK197" i="3"/>
  <c r="AL197" i="3"/>
  <c r="AM197" i="3"/>
  <c r="T198" i="3"/>
  <c r="AD198" i="3" s="1"/>
  <c r="V198" i="3"/>
  <c r="Y198" i="3"/>
  <c r="AF198" i="3"/>
  <c r="AG198" i="3" s="1"/>
  <c r="AK198" i="3"/>
  <c r="AM198" i="3"/>
  <c r="T199" i="3"/>
  <c r="AE199" i="3" s="1"/>
  <c r="AN199" i="3" s="1"/>
  <c r="V199" i="3"/>
  <c r="Y199" i="3"/>
  <c r="AD199" i="3"/>
  <c r="AF199" i="3"/>
  <c r="AG199" i="3"/>
  <c r="AJ199" i="3" s="1"/>
  <c r="AH199" i="3"/>
  <c r="AI199" i="3"/>
  <c r="AK199" i="3"/>
  <c r="AM199" i="3"/>
  <c r="T200" i="3"/>
  <c r="V200" i="3"/>
  <c r="Y200" i="3"/>
  <c r="AD200" i="3"/>
  <c r="AE200" i="3"/>
  <c r="AF200" i="3"/>
  <c r="AG200" i="3"/>
  <c r="AH200" i="3"/>
  <c r="AI200" i="3" s="1"/>
  <c r="AK200" i="3"/>
  <c r="AM200" i="3"/>
  <c r="AN200" i="3"/>
  <c r="T201" i="3"/>
  <c r="AE201" i="3" s="1"/>
  <c r="V201" i="3"/>
  <c r="Y201" i="3"/>
  <c r="AD201" i="3"/>
  <c r="AF201" i="3"/>
  <c r="AG201" i="3" s="1"/>
  <c r="AK201" i="3"/>
  <c r="AM201" i="3"/>
  <c r="AN201" i="3" s="1"/>
  <c r="T202" i="3"/>
  <c r="AH202" i="3" s="1"/>
  <c r="AI202" i="3" s="1"/>
  <c r="V202" i="3"/>
  <c r="Y202" i="3"/>
  <c r="AD202" i="3"/>
  <c r="AN202" i="3" s="1"/>
  <c r="AE202" i="3"/>
  <c r="AF202" i="3"/>
  <c r="AG202" i="3"/>
  <c r="AK202" i="3"/>
  <c r="AM202" i="3"/>
  <c r="T203" i="3"/>
  <c r="V203" i="3"/>
  <c r="Y203" i="3"/>
  <c r="AF203" i="3"/>
  <c r="AG203" i="3" s="1"/>
  <c r="AK203" i="3"/>
  <c r="AM203" i="3"/>
  <c r="T204" i="3"/>
  <c r="AH204" i="3" s="1"/>
  <c r="AI204" i="3" s="1"/>
  <c r="V204" i="3"/>
  <c r="Y204" i="3"/>
  <c r="AF204" i="3"/>
  <c r="AG204" i="3"/>
  <c r="AK204" i="3"/>
  <c r="AM204" i="3"/>
  <c r="T205" i="3"/>
  <c r="AD205" i="3" s="1"/>
  <c r="V205" i="3"/>
  <c r="Y205" i="3"/>
  <c r="AE205" i="3"/>
  <c r="AF205" i="3"/>
  <c r="AG205" i="3"/>
  <c r="AH205" i="3"/>
  <c r="AI205" i="3" s="1"/>
  <c r="AK205" i="3"/>
  <c r="AM205" i="3"/>
  <c r="AN205" i="3" s="1"/>
  <c r="T206" i="3"/>
  <c r="AD206" i="3" s="1"/>
  <c r="V206" i="3"/>
  <c r="Y206" i="3"/>
  <c r="AF206" i="3"/>
  <c r="AG206" i="3" s="1"/>
  <c r="AH206" i="3"/>
  <c r="AI206" i="3"/>
  <c r="AK206" i="3"/>
  <c r="AM206" i="3"/>
  <c r="T207" i="3"/>
  <c r="AD207" i="3" s="1"/>
  <c r="AN207" i="3" s="1"/>
  <c r="V207" i="3"/>
  <c r="Y207" i="3"/>
  <c r="AE207" i="3"/>
  <c r="AF207" i="3"/>
  <c r="AG207" i="3"/>
  <c r="AL207" i="3" s="1"/>
  <c r="AH207" i="3"/>
  <c r="AI207" i="3"/>
  <c r="AJ207" i="3"/>
  <c r="AK207" i="3"/>
  <c r="AM207" i="3"/>
  <c r="T208" i="3"/>
  <c r="AE208" i="3" s="1"/>
  <c r="V208" i="3"/>
  <c r="Y208" i="3"/>
  <c r="AD208" i="3"/>
  <c r="AF208" i="3"/>
  <c r="AG208" i="3" s="1"/>
  <c r="AH208" i="3"/>
  <c r="AI208" i="3" s="1"/>
  <c r="AK208" i="3"/>
  <c r="AM208" i="3"/>
  <c r="T209" i="3"/>
  <c r="AD209" i="3" s="1"/>
  <c r="AN209" i="3" s="1"/>
  <c r="V209" i="3"/>
  <c r="Y209" i="3"/>
  <c r="AE209" i="3"/>
  <c r="AF209" i="3"/>
  <c r="AG209" i="3"/>
  <c r="AJ209" i="3" s="1"/>
  <c r="AH209" i="3"/>
  <c r="AI209" i="3"/>
  <c r="AK209" i="3"/>
  <c r="AL209" i="3" s="1"/>
  <c r="AM209" i="3"/>
  <c r="T210" i="3"/>
  <c r="AD210" i="3" s="1"/>
  <c r="V210" i="3"/>
  <c r="Y210" i="3"/>
  <c r="AF210" i="3"/>
  <c r="AG210" i="3" s="1"/>
  <c r="AK210" i="3"/>
  <c r="AM210" i="3"/>
  <c r="T211" i="3"/>
  <c r="AE211" i="3" s="1"/>
  <c r="V211" i="3"/>
  <c r="Y211" i="3"/>
  <c r="AD211" i="3"/>
  <c r="AF211" i="3"/>
  <c r="AG211" i="3"/>
  <c r="AH211" i="3"/>
  <c r="AI211" i="3"/>
  <c r="AK211" i="3"/>
  <c r="AM211" i="3"/>
  <c r="AN211" i="3" s="1"/>
  <c r="T212" i="3"/>
  <c r="V212" i="3"/>
  <c r="Y212" i="3"/>
  <c r="AD212" i="3"/>
  <c r="AE212" i="3"/>
  <c r="AF212" i="3"/>
  <c r="AG212" i="3"/>
  <c r="AH212" i="3"/>
  <c r="AI212" i="3" s="1"/>
  <c r="AJ212" i="3" s="1"/>
  <c r="AK212" i="3"/>
  <c r="AL212" i="3"/>
  <c r="AM212" i="3"/>
  <c r="AN212" i="3"/>
  <c r="T213" i="3"/>
  <c r="AE213" i="3" s="1"/>
  <c r="V213" i="3"/>
  <c r="Y213" i="3"/>
  <c r="AD213" i="3"/>
  <c r="AF213" i="3"/>
  <c r="AG213" i="3" s="1"/>
  <c r="AK213" i="3"/>
  <c r="AM213" i="3"/>
  <c r="T214" i="3"/>
  <c r="AH214" i="3" s="1"/>
  <c r="AI214" i="3" s="1"/>
  <c r="AL214" i="3" s="1"/>
  <c r="V214" i="3"/>
  <c r="Y214" i="3"/>
  <c r="AD214" i="3"/>
  <c r="AE214" i="3"/>
  <c r="AF214" i="3"/>
  <c r="AG214" i="3"/>
  <c r="AK214" i="3"/>
  <c r="AM214" i="3"/>
  <c r="AN214" i="3"/>
  <c r="T215" i="3"/>
  <c r="V215" i="3"/>
  <c r="Y215" i="3"/>
  <c r="AF215" i="3"/>
  <c r="AG215" i="3" s="1"/>
  <c r="AK215" i="3"/>
  <c r="AM215" i="3"/>
  <c r="T216" i="3"/>
  <c r="V216" i="3"/>
  <c r="Y216" i="3"/>
  <c r="AF216" i="3"/>
  <c r="AG216" i="3" s="1"/>
  <c r="AK216" i="3"/>
  <c r="AM216" i="3"/>
  <c r="T217" i="3"/>
  <c r="V217" i="3"/>
  <c r="Y217" i="3"/>
  <c r="AD217" i="3"/>
  <c r="AE217" i="3"/>
  <c r="AF217" i="3"/>
  <c r="AG217" i="3"/>
  <c r="AH217" i="3"/>
  <c r="AI217" i="3" s="1"/>
  <c r="AK217" i="3"/>
  <c r="AM217" i="3"/>
  <c r="AN217" i="3" s="1"/>
  <c r="T218" i="3"/>
  <c r="AD218" i="3" s="1"/>
  <c r="V218" i="3"/>
  <c r="Y218" i="3"/>
  <c r="AF218" i="3"/>
  <c r="AG218" i="3" s="1"/>
  <c r="AK218" i="3"/>
  <c r="AM218" i="3"/>
  <c r="T219" i="3"/>
  <c r="AD219" i="3" s="1"/>
  <c r="V219" i="3"/>
  <c r="Y219" i="3"/>
  <c r="AE219" i="3"/>
  <c r="AF219" i="3"/>
  <c r="AG219" i="3"/>
  <c r="AH219" i="3"/>
  <c r="AI219" i="3"/>
  <c r="AK219" i="3"/>
  <c r="AM219" i="3"/>
  <c r="T220" i="3"/>
  <c r="AE220" i="3" s="1"/>
  <c r="V220" i="3"/>
  <c r="Y220" i="3"/>
  <c r="AD220" i="3"/>
  <c r="AF220" i="3"/>
  <c r="AG220" i="3" s="1"/>
  <c r="AK220" i="3"/>
  <c r="AM220" i="3"/>
  <c r="T221" i="3"/>
  <c r="AD221" i="3" s="1"/>
  <c r="AN221" i="3" s="1"/>
  <c r="V221" i="3"/>
  <c r="Y221" i="3"/>
  <c r="AE221" i="3"/>
  <c r="AF221" i="3"/>
  <c r="AG221" i="3"/>
  <c r="AH221" i="3"/>
  <c r="AI221" i="3"/>
  <c r="AJ221" i="3"/>
  <c r="AK221" i="3"/>
  <c r="AL221" i="3"/>
  <c r="AM221" i="3"/>
  <c r="T222" i="3"/>
  <c r="V222" i="3"/>
  <c r="Y222" i="3"/>
  <c r="AF222" i="3"/>
  <c r="AG222" i="3" s="1"/>
  <c r="AK222" i="3"/>
  <c r="AM222" i="3"/>
  <c r="T223" i="3"/>
  <c r="AE223" i="3" s="1"/>
  <c r="V223" i="3"/>
  <c r="Y223" i="3"/>
  <c r="AD223" i="3"/>
  <c r="AF223" i="3"/>
  <c r="AG223" i="3"/>
  <c r="AH223" i="3"/>
  <c r="AI223" i="3"/>
  <c r="AJ223" i="3"/>
  <c r="AK223" i="3"/>
  <c r="AL223" i="3" s="1"/>
  <c r="AM223" i="3"/>
  <c r="AN223" i="3"/>
  <c r="T224" i="3"/>
  <c r="V224" i="3"/>
  <c r="Y224" i="3"/>
  <c r="AD224" i="3"/>
  <c r="AE224" i="3"/>
  <c r="AF224" i="3"/>
  <c r="AG224" i="3"/>
  <c r="AH224" i="3"/>
  <c r="AI224" i="3" s="1"/>
  <c r="AK224" i="3"/>
  <c r="AM224" i="3"/>
  <c r="AN224" i="3" s="1"/>
  <c r="T225" i="3"/>
  <c r="V225" i="3"/>
  <c r="Y225" i="3"/>
  <c r="AF225" i="3"/>
  <c r="AG225" i="3" s="1"/>
  <c r="AK225" i="3"/>
  <c r="AM225" i="3"/>
  <c r="T226" i="3"/>
  <c r="AH226" i="3" s="1"/>
  <c r="AI226" i="3" s="1"/>
  <c r="V226" i="3"/>
  <c r="Y226" i="3"/>
  <c r="AD226" i="3"/>
  <c r="AN226" i="3" s="1"/>
  <c r="AE226" i="3"/>
  <c r="AF226" i="3"/>
  <c r="AG226" i="3"/>
  <c r="AL226" i="3" s="1"/>
  <c r="AJ226" i="3"/>
  <c r="AK226" i="3"/>
  <c r="AM226" i="3"/>
  <c r="T227" i="3"/>
  <c r="AD227" i="3" s="1"/>
  <c r="V227" i="3"/>
  <c r="Y227" i="3"/>
  <c r="AF227" i="3"/>
  <c r="AG227" i="3" s="1"/>
  <c r="AK227" i="3"/>
  <c r="AM227" i="3"/>
  <c r="T228" i="3"/>
  <c r="V228" i="3"/>
  <c r="Y228" i="3"/>
  <c r="AF228" i="3"/>
  <c r="AG228" i="3"/>
  <c r="AK228" i="3"/>
  <c r="AM228" i="3"/>
  <c r="T229" i="3"/>
  <c r="AD229" i="3" s="1"/>
  <c r="V229" i="3"/>
  <c r="Y229" i="3"/>
  <c r="AF229" i="3"/>
  <c r="AG229" i="3"/>
  <c r="AH229" i="3"/>
  <c r="AI229" i="3" s="1"/>
  <c r="AJ229" i="3" s="1"/>
  <c r="AK229" i="3"/>
  <c r="AM229" i="3"/>
  <c r="T230" i="3"/>
  <c r="V230" i="3"/>
  <c r="Y230" i="3"/>
  <c r="AD230" i="3"/>
  <c r="AN230" i="3" s="1"/>
  <c r="AE230" i="3"/>
  <c r="AF230" i="3"/>
  <c r="AG230" i="3" s="1"/>
  <c r="AH230" i="3"/>
  <c r="AI230" i="3" s="1"/>
  <c r="AK230" i="3"/>
  <c r="AM230" i="3"/>
  <c r="T231" i="3"/>
  <c r="AD231" i="3" s="1"/>
  <c r="V231" i="3"/>
  <c r="Y231" i="3"/>
  <c r="AF231" i="3"/>
  <c r="AG231" i="3"/>
  <c r="AL231" i="3" s="1"/>
  <c r="AH231" i="3"/>
  <c r="AI231" i="3"/>
  <c r="AJ231" i="3" s="1"/>
  <c r="AK231" i="3"/>
  <c r="AM231" i="3"/>
  <c r="T232" i="3"/>
  <c r="AD232" i="3" s="1"/>
  <c r="V232" i="3"/>
  <c r="Y232" i="3"/>
  <c r="AF232" i="3"/>
  <c r="AG232" i="3"/>
  <c r="AH232" i="3"/>
  <c r="AI232" i="3" s="1"/>
  <c r="AK232" i="3"/>
  <c r="AM232" i="3"/>
  <c r="T233" i="3"/>
  <c r="V233" i="3"/>
  <c r="Y233" i="3"/>
  <c r="AF233" i="3"/>
  <c r="AG233" i="3" s="1"/>
  <c r="AK233" i="3"/>
  <c r="AM233" i="3"/>
  <c r="T234" i="3"/>
  <c r="V234" i="3"/>
  <c r="Y234" i="3"/>
  <c r="AF234" i="3"/>
  <c r="AG234" i="3" s="1"/>
  <c r="AH234" i="3"/>
  <c r="AI234" i="3"/>
  <c r="AK234" i="3"/>
  <c r="AM234" i="3"/>
  <c r="T235" i="3"/>
  <c r="AE235" i="3" s="1"/>
  <c r="V235" i="3"/>
  <c r="Y235" i="3"/>
  <c r="AD235" i="3"/>
  <c r="AF235" i="3"/>
  <c r="AG235" i="3"/>
  <c r="AH235" i="3"/>
  <c r="AI235" i="3"/>
  <c r="AJ235" i="3" s="1"/>
  <c r="AK235" i="3"/>
  <c r="AL235" i="3"/>
  <c r="AM235" i="3"/>
  <c r="AN235" i="3"/>
  <c r="T236" i="3"/>
  <c r="V236" i="3"/>
  <c r="Y236" i="3"/>
  <c r="AD236" i="3"/>
  <c r="AE236" i="3"/>
  <c r="AF236" i="3"/>
  <c r="AG236" i="3"/>
  <c r="AH236" i="3"/>
  <c r="AI236" i="3"/>
  <c r="AJ236" i="3"/>
  <c r="AK236" i="3"/>
  <c r="AL236" i="3"/>
  <c r="AM236" i="3"/>
  <c r="T237" i="3"/>
  <c r="V237" i="3"/>
  <c r="Y237" i="3"/>
  <c r="AF237" i="3"/>
  <c r="AG237" i="3" s="1"/>
  <c r="AH237" i="3"/>
  <c r="AI237" i="3" s="1"/>
  <c r="AK237" i="3"/>
  <c r="AM237" i="3"/>
  <c r="T238" i="3"/>
  <c r="AH238" i="3" s="1"/>
  <c r="V238" i="3"/>
  <c r="Y238" i="3"/>
  <c r="AE238" i="3"/>
  <c r="AF238" i="3"/>
  <c r="AG238" i="3"/>
  <c r="AL238" i="3" s="1"/>
  <c r="AI238" i="3"/>
  <c r="AJ238" i="3"/>
  <c r="AK238" i="3"/>
  <c r="AM238" i="3"/>
  <c r="T239" i="3"/>
  <c r="AD239" i="3" s="1"/>
  <c r="V239" i="3"/>
  <c r="Y239" i="3"/>
  <c r="AE239" i="3"/>
  <c r="AF239" i="3"/>
  <c r="AG239" i="3"/>
  <c r="AH239" i="3"/>
  <c r="AI239" i="3" s="1"/>
  <c r="AJ239" i="3" s="1"/>
  <c r="AK239" i="3"/>
  <c r="AL239" i="3" s="1"/>
  <c r="AM239" i="3"/>
  <c r="T240" i="3"/>
  <c r="AD240" i="3" s="1"/>
  <c r="AN240" i="3" s="1"/>
  <c r="V240" i="3"/>
  <c r="Y240" i="3"/>
  <c r="AE240" i="3"/>
  <c r="AF240" i="3"/>
  <c r="AG240" i="3" s="1"/>
  <c r="AH240" i="3"/>
  <c r="AI240" i="3" s="1"/>
  <c r="AK240" i="3"/>
  <c r="AM240" i="3"/>
  <c r="T241" i="3"/>
  <c r="V241" i="3"/>
  <c r="Y241" i="3"/>
  <c r="AD241" i="3"/>
  <c r="AE241" i="3"/>
  <c r="AF241" i="3"/>
  <c r="AG241" i="3"/>
  <c r="AH241" i="3"/>
  <c r="AI241" i="3" s="1"/>
  <c r="AK241" i="3"/>
  <c r="AM241" i="3"/>
  <c r="T242" i="3"/>
  <c r="V242" i="3"/>
  <c r="Y242" i="3"/>
  <c r="AF242" i="3"/>
  <c r="AG242" i="3" s="1"/>
  <c r="AK242" i="3"/>
  <c r="AM242" i="3"/>
  <c r="T243" i="3"/>
  <c r="AH243" i="3" s="1"/>
  <c r="AI243" i="3" s="1"/>
  <c r="V243" i="3"/>
  <c r="Y243" i="3"/>
  <c r="AE243" i="3"/>
  <c r="AF243" i="3"/>
  <c r="AG243" i="3"/>
  <c r="AK243" i="3"/>
  <c r="AM243" i="3"/>
  <c r="T244" i="3"/>
  <c r="AD244" i="3" s="1"/>
  <c r="V244" i="3"/>
  <c r="Y244" i="3"/>
  <c r="AF244" i="3"/>
  <c r="AG244" i="3" s="1"/>
  <c r="AH244" i="3"/>
  <c r="AI244" i="3" s="1"/>
  <c r="AK244" i="3"/>
  <c r="AM244" i="3"/>
  <c r="T245" i="3"/>
  <c r="AD245" i="3" s="1"/>
  <c r="AN245" i="3" s="1"/>
  <c r="V245" i="3"/>
  <c r="Y245" i="3"/>
  <c r="AE245" i="3"/>
  <c r="AF245" i="3"/>
  <c r="AG245" i="3"/>
  <c r="AH245" i="3"/>
  <c r="AI245" i="3"/>
  <c r="AK245" i="3"/>
  <c r="AM245" i="3"/>
  <c r="T246" i="3"/>
  <c r="AD246" i="3" s="1"/>
  <c r="V246" i="3"/>
  <c r="Y246" i="3"/>
  <c r="AF246" i="3"/>
  <c r="AG246" i="3" s="1"/>
  <c r="AL246" i="3" s="1"/>
  <c r="AH246" i="3"/>
  <c r="AI246" i="3" s="1"/>
  <c r="AJ246" i="3"/>
  <c r="AK246" i="3"/>
  <c r="AM246" i="3"/>
  <c r="T247" i="3"/>
  <c r="AE247" i="3" s="1"/>
  <c r="V247" i="3"/>
  <c r="Y247" i="3"/>
  <c r="AD247" i="3"/>
  <c r="AF247" i="3"/>
  <c r="AG247" i="3"/>
  <c r="AH247" i="3"/>
  <c r="AI247" i="3"/>
  <c r="AJ247" i="3" s="1"/>
  <c r="AK247" i="3"/>
  <c r="AM247" i="3"/>
  <c r="T248" i="3"/>
  <c r="AD248" i="3" s="1"/>
  <c r="AN248" i="3" s="1"/>
  <c r="V248" i="3"/>
  <c r="Y248" i="3"/>
  <c r="AE248" i="3"/>
  <c r="AF248" i="3"/>
  <c r="AG248" i="3"/>
  <c r="AH248" i="3"/>
  <c r="AI248" i="3" s="1"/>
  <c r="AJ248" i="3" s="1"/>
  <c r="AK248" i="3"/>
  <c r="AL248" i="3"/>
  <c r="AM248" i="3"/>
  <c r="T249" i="3"/>
  <c r="AD249" i="3" s="1"/>
  <c r="V249" i="3"/>
  <c r="Y249" i="3"/>
  <c r="AF249" i="3"/>
  <c r="AG249" i="3" s="1"/>
  <c r="AK249" i="3"/>
  <c r="AM249" i="3"/>
  <c r="T250" i="3"/>
  <c r="V250" i="3"/>
  <c r="Y250" i="3"/>
  <c r="AD250" i="3"/>
  <c r="AE250" i="3"/>
  <c r="AF250" i="3"/>
  <c r="AG250" i="3"/>
  <c r="AH250" i="3"/>
  <c r="AI250" i="3"/>
  <c r="AJ250" i="3"/>
  <c r="AK250" i="3"/>
  <c r="AL250" i="3"/>
  <c r="AM250" i="3"/>
  <c r="AN250" i="3"/>
  <c r="T251" i="3"/>
  <c r="AD251" i="3" s="1"/>
  <c r="V251" i="3"/>
  <c r="Y251" i="3"/>
  <c r="AE251" i="3"/>
  <c r="AF251" i="3"/>
  <c r="AG251" i="3" s="1"/>
  <c r="AH251" i="3"/>
  <c r="AI251" i="3" s="1"/>
  <c r="AK251" i="3"/>
  <c r="AM251" i="3"/>
  <c r="T252" i="3"/>
  <c r="AE252" i="3" s="1"/>
  <c r="V252" i="3"/>
  <c r="Y252" i="3"/>
  <c r="AD252" i="3"/>
  <c r="AN252" i="3" s="1"/>
  <c r="AF252" i="3"/>
  <c r="AG252" i="3" s="1"/>
  <c r="AK252" i="3"/>
  <c r="AM252" i="3"/>
  <c r="T253" i="3"/>
  <c r="V253" i="3"/>
  <c r="Y253" i="3"/>
  <c r="AD253" i="3"/>
  <c r="AE253" i="3"/>
  <c r="AF253" i="3"/>
  <c r="AG253" i="3"/>
  <c r="AH253" i="3"/>
  <c r="AI253" i="3" s="1"/>
  <c r="AK253" i="3"/>
  <c r="AM253" i="3"/>
  <c r="AN253" i="3" s="1"/>
  <c r="T254" i="3"/>
  <c r="V254" i="3"/>
  <c r="Y254" i="3"/>
  <c r="AF254" i="3"/>
  <c r="AG254" i="3" s="1"/>
  <c r="AK254" i="3"/>
  <c r="AM254" i="3"/>
  <c r="T255" i="3"/>
  <c r="AH255" i="3" s="1"/>
  <c r="AI255" i="3" s="1"/>
  <c r="V255" i="3"/>
  <c r="Y255" i="3"/>
  <c r="AE255" i="3"/>
  <c r="AF255" i="3"/>
  <c r="AG255" i="3"/>
  <c r="AK255" i="3"/>
  <c r="AM255" i="3"/>
  <c r="T256" i="3"/>
  <c r="AD256" i="3" s="1"/>
  <c r="V256" i="3"/>
  <c r="Y256" i="3"/>
  <c r="AF256" i="3"/>
  <c r="AG256" i="3" s="1"/>
  <c r="AH256" i="3"/>
  <c r="AI256" i="3" s="1"/>
  <c r="AK256" i="3"/>
  <c r="AM256" i="3"/>
  <c r="T257" i="3"/>
  <c r="AD257" i="3" s="1"/>
  <c r="AN257" i="3" s="1"/>
  <c r="V257" i="3"/>
  <c r="Y257" i="3"/>
  <c r="AE257" i="3"/>
  <c r="AF257" i="3"/>
  <c r="AG257" i="3"/>
  <c r="AH257" i="3"/>
  <c r="AI257" i="3"/>
  <c r="AK257" i="3"/>
  <c r="AM257" i="3"/>
  <c r="T258" i="3"/>
  <c r="AD258" i="3" s="1"/>
  <c r="V258" i="3"/>
  <c r="Y258" i="3"/>
  <c r="AF258" i="3"/>
  <c r="AG258" i="3" s="1"/>
  <c r="AL258" i="3" s="1"/>
  <c r="AH258" i="3"/>
  <c r="AI258" i="3" s="1"/>
  <c r="AJ258" i="3"/>
  <c r="AK258" i="3"/>
  <c r="AM258" i="3"/>
  <c r="T259" i="3"/>
  <c r="AE259" i="3" s="1"/>
  <c r="V259" i="3"/>
  <c r="Y259" i="3"/>
  <c r="AD259" i="3"/>
  <c r="AF259" i="3"/>
  <c r="AG259" i="3"/>
  <c r="AH259" i="3"/>
  <c r="AI259" i="3"/>
  <c r="AK259" i="3"/>
  <c r="AM259" i="3"/>
  <c r="AN259" i="3" s="1"/>
  <c r="T260" i="3"/>
  <c r="AD260" i="3" s="1"/>
  <c r="AN260" i="3" s="1"/>
  <c r="V260" i="3"/>
  <c r="Y260" i="3"/>
  <c r="AE260" i="3"/>
  <c r="AF260" i="3"/>
  <c r="AG260" i="3"/>
  <c r="AH260" i="3"/>
  <c r="AI260" i="3" s="1"/>
  <c r="AJ260" i="3" s="1"/>
  <c r="AK260" i="3"/>
  <c r="AL260" i="3"/>
  <c r="AM260" i="3"/>
  <c r="T261" i="3"/>
  <c r="AD261" i="3" s="1"/>
  <c r="V261" i="3"/>
  <c r="Y261" i="3"/>
  <c r="AF261" i="3"/>
  <c r="AG261" i="3" s="1"/>
  <c r="AK261" i="3"/>
  <c r="AM261" i="3"/>
  <c r="T262" i="3"/>
  <c r="V262" i="3"/>
  <c r="Y262" i="3"/>
  <c r="AD262" i="3"/>
  <c r="AE262" i="3"/>
  <c r="AF262" i="3"/>
  <c r="AG262" i="3"/>
  <c r="AJ262" i="3" s="1"/>
  <c r="AH262" i="3"/>
  <c r="AI262" i="3"/>
  <c r="AK262" i="3"/>
  <c r="AL262" i="3"/>
  <c r="AM262" i="3"/>
  <c r="AN262" i="3"/>
  <c r="T263" i="3"/>
  <c r="V263" i="3"/>
  <c r="Y263" i="3"/>
  <c r="AD263" i="3"/>
  <c r="AE263" i="3"/>
  <c r="AF263" i="3"/>
  <c r="AG263" i="3" s="1"/>
  <c r="AH263" i="3"/>
  <c r="AI263" i="3" s="1"/>
  <c r="AK263" i="3"/>
  <c r="AM263" i="3"/>
  <c r="AN263" i="3" s="1"/>
  <c r="T264" i="3"/>
  <c r="AE264" i="3" s="1"/>
  <c r="AN264" i="3" s="1"/>
  <c r="V264" i="3"/>
  <c r="Y264" i="3"/>
  <c r="AD264" i="3"/>
  <c r="AF264" i="3"/>
  <c r="AG264" i="3" s="1"/>
  <c r="AK264" i="3"/>
  <c r="AM264" i="3"/>
  <c r="T265" i="3"/>
  <c r="V265" i="3"/>
  <c r="Y265" i="3"/>
  <c r="AD265" i="3"/>
  <c r="AE265" i="3"/>
  <c r="AF265" i="3"/>
  <c r="AG265" i="3"/>
  <c r="AH265" i="3"/>
  <c r="AI265" i="3" s="1"/>
  <c r="AK265" i="3"/>
  <c r="AM265" i="3"/>
  <c r="T266" i="3"/>
  <c r="V266" i="3"/>
  <c r="Y266" i="3"/>
  <c r="AD266" i="3"/>
  <c r="AF266" i="3"/>
  <c r="AG266" i="3" s="1"/>
  <c r="AK266" i="3"/>
  <c r="AM266" i="3"/>
  <c r="T267" i="3"/>
  <c r="AH267" i="3" s="1"/>
  <c r="AI267" i="3" s="1"/>
  <c r="V267" i="3"/>
  <c r="Y267" i="3"/>
  <c r="AE267" i="3"/>
  <c r="AF267" i="3"/>
  <c r="AG267" i="3"/>
  <c r="AK267" i="3"/>
  <c r="AM267" i="3"/>
  <c r="T268" i="3"/>
  <c r="V268" i="3"/>
  <c r="Y268" i="3"/>
  <c r="AF268" i="3"/>
  <c r="AG268" i="3" s="1"/>
  <c r="AK268" i="3"/>
  <c r="AM268" i="3"/>
  <c r="T269" i="3"/>
  <c r="AD269" i="3" s="1"/>
  <c r="V269" i="3"/>
  <c r="Y269" i="3"/>
  <c r="AE269" i="3"/>
  <c r="AF269" i="3"/>
  <c r="AG269" i="3"/>
  <c r="AH269" i="3"/>
  <c r="AI269" i="3"/>
  <c r="AK269" i="3"/>
  <c r="AM269" i="3"/>
  <c r="AN269" i="3"/>
  <c r="T270" i="3"/>
  <c r="AD270" i="3" s="1"/>
  <c r="V270" i="3"/>
  <c r="Y270" i="3"/>
  <c r="AF270" i="3"/>
  <c r="AG270" i="3" s="1"/>
  <c r="AH270" i="3"/>
  <c r="AI270" i="3" s="1"/>
  <c r="AJ270" i="3"/>
  <c r="AK270" i="3"/>
  <c r="AM270" i="3"/>
  <c r="T271" i="3"/>
  <c r="AE271" i="3" s="1"/>
  <c r="V271" i="3"/>
  <c r="Y271" i="3"/>
  <c r="AD271" i="3"/>
  <c r="AF271" i="3"/>
  <c r="AG271" i="3"/>
  <c r="AH271" i="3"/>
  <c r="AI271" i="3"/>
  <c r="AK271" i="3"/>
  <c r="AM271" i="3"/>
  <c r="T272" i="3"/>
  <c r="AD272" i="3" s="1"/>
  <c r="AN272" i="3" s="1"/>
  <c r="V272" i="3"/>
  <c r="Y272" i="3"/>
  <c r="AE272" i="3"/>
  <c r="AF272" i="3"/>
  <c r="AG272" i="3"/>
  <c r="AH272" i="3"/>
  <c r="AI272" i="3" s="1"/>
  <c r="AJ272" i="3"/>
  <c r="AK272" i="3"/>
  <c r="AL272" i="3"/>
  <c r="AM272" i="3"/>
  <c r="T273" i="3"/>
  <c r="V273" i="3"/>
  <c r="Y273" i="3"/>
  <c r="AF273" i="3"/>
  <c r="AG273" i="3" s="1"/>
  <c r="AK273" i="3"/>
  <c r="AM273" i="3"/>
  <c r="T274" i="3"/>
  <c r="V274" i="3"/>
  <c r="Y274" i="3"/>
  <c r="AD274" i="3"/>
  <c r="AE274" i="3"/>
  <c r="AF274" i="3"/>
  <c r="AG274" i="3"/>
  <c r="AH274" i="3"/>
  <c r="AI274" i="3"/>
  <c r="AJ274" i="3"/>
  <c r="AK274" i="3"/>
  <c r="AL274" i="3"/>
  <c r="AM274" i="3"/>
  <c r="AN274" i="3"/>
  <c r="T275" i="3"/>
  <c r="V275" i="3"/>
  <c r="Y275" i="3"/>
  <c r="AD275" i="3"/>
  <c r="AE275" i="3"/>
  <c r="AF275" i="3"/>
  <c r="AG275" i="3" s="1"/>
  <c r="AH275" i="3"/>
  <c r="AI275" i="3" s="1"/>
  <c r="AK275" i="3"/>
  <c r="AM275" i="3"/>
  <c r="AN275" i="3" s="1"/>
  <c r="T276" i="3"/>
  <c r="AE276" i="3" s="1"/>
  <c r="V276" i="3"/>
  <c r="Y276" i="3"/>
  <c r="AD276" i="3"/>
  <c r="AF276" i="3"/>
  <c r="AG276" i="3" s="1"/>
  <c r="AK276" i="3"/>
  <c r="AM276" i="3"/>
  <c r="AN276" i="3" s="1"/>
  <c r="T277" i="3"/>
  <c r="AH277" i="3" s="1"/>
  <c r="AI277" i="3" s="1"/>
  <c r="AL277" i="3" s="1"/>
  <c r="V277" i="3"/>
  <c r="Y277" i="3"/>
  <c r="AD277" i="3"/>
  <c r="AE277" i="3"/>
  <c r="AF277" i="3"/>
  <c r="AG277" i="3"/>
  <c r="AJ277" i="3"/>
  <c r="AK277" i="3"/>
  <c r="AM277" i="3"/>
  <c r="T278" i="3"/>
  <c r="AH278" i="3" s="1"/>
  <c r="AI278" i="3" s="1"/>
  <c r="V278" i="3"/>
  <c r="Y278" i="3"/>
  <c r="AD278" i="3"/>
  <c r="AE278" i="3"/>
  <c r="AF278" i="3"/>
  <c r="AG278" i="3" s="1"/>
  <c r="AK278" i="3"/>
  <c r="AM278" i="3"/>
  <c r="AN278" i="3" s="1"/>
  <c r="T279" i="3"/>
  <c r="AH279" i="3" s="1"/>
  <c r="AI279" i="3" s="1"/>
  <c r="V279" i="3"/>
  <c r="Y279" i="3"/>
  <c r="AD279" i="3"/>
  <c r="AF279" i="3"/>
  <c r="AG279" i="3"/>
  <c r="AK279" i="3"/>
  <c r="AL279" i="3"/>
  <c r="AM279" i="3"/>
  <c r="T280" i="3"/>
  <c r="AD280" i="3" s="1"/>
  <c r="V280" i="3"/>
  <c r="Y280" i="3"/>
  <c r="AF280" i="3"/>
  <c r="AG280" i="3"/>
  <c r="AK280" i="3"/>
  <c r="AM280" i="3"/>
  <c r="T281" i="3"/>
  <c r="V281" i="3"/>
  <c r="Y281" i="3"/>
  <c r="AD281" i="3"/>
  <c r="AN281" i="3" s="1"/>
  <c r="AE281" i="3"/>
  <c r="AF281" i="3"/>
  <c r="AG281" i="3"/>
  <c r="AH281" i="3"/>
  <c r="AI281" i="3"/>
  <c r="AK281" i="3"/>
  <c r="AM281" i="3"/>
  <c r="T282" i="3"/>
  <c r="AD282" i="3" s="1"/>
  <c r="V282" i="3"/>
  <c r="Y282" i="3"/>
  <c r="AF282" i="3"/>
  <c r="AG282" i="3"/>
  <c r="AK282" i="3"/>
  <c r="AM282" i="3"/>
  <c r="T283" i="3"/>
  <c r="AE283" i="3" s="1"/>
  <c r="V283" i="3"/>
  <c r="Y283" i="3"/>
  <c r="AF283" i="3"/>
  <c r="AG283" i="3" s="1"/>
  <c r="AK283" i="3"/>
  <c r="AM283" i="3"/>
  <c r="T284" i="3"/>
  <c r="AD284" i="3" s="1"/>
  <c r="V284" i="3"/>
  <c r="Y284" i="3"/>
  <c r="AE284" i="3"/>
  <c r="AN284" i="3" s="1"/>
  <c r="AF284" i="3"/>
  <c r="AG284" i="3"/>
  <c r="AH284" i="3"/>
  <c r="AI284" i="3"/>
  <c r="AJ284" i="3" s="1"/>
  <c r="AK284" i="3"/>
  <c r="AM284" i="3"/>
  <c r="T285" i="3"/>
  <c r="V285" i="3"/>
  <c r="Y285" i="3"/>
  <c r="AF285" i="3"/>
  <c r="AG285" i="3" s="1"/>
  <c r="AK285" i="3"/>
  <c r="AM285" i="3"/>
  <c r="T286" i="3"/>
  <c r="V286" i="3"/>
  <c r="Y286" i="3"/>
  <c r="AD286" i="3"/>
  <c r="AE286" i="3"/>
  <c r="AF286" i="3"/>
  <c r="AG286" i="3"/>
  <c r="AH286" i="3"/>
  <c r="AI286" i="3"/>
  <c r="AJ286" i="3" s="1"/>
  <c r="AK286" i="3"/>
  <c r="AM286" i="3"/>
  <c r="AN286" i="3" s="1"/>
  <c r="T287" i="3"/>
  <c r="V287" i="3"/>
  <c r="Y287" i="3"/>
  <c r="AD287" i="3"/>
  <c r="AE287" i="3"/>
  <c r="AN287" i="3" s="1"/>
  <c r="AF287" i="3"/>
  <c r="AG287" i="3" s="1"/>
  <c r="AH287" i="3"/>
  <c r="AI287" i="3" s="1"/>
  <c r="AJ287" i="3"/>
  <c r="AK287" i="3"/>
  <c r="AL287" i="3"/>
  <c r="AM287" i="3"/>
  <c r="T288" i="3"/>
  <c r="V288" i="3"/>
  <c r="Y288" i="3"/>
  <c r="AD288" i="3"/>
  <c r="AF288" i="3"/>
  <c r="AG288" i="3" s="1"/>
  <c r="AK288" i="3"/>
  <c r="AM288" i="3"/>
  <c r="T289" i="3"/>
  <c r="AH289" i="3" s="1"/>
  <c r="AI289" i="3" s="1"/>
  <c r="V289" i="3"/>
  <c r="Y289" i="3"/>
  <c r="AD289" i="3"/>
  <c r="AE289" i="3"/>
  <c r="AF289" i="3"/>
  <c r="AG289" i="3"/>
  <c r="AJ289" i="3"/>
  <c r="AK289" i="3"/>
  <c r="AL289" i="3"/>
  <c r="AM289" i="3"/>
  <c r="AN289" i="3" s="1"/>
  <c r="T290" i="3"/>
  <c r="AH290" i="3" s="1"/>
  <c r="AI290" i="3" s="1"/>
  <c r="V290" i="3"/>
  <c r="Y290" i="3"/>
  <c r="AD290" i="3"/>
  <c r="AN290" i="3" s="1"/>
  <c r="AE290" i="3"/>
  <c r="AF290" i="3"/>
  <c r="AG290" i="3" s="1"/>
  <c r="AK290" i="3"/>
  <c r="AM290" i="3"/>
  <c r="T291" i="3"/>
  <c r="AH291" i="3" s="1"/>
  <c r="V291" i="3"/>
  <c r="Y291" i="3"/>
  <c r="AE291" i="3"/>
  <c r="AF291" i="3"/>
  <c r="AG291" i="3"/>
  <c r="AJ291" i="3" s="1"/>
  <c r="AI291" i="3"/>
  <c r="AK291" i="3"/>
  <c r="AL291" i="3"/>
  <c r="AM291" i="3"/>
  <c r="T292" i="3"/>
  <c r="V292" i="3"/>
  <c r="Y292" i="3"/>
  <c r="AD292" i="3"/>
  <c r="AE292" i="3"/>
  <c r="AF292" i="3"/>
  <c r="AG292" i="3" s="1"/>
  <c r="AH292" i="3"/>
  <c r="AI292" i="3" s="1"/>
  <c r="AK292" i="3"/>
  <c r="AM292" i="3"/>
  <c r="T293" i="3"/>
  <c r="AD293" i="3" s="1"/>
  <c r="V293" i="3"/>
  <c r="Y293" i="3"/>
  <c r="AF293" i="3"/>
  <c r="AG293" i="3" s="1"/>
  <c r="AK293" i="3"/>
  <c r="AM293" i="3"/>
  <c r="T294" i="3"/>
  <c r="AD294" i="3" s="1"/>
  <c r="V294" i="3"/>
  <c r="Y294" i="3"/>
  <c r="AF294" i="3"/>
  <c r="AG294" i="3" s="1"/>
  <c r="AH294" i="3"/>
  <c r="AI294" i="3" s="1"/>
  <c r="AK294" i="3"/>
  <c r="AM294" i="3"/>
  <c r="T295" i="3"/>
  <c r="V295" i="3"/>
  <c r="Y295" i="3"/>
  <c r="AD295" i="3"/>
  <c r="AE295" i="3"/>
  <c r="AF295" i="3"/>
  <c r="AG295" i="3"/>
  <c r="AH295" i="3"/>
  <c r="AI295" i="3" s="1"/>
  <c r="AK295" i="3"/>
  <c r="AM295" i="3"/>
  <c r="T296" i="3"/>
  <c r="AD296" i="3" s="1"/>
  <c r="V296" i="3"/>
  <c r="Y296" i="3"/>
  <c r="AF296" i="3"/>
  <c r="AG296" i="3" s="1"/>
  <c r="AK296" i="3"/>
  <c r="AM296" i="3"/>
  <c r="T297" i="3"/>
  <c r="AD297" i="3" s="1"/>
  <c r="V297" i="3"/>
  <c r="Y297" i="3"/>
  <c r="AE297" i="3"/>
  <c r="AF297" i="3"/>
  <c r="AG297" i="3"/>
  <c r="AH297" i="3"/>
  <c r="AI297" i="3" s="1"/>
  <c r="AJ297" i="3" s="1"/>
  <c r="AK297" i="3"/>
  <c r="AM297" i="3"/>
  <c r="T298" i="3"/>
  <c r="AD298" i="3" s="1"/>
  <c r="V298" i="3"/>
  <c r="Y298" i="3"/>
  <c r="AF298" i="3"/>
  <c r="AG298" i="3" s="1"/>
  <c r="AH298" i="3"/>
  <c r="AI298" i="3" s="1"/>
  <c r="AK298" i="3"/>
  <c r="AM298" i="3"/>
  <c r="T299" i="3"/>
  <c r="V299" i="3"/>
  <c r="Y299" i="3"/>
  <c r="AD299" i="3"/>
  <c r="AE299" i="3"/>
  <c r="AF299" i="3"/>
  <c r="AG299" i="3"/>
  <c r="AJ299" i="3" s="1"/>
  <c r="AH299" i="3"/>
  <c r="AI299" i="3"/>
  <c r="AK299" i="3"/>
  <c r="AL299" i="3"/>
  <c r="AM299" i="3"/>
  <c r="AN299" i="3"/>
  <c r="T300" i="3"/>
  <c r="AD300" i="3" s="1"/>
  <c r="V300" i="3"/>
  <c r="Y300" i="3"/>
  <c r="AF300" i="3"/>
  <c r="AG300" i="3" s="1"/>
  <c r="AH300" i="3"/>
  <c r="AI300" i="3" s="1"/>
  <c r="AK300" i="3"/>
  <c r="AM300" i="3"/>
  <c r="T301" i="3"/>
  <c r="V301" i="3"/>
  <c r="Y301" i="3"/>
  <c r="AD301" i="3"/>
  <c r="AN301" i="3" s="1"/>
  <c r="AE301" i="3"/>
  <c r="AF301" i="3"/>
  <c r="AG301" i="3"/>
  <c r="AJ301" i="3" s="1"/>
  <c r="AH301" i="3"/>
  <c r="AI301" i="3"/>
  <c r="AL301" i="3" s="1"/>
  <c r="AK301" i="3"/>
  <c r="AM301" i="3"/>
  <c r="T302" i="3"/>
  <c r="V302" i="3"/>
  <c r="Y302" i="3"/>
  <c r="AD302" i="3"/>
  <c r="AE302" i="3"/>
  <c r="AF302" i="3"/>
  <c r="AG302" i="3" s="1"/>
  <c r="AH302" i="3"/>
  <c r="AI302" i="3" s="1"/>
  <c r="AK302" i="3"/>
  <c r="AM302" i="3"/>
  <c r="AN302" i="3" s="1"/>
  <c r="T303" i="3"/>
  <c r="V303" i="3"/>
  <c r="Y303" i="3"/>
  <c r="AF303" i="3"/>
  <c r="AG303" i="3" s="1"/>
  <c r="AK303" i="3"/>
  <c r="AM303" i="3"/>
  <c r="T304" i="3"/>
  <c r="AH304" i="3" s="1"/>
  <c r="AI304" i="3" s="1"/>
  <c r="V304" i="3"/>
  <c r="Y304" i="3"/>
  <c r="AF304" i="3"/>
  <c r="AG304" i="3"/>
  <c r="AK304" i="3"/>
  <c r="AM304" i="3"/>
  <c r="T305" i="3"/>
  <c r="AD305" i="3" s="1"/>
  <c r="V305" i="3"/>
  <c r="Y305" i="3"/>
  <c r="AF305" i="3"/>
  <c r="AG305" i="3"/>
  <c r="AH305" i="3"/>
  <c r="AI305" i="3" s="1"/>
  <c r="AK305" i="3"/>
  <c r="AM305" i="3"/>
  <c r="T306" i="3"/>
  <c r="V306" i="3"/>
  <c r="Y306" i="3"/>
  <c r="AD306" i="3"/>
  <c r="AE306" i="3"/>
  <c r="AF306" i="3"/>
  <c r="AG306" i="3"/>
  <c r="AH306" i="3"/>
  <c r="AI306" i="3"/>
  <c r="AK306" i="3"/>
  <c r="AM306" i="3"/>
  <c r="AN306" i="3"/>
  <c r="T307" i="3"/>
  <c r="AD307" i="3" s="1"/>
  <c r="V307" i="3"/>
  <c r="Y307" i="3"/>
  <c r="AE307" i="3"/>
  <c r="AF307" i="3"/>
  <c r="AG307" i="3" s="1"/>
  <c r="AL307" i="3" s="1"/>
  <c r="AH307" i="3"/>
  <c r="AI307" i="3"/>
  <c r="AK307" i="3"/>
  <c r="AM307" i="3"/>
  <c r="AN307" i="3" s="1"/>
  <c r="T308" i="3"/>
  <c r="AE308" i="3" s="1"/>
  <c r="V308" i="3"/>
  <c r="Y308" i="3"/>
  <c r="AD308" i="3"/>
  <c r="AN308" i="3" s="1"/>
  <c r="AF308" i="3"/>
  <c r="AG308" i="3" s="1"/>
  <c r="AK308" i="3"/>
  <c r="AM308" i="3"/>
  <c r="T309" i="3"/>
  <c r="AD309" i="3" s="1"/>
  <c r="V309" i="3"/>
  <c r="Y309" i="3"/>
  <c r="AE309" i="3"/>
  <c r="AF309" i="3"/>
  <c r="AG309" i="3"/>
  <c r="AH309" i="3"/>
  <c r="AI309" i="3" s="1"/>
  <c r="AJ309" i="3" s="1"/>
  <c r="AK309" i="3"/>
  <c r="AL309" i="3"/>
  <c r="AM309" i="3"/>
  <c r="AN309" i="3" s="1"/>
  <c r="T310" i="3"/>
  <c r="AD310" i="3" s="1"/>
  <c r="V310" i="3"/>
  <c r="Y310" i="3"/>
  <c r="AF310" i="3"/>
  <c r="AG310" i="3" s="1"/>
  <c r="AK310" i="3"/>
  <c r="AM310" i="3"/>
  <c r="T311" i="3"/>
  <c r="V311" i="3"/>
  <c r="Y311" i="3"/>
  <c r="AD311" i="3"/>
  <c r="AE311" i="3"/>
  <c r="AF311" i="3"/>
  <c r="AG311" i="3"/>
  <c r="AJ311" i="3" s="1"/>
  <c r="AH311" i="3"/>
  <c r="AI311" i="3"/>
  <c r="AK311" i="3"/>
  <c r="AL311" i="3"/>
  <c r="AM311" i="3"/>
  <c r="AN311" i="3"/>
  <c r="T312" i="3"/>
  <c r="AD312" i="3" s="1"/>
  <c r="V312" i="3"/>
  <c r="Y312" i="3"/>
  <c r="AF312" i="3"/>
  <c r="AG312" i="3" s="1"/>
  <c r="AH312" i="3"/>
  <c r="AI312" i="3" s="1"/>
  <c r="AK312" i="3"/>
  <c r="AM312" i="3"/>
  <c r="T313" i="3"/>
  <c r="AH313" i="3" s="1"/>
  <c r="AI313" i="3" s="1"/>
  <c r="AL313" i="3" s="1"/>
  <c r="V313" i="3"/>
  <c r="Y313" i="3"/>
  <c r="AD313" i="3"/>
  <c r="AN313" i="3" s="1"/>
  <c r="AE313" i="3"/>
  <c r="AF313" i="3"/>
  <c r="AG313" i="3"/>
  <c r="AJ313" i="3" s="1"/>
  <c r="AK313" i="3"/>
  <c r="AM313" i="3"/>
  <c r="T314" i="3"/>
  <c r="V314" i="3"/>
  <c r="Y314" i="3"/>
  <c r="AD314" i="3"/>
  <c r="AE314" i="3"/>
  <c r="AF314" i="3"/>
  <c r="AG314" i="3" s="1"/>
  <c r="AH314" i="3"/>
  <c r="AI314" i="3" s="1"/>
  <c r="AK314" i="3"/>
  <c r="AM314" i="3"/>
  <c r="AN314" i="3" s="1"/>
  <c r="T315" i="3"/>
  <c r="V315" i="3"/>
  <c r="Y315" i="3"/>
  <c r="AF315" i="3"/>
  <c r="AG315" i="3" s="1"/>
  <c r="AK315" i="3"/>
  <c r="AM315" i="3"/>
  <c r="T316" i="3"/>
  <c r="AH316" i="3" s="1"/>
  <c r="AI316" i="3" s="1"/>
  <c r="V316" i="3"/>
  <c r="Y316" i="3"/>
  <c r="AF316" i="3"/>
  <c r="AG316" i="3"/>
  <c r="AK316" i="3"/>
  <c r="AM316" i="3"/>
  <c r="T317" i="3"/>
  <c r="AD317" i="3" s="1"/>
  <c r="V317" i="3"/>
  <c r="Y317" i="3"/>
  <c r="AF317" i="3"/>
  <c r="AG317" i="3"/>
  <c r="AH317" i="3"/>
  <c r="AI317" i="3" s="1"/>
  <c r="AK317" i="3"/>
  <c r="AM317" i="3"/>
  <c r="T318" i="3"/>
  <c r="V318" i="3"/>
  <c r="Y318" i="3"/>
  <c r="AD318" i="3"/>
  <c r="AE318" i="3"/>
  <c r="AF318" i="3"/>
  <c r="AG318" i="3"/>
  <c r="AH318" i="3"/>
  <c r="AI318" i="3"/>
  <c r="AK318" i="3"/>
  <c r="AM318" i="3"/>
  <c r="AN318" i="3"/>
  <c r="T319" i="3"/>
  <c r="AD319" i="3" s="1"/>
  <c r="V319" i="3"/>
  <c r="Y319" i="3"/>
  <c r="AE319" i="3"/>
  <c r="AF319" i="3"/>
  <c r="AG319" i="3" s="1"/>
  <c r="AH319" i="3"/>
  <c r="AI319" i="3"/>
  <c r="AJ319" i="3" s="1"/>
  <c r="AK319" i="3"/>
  <c r="AM319" i="3"/>
  <c r="T320" i="3"/>
  <c r="AE320" i="3" s="1"/>
  <c r="V320" i="3"/>
  <c r="Y320" i="3"/>
  <c r="AD320" i="3"/>
  <c r="AN320" i="3" s="1"/>
  <c r="AF320" i="3"/>
  <c r="AG320" i="3" s="1"/>
  <c r="AK320" i="3"/>
  <c r="AM320" i="3"/>
  <c r="T321" i="3"/>
  <c r="AD321" i="3" s="1"/>
  <c r="V321" i="3"/>
  <c r="Y321" i="3"/>
  <c r="AE321" i="3"/>
  <c r="AF321" i="3"/>
  <c r="AG321" i="3"/>
  <c r="AH321" i="3"/>
  <c r="AI321" i="3" s="1"/>
  <c r="AJ321" i="3"/>
  <c r="AK321" i="3"/>
  <c r="AL321" i="3"/>
  <c r="AM321" i="3"/>
  <c r="T322" i="3"/>
  <c r="V322" i="3"/>
  <c r="Y322" i="3"/>
  <c r="AF322" i="3"/>
  <c r="AG322" i="3" s="1"/>
  <c r="AH322" i="3"/>
  <c r="AI322" i="3" s="1"/>
  <c r="AL322" i="3" s="1"/>
  <c r="AK322" i="3"/>
  <c r="AM322" i="3"/>
  <c r="T323" i="3"/>
  <c r="V323" i="3"/>
  <c r="Y323" i="3"/>
  <c r="AD323" i="3"/>
  <c r="AE323" i="3"/>
  <c r="AF323" i="3"/>
  <c r="AG323" i="3"/>
  <c r="AJ323" i="3" s="1"/>
  <c r="AH323" i="3"/>
  <c r="AI323" i="3"/>
  <c r="AK323" i="3"/>
  <c r="AM323" i="3"/>
  <c r="AN323" i="3"/>
  <c r="T324" i="3"/>
  <c r="AD324" i="3" s="1"/>
  <c r="V324" i="3"/>
  <c r="Y324" i="3"/>
  <c r="AF324" i="3"/>
  <c r="AG324" i="3" s="1"/>
  <c r="AL324" i="3" s="1"/>
  <c r="AH324" i="3"/>
  <c r="AI324" i="3" s="1"/>
  <c r="AJ324" i="3"/>
  <c r="AK324" i="3"/>
  <c r="AM324" i="3"/>
  <c r="T325" i="3"/>
  <c r="AH325" i="3" s="1"/>
  <c r="AI325" i="3" s="1"/>
  <c r="AL325" i="3" s="1"/>
  <c r="V325" i="3"/>
  <c r="Y325" i="3"/>
  <c r="AD325" i="3"/>
  <c r="AE325" i="3"/>
  <c r="AF325" i="3"/>
  <c r="AG325" i="3"/>
  <c r="AK325" i="3"/>
  <c r="AM325" i="3"/>
  <c r="AN325" i="3"/>
  <c r="T326" i="3"/>
  <c r="V326" i="3"/>
  <c r="Y326" i="3"/>
  <c r="AD326" i="3"/>
  <c r="AE326" i="3"/>
  <c r="AF326" i="3"/>
  <c r="AG326" i="3" s="1"/>
  <c r="AJ326" i="3" s="1"/>
  <c r="AH326" i="3"/>
  <c r="AI326" i="3" s="1"/>
  <c r="AK326" i="3"/>
  <c r="AL326" i="3"/>
  <c r="AM326" i="3"/>
  <c r="T327" i="3"/>
  <c r="AH327" i="3" s="1"/>
  <c r="AI327" i="3" s="1"/>
  <c r="V327" i="3"/>
  <c r="Y327" i="3"/>
  <c r="AD327" i="3"/>
  <c r="AE327" i="3"/>
  <c r="AF327" i="3"/>
  <c r="AG327" i="3" s="1"/>
  <c r="AK327" i="3"/>
  <c r="AM327" i="3"/>
  <c r="AN327" i="3" s="1"/>
  <c r="T328" i="3"/>
  <c r="V328" i="3"/>
  <c r="Y328" i="3"/>
  <c r="AE328" i="3"/>
  <c r="AF328" i="3"/>
  <c r="AG328" i="3" s="1"/>
  <c r="AK328" i="3"/>
  <c r="AM328" i="3"/>
  <c r="T329" i="3"/>
  <c r="AE329" i="3" s="1"/>
  <c r="V329" i="3"/>
  <c r="Y329" i="3"/>
  <c r="AF329" i="3"/>
  <c r="AG329" i="3" s="1"/>
  <c r="AK329" i="3"/>
  <c r="AM329" i="3"/>
  <c r="T330" i="3"/>
  <c r="V330" i="3"/>
  <c r="Y330" i="3"/>
  <c r="AD330" i="3"/>
  <c r="AE330" i="3"/>
  <c r="AF330" i="3"/>
  <c r="AG330" i="3"/>
  <c r="AH330" i="3"/>
  <c r="AI330" i="3"/>
  <c r="AK330" i="3"/>
  <c r="AM330" i="3"/>
  <c r="AN330" i="3"/>
  <c r="T331" i="3"/>
  <c r="AD331" i="3" s="1"/>
  <c r="V331" i="3"/>
  <c r="Y331" i="3"/>
  <c r="AE331" i="3"/>
  <c r="AF331" i="3"/>
  <c r="AG331" i="3" s="1"/>
  <c r="AL331" i="3" s="1"/>
  <c r="AH331" i="3"/>
  <c r="AI331" i="3"/>
  <c r="AJ331" i="3"/>
  <c r="AK331" i="3"/>
  <c r="AM331" i="3"/>
  <c r="T332" i="3"/>
  <c r="V332" i="3"/>
  <c r="Y332" i="3"/>
  <c r="AD332" i="3"/>
  <c r="AF332" i="3"/>
  <c r="AG332" i="3"/>
  <c r="AK332" i="3"/>
  <c r="AM332" i="3"/>
  <c r="T333" i="3"/>
  <c r="AD333" i="3" s="1"/>
  <c r="V333" i="3"/>
  <c r="Y333" i="3"/>
  <c r="AE333" i="3"/>
  <c r="AF333" i="3"/>
  <c r="AG333" i="3"/>
  <c r="AJ333" i="3" s="1"/>
  <c r="AH333" i="3"/>
  <c r="AI333" i="3" s="1"/>
  <c r="AK333" i="3"/>
  <c r="AL333" i="3"/>
  <c r="AM333" i="3"/>
  <c r="T334" i="3"/>
  <c r="V334" i="3"/>
  <c r="Y334" i="3"/>
  <c r="AF334" i="3"/>
  <c r="AG334" i="3" s="1"/>
  <c r="AK334" i="3"/>
  <c r="AM334" i="3"/>
  <c r="T335" i="3"/>
  <c r="V335" i="3"/>
  <c r="Y335" i="3"/>
  <c r="AD335" i="3"/>
  <c r="AN335" i="3" s="1"/>
  <c r="AE335" i="3"/>
  <c r="AF335" i="3"/>
  <c r="AG335" i="3"/>
  <c r="AJ335" i="3" s="1"/>
  <c r="AH335" i="3"/>
  <c r="AI335" i="3"/>
  <c r="AK335" i="3"/>
  <c r="AM335" i="3"/>
  <c r="T336" i="3"/>
  <c r="AD336" i="3" s="1"/>
  <c r="V336" i="3"/>
  <c r="Y336" i="3"/>
  <c r="AF336" i="3"/>
  <c r="AG336" i="3" s="1"/>
  <c r="AK336" i="3"/>
  <c r="AM336" i="3"/>
  <c r="T337" i="3"/>
  <c r="AH337" i="3" s="1"/>
  <c r="V337" i="3"/>
  <c r="Y337" i="3"/>
  <c r="AD337" i="3"/>
  <c r="AN337" i="3" s="1"/>
  <c r="AE337" i="3"/>
  <c r="AF337" i="3"/>
  <c r="AG337" i="3" s="1"/>
  <c r="AI337" i="3"/>
  <c r="AK337" i="3"/>
  <c r="AM337" i="3"/>
  <c r="T338" i="3"/>
  <c r="AD338" i="3" s="1"/>
  <c r="V338" i="3"/>
  <c r="Y338" i="3"/>
  <c r="AF338" i="3"/>
  <c r="AG338" i="3"/>
  <c r="AJ338" i="3" s="1"/>
  <c r="AH338" i="3"/>
  <c r="AI338" i="3" s="1"/>
  <c r="AK338" i="3"/>
  <c r="AM338" i="3"/>
  <c r="T339" i="3"/>
  <c r="AD339" i="3" s="1"/>
  <c r="V339" i="3"/>
  <c r="Y339" i="3"/>
  <c r="AF339" i="3"/>
  <c r="AG339" i="3"/>
  <c r="AK339" i="3"/>
  <c r="AM339" i="3"/>
  <c r="T340" i="3"/>
  <c r="AD340" i="3" s="1"/>
  <c r="V340" i="3"/>
  <c r="Y340" i="3"/>
  <c r="AF340" i="3"/>
  <c r="AG340" i="3" s="1"/>
  <c r="AH340" i="3"/>
  <c r="AI340" i="3"/>
  <c r="AK340" i="3"/>
  <c r="AM340" i="3"/>
  <c r="T341" i="3"/>
  <c r="V341" i="3"/>
  <c r="Y341" i="3"/>
  <c r="AD341" i="3"/>
  <c r="AE341" i="3"/>
  <c r="AF341" i="3"/>
  <c r="AG341" i="3"/>
  <c r="AH341" i="3"/>
  <c r="AI341" i="3" s="1"/>
  <c r="AJ341" i="3" s="1"/>
  <c r="AK341" i="3"/>
  <c r="AM341" i="3"/>
  <c r="AN341" i="3"/>
  <c r="T342" i="3"/>
  <c r="AH342" i="3" s="1"/>
  <c r="AI342" i="3" s="1"/>
  <c r="V342" i="3"/>
  <c r="Y342" i="3"/>
  <c r="AD342" i="3"/>
  <c r="AE342" i="3"/>
  <c r="AF342" i="3"/>
  <c r="AG342" i="3"/>
  <c r="AK342" i="3"/>
  <c r="AM342" i="3"/>
  <c r="AN342" i="3" s="1"/>
  <c r="T343" i="3"/>
  <c r="AH343" i="3" s="1"/>
  <c r="AI343" i="3" s="1"/>
  <c r="V343" i="3"/>
  <c r="Y343" i="3"/>
  <c r="AF343" i="3"/>
  <c r="AG343" i="3" s="1"/>
  <c r="AK343" i="3"/>
  <c r="AM343" i="3"/>
  <c r="T344" i="3"/>
  <c r="AH344" i="3" s="1"/>
  <c r="AI344" i="3" s="1"/>
  <c r="V344" i="3"/>
  <c r="Y344" i="3"/>
  <c r="AF344" i="3"/>
  <c r="AG344" i="3"/>
  <c r="AK344" i="3"/>
  <c r="AM344" i="3"/>
  <c r="T345" i="3"/>
  <c r="AE345" i="3" s="1"/>
  <c r="V345" i="3"/>
  <c r="Y345" i="3"/>
  <c r="AD345" i="3"/>
  <c r="AF345" i="3"/>
  <c r="AG345" i="3"/>
  <c r="AH345" i="3"/>
  <c r="AI345" i="3" s="1"/>
  <c r="AK345" i="3"/>
  <c r="AM345" i="3"/>
  <c r="T346" i="3"/>
  <c r="V346" i="3"/>
  <c r="Y346" i="3"/>
  <c r="AD346" i="3"/>
  <c r="AN346" i="3" s="1"/>
  <c r="AE346" i="3"/>
  <c r="AF346" i="3"/>
  <c r="AG346" i="3"/>
  <c r="AJ346" i="3" s="1"/>
  <c r="AH346" i="3"/>
  <c r="AI346" i="3"/>
  <c r="AK346" i="3"/>
  <c r="AM346" i="3"/>
  <c r="T347" i="3"/>
  <c r="AD347" i="3" s="1"/>
  <c r="V347" i="3"/>
  <c r="Y347" i="3"/>
  <c r="AF347" i="3"/>
  <c r="AG347" i="3" s="1"/>
  <c r="AH347" i="3"/>
  <c r="AI347" i="3"/>
  <c r="AK347" i="3"/>
  <c r="AM347" i="3"/>
  <c r="T348" i="3"/>
  <c r="AD348" i="3" s="1"/>
  <c r="V348" i="3"/>
  <c r="Y348" i="3"/>
  <c r="AF348" i="3"/>
  <c r="AG348" i="3"/>
  <c r="AL348" i="3" s="1"/>
  <c r="AH348" i="3"/>
  <c r="AI348" i="3"/>
  <c r="AJ348" i="3"/>
  <c r="AK348" i="3"/>
  <c r="AM348" i="3"/>
  <c r="T349" i="3"/>
  <c r="AD349" i="3" s="1"/>
  <c r="AN349" i="3" s="1"/>
  <c r="V349" i="3"/>
  <c r="Y349" i="3"/>
  <c r="AE349" i="3"/>
  <c r="AF349" i="3"/>
  <c r="AG349" i="3"/>
  <c r="AH349" i="3"/>
  <c r="AI349" i="3" s="1"/>
  <c r="AK349" i="3"/>
  <c r="AM349" i="3"/>
  <c r="T350" i="3"/>
  <c r="AD350" i="3" s="1"/>
  <c r="V350" i="3"/>
  <c r="Y350" i="3"/>
  <c r="AF350" i="3"/>
  <c r="AG350" i="3" s="1"/>
  <c r="AH350" i="3"/>
  <c r="AI350" i="3"/>
  <c r="AK350" i="3"/>
  <c r="AM350" i="3"/>
  <c r="T351" i="3"/>
  <c r="V351" i="3"/>
  <c r="Y351" i="3"/>
  <c r="AD351" i="3"/>
  <c r="AE351" i="3"/>
  <c r="AF351" i="3"/>
  <c r="AG351" i="3"/>
  <c r="AH351" i="3"/>
  <c r="AI351" i="3"/>
  <c r="AJ351" i="3"/>
  <c r="AK351" i="3"/>
  <c r="AL351" i="3" s="1"/>
  <c r="AM351" i="3"/>
  <c r="AN351" i="3"/>
  <c r="N54" i="67" l="1"/>
  <c r="A8" i="34"/>
  <c r="X5" i="34" s="1"/>
  <c r="O54" i="67"/>
  <c r="AN104" i="22"/>
  <c r="AE105" i="22"/>
  <c r="AD105" i="22"/>
  <c r="AJ27" i="70"/>
  <c r="AJ25" i="70"/>
  <c r="AD39" i="70"/>
  <c r="AJ43" i="70"/>
  <c r="AN31" i="70"/>
  <c r="AJ37" i="70"/>
  <c r="AN35" i="70"/>
  <c r="AN39" i="70"/>
  <c r="AN34" i="70"/>
  <c r="AJ35" i="70"/>
  <c r="AH25" i="70"/>
  <c r="AI25" i="70" s="1"/>
  <c r="AH39" i="70"/>
  <c r="AI39" i="70" s="1"/>
  <c r="AL39" i="70" s="1"/>
  <c r="AE32" i="70"/>
  <c r="AN32" i="70" s="1"/>
  <c r="AN43" i="70"/>
  <c r="AN41" i="70"/>
  <c r="AE35" i="70"/>
  <c r="AE29" i="70"/>
  <c r="AN29" i="70" s="1"/>
  <c r="AE25" i="70"/>
  <c r="AN25" i="70" s="1"/>
  <c r="AN38" i="70"/>
  <c r="AH26" i="70"/>
  <c r="AI26" i="70" s="1"/>
  <c r="AJ26" i="70" s="1"/>
  <c r="AJ104" i="22"/>
  <c r="AL104" i="22"/>
  <c r="AJ105" i="22"/>
  <c r="AL105" i="22"/>
  <c r="AM105" i="22"/>
  <c r="AJ28" i="70"/>
  <c r="AL28" i="70"/>
  <c r="AJ45" i="70"/>
  <c r="AL45" i="70"/>
  <c r="AJ38" i="70"/>
  <c r="AL38" i="70"/>
  <c r="AJ32" i="70"/>
  <c r="AL32" i="70"/>
  <c r="AL29" i="70"/>
  <c r="AN23" i="70"/>
  <c r="AN40" i="70"/>
  <c r="AL33" i="70"/>
  <c r="AN37" i="70"/>
  <c r="AJ36" i="70"/>
  <c r="AL36" i="70"/>
  <c r="AN28" i="70"/>
  <c r="AJ44" i="70"/>
  <c r="AL44" i="70"/>
  <c r="AJ24" i="70"/>
  <c r="AL24" i="70"/>
  <c r="AL43" i="70"/>
  <c r="AE36" i="70"/>
  <c r="AL31" i="70"/>
  <c r="AE24" i="70"/>
  <c r="AH40" i="70"/>
  <c r="AI40" i="70" s="1"/>
  <c r="AJ40" i="70" s="1"/>
  <c r="AD36" i="70"/>
  <c r="AD24" i="70"/>
  <c r="AH41" i="70"/>
  <c r="AI41" i="70" s="1"/>
  <c r="AJ41" i="70" s="1"/>
  <c r="AH29" i="70"/>
  <c r="AI29" i="70" s="1"/>
  <c r="AJ29" i="70" s="1"/>
  <c r="AE26" i="70"/>
  <c r="AN26" i="70" s="1"/>
  <c r="AH42" i="70"/>
  <c r="AI42" i="70" s="1"/>
  <c r="AL42" i="70" s="1"/>
  <c r="AH30" i="70"/>
  <c r="AI30" i="70" s="1"/>
  <c r="AL30" i="70" s="1"/>
  <c r="AL35" i="70"/>
  <c r="AL23" i="70"/>
  <c r="AH45" i="70"/>
  <c r="AI45" i="70" s="1"/>
  <c r="AE42" i="70"/>
  <c r="AN42" i="70" s="1"/>
  <c r="AL37" i="70"/>
  <c r="AH33" i="70"/>
  <c r="AI33" i="70" s="1"/>
  <c r="AJ33" i="70" s="1"/>
  <c r="AE30" i="70"/>
  <c r="AN30" i="70" s="1"/>
  <c r="AL25" i="70"/>
  <c r="AH34" i="70"/>
  <c r="AI34" i="70" s="1"/>
  <c r="AJ34" i="70" s="1"/>
  <c r="AE45" i="70"/>
  <c r="AN45" i="70" s="1"/>
  <c r="AE33" i="70"/>
  <c r="AN33" i="70" s="1"/>
  <c r="AJ51" i="69"/>
  <c r="AL51" i="69"/>
  <c r="AJ56" i="69"/>
  <c r="AL38" i="69"/>
  <c r="AJ38" i="69"/>
  <c r="AJ41" i="69"/>
  <c r="AL41" i="69"/>
  <c r="AL44" i="69"/>
  <c r="AJ44" i="69"/>
  <c r="AL46" i="69"/>
  <c r="AJ53" i="69"/>
  <c r="AL53" i="69"/>
  <c r="AL39" i="69"/>
  <c r="AJ39" i="69"/>
  <c r="AL40" i="69"/>
  <c r="AL55" i="69"/>
  <c r="AJ55" i="69"/>
  <c r="AL37" i="69"/>
  <c r="AL43" i="69"/>
  <c r="AL50" i="69"/>
  <c r="AJ50" i="69"/>
  <c r="AL57" i="69"/>
  <c r="AJ57" i="69"/>
  <c r="AL45" i="69"/>
  <c r="AJ45" i="69"/>
  <c r="AJ52" i="69"/>
  <c r="AL52" i="69"/>
  <c r="AN41" i="69"/>
  <c r="AN58" i="69"/>
  <c r="AJ42" i="69"/>
  <c r="AL42" i="69"/>
  <c r="AN44" i="69"/>
  <c r="AN46" i="69"/>
  <c r="AJ54" i="69"/>
  <c r="AL54" i="69"/>
  <c r="AL47" i="69"/>
  <c r="AD44" i="69"/>
  <c r="AE45" i="69"/>
  <c r="AN45" i="69" s="1"/>
  <c r="AH48" i="69"/>
  <c r="AI48" i="69" s="1"/>
  <c r="AL48" i="69" s="1"/>
  <c r="AM53" i="69"/>
  <c r="AD56" i="69"/>
  <c r="AN56" i="69" s="1"/>
  <c r="AE57" i="69"/>
  <c r="AN57" i="69" s="1"/>
  <c r="AJ37" i="69"/>
  <c r="AH47" i="69"/>
  <c r="AI47" i="69" s="1"/>
  <c r="AJ47" i="69" s="1"/>
  <c r="AJ49" i="69"/>
  <c r="AH59" i="69"/>
  <c r="AI59" i="69" s="1"/>
  <c r="AL59" i="69" s="1"/>
  <c r="AN40" i="69"/>
  <c r="AM38" i="69"/>
  <c r="AE42" i="69"/>
  <c r="AN42" i="69" s="1"/>
  <c r="AH45" i="69"/>
  <c r="AI45" i="69" s="1"/>
  <c r="AM50" i="69"/>
  <c r="AN51" i="69"/>
  <c r="AE54" i="69"/>
  <c r="AN54" i="69" s="1"/>
  <c r="AH57" i="69"/>
  <c r="AI57" i="69" s="1"/>
  <c r="AH44" i="69"/>
  <c r="AI44" i="69" s="1"/>
  <c r="AJ46" i="69"/>
  <c r="AH56" i="69"/>
  <c r="AI56" i="69" s="1"/>
  <c r="AL56" i="69" s="1"/>
  <c r="AJ58" i="69"/>
  <c r="AN37" i="69"/>
  <c r="AD39" i="69"/>
  <c r="AN39" i="69" s="1"/>
  <c r="AM48" i="69"/>
  <c r="AN49" i="69"/>
  <c r="AD51" i="69"/>
  <c r="AE52" i="69"/>
  <c r="AN52" i="69" s="1"/>
  <c r="AD38" i="69"/>
  <c r="AE39" i="69"/>
  <c r="AM47" i="69"/>
  <c r="AD50" i="69"/>
  <c r="AE51" i="69"/>
  <c r="AM59" i="69"/>
  <c r="AJ43" i="69"/>
  <c r="AD48" i="69"/>
  <c r="AN340" i="3"/>
  <c r="AJ342" i="3"/>
  <c r="AL342" i="3"/>
  <c r="AN348" i="3"/>
  <c r="AJ345" i="3"/>
  <c r="AL350" i="3"/>
  <c r="AJ350" i="3"/>
  <c r="AJ337" i="3"/>
  <c r="AL337" i="3"/>
  <c r="AL334" i="3"/>
  <c r="AJ340" i="3"/>
  <c r="AL340" i="3"/>
  <c r="AN339" i="3"/>
  <c r="AL347" i="3"/>
  <c r="AJ347" i="3"/>
  <c r="AJ344" i="3"/>
  <c r="AN350" i="3"/>
  <c r="AJ343" i="3"/>
  <c r="AL343" i="3"/>
  <c r="AL349" i="3"/>
  <c r="AJ349" i="3"/>
  <c r="AN347" i="3"/>
  <c r="AN345" i="3"/>
  <c r="AJ327" i="3"/>
  <c r="AL327" i="3"/>
  <c r="AN319" i="3"/>
  <c r="AJ303" i="3"/>
  <c r="AE344" i="3"/>
  <c r="AD343" i="3"/>
  <c r="AD344" i="3"/>
  <c r="AH339" i="3"/>
  <c r="AI339" i="3" s="1"/>
  <c r="AL339" i="3" s="1"/>
  <c r="AE338" i="3"/>
  <c r="AN338" i="3" s="1"/>
  <c r="AJ314" i="3"/>
  <c r="AL314" i="3"/>
  <c r="AJ339" i="3"/>
  <c r="AH303" i="3"/>
  <c r="AI303" i="3" s="1"/>
  <c r="AL303" i="3" s="1"/>
  <c r="AD303" i="3"/>
  <c r="AN303" i="3" s="1"/>
  <c r="AE303" i="3"/>
  <c r="AJ298" i="3"/>
  <c r="AL298" i="3"/>
  <c r="AH336" i="3"/>
  <c r="AI336" i="3" s="1"/>
  <c r="AD334" i="3"/>
  <c r="AE334" i="3"/>
  <c r="AJ322" i="3"/>
  <c r="AL320" i="3"/>
  <c r="AJ317" i="3"/>
  <c r="AJ304" i="3"/>
  <c r="AL304" i="3"/>
  <c r="AJ294" i="3"/>
  <c r="AL294" i="3"/>
  <c r="AJ285" i="3"/>
  <c r="AJ316" i="3"/>
  <c r="AL316" i="3"/>
  <c r="AE347" i="3"/>
  <c r="AE348" i="3"/>
  <c r="AE339" i="3"/>
  <c r="AN333" i="3"/>
  <c r="AJ330" i="3"/>
  <c r="AL330" i="3"/>
  <c r="AN329" i="3"/>
  <c r="AL319" i="3"/>
  <c r="AJ318" i="3"/>
  <c r="AJ300" i="3"/>
  <c r="AL300" i="3"/>
  <c r="AJ295" i="3"/>
  <c r="AL295" i="3"/>
  <c r="AE336" i="3"/>
  <c r="AN336" i="3" s="1"/>
  <c r="AJ325" i="3"/>
  <c r="AL292" i="3"/>
  <c r="AJ292" i="3"/>
  <c r="AE350" i="3"/>
  <c r="AL345" i="3"/>
  <c r="AL341" i="3"/>
  <c r="AE340" i="3"/>
  <c r="AH329" i="3"/>
  <c r="AI329" i="3" s="1"/>
  <c r="AJ329" i="3" s="1"/>
  <c r="AH328" i="3"/>
  <c r="AI328" i="3" s="1"/>
  <c r="AJ328" i="3" s="1"/>
  <c r="AD328" i="3"/>
  <c r="AN328" i="3" s="1"/>
  <c r="AJ310" i="3"/>
  <c r="AJ302" i="3"/>
  <c r="AL302" i="3"/>
  <c r="AL344" i="3"/>
  <c r="AL346" i="3"/>
  <c r="AL338" i="3"/>
  <c r="AL335" i="3"/>
  <c r="AH334" i="3"/>
  <c r="AI334" i="3" s="1"/>
  <c r="AE332" i="3"/>
  <c r="AN332" i="3" s="1"/>
  <c r="AH332" i="3"/>
  <c r="AI332" i="3" s="1"/>
  <c r="AJ332" i="3" s="1"/>
  <c r="AL323" i="3"/>
  <c r="AJ307" i="3"/>
  <c r="AN297" i="3"/>
  <c r="AN292" i="3"/>
  <c r="AD268" i="3"/>
  <c r="AE268" i="3"/>
  <c r="AH268" i="3"/>
  <c r="AI268" i="3" s="1"/>
  <c r="AL293" i="3"/>
  <c r="AE343" i="3"/>
  <c r="AJ334" i="3"/>
  <c r="AD322" i="3"/>
  <c r="AN322" i="3" s="1"/>
  <c r="AE322" i="3"/>
  <c r="AJ305" i="3"/>
  <c r="AL297" i="3"/>
  <c r="AL283" i="3"/>
  <c r="AJ283" i="3"/>
  <c r="AN331" i="3"/>
  <c r="AD329" i="3"/>
  <c r="AN326" i="3"/>
  <c r="AN321" i="3"/>
  <c r="AH315" i="3"/>
  <c r="AI315" i="3" s="1"/>
  <c r="AJ315" i="3" s="1"/>
  <c r="AD315" i="3"/>
  <c r="AN315" i="3" s="1"/>
  <c r="AE315" i="3"/>
  <c r="AJ312" i="3"/>
  <c r="AL312" i="3"/>
  <c r="AJ306" i="3"/>
  <c r="AN277" i="3"/>
  <c r="AJ278" i="3"/>
  <c r="AL278" i="3"/>
  <c r="AJ275" i="3"/>
  <c r="AJ230" i="3"/>
  <c r="AL230" i="3"/>
  <c r="AE316" i="3"/>
  <c r="AE304" i="3"/>
  <c r="AJ281" i="3"/>
  <c r="AL281" i="3"/>
  <c r="AJ251" i="3"/>
  <c r="AL251" i="3"/>
  <c r="AJ244" i="3"/>
  <c r="AL244" i="3"/>
  <c r="AD233" i="3"/>
  <c r="AN233" i="3" s="1"/>
  <c r="AE233" i="3"/>
  <c r="AL224" i="3"/>
  <c r="AJ134" i="3"/>
  <c r="AH320" i="3"/>
  <c r="AI320" i="3" s="1"/>
  <c r="AJ320" i="3" s="1"/>
  <c r="AE317" i="3"/>
  <c r="AN317" i="3" s="1"/>
  <c r="AD316" i="3"/>
  <c r="AH308" i="3"/>
  <c r="AI308" i="3" s="1"/>
  <c r="AL308" i="3" s="1"/>
  <c r="AE305" i="3"/>
  <c r="AN305" i="3" s="1"/>
  <c r="AD304" i="3"/>
  <c r="AN304" i="3" s="1"/>
  <c r="AH296" i="3"/>
  <c r="AI296" i="3" s="1"/>
  <c r="AL296" i="3" s="1"/>
  <c r="AH293" i="3"/>
  <c r="AI293" i="3" s="1"/>
  <c r="AJ293" i="3" s="1"/>
  <c r="AD285" i="3"/>
  <c r="AN285" i="3" s="1"/>
  <c r="AE285" i="3"/>
  <c r="AH283" i="3"/>
  <c r="AI283" i="3" s="1"/>
  <c r="AD273" i="3"/>
  <c r="AE273" i="3"/>
  <c r="AN273" i="3" s="1"/>
  <c r="AH273" i="3"/>
  <c r="AI273" i="3" s="1"/>
  <c r="AL273" i="3" s="1"/>
  <c r="AJ267" i="3"/>
  <c r="AL267" i="3"/>
  <c r="AJ255" i="3"/>
  <c r="AL255" i="3"/>
  <c r="AH254" i="3"/>
  <c r="AI254" i="3" s="1"/>
  <c r="AJ254" i="3" s="1"/>
  <c r="AD254" i="3"/>
  <c r="AE254" i="3"/>
  <c r="AH280" i="3"/>
  <c r="AI280" i="3" s="1"/>
  <c r="AL280" i="3" s="1"/>
  <c r="AL259" i="3"/>
  <c r="AJ245" i="3"/>
  <c r="AJ234" i="3"/>
  <c r="AL234" i="3"/>
  <c r="AH310" i="3"/>
  <c r="AI310" i="3" s="1"/>
  <c r="AL310" i="3" s="1"/>
  <c r="AJ280" i="3"/>
  <c r="AH266" i="3"/>
  <c r="AI266" i="3" s="1"/>
  <c r="AJ266" i="3" s="1"/>
  <c r="AE266" i="3"/>
  <c r="AN266" i="3" s="1"/>
  <c r="AN247" i="3"/>
  <c r="AN239" i="3"/>
  <c r="AJ237" i="3"/>
  <c r="AJ232" i="3"/>
  <c r="AL232" i="3"/>
  <c r="AD222" i="3"/>
  <c r="AE222" i="3"/>
  <c r="AH222" i="3"/>
  <c r="AI222" i="3" s="1"/>
  <c r="AE296" i="3"/>
  <c r="AN296" i="3" s="1"/>
  <c r="AN295" i="3"/>
  <c r="AE293" i="3"/>
  <c r="AN293" i="3" s="1"/>
  <c r="AL286" i="3"/>
  <c r="AH285" i="3"/>
  <c r="AI285" i="3" s="1"/>
  <c r="AL285" i="3" s="1"/>
  <c r="AL284" i="3"/>
  <c r="AD283" i="3"/>
  <c r="AN271" i="3"/>
  <c r="AN268" i="3"/>
  <c r="AJ253" i="3"/>
  <c r="AL253" i="3"/>
  <c r="AL171" i="3"/>
  <c r="AJ171" i="3"/>
  <c r="AE280" i="3"/>
  <c r="AN280" i="3" s="1"/>
  <c r="AN265" i="3"/>
  <c r="AL208" i="3"/>
  <c r="AJ208" i="3"/>
  <c r="AL317" i="3"/>
  <c r="AE310" i="3"/>
  <c r="AN310" i="3" s="1"/>
  <c r="AL305" i="3"/>
  <c r="AE298" i="3"/>
  <c r="AN298" i="3" s="1"/>
  <c r="AD291" i="3"/>
  <c r="AN291" i="3" s="1"/>
  <c r="AE288" i="3"/>
  <c r="AN288" i="3" s="1"/>
  <c r="AH288" i="3"/>
  <c r="AI288" i="3" s="1"/>
  <c r="AJ288" i="3" s="1"/>
  <c r="AH282" i="3"/>
  <c r="AI282" i="3" s="1"/>
  <c r="AL282" i="3" s="1"/>
  <c r="AJ263" i="3"/>
  <c r="AL263" i="3"/>
  <c r="AJ243" i="3"/>
  <c r="AL243" i="3"/>
  <c r="AH242" i="3"/>
  <c r="AI242" i="3" s="1"/>
  <c r="AJ242" i="3" s="1"/>
  <c r="AD242" i="3"/>
  <c r="AN242" i="3" s="1"/>
  <c r="AE242" i="3"/>
  <c r="AD237" i="3"/>
  <c r="AN237" i="3" s="1"/>
  <c r="AE237" i="3"/>
  <c r="AL318" i="3"/>
  <c r="AL306" i="3"/>
  <c r="AJ279" i="3"/>
  <c r="AJ276" i="3"/>
  <c r="AJ273" i="3"/>
  <c r="AJ268" i="3"/>
  <c r="AL268" i="3"/>
  <c r="AJ265" i="3"/>
  <c r="AL265" i="3"/>
  <c r="AJ256" i="3"/>
  <c r="AL256" i="3"/>
  <c r="AL247" i="3"/>
  <c r="AN241" i="3"/>
  <c r="AN236" i="3"/>
  <c r="AN231" i="3"/>
  <c r="AE324" i="3"/>
  <c r="AN324" i="3" s="1"/>
  <c r="AE312" i="3"/>
  <c r="AN312" i="3" s="1"/>
  <c r="AE300" i="3"/>
  <c r="AN300" i="3" s="1"/>
  <c r="AE294" i="3"/>
  <c r="AN294" i="3" s="1"/>
  <c r="AL275" i="3"/>
  <c r="AL271" i="3"/>
  <c r="AJ271" i="3"/>
  <c r="AJ269" i="3"/>
  <c r="AL269" i="3"/>
  <c r="AJ264" i="3"/>
  <c r="AL264" i="3"/>
  <c r="AN258" i="3"/>
  <c r="AH233" i="3"/>
  <c r="AI233" i="3" s="1"/>
  <c r="AH228" i="3"/>
  <c r="AI228" i="3" s="1"/>
  <c r="AJ228" i="3" s="1"/>
  <c r="AD228" i="3"/>
  <c r="AE228" i="3"/>
  <c r="AJ290" i="3"/>
  <c r="AL290" i="3"/>
  <c r="AN283" i="3"/>
  <c r="AE282" i="3"/>
  <c r="AN282" i="3" s="1"/>
  <c r="AE279" i="3"/>
  <c r="AN279" i="3" s="1"/>
  <c r="AL270" i="3"/>
  <c r="AJ257" i="3"/>
  <c r="AN251" i="3"/>
  <c r="AJ241" i="3"/>
  <c r="AL241" i="3"/>
  <c r="AJ240" i="3"/>
  <c r="AL240" i="3"/>
  <c r="AJ233" i="3"/>
  <c r="AL233" i="3"/>
  <c r="AJ259" i="3"/>
  <c r="AJ224" i="3"/>
  <c r="AH203" i="3"/>
  <c r="AI203" i="3" s="1"/>
  <c r="AD203" i="3"/>
  <c r="AE203" i="3"/>
  <c r="AJ193" i="3"/>
  <c r="AN190" i="3"/>
  <c r="AD170" i="3"/>
  <c r="AE170" i="3"/>
  <c r="AH170" i="3"/>
  <c r="AI170" i="3" s="1"/>
  <c r="AJ170" i="3" s="1"/>
  <c r="AJ137" i="3"/>
  <c r="AL137" i="3"/>
  <c r="AL219" i="3"/>
  <c r="AH215" i="3"/>
  <c r="AI215" i="3" s="1"/>
  <c r="AD215" i="3"/>
  <c r="AJ211" i="3"/>
  <c r="AL211" i="3"/>
  <c r="AJ204" i="3"/>
  <c r="AL204" i="3"/>
  <c r="AJ184" i="3"/>
  <c r="AL184" i="3"/>
  <c r="AD267" i="3"/>
  <c r="AN267" i="3" s="1"/>
  <c r="AE256" i="3"/>
  <c r="AN256" i="3" s="1"/>
  <c r="AD255" i="3"/>
  <c r="AN255" i="3" s="1"/>
  <c r="AE244" i="3"/>
  <c r="AN244" i="3" s="1"/>
  <c r="AD243" i="3"/>
  <c r="AN243" i="3" s="1"/>
  <c r="AJ194" i="3"/>
  <c r="AN186" i="3"/>
  <c r="AN166" i="3"/>
  <c r="AJ191" i="3"/>
  <c r="AL191" i="3"/>
  <c r="AJ190" i="3"/>
  <c r="AL190" i="3"/>
  <c r="AE270" i="3"/>
  <c r="AN270" i="3" s="1"/>
  <c r="AH261" i="3"/>
  <c r="AI261" i="3" s="1"/>
  <c r="AJ261" i="3" s="1"/>
  <c r="AE258" i="3"/>
  <c r="AH249" i="3"/>
  <c r="AI249" i="3" s="1"/>
  <c r="AJ249" i="3" s="1"/>
  <c r="AE246" i="3"/>
  <c r="AN246" i="3" s="1"/>
  <c r="AD238" i="3"/>
  <c r="AN238" i="3" s="1"/>
  <c r="AD234" i="3"/>
  <c r="AN234" i="3" s="1"/>
  <c r="AE234" i="3"/>
  <c r="AL229" i="3"/>
  <c r="AH218" i="3"/>
  <c r="AI218" i="3" s="1"/>
  <c r="AL218" i="3" s="1"/>
  <c r="AH216" i="3"/>
  <c r="AI216" i="3" s="1"/>
  <c r="AJ216" i="3" s="1"/>
  <c r="AE216" i="3"/>
  <c r="AJ188" i="3"/>
  <c r="AL188" i="3"/>
  <c r="AJ186" i="3"/>
  <c r="AL186" i="3"/>
  <c r="AJ182" i="3"/>
  <c r="AE231" i="3"/>
  <c r="AL225" i="3"/>
  <c r="AN220" i="3"/>
  <c r="AJ218" i="3"/>
  <c r="AJ217" i="3"/>
  <c r="AL217" i="3"/>
  <c r="AJ205" i="3"/>
  <c r="AL196" i="3"/>
  <c r="AJ196" i="3"/>
  <c r="AL185" i="3"/>
  <c r="AJ185" i="3"/>
  <c r="AL174" i="3"/>
  <c r="AJ167" i="3"/>
  <c r="AL167" i="3"/>
  <c r="AE229" i="3"/>
  <c r="AN229" i="3" s="1"/>
  <c r="AH227" i="3"/>
  <c r="AI227" i="3" s="1"/>
  <c r="AL227" i="3" s="1"/>
  <c r="AE225" i="3"/>
  <c r="AH225" i="3"/>
  <c r="AI225" i="3" s="1"/>
  <c r="AJ225" i="3" s="1"/>
  <c r="AE218" i="3"/>
  <c r="AN218" i="3" s="1"/>
  <c r="AJ214" i="3"/>
  <c r="AN213" i="3"/>
  <c r="AH191" i="3"/>
  <c r="AI191" i="3" s="1"/>
  <c r="AD191" i="3"/>
  <c r="AN191" i="3" s="1"/>
  <c r="AE191" i="3"/>
  <c r="AH276" i="3"/>
  <c r="AI276" i="3" s="1"/>
  <c r="AL276" i="3" s="1"/>
  <c r="AH264" i="3"/>
  <c r="AI264" i="3" s="1"/>
  <c r="AE261" i="3"/>
  <c r="AN261" i="3" s="1"/>
  <c r="AH252" i="3"/>
  <c r="AI252" i="3" s="1"/>
  <c r="AJ252" i="3" s="1"/>
  <c r="AE249" i="3"/>
  <c r="AN249" i="3" s="1"/>
  <c r="AL237" i="3"/>
  <c r="AJ227" i="3"/>
  <c r="AN208" i="3"/>
  <c r="AN203" i="3"/>
  <c r="AJ192" i="3"/>
  <c r="AL192" i="3"/>
  <c r="AJ179" i="3"/>
  <c r="AL179" i="3"/>
  <c r="AL257" i="3"/>
  <c r="AL245" i="3"/>
  <c r="AE227" i="3"/>
  <c r="AN227" i="3" s="1"/>
  <c r="AJ215" i="3"/>
  <c r="AL215" i="3"/>
  <c r="AN189" i="3"/>
  <c r="AD182" i="3"/>
  <c r="AE182" i="3"/>
  <c r="AE232" i="3"/>
  <c r="AN232" i="3" s="1"/>
  <c r="AH220" i="3"/>
  <c r="AI220" i="3" s="1"/>
  <c r="AL220" i="3" s="1"/>
  <c r="AE215" i="3"/>
  <c r="AN215" i="3" s="1"/>
  <c r="AJ206" i="3"/>
  <c r="AL206" i="3"/>
  <c r="AJ203" i="3"/>
  <c r="AL203" i="3"/>
  <c r="AJ202" i="3"/>
  <c r="AL202" i="3"/>
  <c r="AJ198" i="3"/>
  <c r="AL198" i="3"/>
  <c r="AD225" i="3"/>
  <c r="AN225" i="3" s="1"/>
  <c r="AN222" i="3"/>
  <c r="AJ219" i="3"/>
  <c r="AN219" i="3"/>
  <c r="AD216" i="3"/>
  <c r="AN216" i="3" s="1"/>
  <c r="AN210" i="3"/>
  <c r="AJ200" i="3"/>
  <c r="AL200" i="3"/>
  <c r="AJ151" i="3"/>
  <c r="AL151" i="3"/>
  <c r="AJ144" i="3"/>
  <c r="AE204" i="3"/>
  <c r="AL199" i="3"/>
  <c r="AE192" i="3"/>
  <c r="AL180" i="3"/>
  <c r="AH154" i="3"/>
  <c r="AI154" i="3" s="1"/>
  <c r="AD154" i="3"/>
  <c r="AE154" i="3"/>
  <c r="AD204" i="3"/>
  <c r="AN204" i="3" s="1"/>
  <c r="AE193" i="3"/>
  <c r="AN193" i="3" s="1"/>
  <c r="AD192" i="3"/>
  <c r="AN192" i="3" s="1"/>
  <c r="AD185" i="3"/>
  <c r="AN185" i="3" s="1"/>
  <c r="AE185" i="3"/>
  <c r="AD173" i="3"/>
  <c r="AE173" i="3"/>
  <c r="AN173" i="3" s="1"/>
  <c r="AH173" i="3"/>
  <c r="AI173" i="3" s="1"/>
  <c r="AD158" i="3"/>
  <c r="AN158" i="3" s="1"/>
  <c r="AE158" i="3"/>
  <c r="AH158" i="3"/>
  <c r="AI158" i="3" s="1"/>
  <c r="AJ158" i="3" s="1"/>
  <c r="AJ155" i="3"/>
  <c r="AL155" i="3"/>
  <c r="AN147" i="3"/>
  <c r="AJ135" i="3"/>
  <c r="AL135" i="3"/>
  <c r="AE206" i="3"/>
  <c r="AN206" i="3" s="1"/>
  <c r="AE180" i="3"/>
  <c r="AN180" i="3" s="1"/>
  <c r="AH178" i="3"/>
  <c r="AI178" i="3" s="1"/>
  <c r="AL178" i="3" s="1"/>
  <c r="AD161" i="3"/>
  <c r="AE161" i="3"/>
  <c r="AN161" i="3" s="1"/>
  <c r="AH161" i="3"/>
  <c r="AI161" i="3" s="1"/>
  <c r="AL161" i="3" s="1"/>
  <c r="AN159" i="3"/>
  <c r="AN156" i="3"/>
  <c r="AJ145" i="3"/>
  <c r="AJ142" i="3"/>
  <c r="AH210" i="3"/>
  <c r="AI210" i="3" s="1"/>
  <c r="AL210" i="3" s="1"/>
  <c r="AH198" i="3"/>
  <c r="AI198" i="3" s="1"/>
  <c r="AH183" i="3"/>
  <c r="AI183" i="3" s="1"/>
  <c r="AJ183" i="3" s="1"/>
  <c r="AJ178" i="3"/>
  <c r="AH169" i="3"/>
  <c r="AI169" i="3" s="1"/>
  <c r="AJ169" i="3" s="1"/>
  <c r="AJ162" i="3"/>
  <c r="AJ153" i="3"/>
  <c r="AL153" i="3"/>
  <c r="AN141" i="3"/>
  <c r="AD131" i="3"/>
  <c r="AE131" i="3"/>
  <c r="AH131" i="3"/>
  <c r="AI131" i="3" s="1"/>
  <c r="AL131" i="3" s="1"/>
  <c r="AE178" i="3"/>
  <c r="AN178" i="3" s="1"/>
  <c r="AL169" i="3"/>
  <c r="AH168" i="3"/>
  <c r="AI168" i="3" s="1"/>
  <c r="AL168" i="3" s="1"/>
  <c r="AN167" i="3"/>
  <c r="AJ163" i="3"/>
  <c r="AL163" i="3"/>
  <c r="AN130" i="3"/>
  <c r="AN115" i="3"/>
  <c r="AN182" i="3"/>
  <c r="AN171" i="3"/>
  <c r="AJ168" i="3"/>
  <c r="AJ156" i="3"/>
  <c r="AL147" i="3"/>
  <c r="AH142" i="3"/>
  <c r="AI142" i="3" s="1"/>
  <c r="AL142" i="3" s="1"/>
  <c r="AD142" i="3"/>
  <c r="AE142" i="3"/>
  <c r="AL133" i="3"/>
  <c r="AJ133" i="3"/>
  <c r="AH213" i="3"/>
  <c r="AI213" i="3" s="1"/>
  <c r="AJ213" i="3" s="1"/>
  <c r="AE210" i="3"/>
  <c r="AL205" i="3"/>
  <c r="AH201" i="3"/>
  <c r="AI201" i="3" s="1"/>
  <c r="AJ201" i="3" s="1"/>
  <c r="AE198" i="3"/>
  <c r="AN198" i="3" s="1"/>
  <c r="AL193" i="3"/>
  <c r="AH189" i="3"/>
  <c r="AI189" i="3" s="1"/>
  <c r="AJ189" i="3" s="1"/>
  <c r="AE183" i="3"/>
  <c r="AN183" i="3" s="1"/>
  <c r="AL182" i="3"/>
  <c r="AJ181" i="3"/>
  <c r="AL181" i="3"/>
  <c r="AE169" i="3"/>
  <c r="AN169" i="3" s="1"/>
  <c r="AN165" i="3"/>
  <c r="AJ157" i="3"/>
  <c r="AJ143" i="3"/>
  <c r="AL143" i="3"/>
  <c r="AN139" i="3"/>
  <c r="AL194" i="3"/>
  <c r="AL177" i="3"/>
  <c r="AE168" i="3"/>
  <c r="AN168" i="3" s="1"/>
  <c r="AJ160" i="3"/>
  <c r="AL159" i="3"/>
  <c r="AE181" i="3"/>
  <c r="AN181" i="3" s="1"/>
  <c r="AJ175" i="3"/>
  <c r="AJ165" i="3"/>
  <c r="AJ161" i="3"/>
  <c r="AL158" i="3"/>
  <c r="AJ104" i="3"/>
  <c r="AL104" i="3"/>
  <c r="AN170" i="3"/>
  <c r="AE167" i="3"/>
  <c r="AJ166" i="3"/>
  <c r="AL166" i="3"/>
  <c r="AJ154" i="3"/>
  <c r="AL154" i="3"/>
  <c r="AL149" i="3"/>
  <c r="AJ147" i="3"/>
  <c r="AH107" i="3"/>
  <c r="AI107" i="3" s="1"/>
  <c r="AD107" i="3"/>
  <c r="AN107" i="3" s="1"/>
  <c r="AE107" i="3"/>
  <c r="AE155" i="3"/>
  <c r="AE143" i="3"/>
  <c r="AE129" i="3"/>
  <c r="AH129" i="3"/>
  <c r="AI129" i="3" s="1"/>
  <c r="AL129" i="3" s="1"/>
  <c r="AL124" i="3"/>
  <c r="AJ108" i="3"/>
  <c r="AL108" i="3"/>
  <c r="AD155" i="3"/>
  <c r="AE144" i="3"/>
  <c r="AN144" i="3" s="1"/>
  <c r="AD143" i="3"/>
  <c r="AD138" i="3"/>
  <c r="AN138" i="3" s="1"/>
  <c r="AE138" i="3"/>
  <c r="AH136" i="3"/>
  <c r="AI136" i="3" s="1"/>
  <c r="AJ136" i="3" s="1"/>
  <c r="AJ131" i="3"/>
  <c r="AD126" i="3"/>
  <c r="AE126" i="3"/>
  <c r="AL123" i="3"/>
  <c r="AL119" i="3"/>
  <c r="AL117" i="3"/>
  <c r="AL116" i="3"/>
  <c r="AE145" i="3"/>
  <c r="AN145" i="3" s="1"/>
  <c r="AL140" i="3"/>
  <c r="AL136" i="3"/>
  <c r="AJ127" i="3"/>
  <c r="AN126" i="3"/>
  <c r="AJ121" i="3"/>
  <c r="AL121" i="3"/>
  <c r="AJ106" i="3"/>
  <c r="AL106" i="3"/>
  <c r="AJ96" i="3"/>
  <c r="AL96" i="3"/>
  <c r="AL94" i="3"/>
  <c r="AJ94" i="3"/>
  <c r="AH65" i="3"/>
  <c r="AI65" i="3" s="1"/>
  <c r="AE65" i="3"/>
  <c r="AD65" i="3"/>
  <c r="AH149" i="3"/>
  <c r="AI149" i="3" s="1"/>
  <c r="AJ149" i="3" s="1"/>
  <c r="AE146" i="3"/>
  <c r="AN146" i="3" s="1"/>
  <c r="AN135" i="3"/>
  <c r="AH134" i="3"/>
  <c r="AI134" i="3" s="1"/>
  <c r="AL134" i="3" s="1"/>
  <c r="AJ129" i="3"/>
  <c r="AJ114" i="3"/>
  <c r="AN111" i="3"/>
  <c r="AJ97" i="3"/>
  <c r="AL97" i="3"/>
  <c r="AE136" i="3"/>
  <c r="AN136" i="3" s="1"/>
  <c r="AD129" i="3"/>
  <c r="AN129" i="3" s="1"/>
  <c r="AJ122" i="3"/>
  <c r="AL122" i="3"/>
  <c r="AN118" i="3"/>
  <c r="AJ109" i="3"/>
  <c r="AJ89" i="3"/>
  <c r="AL89" i="3"/>
  <c r="AN86" i="3"/>
  <c r="AJ42" i="3"/>
  <c r="AL42" i="3"/>
  <c r="AJ132" i="3"/>
  <c r="AN125" i="3"/>
  <c r="AH176" i="3"/>
  <c r="AI176" i="3" s="1"/>
  <c r="AH164" i="3"/>
  <c r="AI164" i="3" s="1"/>
  <c r="AL164" i="3" s="1"/>
  <c r="AL156" i="3"/>
  <c r="AH152" i="3"/>
  <c r="AI152" i="3" s="1"/>
  <c r="AJ152" i="3" s="1"/>
  <c r="AE149" i="3"/>
  <c r="AN149" i="3" s="1"/>
  <c r="AL144" i="3"/>
  <c r="AE134" i="3"/>
  <c r="AN134" i="3" s="1"/>
  <c r="AH126" i="3"/>
  <c r="AI126" i="3" s="1"/>
  <c r="AN106" i="3"/>
  <c r="AL157" i="3"/>
  <c r="AL145" i="3"/>
  <c r="AE132" i="3"/>
  <c r="AN124" i="3"/>
  <c r="AH119" i="3"/>
  <c r="AI119" i="3" s="1"/>
  <c r="AJ119" i="3" s="1"/>
  <c r="AD119" i="3"/>
  <c r="AN119" i="3" s="1"/>
  <c r="AJ110" i="3"/>
  <c r="AL110" i="3"/>
  <c r="AN99" i="3"/>
  <c r="AJ98" i="3"/>
  <c r="AL98" i="3"/>
  <c r="AD132" i="3"/>
  <c r="AN132" i="3" s="1"/>
  <c r="AN123" i="3"/>
  <c r="AN110" i="3"/>
  <c r="AJ107" i="3"/>
  <c r="AL107" i="3"/>
  <c r="AJ102" i="3"/>
  <c r="AL102" i="3"/>
  <c r="AJ93" i="3"/>
  <c r="AD55" i="3"/>
  <c r="AN55" i="3" s="1"/>
  <c r="AE55" i="3"/>
  <c r="AH55" i="3"/>
  <c r="AI55" i="3" s="1"/>
  <c r="AJ124" i="3"/>
  <c r="AH120" i="3"/>
  <c r="AI120" i="3" s="1"/>
  <c r="AJ120" i="3" s="1"/>
  <c r="AE120" i="3"/>
  <c r="AN120" i="3" s="1"/>
  <c r="AN112" i="3"/>
  <c r="AL90" i="3"/>
  <c r="AJ67" i="3"/>
  <c r="AL67" i="3"/>
  <c r="AL92" i="3"/>
  <c r="AD79" i="3"/>
  <c r="AN79" i="3" s="1"/>
  <c r="AE79" i="3"/>
  <c r="AL53" i="3"/>
  <c r="AE108" i="3"/>
  <c r="AH99" i="3"/>
  <c r="AI99" i="3" s="1"/>
  <c r="AJ99" i="3" s="1"/>
  <c r="AE98" i="3"/>
  <c r="AN98" i="3" s="1"/>
  <c r="AL95" i="3"/>
  <c r="AD94" i="3"/>
  <c r="AN94" i="3" s="1"/>
  <c r="AE94" i="3"/>
  <c r="AJ58" i="3"/>
  <c r="AL58" i="3"/>
  <c r="AN44" i="3"/>
  <c r="AH41" i="3"/>
  <c r="AI41" i="3" s="1"/>
  <c r="AE41" i="3"/>
  <c r="AH112" i="3"/>
  <c r="AI112" i="3" s="1"/>
  <c r="AL112" i="3" s="1"/>
  <c r="AD108" i="3"/>
  <c r="AN108" i="3" s="1"/>
  <c r="AH100" i="3"/>
  <c r="AI100" i="3" s="1"/>
  <c r="AL100" i="3" s="1"/>
  <c r="AD98" i="3"/>
  <c r="AL88" i="3"/>
  <c r="AJ77" i="3"/>
  <c r="AL77" i="3"/>
  <c r="AJ76" i="3"/>
  <c r="AL76" i="3"/>
  <c r="AL69" i="3"/>
  <c r="AL68" i="3"/>
  <c r="AJ68" i="3"/>
  <c r="AH91" i="3"/>
  <c r="AI91" i="3" s="1"/>
  <c r="AJ91" i="3" s="1"/>
  <c r="AJ75" i="3"/>
  <c r="AN66" i="3"/>
  <c r="AJ64" i="3"/>
  <c r="AL64" i="3"/>
  <c r="AJ63" i="3"/>
  <c r="AN47" i="3"/>
  <c r="AL91" i="3"/>
  <c r="AL81" i="3"/>
  <c r="AJ78" i="3"/>
  <c r="AL78" i="3"/>
  <c r="AH53" i="3"/>
  <c r="AI53" i="3" s="1"/>
  <c r="AJ53" i="3" s="1"/>
  <c r="AE53" i="3"/>
  <c r="AN53" i="3" s="1"/>
  <c r="AJ43" i="3"/>
  <c r="AL43" i="3"/>
  <c r="AJ39" i="3"/>
  <c r="AL39" i="3"/>
  <c r="AE112" i="3"/>
  <c r="AE100" i="3"/>
  <c r="AN100" i="3" s="1"/>
  <c r="AE88" i="3"/>
  <c r="AL80" i="3"/>
  <c r="AH79" i="3"/>
  <c r="AI79" i="3" s="1"/>
  <c r="AJ79" i="3" s="1"/>
  <c r="AN65" i="3"/>
  <c r="AN64" i="3"/>
  <c r="AN56" i="3"/>
  <c r="AN48" i="3"/>
  <c r="AN46" i="3"/>
  <c r="AL44" i="3"/>
  <c r="AJ44" i="3"/>
  <c r="AN42" i="3"/>
  <c r="AJ40" i="3"/>
  <c r="AL40" i="3"/>
  <c r="AE91" i="3"/>
  <c r="AN91" i="3" s="1"/>
  <c r="AD88" i="3"/>
  <c r="AN88" i="3" s="1"/>
  <c r="AJ85" i="3"/>
  <c r="AL79" i="3"/>
  <c r="AN71" i="3"/>
  <c r="AD67" i="3"/>
  <c r="AE67" i="3"/>
  <c r="AL45" i="3"/>
  <c r="AH117" i="3"/>
  <c r="AI117" i="3" s="1"/>
  <c r="AJ117" i="3" s="1"/>
  <c r="AE114" i="3"/>
  <c r="AN114" i="3" s="1"/>
  <c r="AL109" i="3"/>
  <c r="AH105" i="3"/>
  <c r="AI105" i="3" s="1"/>
  <c r="AJ105" i="3" s="1"/>
  <c r="AE102" i="3"/>
  <c r="AN102" i="3" s="1"/>
  <c r="AH93" i="3"/>
  <c r="AI93" i="3" s="1"/>
  <c r="AL93" i="3" s="1"/>
  <c r="AN92" i="3"/>
  <c r="AH90" i="3"/>
  <c r="AI90" i="3" s="1"/>
  <c r="AJ90" i="3" s="1"/>
  <c r="AL87" i="3"/>
  <c r="AN83" i="3"/>
  <c r="AJ73" i="3"/>
  <c r="AJ65" i="3"/>
  <c r="AL65" i="3"/>
  <c r="AN59" i="3"/>
  <c r="AJ48" i="3"/>
  <c r="AL48" i="3"/>
  <c r="AD43" i="3"/>
  <c r="AN43" i="3" s="1"/>
  <c r="AE43" i="3"/>
  <c r="AL83" i="3"/>
  <c r="AN70" i="3"/>
  <c r="AN60" i="3"/>
  <c r="AJ55" i="3"/>
  <c r="AL55" i="3"/>
  <c r="AN54" i="3"/>
  <c r="AJ52" i="3"/>
  <c r="AL52" i="3"/>
  <c r="AJ51" i="3"/>
  <c r="AL51" i="3"/>
  <c r="AJ92" i="3"/>
  <c r="AJ66" i="3"/>
  <c r="AL56" i="3"/>
  <c r="AJ56" i="3"/>
  <c r="AJ46" i="3"/>
  <c r="AL46" i="3"/>
  <c r="AJ41" i="3"/>
  <c r="AL41" i="3"/>
  <c r="AE93" i="3"/>
  <c r="AN93" i="3" s="1"/>
  <c r="AD82" i="3"/>
  <c r="AN82" i="3" s="1"/>
  <c r="AE82" i="3"/>
  <c r="AH82" i="3"/>
  <c r="AI82" i="3" s="1"/>
  <c r="AN78" i="3"/>
  <c r="AN68" i="3"/>
  <c r="AJ60" i="3"/>
  <c r="AL60" i="3"/>
  <c r="AL57" i="3"/>
  <c r="AN52" i="3"/>
  <c r="AD41" i="3"/>
  <c r="AN41" i="3" s="1"/>
  <c r="AH66" i="3"/>
  <c r="AI66" i="3" s="1"/>
  <c r="AL66" i="3" s="1"/>
  <c r="AH54" i="3"/>
  <c r="AI54" i="3" s="1"/>
  <c r="AJ54" i="3" s="1"/>
  <c r="AD40" i="3"/>
  <c r="AN40" i="3" s="1"/>
  <c r="AH70" i="3"/>
  <c r="AI70" i="3" s="1"/>
  <c r="AJ70" i="3" s="1"/>
  <c r="AH85" i="3"/>
  <c r="AI85" i="3" s="1"/>
  <c r="AL85" i="3" s="1"/>
  <c r="AH73" i="3"/>
  <c r="AI73" i="3" s="1"/>
  <c r="AL73" i="3" s="1"/>
  <c r="AE70" i="3"/>
  <c r="AH61" i="3"/>
  <c r="AI61" i="3" s="1"/>
  <c r="AL61" i="3" s="1"/>
  <c r="AE58" i="3"/>
  <c r="AN58" i="3" s="1"/>
  <c r="AH49" i="3"/>
  <c r="AI49" i="3" s="1"/>
  <c r="AJ49" i="3" s="1"/>
  <c r="AE46" i="3"/>
  <c r="AH86" i="3"/>
  <c r="AI86" i="3" s="1"/>
  <c r="AH74" i="3"/>
  <c r="AI74" i="3" s="1"/>
  <c r="AH62" i="3"/>
  <c r="AI62" i="3" s="1"/>
  <c r="AE85" i="3"/>
  <c r="AN85" i="3" s="1"/>
  <c r="AE73" i="3"/>
  <c r="AN73" i="3" s="1"/>
  <c r="AE61" i="3"/>
  <c r="AN61" i="3" s="1"/>
  <c r="AE49" i="3"/>
  <c r="AN49" i="3" s="1"/>
  <c r="T5" i="65"/>
  <c r="AD5" i="65" s="1"/>
  <c r="V5" i="65"/>
  <c r="Y5" i="65"/>
  <c r="AF5" i="65"/>
  <c r="AG5" i="65" s="1"/>
  <c r="AH5" i="65"/>
  <c r="AI5" i="65" s="1"/>
  <c r="AK5" i="65"/>
  <c r="AM5" i="65"/>
  <c r="T6" i="65"/>
  <c r="AD6" i="65" s="1"/>
  <c r="V6" i="65"/>
  <c r="Y6" i="65"/>
  <c r="AF6" i="65"/>
  <c r="AG6" i="65" s="1"/>
  <c r="AK6" i="65"/>
  <c r="T7" i="65"/>
  <c r="AD7" i="65" s="1"/>
  <c r="V7" i="65"/>
  <c r="Y7" i="65"/>
  <c r="AF7" i="65"/>
  <c r="AG7" i="65" s="1"/>
  <c r="AH7" i="65"/>
  <c r="AI7" i="65" s="1"/>
  <c r="AK7" i="65"/>
  <c r="AM7" i="65"/>
  <c r="T8" i="65"/>
  <c r="AM8" i="65" s="1"/>
  <c r="V8" i="65"/>
  <c r="Y8" i="65"/>
  <c r="AF8" i="65"/>
  <c r="AG8" i="65" s="1"/>
  <c r="AK8" i="65"/>
  <c r="T9" i="65"/>
  <c r="AD9" i="65" s="1"/>
  <c r="V9" i="65"/>
  <c r="Y9" i="65"/>
  <c r="AF9" i="65"/>
  <c r="AG9" i="65" s="1"/>
  <c r="AH9" i="65"/>
  <c r="AI9" i="65" s="1"/>
  <c r="AJ9" i="65" s="1"/>
  <c r="AK9" i="65"/>
  <c r="AM9" i="65"/>
  <c r="T10" i="65"/>
  <c r="AD10" i="65" s="1"/>
  <c r="V10" i="65"/>
  <c r="Y10" i="65"/>
  <c r="AF10" i="65"/>
  <c r="AG10" i="65"/>
  <c r="AK10" i="65"/>
  <c r="T11" i="65"/>
  <c r="AD11" i="65" s="1"/>
  <c r="V11" i="65"/>
  <c r="Y11" i="65"/>
  <c r="AE11" i="65"/>
  <c r="AF11" i="65"/>
  <c r="AG11" i="65" s="1"/>
  <c r="AK11" i="65"/>
  <c r="AM11" i="65"/>
  <c r="T12" i="65"/>
  <c r="AE12" i="65" s="1"/>
  <c r="V12" i="65"/>
  <c r="Y12" i="65"/>
  <c r="AD12" i="65"/>
  <c r="AF12" i="65"/>
  <c r="AG12" i="65" s="1"/>
  <c r="AK12" i="65"/>
  <c r="AM12" i="65"/>
  <c r="T13" i="65"/>
  <c r="AH13" i="65" s="1"/>
  <c r="AI13" i="65" s="1"/>
  <c r="V13" i="65"/>
  <c r="Y13" i="65"/>
  <c r="AF13" i="65"/>
  <c r="AG13" i="65" s="1"/>
  <c r="AK13" i="65"/>
  <c r="AM13" i="65"/>
  <c r="T14" i="65"/>
  <c r="AH14" i="65" s="1"/>
  <c r="AI14" i="65" s="1"/>
  <c r="V14" i="65"/>
  <c r="Y14" i="65"/>
  <c r="AF14" i="65"/>
  <c r="AG14" i="65" s="1"/>
  <c r="AK14" i="65"/>
  <c r="AM14" i="65"/>
  <c r="T15" i="65"/>
  <c r="AH15" i="65" s="1"/>
  <c r="AI15" i="65" s="1"/>
  <c r="V15" i="65"/>
  <c r="Y15" i="65"/>
  <c r="AF15" i="65"/>
  <c r="AG15" i="65"/>
  <c r="AJ15" i="65" s="1"/>
  <c r="AK15" i="65"/>
  <c r="T16" i="65"/>
  <c r="AM16" i="65" s="1"/>
  <c r="V16" i="65"/>
  <c r="Y16" i="65"/>
  <c r="AD16" i="65"/>
  <c r="AF16" i="65"/>
  <c r="AG16" i="65" s="1"/>
  <c r="AH16" i="65"/>
  <c r="AI16" i="65" s="1"/>
  <c r="AK16" i="65"/>
  <c r="T17" i="65"/>
  <c r="AD17" i="65" s="1"/>
  <c r="V17" i="65"/>
  <c r="Y17" i="65"/>
  <c r="AE17" i="65"/>
  <c r="AF17" i="65"/>
  <c r="AG17" i="65"/>
  <c r="AH17" i="65"/>
  <c r="AI17" i="65"/>
  <c r="AK17" i="65"/>
  <c r="AM17" i="65"/>
  <c r="T18" i="65"/>
  <c r="AM18" i="65" s="1"/>
  <c r="V18" i="65"/>
  <c r="Y18" i="65"/>
  <c r="AF18" i="65"/>
  <c r="AG18" i="65" s="1"/>
  <c r="AK18" i="65"/>
  <c r="T19" i="65"/>
  <c r="AH19" i="65" s="1"/>
  <c r="AI19" i="65" s="1"/>
  <c r="V19" i="65"/>
  <c r="Y19" i="65"/>
  <c r="AE19" i="65"/>
  <c r="AF19" i="65"/>
  <c r="AG19" i="65" s="1"/>
  <c r="AK19" i="65"/>
  <c r="AM19" i="65"/>
  <c r="T20" i="65"/>
  <c r="AE20" i="65" s="1"/>
  <c r="V20" i="65"/>
  <c r="Y20" i="65"/>
  <c r="AF20" i="65"/>
  <c r="AG20" i="65" s="1"/>
  <c r="AH20" i="65"/>
  <c r="AI20" i="65" s="1"/>
  <c r="AK20" i="65"/>
  <c r="AM20" i="65"/>
  <c r="T21" i="65"/>
  <c r="AD21" i="65" s="1"/>
  <c r="V21" i="65"/>
  <c r="Y21" i="65"/>
  <c r="AF21" i="65"/>
  <c r="AG21" i="65" s="1"/>
  <c r="AK21" i="65"/>
  <c r="AM21" i="65"/>
  <c r="T22" i="65"/>
  <c r="V22" i="65"/>
  <c r="Y22" i="65"/>
  <c r="AF22" i="65"/>
  <c r="AG22" i="65" s="1"/>
  <c r="AK22" i="65"/>
  <c r="AM22" i="65"/>
  <c r="T23" i="65"/>
  <c r="AD23" i="65" s="1"/>
  <c r="V23" i="65"/>
  <c r="Y23" i="65"/>
  <c r="AE23" i="65"/>
  <c r="AF23" i="65"/>
  <c r="AG23" i="65" s="1"/>
  <c r="AK23" i="65"/>
  <c r="AM23" i="65"/>
  <c r="T24" i="65"/>
  <c r="AE24" i="65" s="1"/>
  <c r="V24" i="65"/>
  <c r="Y24" i="65"/>
  <c r="AF24" i="65"/>
  <c r="AG24" i="65" s="1"/>
  <c r="AK24" i="65"/>
  <c r="AM24" i="65"/>
  <c r="T25" i="65"/>
  <c r="AE25" i="65" s="1"/>
  <c r="V25" i="65"/>
  <c r="Y25" i="65"/>
  <c r="AF25" i="65"/>
  <c r="AG25" i="65" s="1"/>
  <c r="AK25" i="65"/>
  <c r="T26" i="65"/>
  <c r="AH26" i="65" s="1"/>
  <c r="AI26" i="65" s="1"/>
  <c r="V26" i="65"/>
  <c r="Y26" i="65"/>
  <c r="AF26" i="65"/>
  <c r="AG26" i="65" s="1"/>
  <c r="AK26" i="65"/>
  <c r="T27" i="65"/>
  <c r="AH27" i="65" s="1"/>
  <c r="AI27" i="65" s="1"/>
  <c r="V27" i="65"/>
  <c r="Y27" i="65"/>
  <c r="AF27" i="65"/>
  <c r="AG27" i="65" s="1"/>
  <c r="AJ27" i="65" s="1"/>
  <c r="AK27" i="65"/>
  <c r="T28" i="65"/>
  <c r="AM28" i="65" s="1"/>
  <c r="V28" i="65"/>
  <c r="Y28" i="65"/>
  <c r="AE28" i="65"/>
  <c r="AF28" i="65"/>
  <c r="AG28" i="65" s="1"/>
  <c r="AK28" i="65"/>
  <c r="T29" i="65"/>
  <c r="AD29" i="65" s="1"/>
  <c r="V29" i="65"/>
  <c r="Y29" i="65"/>
  <c r="AF29" i="65"/>
  <c r="AG29" i="65" s="1"/>
  <c r="AK29" i="65"/>
  <c r="T30" i="65"/>
  <c r="AM30" i="65" s="1"/>
  <c r="V30" i="65"/>
  <c r="Y30" i="65"/>
  <c r="AF30" i="65"/>
  <c r="AG30" i="65" s="1"/>
  <c r="AK30" i="65"/>
  <c r="T31" i="65"/>
  <c r="AH31" i="65" s="1"/>
  <c r="AI31" i="65" s="1"/>
  <c r="V31" i="65"/>
  <c r="Y31" i="65"/>
  <c r="AD31" i="65"/>
  <c r="AF31" i="65"/>
  <c r="AG31" i="65" s="1"/>
  <c r="AK31" i="65"/>
  <c r="T32" i="65"/>
  <c r="AM32" i="65" s="1"/>
  <c r="V32" i="65"/>
  <c r="Y32" i="65"/>
  <c r="AE32" i="65"/>
  <c r="AF32" i="65"/>
  <c r="AG32" i="65" s="1"/>
  <c r="AK32" i="65"/>
  <c r="T33" i="65"/>
  <c r="AD33" i="65" s="1"/>
  <c r="V33" i="65"/>
  <c r="Y33" i="65"/>
  <c r="AF33" i="65"/>
  <c r="AG33" i="65" s="1"/>
  <c r="AK33" i="65"/>
  <c r="AM33" i="65"/>
  <c r="T34" i="65"/>
  <c r="V34" i="65"/>
  <c r="Y34" i="65"/>
  <c r="AF34" i="65"/>
  <c r="AG34" i="65" s="1"/>
  <c r="AK34" i="65"/>
  <c r="T35" i="65"/>
  <c r="AD35" i="65" s="1"/>
  <c r="V35" i="65"/>
  <c r="Y35" i="65"/>
  <c r="AF35" i="65"/>
  <c r="AG35" i="65" s="1"/>
  <c r="AK35" i="65"/>
  <c r="T36" i="65"/>
  <c r="AE36" i="65" s="1"/>
  <c r="V36" i="65"/>
  <c r="Y36" i="65"/>
  <c r="AF36" i="65"/>
  <c r="AG36" i="65" s="1"/>
  <c r="AK36" i="65"/>
  <c r="AM36" i="65"/>
  <c r="T37" i="65"/>
  <c r="AD37" i="65" s="1"/>
  <c r="V37" i="65"/>
  <c r="Y37" i="65"/>
  <c r="AF37" i="65"/>
  <c r="AG37" i="65" s="1"/>
  <c r="AK37" i="65"/>
  <c r="T38" i="65"/>
  <c r="AH38" i="65" s="1"/>
  <c r="AI38" i="65" s="1"/>
  <c r="V38" i="65"/>
  <c r="Y38" i="65"/>
  <c r="AF38" i="65"/>
  <c r="AG38" i="65" s="1"/>
  <c r="AJ38" i="65" s="1"/>
  <c r="AK38" i="65"/>
  <c r="T39" i="65"/>
  <c r="AH39" i="65" s="1"/>
  <c r="AI39" i="65" s="1"/>
  <c r="V39" i="65"/>
  <c r="Y39" i="65"/>
  <c r="AF39" i="65"/>
  <c r="AG39" i="65" s="1"/>
  <c r="AK39" i="65"/>
  <c r="AM39" i="65"/>
  <c r="T40" i="65"/>
  <c r="AD40" i="65" s="1"/>
  <c r="V40" i="65"/>
  <c r="Y40" i="65"/>
  <c r="AF40" i="65"/>
  <c r="AG40" i="65" s="1"/>
  <c r="AH40" i="65"/>
  <c r="AI40" i="65" s="1"/>
  <c r="AK40" i="65"/>
  <c r="AM40" i="65"/>
  <c r="T41" i="65"/>
  <c r="AD41" i="65" s="1"/>
  <c r="V41" i="65"/>
  <c r="Y41" i="65"/>
  <c r="AF41" i="65"/>
  <c r="AG41" i="65" s="1"/>
  <c r="AH41" i="65"/>
  <c r="AI41" i="65" s="1"/>
  <c r="AK41" i="65"/>
  <c r="AM41" i="65"/>
  <c r="T42" i="65"/>
  <c r="V42" i="65"/>
  <c r="Y42" i="65"/>
  <c r="AF42" i="65"/>
  <c r="AG42" i="65" s="1"/>
  <c r="AK42" i="65"/>
  <c r="AM42" i="65"/>
  <c r="T43" i="65"/>
  <c r="AH43" i="65" s="1"/>
  <c r="AI43" i="65" s="1"/>
  <c r="V43" i="65"/>
  <c r="Y43" i="65"/>
  <c r="AE43" i="65"/>
  <c r="AF43" i="65"/>
  <c r="AG43" i="65" s="1"/>
  <c r="AK43" i="65"/>
  <c r="AM43" i="65"/>
  <c r="T44" i="65"/>
  <c r="AD44" i="65" s="1"/>
  <c r="V44" i="65"/>
  <c r="Y44" i="65"/>
  <c r="AE44" i="65"/>
  <c r="AF44" i="65"/>
  <c r="AG44" i="65" s="1"/>
  <c r="AK44" i="65"/>
  <c r="AM44" i="65"/>
  <c r="T45" i="65"/>
  <c r="AD45" i="65" s="1"/>
  <c r="V45" i="65"/>
  <c r="Y45" i="65"/>
  <c r="AE45" i="65"/>
  <c r="AF45" i="65"/>
  <c r="AG45" i="65" s="1"/>
  <c r="AK45" i="65"/>
  <c r="AM45" i="65"/>
  <c r="T46" i="65"/>
  <c r="AM46" i="65" s="1"/>
  <c r="V46" i="65"/>
  <c r="Y46" i="65"/>
  <c r="AF46" i="65"/>
  <c r="AG46" i="65" s="1"/>
  <c r="AK46" i="65"/>
  <c r="T47" i="65"/>
  <c r="AD47" i="65" s="1"/>
  <c r="V47" i="65"/>
  <c r="Y47" i="65"/>
  <c r="AF47" i="65"/>
  <c r="AG47" i="65" s="1"/>
  <c r="AH47" i="65"/>
  <c r="AI47" i="65" s="1"/>
  <c r="AK47" i="65"/>
  <c r="AM47" i="65"/>
  <c r="T48" i="65"/>
  <c r="AD48" i="65" s="1"/>
  <c r="V48" i="65"/>
  <c r="Y48" i="65"/>
  <c r="AE48" i="65"/>
  <c r="AF48" i="65"/>
  <c r="AG48" i="65" s="1"/>
  <c r="AK48" i="65"/>
  <c r="AM48" i="65"/>
  <c r="T49" i="65"/>
  <c r="AH49" i="65" s="1"/>
  <c r="AI49" i="65" s="1"/>
  <c r="V49" i="65"/>
  <c r="Y49" i="65"/>
  <c r="AF49" i="65"/>
  <c r="AG49" i="65" s="1"/>
  <c r="AK49" i="65"/>
  <c r="AM49" i="65"/>
  <c r="T50" i="65"/>
  <c r="AE50" i="65" s="1"/>
  <c r="V50" i="65"/>
  <c r="Y50" i="65"/>
  <c r="AF50" i="65"/>
  <c r="AG50" i="65" s="1"/>
  <c r="AK50" i="65"/>
  <c r="AM50" i="65"/>
  <c r="T51" i="65"/>
  <c r="AE51" i="65" s="1"/>
  <c r="V51" i="65"/>
  <c r="Y51" i="65"/>
  <c r="AF51" i="65"/>
  <c r="AG51" i="65" s="1"/>
  <c r="AK51" i="65"/>
  <c r="AM51" i="65"/>
  <c r="T52" i="65"/>
  <c r="V52" i="65"/>
  <c r="Y52" i="65"/>
  <c r="AD52" i="65"/>
  <c r="AE52" i="65"/>
  <c r="AF52" i="65"/>
  <c r="AG52" i="65" s="1"/>
  <c r="AH52" i="65"/>
  <c r="AI52" i="65" s="1"/>
  <c r="AK52" i="65"/>
  <c r="AM52" i="65"/>
  <c r="T53" i="65"/>
  <c r="V53" i="65"/>
  <c r="Y53" i="65"/>
  <c r="AF53" i="65"/>
  <c r="AG53" i="65" s="1"/>
  <c r="AK53" i="65"/>
  <c r="AM53" i="65"/>
  <c r="T54" i="65"/>
  <c r="V54" i="65"/>
  <c r="Y54" i="65"/>
  <c r="AF54" i="65"/>
  <c r="AG54" i="65"/>
  <c r="AK54" i="65"/>
  <c r="AM54" i="65"/>
  <c r="T55" i="65"/>
  <c r="AD55" i="65" s="1"/>
  <c r="V55" i="65"/>
  <c r="Y55" i="65"/>
  <c r="AF55" i="65"/>
  <c r="AG55" i="65" s="1"/>
  <c r="AK55" i="65"/>
  <c r="AM55" i="65"/>
  <c r="T56" i="65"/>
  <c r="AD56" i="65" s="1"/>
  <c r="V56" i="65"/>
  <c r="Y56" i="65"/>
  <c r="AE56" i="65"/>
  <c r="AF56" i="65"/>
  <c r="AG56" i="65" s="1"/>
  <c r="AK56" i="65"/>
  <c r="AM56" i="65"/>
  <c r="T57" i="65"/>
  <c r="V57" i="65"/>
  <c r="Y57" i="65"/>
  <c r="AF57" i="65"/>
  <c r="AG57" i="65" s="1"/>
  <c r="AK57" i="65"/>
  <c r="AM57" i="65"/>
  <c r="T58" i="65"/>
  <c r="V58" i="65"/>
  <c r="Y58" i="65"/>
  <c r="AF58" i="65"/>
  <c r="AG58" i="65" s="1"/>
  <c r="AK58" i="65"/>
  <c r="AM58" i="65"/>
  <c r="T59" i="65"/>
  <c r="AE59" i="65" s="1"/>
  <c r="V59" i="65"/>
  <c r="Y59" i="65"/>
  <c r="AF59" i="65"/>
  <c r="AG59" i="65" s="1"/>
  <c r="AK59" i="65"/>
  <c r="AM59" i="65"/>
  <c r="T60" i="65"/>
  <c r="V60" i="65"/>
  <c r="Y60" i="65"/>
  <c r="AF60" i="65"/>
  <c r="AG60" i="65" s="1"/>
  <c r="AK60" i="65"/>
  <c r="AM60" i="65"/>
  <c r="T61" i="65"/>
  <c r="AH61" i="65" s="1"/>
  <c r="AI61" i="65" s="1"/>
  <c r="V61" i="65"/>
  <c r="Y61" i="65"/>
  <c r="AF61" i="65"/>
  <c r="AG61" i="65" s="1"/>
  <c r="AK61" i="65"/>
  <c r="AM61" i="65"/>
  <c r="T62" i="65"/>
  <c r="AD62" i="65" s="1"/>
  <c r="V62" i="65"/>
  <c r="Y62" i="65"/>
  <c r="AF62" i="65"/>
  <c r="AG62" i="65" s="1"/>
  <c r="AK62" i="65"/>
  <c r="T63" i="65"/>
  <c r="AE63" i="65" s="1"/>
  <c r="V63" i="65"/>
  <c r="Y63" i="65"/>
  <c r="AF63" i="65"/>
  <c r="AG63" i="65" s="1"/>
  <c r="AK63" i="65"/>
  <c r="AM63" i="65"/>
  <c r="T64" i="65"/>
  <c r="AD64" i="65" s="1"/>
  <c r="V64" i="65"/>
  <c r="Y64" i="65"/>
  <c r="AF64" i="65"/>
  <c r="AG64" i="65" s="1"/>
  <c r="AH64" i="65"/>
  <c r="AI64" i="65" s="1"/>
  <c r="AK64" i="65"/>
  <c r="T65" i="65"/>
  <c r="AD65" i="65" s="1"/>
  <c r="V65" i="65"/>
  <c r="Y65" i="65"/>
  <c r="AF65" i="65"/>
  <c r="AG65" i="65"/>
  <c r="AH65" i="65"/>
  <c r="AI65" i="65" s="1"/>
  <c r="AK65" i="65"/>
  <c r="AM65" i="65"/>
  <c r="T66" i="65"/>
  <c r="AD66" i="65" s="1"/>
  <c r="V66" i="65"/>
  <c r="Y66" i="65"/>
  <c r="AF66" i="65"/>
  <c r="AG66" i="65" s="1"/>
  <c r="AH66" i="65"/>
  <c r="AI66" i="65" s="1"/>
  <c r="AK66" i="65"/>
  <c r="T67" i="65"/>
  <c r="AD67" i="65" s="1"/>
  <c r="V67" i="65"/>
  <c r="Y67" i="65"/>
  <c r="AF67" i="65"/>
  <c r="AG67" i="65" s="1"/>
  <c r="AK67" i="65"/>
  <c r="T68" i="65"/>
  <c r="V68" i="65"/>
  <c r="Y68" i="65"/>
  <c r="AF68" i="65"/>
  <c r="AG68" i="65" s="1"/>
  <c r="AK68" i="65"/>
  <c r="T69" i="65"/>
  <c r="AM69" i="65" s="1"/>
  <c r="V69" i="65"/>
  <c r="Y69" i="65"/>
  <c r="AF69" i="65"/>
  <c r="AG69" i="65" s="1"/>
  <c r="AK69" i="65"/>
  <c r="T70" i="65"/>
  <c r="AD70" i="65" s="1"/>
  <c r="V70" i="65"/>
  <c r="Y70" i="65"/>
  <c r="AF70" i="65"/>
  <c r="AG70" i="65" s="1"/>
  <c r="AK70" i="65"/>
  <c r="AM70" i="65"/>
  <c r="T71" i="65"/>
  <c r="V71" i="65"/>
  <c r="Y71" i="65"/>
  <c r="AF71" i="65"/>
  <c r="AG71" i="65" s="1"/>
  <c r="AK71" i="65"/>
  <c r="T72" i="65"/>
  <c r="AD72" i="65" s="1"/>
  <c r="V72" i="65"/>
  <c r="Y72" i="65"/>
  <c r="AF72" i="65"/>
  <c r="AG72" i="65" s="1"/>
  <c r="AK72" i="65"/>
  <c r="AM72" i="65"/>
  <c r="T73" i="65"/>
  <c r="AM73" i="65" s="1"/>
  <c r="V73" i="65"/>
  <c r="Y73" i="65"/>
  <c r="AF73" i="65"/>
  <c r="AG73" i="65" s="1"/>
  <c r="AH73" i="65"/>
  <c r="AI73" i="65" s="1"/>
  <c r="AK73" i="65"/>
  <c r="T74" i="65"/>
  <c r="AD74" i="65" s="1"/>
  <c r="V74" i="65"/>
  <c r="Y74" i="65"/>
  <c r="AF74" i="65"/>
  <c r="AG74" i="65" s="1"/>
  <c r="AH74" i="65"/>
  <c r="AI74" i="65" s="1"/>
  <c r="AK74" i="65"/>
  <c r="AM74" i="65"/>
  <c r="T75" i="65"/>
  <c r="AE75" i="65" s="1"/>
  <c r="V75" i="65"/>
  <c r="Y75" i="65"/>
  <c r="AF75" i="65"/>
  <c r="AG75" i="65" s="1"/>
  <c r="AH75" i="65"/>
  <c r="AI75" i="65" s="1"/>
  <c r="AK75" i="65"/>
  <c r="AM75" i="65"/>
  <c r="T76" i="65"/>
  <c r="AE76" i="65" s="1"/>
  <c r="AN76" i="65" s="1"/>
  <c r="V76" i="65"/>
  <c r="Y76" i="65"/>
  <c r="AD76" i="65"/>
  <c r="AF76" i="65"/>
  <c r="AG76" i="65" s="1"/>
  <c r="AH76" i="65"/>
  <c r="AI76" i="65" s="1"/>
  <c r="AK76" i="65"/>
  <c r="AM76" i="65"/>
  <c r="T77" i="65"/>
  <c r="V77" i="65"/>
  <c r="Y77" i="65"/>
  <c r="AF77" i="65"/>
  <c r="AG77" i="65" s="1"/>
  <c r="AK77" i="65"/>
  <c r="T78" i="65"/>
  <c r="AH78" i="65" s="1"/>
  <c r="AI78" i="65" s="1"/>
  <c r="V78" i="65"/>
  <c r="Y78" i="65"/>
  <c r="AF78" i="65"/>
  <c r="AG78" i="65" s="1"/>
  <c r="AK78" i="65"/>
  <c r="T79" i="65"/>
  <c r="V79" i="65"/>
  <c r="Y79" i="65"/>
  <c r="AF79" i="65"/>
  <c r="AG79" i="65" s="1"/>
  <c r="AK79" i="65"/>
  <c r="T80" i="65"/>
  <c r="V80" i="65"/>
  <c r="Y80" i="65"/>
  <c r="AF80" i="65"/>
  <c r="AG80" i="65" s="1"/>
  <c r="AK80" i="65"/>
  <c r="T81" i="65"/>
  <c r="AE81" i="65" s="1"/>
  <c r="V81" i="65"/>
  <c r="Y81" i="65"/>
  <c r="AF81" i="65"/>
  <c r="AG81" i="65" s="1"/>
  <c r="AK81" i="65"/>
  <c r="AM81" i="65"/>
  <c r="T82" i="65"/>
  <c r="AD82" i="65" s="1"/>
  <c r="V82" i="65"/>
  <c r="Y82" i="65"/>
  <c r="AE82" i="65"/>
  <c r="AF82" i="65"/>
  <c r="AG82" i="65" s="1"/>
  <c r="AH82" i="65"/>
  <c r="AI82" i="65" s="1"/>
  <c r="AK82" i="65"/>
  <c r="AM82" i="65"/>
  <c r="T83" i="65"/>
  <c r="AE83" i="65" s="1"/>
  <c r="V83" i="65"/>
  <c r="Y83" i="65"/>
  <c r="AD83" i="65"/>
  <c r="AF83" i="65"/>
  <c r="AG83" i="65" s="1"/>
  <c r="AK83" i="65"/>
  <c r="T84" i="65"/>
  <c r="AE84" i="65" s="1"/>
  <c r="V84" i="65"/>
  <c r="Y84" i="65"/>
  <c r="AF84" i="65"/>
  <c r="AG84" i="65" s="1"/>
  <c r="AK84" i="65"/>
  <c r="T85" i="65"/>
  <c r="AD85" i="65" s="1"/>
  <c r="V85" i="65"/>
  <c r="Y85" i="65"/>
  <c r="AF85" i="65"/>
  <c r="AG85" i="65" s="1"/>
  <c r="AH85" i="65"/>
  <c r="AI85" i="65" s="1"/>
  <c r="AK85" i="65"/>
  <c r="AM85" i="65"/>
  <c r="T86" i="65"/>
  <c r="V86" i="65"/>
  <c r="Y86" i="65"/>
  <c r="AF86" i="65"/>
  <c r="AG86" i="65"/>
  <c r="AK86" i="65"/>
  <c r="AM86" i="65"/>
  <c r="T87" i="65"/>
  <c r="AE87" i="65" s="1"/>
  <c r="V87" i="65"/>
  <c r="Y87" i="65"/>
  <c r="AF87" i="65"/>
  <c r="AG87" i="65" s="1"/>
  <c r="AK87" i="65"/>
  <c r="T88" i="65"/>
  <c r="AD88" i="65" s="1"/>
  <c r="V88" i="65"/>
  <c r="Y88" i="65"/>
  <c r="AF88" i="65"/>
  <c r="AG88" i="65" s="1"/>
  <c r="AH88" i="65"/>
  <c r="AI88" i="65" s="1"/>
  <c r="AK88" i="65"/>
  <c r="AM88" i="65"/>
  <c r="T89" i="65"/>
  <c r="V89" i="65"/>
  <c r="Y89" i="65"/>
  <c r="AF89" i="65"/>
  <c r="AG89" i="65" s="1"/>
  <c r="AK89" i="65"/>
  <c r="T90" i="65"/>
  <c r="AH90" i="65" s="1"/>
  <c r="AI90" i="65" s="1"/>
  <c r="V90" i="65"/>
  <c r="Y90" i="65"/>
  <c r="AF90" i="65"/>
  <c r="AG90" i="65" s="1"/>
  <c r="AK90" i="65"/>
  <c r="T91" i="65"/>
  <c r="AD91" i="65" s="1"/>
  <c r="V91" i="65"/>
  <c r="Y91" i="65"/>
  <c r="AF91" i="65"/>
  <c r="AG91" i="65" s="1"/>
  <c r="AK91" i="65"/>
  <c r="T92" i="65"/>
  <c r="V92" i="65"/>
  <c r="Y92" i="65"/>
  <c r="AF92" i="65"/>
  <c r="AG92" i="65" s="1"/>
  <c r="AK92" i="65"/>
  <c r="T93" i="65"/>
  <c r="AE93" i="65" s="1"/>
  <c r="V93" i="65"/>
  <c r="Y93" i="65"/>
  <c r="AF93" i="65"/>
  <c r="AG93" i="65"/>
  <c r="AK93" i="65"/>
  <c r="AM93" i="65"/>
  <c r="T94" i="65"/>
  <c r="AM94" i="65" s="1"/>
  <c r="V94" i="65"/>
  <c r="Y94" i="65"/>
  <c r="AD94" i="65"/>
  <c r="AF94" i="65"/>
  <c r="AG94" i="65" s="1"/>
  <c r="AK94" i="65"/>
  <c r="T95" i="65"/>
  <c r="AM95" i="65" s="1"/>
  <c r="V95" i="65"/>
  <c r="Y95" i="65"/>
  <c r="AF95" i="65"/>
  <c r="AG95" i="65" s="1"/>
  <c r="AK95" i="65"/>
  <c r="T96" i="65"/>
  <c r="AH96" i="65" s="1"/>
  <c r="V96" i="65"/>
  <c r="Y96" i="65"/>
  <c r="AF96" i="65"/>
  <c r="AG96" i="65" s="1"/>
  <c r="AI96" i="65"/>
  <c r="AK96" i="65"/>
  <c r="T97" i="65"/>
  <c r="AE97" i="65" s="1"/>
  <c r="V97" i="65"/>
  <c r="Y97" i="65"/>
  <c r="AF97" i="65"/>
  <c r="AG97" i="65" s="1"/>
  <c r="AK97" i="65"/>
  <c r="AM97" i="65"/>
  <c r="T98" i="65"/>
  <c r="AD98" i="65" s="1"/>
  <c r="V98" i="65"/>
  <c r="Y98" i="65"/>
  <c r="AF98" i="65"/>
  <c r="AG98" i="65" s="1"/>
  <c r="AK98" i="65"/>
  <c r="AM98" i="65"/>
  <c r="T99" i="65"/>
  <c r="AE99" i="65" s="1"/>
  <c r="V99" i="65"/>
  <c r="Y99" i="65"/>
  <c r="AF99" i="65"/>
  <c r="AG99" i="65" s="1"/>
  <c r="AK99" i="65"/>
  <c r="AM99" i="65"/>
  <c r="T100" i="65"/>
  <c r="AD100" i="65" s="1"/>
  <c r="V100" i="65"/>
  <c r="Y100" i="65"/>
  <c r="AE100" i="65"/>
  <c r="AF100" i="65"/>
  <c r="AG100" i="65" s="1"/>
  <c r="AK100" i="65"/>
  <c r="AM100" i="65"/>
  <c r="T101" i="65"/>
  <c r="AE101" i="65" s="1"/>
  <c r="V101" i="65"/>
  <c r="Y101" i="65"/>
  <c r="AF101" i="65"/>
  <c r="AG101" i="65" s="1"/>
  <c r="AK101" i="65"/>
  <c r="AM101" i="65"/>
  <c r="T102" i="65"/>
  <c r="AD102" i="65" s="1"/>
  <c r="V102" i="65"/>
  <c r="Y102" i="65"/>
  <c r="AF102" i="65"/>
  <c r="AG102" i="65" s="1"/>
  <c r="AH102" i="65"/>
  <c r="AI102" i="65" s="1"/>
  <c r="AK102" i="65"/>
  <c r="AM102" i="65"/>
  <c r="T103" i="65"/>
  <c r="AM103" i="65" s="1"/>
  <c r="V103" i="65"/>
  <c r="Y103" i="65"/>
  <c r="AF103" i="65"/>
  <c r="AG103" i="65" s="1"/>
  <c r="AK103" i="65"/>
  <c r="T104" i="65"/>
  <c r="AH104" i="65" s="1"/>
  <c r="AI104" i="65" s="1"/>
  <c r="V104" i="65"/>
  <c r="Y104" i="65"/>
  <c r="AF104" i="65"/>
  <c r="AG104" i="65" s="1"/>
  <c r="AK104" i="65"/>
  <c r="AM104" i="65"/>
  <c r="T105" i="65"/>
  <c r="AH105" i="65" s="1"/>
  <c r="AI105" i="65" s="1"/>
  <c r="V105" i="65"/>
  <c r="Y105" i="65"/>
  <c r="AF105" i="65"/>
  <c r="AG105" i="65" s="1"/>
  <c r="AK105" i="65"/>
  <c r="AM105" i="65"/>
  <c r="T106" i="65"/>
  <c r="AD106" i="65" s="1"/>
  <c r="V106" i="65"/>
  <c r="Y106" i="65"/>
  <c r="AF106" i="65"/>
  <c r="AG106" i="65" s="1"/>
  <c r="AK106" i="65"/>
  <c r="AM106" i="65"/>
  <c r="T107" i="65"/>
  <c r="AE107" i="65" s="1"/>
  <c r="V107" i="65"/>
  <c r="Y107" i="65"/>
  <c r="AF107" i="65"/>
  <c r="AG107" i="65" s="1"/>
  <c r="AK107" i="65"/>
  <c r="AM107" i="65"/>
  <c r="T108" i="65"/>
  <c r="AD108" i="65" s="1"/>
  <c r="V108" i="65"/>
  <c r="Y108" i="65"/>
  <c r="AE108" i="65"/>
  <c r="AF108" i="65"/>
  <c r="AG108" i="65" s="1"/>
  <c r="AL108" i="65" s="1"/>
  <c r="AH108" i="65"/>
  <c r="AI108" i="65" s="1"/>
  <c r="AK108" i="65"/>
  <c r="T109" i="65"/>
  <c r="AD109" i="65" s="1"/>
  <c r="V109" i="65"/>
  <c r="Y109" i="65"/>
  <c r="AF109" i="65"/>
  <c r="AG109" i="65" s="1"/>
  <c r="AK109" i="65"/>
  <c r="AM109" i="65"/>
  <c r="T110" i="65"/>
  <c r="AD110" i="65" s="1"/>
  <c r="V110" i="65"/>
  <c r="Y110" i="65"/>
  <c r="AE110" i="65"/>
  <c r="AF110" i="65"/>
  <c r="AG110" i="65" s="1"/>
  <c r="AK110" i="65"/>
  <c r="AM110" i="65"/>
  <c r="T111" i="65"/>
  <c r="AD111" i="65" s="1"/>
  <c r="V111" i="65"/>
  <c r="Y111" i="65"/>
  <c r="AF111" i="65"/>
  <c r="AG111" i="65" s="1"/>
  <c r="AH111" i="65"/>
  <c r="AI111" i="65" s="1"/>
  <c r="AK111" i="65"/>
  <c r="AM111" i="65"/>
  <c r="T112" i="65"/>
  <c r="AE112" i="65" s="1"/>
  <c r="V112" i="65"/>
  <c r="Y112" i="65"/>
  <c r="AD112" i="65"/>
  <c r="AF112" i="65"/>
  <c r="AG112" i="65" s="1"/>
  <c r="AK112" i="65"/>
  <c r="AM112" i="65"/>
  <c r="T113" i="65"/>
  <c r="AH113" i="65" s="1"/>
  <c r="AI113" i="65" s="1"/>
  <c r="V113" i="65"/>
  <c r="Y113" i="65"/>
  <c r="AF113" i="65"/>
  <c r="AG113" i="65" s="1"/>
  <c r="AK113" i="65"/>
  <c r="AM113" i="65"/>
  <c r="T114" i="65"/>
  <c r="V114" i="65"/>
  <c r="Y114" i="65"/>
  <c r="AF114" i="65"/>
  <c r="AG114" i="65" s="1"/>
  <c r="AK114" i="65"/>
  <c r="T115" i="65"/>
  <c r="V115" i="65"/>
  <c r="Y115" i="65"/>
  <c r="AF115" i="65"/>
  <c r="AG115" i="65" s="1"/>
  <c r="AK115" i="65"/>
  <c r="T116" i="65"/>
  <c r="AD116" i="65" s="1"/>
  <c r="V116" i="65"/>
  <c r="Y116" i="65"/>
  <c r="AF116" i="65"/>
  <c r="AG116" i="65" s="1"/>
  <c r="AH116" i="65"/>
  <c r="AI116" i="65" s="1"/>
  <c r="AK116" i="65"/>
  <c r="T117" i="65"/>
  <c r="AM117" i="65" s="1"/>
  <c r="V117" i="65"/>
  <c r="Y117" i="65"/>
  <c r="AE117" i="65"/>
  <c r="AF117" i="65"/>
  <c r="AG117" i="65" s="1"/>
  <c r="AH117" i="65"/>
  <c r="AI117" i="65" s="1"/>
  <c r="AK117" i="65"/>
  <c r="T118" i="65"/>
  <c r="V118" i="65"/>
  <c r="Y118" i="65"/>
  <c r="AF118" i="65"/>
  <c r="AG118" i="65" s="1"/>
  <c r="AK118" i="65"/>
  <c r="AM118" i="65"/>
  <c r="T119" i="65"/>
  <c r="AM119" i="65" s="1"/>
  <c r="V119" i="65"/>
  <c r="Y119" i="65"/>
  <c r="AF119" i="65"/>
  <c r="AG119" i="65" s="1"/>
  <c r="AK119" i="65"/>
  <c r="T120" i="65"/>
  <c r="AD120" i="65" s="1"/>
  <c r="V120" i="65"/>
  <c r="Y120" i="65"/>
  <c r="AF120" i="65"/>
  <c r="AG120" i="65" s="1"/>
  <c r="AK120" i="65"/>
  <c r="AM120" i="65"/>
  <c r="T121" i="65"/>
  <c r="AM121" i="65" s="1"/>
  <c r="V121" i="65"/>
  <c r="Y121" i="65"/>
  <c r="AF121" i="65"/>
  <c r="AG121" i="65" s="1"/>
  <c r="AK121" i="65"/>
  <c r="T122" i="65"/>
  <c r="V122" i="65"/>
  <c r="Y122" i="65"/>
  <c r="AD122" i="65"/>
  <c r="AE122" i="65"/>
  <c r="AF122" i="65"/>
  <c r="AG122" i="65" s="1"/>
  <c r="AH122" i="65"/>
  <c r="AI122" i="65"/>
  <c r="AK122" i="65"/>
  <c r="AM122" i="65"/>
  <c r="T123" i="65"/>
  <c r="AD123" i="65" s="1"/>
  <c r="V123" i="65"/>
  <c r="Y123" i="65"/>
  <c r="AE123" i="65"/>
  <c r="AF123" i="65"/>
  <c r="AG123" i="65" s="1"/>
  <c r="AH123" i="65"/>
  <c r="AI123" i="65" s="1"/>
  <c r="AK123" i="65"/>
  <c r="AM123" i="65"/>
  <c r="T124" i="65"/>
  <c r="AH124" i="65" s="1"/>
  <c r="AI124" i="65" s="1"/>
  <c r="V124" i="65"/>
  <c r="Y124" i="65"/>
  <c r="AF124" i="65"/>
  <c r="AG124" i="65" s="1"/>
  <c r="AK124" i="65"/>
  <c r="T125" i="65"/>
  <c r="AH125" i="65" s="1"/>
  <c r="AI125" i="65" s="1"/>
  <c r="V125" i="65"/>
  <c r="Y125" i="65"/>
  <c r="AF125" i="65"/>
  <c r="AG125" i="65" s="1"/>
  <c r="AK125" i="65"/>
  <c r="AM125" i="65"/>
  <c r="T126" i="65"/>
  <c r="AM126" i="65" s="1"/>
  <c r="V126" i="65"/>
  <c r="Y126" i="65"/>
  <c r="AF126" i="65"/>
  <c r="AG126" i="65" s="1"/>
  <c r="AK126" i="65"/>
  <c r="T127" i="65"/>
  <c r="V127" i="65"/>
  <c r="Y127" i="65"/>
  <c r="AF127" i="65"/>
  <c r="AG127" i="65" s="1"/>
  <c r="AK127" i="65"/>
  <c r="AM127" i="65"/>
  <c r="T128" i="65"/>
  <c r="AD128" i="65" s="1"/>
  <c r="V128" i="65"/>
  <c r="Y128" i="65"/>
  <c r="AF128" i="65"/>
  <c r="AG128" i="65"/>
  <c r="AK128" i="65"/>
  <c r="T129" i="65"/>
  <c r="AH129" i="65" s="1"/>
  <c r="AI129" i="65" s="1"/>
  <c r="V129" i="65"/>
  <c r="Y129" i="65"/>
  <c r="AD129" i="65"/>
  <c r="AE129" i="65"/>
  <c r="AF129" i="65"/>
  <c r="AG129" i="65" s="1"/>
  <c r="AK129" i="65"/>
  <c r="T130" i="65"/>
  <c r="V130" i="65"/>
  <c r="Y130" i="65"/>
  <c r="AF130" i="65"/>
  <c r="AG130" i="65" s="1"/>
  <c r="AK130" i="65"/>
  <c r="T131" i="65"/>
  <c r="AM131" i="65" s="1"/>
  <c r="V131" i="65"/>
  <c r="Y131" i="65"/>
  <c r="AF131" i="65"/>
  <c r="AG131" i="65" s="1"/>
  <c r="AK131" i="65"/>
  <c r="T132" i="65"/>
  <c r="AD132" i="65" s="1"/>
  <c r="V132" i="65"/>
  <c r="Y132" i="65"/>
  <c r="AF132" i="65"/>
  <c r="AG132" i="65" s="1"/>
  <c r="AK132" i="65"/>
  <c r="AM132" i="65"/>
  <c r="T133" i="65"/>
  <c r="V133" i="65"/>
  <c r="Y133" i="65"/>
  <c r="AF133" i="65"/>
  <c r="AG133" i="65" s="1"/>
  <c r="AK133" i="65"/>
  <c r="AM133" i="65"/>
  <c r="T134" i="65"/>
  <c r="AD134" i="65" s="1"/>
  <c r="V134" i="65"/>
  <c r="Y134" i="65"/>
  <c r="AE134" i="65"/>
  <c r="AF134" i="65"/>
  <c r="AG134" i="65" s="1"/>
  <c r="AK134" i="65"/>
  <c r="AM134" i="65"/>
  <c r="T135" i="65"/>
  <c r="AD135" i="65" s="1"/>
  <c r="V135" i="65"/>
  <c r="Y135" i="65"/>
  <c r="AE135" i="65"/>
  <c r="AF135" i="65"/>
  <c r="AG135" i="65" s="1"/>
  <c r="AH135" i="65"/>
  <c r="AI135" i="65" s="1"/>
  <c r="AK135" i="65"/>
  <c r="AM135" i="65"/>
  <c r="T136" i="65"/>
  <c r="AH136" i="65" s="1"/>
  <c r="AI136" i="65" s="1"/>
  <c r="V136" i="65"/>
  <c r="Y136" i="65"/>
  <c r="AF136" i="65"/>
  <c r="AG136" i="65" s="1"/>
  <c r="AK136" i="65"/>
  <c r="T137" i="65"/>
  <c r="AH137" i="65" s="1"/>
  <c r="AI137" i="65" s="1"/>
  <c r="V137" i="65"/>
  <c r="Y137" i="65"/>
  <c r="AF137" i="65"/>
  <c r="AG137" i="65" s="1"/>
  <c r="AJ137" i="65" s="1"/>
  <c r="AK137" i="65"/>
  <c r="AM137" i="65"/>
  <c r="T138" i="65"/>
  <c r="AD138" i="65" s="1"/>
  <c r="V138" i="65"/>
  <c r="Y138" i="65"/>
  <c r="AF138" i="65"/>
  <c r="AG138" i="65" s="1"/>
  <c r="AK138" i="65"/>
  <c r="AM138" i="65"/>
  <c r="T139" i="65"/>
  <c r="AH139" i="65" s="1"/>
  <c r="AI139" i="65" s="1"/>
  <c r="V139" i="65"/>
  <c r="Y139" i="65"/>
  <c r="AD139" i="65"/>
  <c r="AF139" i="65"/>
  <c r="AG139" i="65" s="1"/>
  <c r="AK139" i="65"/>
  <c r="AM139" i="65"/>
  <c r="T140" i="65"/>
  <c r="AD140" i="65" s="1"/>
  <c r="V140" i="65"/>
  <c r="Y140" i="65"/>
  <c r="AF140" i="65"/>
  <c r="AG140" i="65" s="1"/>
  <c r="AK140" i="65"/>
  <c r="AM140" i="65"/>
  <c r="T141" i="65"/>
  <c r="AD141" i="65" s="1"/>
  <c r="V141" i="65"/>
  <c r="Y141" i="65"/>
  <c r="AF141" i="65"/>
  <c r="AG141" i="65" s="1"/>
  <c r="AK141" i="65"/>
  <c r="AM141" i="65"/>
  <c r="T142" i="65"/>
  <c r="AD142" i="65" s="1"/>
  <c r="V142" i="65"/>
  <c r="Y142" i="65"/>
  <c r="AF142" i="65"/>
  <c r="AG142" i="65"/>
  <c r="AK142" i="65"/>
  <c r="AM142" i="65"/>
  <c r="T143" i="65"/>
  <c r="AD143" i="65" s="1"/>
  <c r="V143" i="65"/>
  <c r="Y143" i="65"/>
  <c r="AF143" i="65"/>
  <c r="AG143" i="65" s="1"/>
  <c r="AK143" i="65"/>
  <c r="AM143" i="65"/>
  <c r="T144" i="65"/>
  <c r="V144" i="65"/>
  <c r="Y144" i="65"/>
  <c r="AF144" i="65"/>
  <c r="AG144" i="65" s="1"/>
  <c r="AK144" i="65"/>
  <c r="AM144" i="65"/>
  <c r="T145" i="65"/>
  <c r="AH145" i="65" s="1"/>
  <c r="AI145" i="65" s="1"/>
  <c r="V145" i="65"/>
  <c r="Y145" i="65"/>
  <c r="AF145" i="65"/>
  <c r="AG145" i="65"/>
  <c r="AK145" i="65"/>
  <c r="AM145" i="65"/>
  <c r="T146" i="65"/>
  <c r="AD146" i="65" s="1"/>
  <c r="V146" i="65"/>
  <c r="Y146" i="65"/>
  <c r="AF146" i="65"/>
  <c r="AG146" i="65" s="1"/>
  <c r="AJ146" i="65" s="1"/>
  <c r="AH146" i="65"/>
  <c r="AI146" i="65" s="1"/>
  <c r="AK146" i="65"/>
  <c r="AM146" i="65"/>
  <c r="T147" i="65"/>
  <c r="AM147" i="65" s="1"/>
  <c r="V147" i="65"/>
  <c r="Y147" i="65"/>
  <c r="AF147" i="65"/>
  <c r="AG147" i="65" s="1"/>
  <c r="AK147" i="65"/>
  <c r="T148" i="65"/>
  <c r="AD148" i="65" s="1"/>
  <c r="V148" i="65"/>
  <c r="Y148" i="65"/>
  <c r="AF148" i="65"/>
  <c r="AG148" i="65" s="1"/>
  <c r="AK148" i="65"/>
  <c r="AM148" i="65"/>
  <c r="T149" i="65"/>
  <c r="AM149" i="65" s="1"/>
  <c r="V149" i="65"/>
  <c r="Y149" i="65"/>
  <c r="AF149" i="65"/>
  <c r="AG149" i="65" s="1"/>
  <c r="AH149" i="65"/>
  <c r="AI149" i="65" s="1"/>
  <c r="AK149" i="65"/>
  <c r="T150" i="65"/>
  <c r="AM150" i="65" s="1"/>
  <c r="V150" i="65"/>
  <c r="Y150" i="65"/>
  <c r="AF150" i="65"/>
  <c r="AG150" i="65" s="1"/>
  <c r="AK150" i="65"/>
  <c r="T151" i="65"/>
  <c r="AD151" i="65" s="1"/>
  <c r="V151" i="65"/>
  <c r="Y151" i="65"/>
  <c r="AF151" i="65"/>
  <c r="AG151" i="65" s="1"/>
  <c r="AK151" i="65"/>
  <c r="AM151" i="65"/>
  <c r="T152" i="65"/>
  <c r="AE152" i="65" s="1"/>
  <c r="V152" i="65"/>
  <c r="Y152" i="65"/>
  <c r="AF152" i="65"/>
  <c r="AG152" i="65" s="1"/>
  <c r="AK152" i="65"/>
  <c r="AM152" i="65"/>
  <c r="T153" i="65"/>
  <c r="AE153" i="65" s="1"/>
  <c r="V153" i="65"/>
  <c r="Y153" i="65"/>
  <c r="AD153" i="65"/>
  <c r="AF153" i="65"/>
  <c r="AG153" i="65" s="1"/>
  <c r="AK153" i="65"/>
  <c r="AM153" i="65"/>
  <c r="T154" i="65"/>
  <c r="AE154" i="65" s="1"/>
  <c r="V154" i="65"/>
  <c r="Y154" i="65"/>
  <c r="AD154" i="65"/>
  <c r="AF154" i="65"/>
  <c r="AG154" i="65" s="1"/>
  <c r="AK154" i="65"/>
  <c r="AM154" i="65"/>
  <c r="T155" i="65"/>
  <c r="AH155" i="65" s="1"/>
  <c r="AI155" i="65" s="1"/>
  <c r="V155" i="65"/>
  <c r="Y155" i="65"/>
  <c r="AF155" i="65"/>
  <c r="AG155" i="65" s="1"/>
  <c r="AK155" i="65"/>
  <c r="T156" i="65"/>
  <c r="AD156" i="65" s="1"/>
  <c r="V156" i="65"/>
  <c r="Y156" i="65"/>
  <c r="AF156" i="65"/>
  <c r="AG156" i="65" s="1"/>
  <c r="AK156" i="65"/>
  <c r="T157" i="65"/>
  <c r="AE157" i="65" s="1"/>
  <c r="V157" i="65"/>
  <c r="Y157" i="65"/>
  <c r="AF157" i="65"/>
  <c r="AG157" i="65" s="1"/>
  <c r="AK157" i="65"/>
  <c r="T158" i="65"/>
  <c r="AD158" i="65" s="1"/>
  <c r="V158" i="65"/>
  <c r="Y158" i="65"/>
  <c r="AF158" i="65"/>
  <c r="AG158" i="65" s="1"/>
  <c r="AK158" i="65"/>
  <c r="T159" i="65"/>
  <c r="AM159" i="65" s="1"/>
  <c r="V159" i="65"/>
  <c r="Y159" i="65"/>
  <c r="AF159" i="65"/>
  <c r="AG159" i="65"/>
  <c r="AK159" i="65"/>
  <c r="T160" i="65"/>
  <c r="V160" i="65"/>
  <c r="Y160" i="65"/>
  <c r="AF160" i="65"/>
  <c r="AG160" i="65" s="1"/>
  <c r="AK160" i="65"/>
  <c r="T161" i="65"/>
  <c r="AM161" i="65" s="1"/>
  <c r="V161" i="65"/>
  <c r="Y161" i="65"/>
  <c r="AF161" i="65"/>
  <c r="AG161" i="65" s="1"/>
  <c r="AK161" i="65"/>
  <c r="T162" i="65"/>
  <c r="AM162" i="65" s="1"/>
  <c r="V162" i="65"/>
  <c r="Y162" i="65"/>
  <c r="AF162" i="65"/>
  <c r="AG162" i="65"/>
  <c r="AK162" i="65"/>
  <c r="T163" i="65"/>
  <c r="AM163" i="65" s="1"/>
  <c r="V163" i="65"/>
  <c r="Y163" i="65"/>
  <c r="AF163" i="65"/>
  <c r="AG163" i="65" s="1"/>
  <c r="AK163" i="65"/>
  <c r="T164" i="65"/>
  <c r="AE164" i="65" s="1"/>
  <c r="V164" i="65"/>
  <c r="Y164" i="65"/>
  <c r="AF164" i="65"/>
  <c r="AG164" i="65"/>
  <c r="AK164" i="65"/>
  <c r="T165" i="65"/>
  <c r="AD165" i="65" s="1"/>
  <c r="V165" i="65"/>
  <c r="Y165" i="65"/>
  <c r="AF165" i="65"/>
  <c r="AG165" i="65" s="1"/>
  <c r="AH165" i="65"/>
  <c r="AI165" i="65" s="1"/>
  <c r="AK165" i="65"/>
  <c r="AM165" i="65"/>
  <c r="T166" i="65"/>
  <c r="AE166" i="65" s="1"/>
  <c r="V166" i="65"/>
  <c r="Y166" i="65"/>
  <c r="AF166" i="65"/>
  <c r="AG166" i="65" s="1"/>
  <c r="AK166" i="65"/>
  <c r="AM166" i="65"/>
  <c r="T167" i="65"/>
  <c r="AH167" i="65" s="1"/>
  <c r="AI167" i="65" s="1"/>
  <c r="V167" i="65"/>
  <c r="Y167" i="65"/>
  <c r="AF167" i="65"/>
  <c r="AG167" i="65" s="1"/>
  <c r="AJ167" i="65" s="1"/>
  <c r="AK167" i="65"/>
  <c r="AM167" i="65"/>
  <c r="T168" i="65"/>
  <c r="AH168" i="65" s="1"/>
  <c r="AI168" i="65" s="1"/>
  <c r="V168" i="65"/>
  <c r="Y168" i="65"/>
  <c r="AF168" i="65"/>
  <c r="AG168" i="65" s="1"/>
  <c r="AK168" i="65"/>
  <c r="T169" i="65"/>
  <c r="AD169" i="65" s="1"/>
  <c r="V169" i="65"/>
  <c r="Y169" i="65"/>
  <c r="AF169" i="65"/>
  <c r="AG169" i="65" s="1"/>
  <c r="AK169" i="65"/>
  <c r="T170" i="65"/>
  <c r="AE170" i="65" s="1"/>
  <c r="V170" i="65"/>
  <c r="Y170" i="65"/>
  <c r="AF170" i="65"/>
  <c r="AG170" i="65" s="1"/>
  <c r="AK170" i="65"/>
  <c r="T171" i="65"/>
  <c r="AM171" i="65" s="1"/>
  <c r="V171" i="65"/>
  <c r="Y171" i="65"/>
  <c r="AF171" i="65"/>
  <c r="AG171" i="65" s="1"/>
  <c r="AK171" i="65"/>
  <c r="T172" i="65"/>
  <c r="AM172" i="65" s="1"/>
  <c r="V172" i="65"/>
  <c r="Y172" i="65"/>
  <c r="AF172" i="65"/>
  <c r="AG172" i="65" s="1"/>
  <c r="AK172" i="65"/>
  <c r="T173" i="65"/>
  <c r="AM173" i="65" s="1"/>
  <c r="V173" i="65"/>
  <c r="Y173" i="65"/>
  <c r="AF173" i="65"/>
  <c r="AG173" i="65" s="1"/>
  <c r="AK173" i="65"/>
  <c r="T174" i="65"/>
  <c r="AE174" i="65" s="1"/>
  <c r="V174" i="65"/>
  <c r="Y174" i="65"/>
  <c r="AF174" i="65"/>
  <c r="AG174" i="65" s="1"/>
  <c r="AK174" i="65"/>
  <c r="T175" i="65"/>
  <c r="V175" i="65"/>
  <c r="Y175" i="65"/>
  <c r="AF175" i="65"/>
  <c r="AG175" i="65" s="1"/>
  <c r="AH175" i="65"/>
  <c r="AI175" i="65" s="1"/>
  <c r="AK175" i="65"/>
  <c r="T176" i="65"/>
  <c r="AE176" i="65" s="1"/>
  <c r="V176" i="65"/>
  <c r="Y176" i="65"/>
  <c r="AF176" i="65"/>
  <c r="AG176" i="65" s="1"/>
  <c r="AK176" i="65"/>
  <c r="AM176" i="65"/>
  <c r="T177" i="65"/>
  <c r="AD177" i="65" s="1"/>
  <c r="V177" i="65"/>
  <c r="Y177" i="65"/>
  <c r="AF177" i="65"/>
  <c r="AG177" i="65" s="1"/>
  <c r="AH177" i="65"/>
  <c r="AI177" i="65" s="1"/>
  <c r="AK177" i="65"/>
  <c r="AM177" i="65"/>
  <c r="T178" i="65"/>
  <c r="AD178" i="65" s="1"/>
  <c r="V178" i="65"/>
  <c r="Y178" i="65"/>
  <c r="AF178" i="65"/>
  <c r="AG178" i="65" s="1"/>
  <c r="AK178" i="65"/>
  <c r="AM178" i="65"/>
  <c r="T179" i="65"/>
  <c r="AH179" i="65" s="1"/>
  <c r="AI179" i="65" s="1"/>
  <c r="V179" i="65"/>
  <c r="Y179" i="65"/>
  <c r="AF179" i="65"/>
  <c r="AG179" i="65"/>
  <c r="AK179" i="65"/>
  <c r="T180" i="65"/>
  <c r="AD180" i="65" s="1"/>
  <c r="V180" i="65"/>
  <c r="Y180" i="65"/>
  <c r="AF180" i="65"/>
  <c r="AG180" i="65" s="1"/>
  <c r="AH180" i="65"/>
  <c r="AI180" i="65" s="1"/>
  <c r="AK180" i="65"/>
  <c r="AM180" i="65"/>
  <c r="T181" i="65"/>
  <c r="AD181" i="65" s="1"/>
  <c r="V181" i="65"/>
  <c r="Y181" i="65"/>
  <c r="AF181" i="65"/>
  <c r="AG181" i="65" s="1"/>
  <c r="AK181" i="65"/>
  <c r="AM181" i="65"/>
  <c r="AA5" i="34" l="1"/>
  <c r="AC5" i="34" s="1"/>
  <c r="AP5" i="34" s="1"/>
  <c r="Z5" i="34"/>
  <c r="AB5" i="34" s="1"/>
  <c r="AO5" i="34" s="1"/>
  <c r="R54" i="67"/>
  <c r="Q54" i="67"/>
  <c r="AL40" i="70"/>
  <c r="AL41" i="70"/>
  <c r="AN24" i="70"/>
  <c r="AJ42" i="70"/>
  <c r="AN36" i="70"/>
  <c r="AL26" i="70"/>
  <c r="AJ39" i="70"/>
  <c r="AN105" i="22"/>
  <c r="AL34" i="70"/>
  <c r="AJ30" i="70"/>
  <c r="AN50" i="69"/>
  <c r="AJ59" i="69"/>
  <c r="AN48" i="69"/>
  <c r="AJ48" i="69"/>
  <c r="AN53" i="69"/>
  <c r="AN38" i="69"/>
  <c r="AN59" i="69"/>
  <c r="AN47" i="69"/>
  <c r="AL122" i="65"/>
  <c r="AE111" i="65"/>
  <c r="AN111" i="65" s="1"/>
  <c r="AN110" i="65"/>
  <c r="AD164" i="65"/>
  <c r="AM128" i="65"/>
  <c r="AM116" i="65"/>
  <c r="AE171" i="65"/>
  <c r="AM136" i="65"/>
  <c r="AE173" i="65"/>
  <c r="AE167" i="65"/>
  <c r="AH128" i="65"/>
  <c r="AI128" i="65" s="1"/>
  <c r="AJ128" i="65" s="1"/>
  <c r="AD167" i="65"/>
  <c r="AJ125" i="65"/>
  <c r="AM168" i="65"/>
  <c r="AL165" i="65"/>
  <c r="AM155" i="65"/>
  <c r="AH152" i="65"/>
  <c r="AI152" i="65" s="1"/>
  <c r="AJ136" i="65"/>
  <c r="AM129" i="65"/>
  <c r="AM124" i="65"/>
  <c r="AE116" i="65"/>
  <c r="AH101" i="65"/>
  <c r="AI101" i="65" s="1"/>
  <c r="AJ101" i="65" s="1"/>
  <c r="AH176" i="65"/>
  <c r="AI176" i="65" s="1"/>
  <c r="AL176" i="65" s="1"/>
  <c r="AM170" i="65"/>
  <c r="AN153" i="65"/>
  <c r="AD136" i="65"/>
  <c r="AE128" i="65"/>
  <c r="AJ102" i="65"/>
  <c r="AH161" i="65"/>
  <c r="AI161" i="65" s="1"/>
  <c r="AH150" i="65"/>
  <c r="AI150" i="65" s="1"/>
  <c r="AE131" i="65"/>
  <c r="AN131" i="65" s="1"/>
  <c r="AN123" i="65"/>
  <c r="AM108" i="65"/>
  <c r="AN108" i="65" s="1"/>
  <c r="AD101" i="65"/>
  <c r="AN101" i="65" s="1"/>
  <c r="AD176" i="65"/>
  <c r="AH174" i="65"/>
  <c r="AI174" i="65" s="1"/>
  <c r="AL174" i="65" s="1"/>
  <c r="AH153" i="65"/>
  <c r="AI153" i="65" s="1"/>
  <c r="AD152" i="65"/>
  <c r="AH148" i="65"/>
  <c r="AI148" i="65" s="1"/>
  <c r="AE139" i="65"/>
  <c r="AH134" i="65"/>
  <c r="AI134" i="65" s="1"/>
  <c r="AL134" i="65" s="1"/>
  <c r="AD131" i="65"/>
  <c r="AE124" i="65"/>
  <c r="AM164" i="65"/>
  <c r="AN164" i="65" s="1"/>
  <c r="AD161" i="65"/>
  <c r="AE159" i="65"/>
  <c r="AN139" i="65"/>
  <c r="AN155" i="3"/>
  <c r="AL170" i="3"/>
  <c r="AJ222" i="3"/>
  <c r="AL222" i="3"/>
  <c r="AL252" i="3"/>
  <c r="AL332" i="3"/>
  <c r="AJ112" i="3"/>
  <c r="AJ210" i="3"/>
  <c r="AJ220" i="3"/>
  <c r="AL49" i="3"/>
  <c r="AL152" i="3"/>
  <c r="AJ282" i="3"/>
  <c r="AN334" i="3"/>
  <c r="AL288" i="3"/>
  <c r="AJ62" i="3"/>
  <c r="AL62" i="3"/>
  <c r="AJ176" i="3"/>
  <c r="AL176" i="3"/>
  <c r="AJ100" i="3"/>
  <c r="AN142" i="3"/>
  <c r="AL99" i="3"/>
  <c r="AL183" i="3"/>
  <c r="AL189" i="3"/>
  <c r="AJ296" i="3"/>
  <c r="AL315" i="3"/>
  <c r="AL254" i="3"/>
  <c r="AJ336" i="3"/>
  <c r="AL336" i="3"/>
  <c r="AN344" i="3"/>
  <c r="AJ74" i="3"/>
  <c r="AL74" i="3"/>
  <c r="AJ126" i="3"/>
  <c r="AL126" i="3"/>
  <c r="AL70" i="3"/>
  <c r="AL120" i="3"/>
  <c r="AJ173" i="3"/>
  <c r="AL173" i="3"/>
  <c r="AL86" i="3"/>
  <c r="AJ86" i="3"/>
  <c r="AL261" i="3"/>
  <c r="AL228" i="3"/>
  <c r="AL249" i="3"/>
  <c r="AJ308" i="3"/>
  <c r="AL328" i="3"/>
  <c r="AL105" i="3"/>
  <c r="AN131" i="3"/>
  <c r="AN154" i="3"/>
  <c r="AN316" i="3"/>
  <c r="AN67" i="3"/>
  <c r="AL54" i="3"/>
  <c r="AL201" i="3"/>
  <c r="AN228" i="3"/>
  <c r="AL216" i="3"/>
  <c r="AL329" i="3"/>
  <c r="AJ164" i="3"/>
  <c r="AL213" i="3"/>
  <c r="AL242" i="3"/>
  <c r="AL266" i="3"/>
  <c r="AJ82" i="3"/>
  <c r="AL82" i="3"/>
  <c r="AJ61" i="3"/>
  <c r="AN143" i="3"/>
  <c r="AN254" i="3"/>
  <c r="AN343" i="3"/>
  <c r="AJ96" i="65"/>
  <c r="AH94" i="65"/>
  <c r="AI94" i="65" s="1"/>
  <c r="AM90" i="65"/>
  <c r="AD87" i="65"/>
  <c r="AL74" i="65"/>
  <c r="AM66" i="65"/>
  <c r="AD43" i="65"/>
  <c r="AN10" i="65"/>
  <c r="AH51" i="65"/>
  <c r="AI51" i="65" s="1"/>
  <c r="AH44" i="65"/>
  <c r="AI44" i="65" s="1"/>
  <c r="AL44" i="65" s="1"/>
  <c r="AH32" i="65"/>
  <c r="AI32" i="65" s="1"/>
  <c r="AE94" i="65"/>
  <c r="AN94" i="65" s="1"/>
  <c r="AJ88" i="65"/>
  <c r="AM37" i="65"/>
  <c r="AD19" i="65"/>
  <c r="AE88" i="65"/>
  <c r="AL66" i="65"/>
  <c r="AM10" i="65"/>
  <c r="AE66" i="65"/>
  <c r="AM64" i="65"/>
  <c r="AD63" i="65"/>
  <c r="AH37" i="65"/>
  <c r="AI37" i="65" s="1"/>
  <c r="AL37" i="65" s="1"/>
  <c r="AD28" i="65"/>
  <c r="AN28" i="65" s="1"/>
  <c r="AM84" i="65"/>
  <c r="AM67" i="65"/>
  <c r="AM35" i="65"/>
  <c r="AH10" i="65"/>
  <c r="AI10" i="65" s="1"/>
  <c r="AM78" i="65"/>
  <c r="AH69" i="65"/>
  <c r="AI69" i="65" s="1"/>
  <c r="AJ64" i="65"/>
  <c r="AE61" i="65"/>
  <c r="AN61" i="65" s="1"/>
  <c r="AE37" i="65"/>
  <c r="AM31" i="65"/>
  <c r="AM87" i="65"/>
  <c r="AN87" i="65" s="1"/>
  <c r="AN66" i="65"/>
  <c r="AD61" i="65"/>
  <c r="AH35" i="65"/>
  <c r="AI35" i="65" s="1"/>
  <c r="AM29" i="65"/>
  <c r="AM25" i="65"/>
  <c r="AE13" i="65"/>
  <c r="AM96" i="65"/>
  <c r="AD69" i="65"/>
  <c r="AE64" i="65"/>
  <c r="AM62" i="65"/>
  <c r="AH48" i="65"/>
  <c r="AI48" i="65" s="1"/>
  <c r="AL48" i="65" s="1"/>
  <c r="AE40" i="65"/>
  <c r="AN40" i="65" s="1"/>
  <c r="AD13" i="65"/>
  <c r="AN13" i="65" s="1"/>
  <c r="AE10" i="65"/>
  <c r="AH8" i="65"/>
  <c r="AI8" i="65" s="1"/>
  <c r="AH87" i="65"/>
  <c r="AI87" i="65" s="1"/>
  <c r="AE31" i="65"/>
  <c r="AH23" i="65"/>
  <c r="AI23" i="65" s="1"/>
  <c r="AH11" i="65"/>
  <c r="AI11" i="65" s="1"/>
  <c r="AM6" i="65"/>
  <c r="AN5" i="65"/>
  <c r="AJ16" i="65"/>
  <c r="AL16" i="65"/>
  <c r="AJ152" i="65"/>
  <c r="AN135" i="65"/>
  <c r="AJ177" i="65"/>
  <c r="AJ135" i="65"/>
  <c r="AL135" i="65"/>
  <c r="AJ76" i="65"/>
  <c r="AL64" i="65"/>
  <c r="AN47" i="65"/>
  <c r="AL31" i="65"/>
  <c r="AL149" i="65"/>
  <c r="AJ149" i="65"/>
  <c r="AN48" i="65"/>
  <c r="AJ150" i="65"/>
  <c r="AH171" i="65"/>
  <c r="AI171" i="65" s="1"/>
  <c r="AJ171" i="65" s="1"/>
  <c r="AD170" i="65"/>
  <c r="AN170" i="65" s="1"/>
  <c r="AH164" i="65"/>
  <c r="AI164" i="65" s="1"/>
  <c r="AJ164" i="65" s="1"/>
  <c r="AH159" i="65"/>
  <c r="AI159" i="65" s="1"/>
  <c r="AJ159" i="65" s="1"/>
  <c r="AH142" i="65"/>
  <c r="AI142" i="65" s="1"/>
  <c r="AH110" i="65"/>
  <c r="AI110" i="65" s="1"/>
  <c r="AL110" i="65" s="1"/>
  <c r="AH100" i="65"/>
  <c r="AI100" i="65" s="1"/>
  <c r="AH99" i="65"/>
  <c r="AI99" i="65" s="1"/>
  <c r="AD81" i="65"/>
  <c r="AN81" i="65" s="1"/>
  <c r="AD59" i="65"/>
  <c r="AN59" i="65" s="1"/>
  <c r="AD25" i="65"/>
  <c r="AL167" i="65"/>
  <c r="AH162" i="65"/>
  <c r="AI162" i="65" s="1"/>
  <c r="AJ162" i="65" s="1"/>
  <c r="AN154" i="65"/>
  <c r="AL150" i="65"/>
  <c r="AH143" i="65"/>
  <c r="AI143" i="65" s="1"/>
  <c r="AL143" i="65" s="1"/>
  <c r="AD119" i="65"/>
  <c r="AE106" i="65"/>
  <c r="AD99" i="65"/>
  <c r="AN99" i="65" s="1"/>
  <c r="AE98" i="65"/>
  <c r="AH95" i="65"/>
  <c r="AI95" i="65" s="1"/>
  <c r="AL95" i="65" s="1"/>
  <c r="AH29" i="65"/>
  <c r="AI29" i="65" s="1"/>
  <c r="AJ29" i="65" s="1"/>
  <c r="AL99" i="65"/>
  <c r="AL102" i="65"/>
  <c r="AH181" i="65"/>
  <c r="AI181" i="65" s="1"/>
  <c r="AL181" i="65" s="1"/>
  <c r="AE180" i="65"/>
  <c r="AN180" i="65" s="1"/>
  <c r="AE177" i="65"/>
  <c r="AN177" i="65" s="1"/>
  <c r="AH172" i="65"/>
  <c r="AI172" i="65" s="1"/>
  <c r="AL172" i="65" s="1"/>
  <c r="AE165" i="65"/>
  <c r="AN165" i="65" s="1"/>
  <c r="AH140" i="65"/>
  <c r="AI140" i="65" s="1"/>
  <c r="AH120" i="65"/>
  <c r="AI120" i="65" s="1"/>
  <c r="AL120" i="65" s="1"/>
  <c r="AD117" i="65"/>
  <c r="AD107" i="65"/>
  <c r="AN107" i="65" s="1"/>
  <c r="AD95" i="65"/>
  <c r="AL52" i="65"/>
  <c r="AE47" i="65"/>
  <c r="AL38" i="65"/>
  <c r="AD32" i="65"/>
  <c r="AN32" i="65" s="1"/>
  <c r="AE29" i="65"/>
  <c r="AN29" i="65" s="1"/>
  <c r="AD20" i="65"/>
  <c r="AH178" i="65"/>
  <c r="AI178" i="65" s="1"/>
  <c r="AJ178" i="65" s="1"/>
  <c r="AE162" i="65"/>
  <c r="AH147" i="65"/>
  <c r="AI147" i="65" s="1"/>
  <c r="AJ147" i="65" s="1"/>
  <c r="AE143" i="65"/>
  <c r="AN143" i="65" s="1"/>
  <c r="AL137" i="65"/>
  <c r="AL75" i="65"/>
  <c r="AN64" i="65"/>
  <c r="AH55" i="65"/>
  <c r="AI55" i="65" s="1"/>
  <c r="AL55" i="65" s="1"/>
  <c r="AD51" i="65"/>
  <c r="AE41" i="65"/>
  <c r="AN41" i="65" s="1"/>
  <c r="AN25" i="65"/>
  <c r="AE169" i="65"/>
  <c r="AD166" i="65"/>
  <c r="AE155" i="65"/>
  <c r="AL152" i="65"/>
  <c r="AE150" i="65"/>
  <c r="AL139" i="65"/>
  <c r="AJ129" i="65"/>
  <c r="AD124" i="65"/>
  <c r="AE78" i="65"/>
  <c r="AH70" i="65"/>
  <c r="AI70" i="65" s="1"/>
  <c r="AH67" i="65"/>
  <c r="AI67" i="65" s="1"/>
  <c r="AJ66" i="65"/>
  <c r="AH24" i="65"/>
  <c r="AI24" i="65" s="1"/>
  <c r="AJ24" i="65" s="1"/>
  <c r="AJ165" i="65"/>
  <c r="AE181" i="65"/>
  <c r="AN181" i="65" s="1"/>
  <c r="AD172" i="65"/>
  <c r="AD155" i="65"/>
  <c r="AE120" i="65"/>
  <c r="AN88" i="65"/>
  <c r="AD78" i="65"/>
  <c r="AE72" i="65"/>
  <c r="AJ100" i="65"/>
  <c r="AN166" i="65"/>
  <c r="AH170" i="65"/>
  <c r="AI170" i="65" s="1"/>
  <c r="AJ170" i="65" s="1"/>
  <c r="AE147" i="65"/>
  <c r="AH141" i="65"/>
  <c r="AI141" i="65" s="1"/>
  <c r="AJ141" i="65" s="1"/>
  <c r="AN134" i="65"/>
  <c r="AN122" i="65"/>
  <c r="AE102" i="65"/>
  <c r="AN102" i="65" s="1"/>
  <c r="AD96" i="65"/>
  <c r="AD75" i="65"/>
  <c r="AN75" i="65" s="1"/>
  <c r="AE67" i="65"/>
  <c r="AN67" i="65" s="1"/>
  <c r="AH62" i="65"/>
  <c r="AI62" i="65" s="1"/>
  <c r="AL62" i="65" s="1"/>
  <c r="AH59" i="65"/>
  <c r="AI59" i="65" s="1"/>
  <c r="AH56" i="65"/>
  <c r="AI56" i="65" s="1"/>
  <c r="AL56" i="65" s="1"/>
  <c r="AE55" i="65"/>
  <c r="AN55" i="65" s="1"/>
  <c r="AE49" i="65"/>
  <c r="AN43" i="65"/>
  <c r="AN37" i="65"/>
  <c r="AE35" i="65"/>
  <c r="AN35" i="65" s="1"/>
  <c r="AE33" i="65"/>
  <c r="AN31" i="65"/>
  <c r="AH25" i="65"/>
  <c r="AI25" i="65" s="1"/>
  <c r="AJ25" i="65" s="1"/>
  <c r="AD24" i="65"/>
  <c r="AE21" i="65"/>
  <c r="AN19" i="65"/>
  <c r="AN12" i="65"/>
  <c r="AN11" i="65"/>
  <c r="AN176" i="65"/>
  <c r="AH173" i="65"/>
  <c r="AI173" i="65" s="1"/>
  <c r="AE156" i="65"/>
  <c r="AH151" i="65"/>
  <c r="AI151" i="65" s="1"/>
  <c r="AL151" i="65" s="1"/>
  <c r="AH138" i="65"/>
  <c r="AI138" i="65" s="1"/>
  <c r="AE125" i="65"/>
  <c r="AL124" i="65"/>
  <c r="AE113" i="65"/>
  <c r="AE105" i="65"/>
  <c r="AN105" i="65" s="1"/>
  <c r="AN100" i="65"/>
  <c r="AH93" i="65"/>
  <c r="AI93" i="65" s="1"/>
  <c r="AJ93" i="65" s="1"/>
  <c r="AE90" i="65"/>
  <c r="AH81" i="65"/>
  <c r="AI81" i="65" s="1"/>
  <c r="AJ81" i="65" s="1"/>
  <c r="AE70" i="65"/>
  <c r="AN70" i="65" s="1"/>
  <c r="AD49" i="65"/>
  <c r="AN49" i="65" s="1"/>
  <c r="AH36" i="65"/>
  <c r="AI36" i="65" s="1"/>
  <c r="AJ36" i="65" s="1"/>
  <c r="AN23" i="65"/>
  <c r="AH6" i="65"/>
  <c r="AI6" i="65" s="1"/>
  <c r="AJ6" i="65" s="1"/>
  <c r="AJ17" i="65"/>
  <c r="AJ161" i="65"/>
  <c r="AJ151" i="65"/>
  <c r="AD125" i="65"/>
  <c r="AD113" i="65"/>
  <c r="AN113" i="65" s="1"/>
  <c r="AD105" i="65"/>
  <c r="AL100" i="65"/>
  <c r="AJ99" i="65"/>
  <c r="AD97" i="65"/>
  <c r="AN97" i="65" s="1"/>
  <c r="AD90" i="65"/>
  <c r="AE62" i="65"/>
  <c r="AN44" i="65"/>
  <c r="AH28" i="65"/>
  <c r="AI28" i="65" s="1"/>
  <c r="AL28" i="65" s="1"/>
  <c r="AJ69" i="65"/>
  <c r="AN167" i="65"/>
  <c r="AL148" i="65"/>
  <c r="AL136" i="65"/>
  <c r="AH106" i="65"/>
  <c r="AI106" i="65" s="1"/>
  <c r="AH98" i="65"/>
  <c r="AI98" i="65" s="1"/>
  <c r="AJ98" i="65" s="1"/>
  <c r="AH91" i="65"/>
  <c r="AI91" i="65" s="1"/>
  <c r="AJ91" i="65" s="1"/>
  <c r="AH63" i="65"/>
  <c r="AI63" i="65" s="1"/>
  <c r="AL40" i="65"/>
  <c r="AD36" i="65"/>
  <c r="AN36" i="65" s="1"/>
  <c r="AJ180" i="65"/>
  <c r="AL180" i="65"/>
  <c r="AL171" i="65"/>
  <c r="AJ172" i="65"/>
  <c r="AL175" i="65"/>
  <c r="AJ175" i="65"/>
  <c r="AL179" i="65"/>
  <c r="AJ179" i="65"/>
  <c r="AJ174" i="65"/>
  <c r="AL173" i="65"/>
  <c r="AJ173" i="65"/>
  <c r="AM158" i="65"/>
  <c r="AE158" i="65"/>
  <c r="AJ153" i="65"/>
  <c r="AL153" i="65"/>
  <c r="AD175" i="65"/>
  <c r="AE175" i="65"/>
  <c r="AD163" i="65"/>
  <c r="AN163" i="65" s="1"/>
  <c r="AE163" i="65"/>
  <c r="AH163" i="65"/>
  <c r="AI163" i="65" s="1"/>
  <c r="AL163" i="65" s="1"/>
  <c r="AH144" i="65"/>
  <c r="AI144" i="65" s="1"/>
  <c r="AJ144" i="65" s="1"/>
  <c r="AD144" i="65"/>
  <c r="AE144" i="65"/>
  <c r="AJ145" i="65"/>
  <c r="AL145" i="65"/>
  <c r="AE178" i="65"/>
  <c r="AN178" i="65" s="1"/>
  <c r="AM160" i="65"/>
  <c r="AD160" i="65"/>
  <c r="AE160" i="65"/>
  <c r="AJ168" i="65"/>
  <c r="AL168" i="65"/>
  <c r="AE179" i="65"/>
  <c r="AD173" i="65"/>
  <c r="AN173" i="65" s="1"/>
  <c r="AD171" i="65"/>
  <c r="AN171" i="65" s="1"/>
  <c r="AE168" i="65"/>
  <c r="AH158" i="65"/>
  <c r="AI158" i="65" s="1"/>
  <c r="AJ158" i="65" s="1"/>
  <c r="AD133" i="65"/>
  <c r="AE133" i="65"/>
  <c r="AH133" i="65"/>
  <c r="AI133" i="65" s="1"/>
  <c r="AJ133" i="65" s="1"/>
  <c r="AD179" i="65"/>
  <c r="AL177" i="65"/>
  <c r="AD168" i="65"/>
  <c r="AM174" i="65"/>
  <c r="AD174" i="65"/>
  <c r="AH156" i="65"/>
  <c r="AI156" i="65" s="1"/>
  <c r="AJ156" i="65" s="1"/>
  <c r="AM156" i="65"/>
  <c r="AJ155" i="65"/>
  <c r="AL155" i="65"/>
  <c r="AJ142" i="65"/>
  <c r="AL142" i="65"/>
  <c r="AN129" i="65"/>
  <c r="AJ154" i="65"/>
  <c r="AJ181" i="65"/>
  <c r="AL161" i="65"/>
  <c r="AH160" i="65"/>
  <c r="AI160" i="65" s="1"/>
  <c r="AJ160" i="65" s="1"/>
  <c r="AJ138" i="65"/>
  <c r="AL138" i="65"/>
  <c r="AM179" i="65"/>
  <c r="AM175" i="65"/>
  <c r="AE172" i="65"/>
  <c r="AN172" i="65" s="1"/>
  <c r="AH169" i="65"/>
  <c r="AI169" i="65" s="1"/>
  <c r="AJ169" i="65" s="1"/>
  <c r="AM169" i="65"/>
  <c r="AH157" i="65"/>
  <c r="AI157" i="65" s="1"/>
  <c r="AJ157" i="65" s="1"/>
  <c r="AM157" i="65"/>
  <c r="AD157" i="65"/>
  <c r="AN152" i="65"/>
  <c r="AJ148" i="65"/>
  <c r="AH126" i="65"/>
  <c r="AI126" i="65" s="1"/>
  <c r="AJ126" i="65" s="1"/>
  <c r="AD126" i="65"/>
  <c r="AE126" i="65"/>
  <c r="AL140" i="65"/>
  <c r="AJ117" i="65"/>
  <c r="AL117" i="65"/>
  <c r="AJ116" i="65"/>
  <c r="AL116" i="65"/>
  <c r="AJ113" i="65"/>
  <c r="AL113" i="65"/>
  <c r="AE145" i="65"/>
  <c r="AM130" i="65"/>
  <c r="AH130" i="65"/>
  <c r="AI130" i="65" s="1"/>
  <c r="AJ130" i="65" s="1"/>
  <c r="AH127" i="65"/>
  <c r="AI127" i="65" s="1"/>
  <c r="AL127" i="65" s="1"/>
  <c r="AE127" i="65"/>
  <c r="AH114" i="65"/>
  <c r="AI114" i="65" s="1"/>
  <c r="AJ114" i="65" s="1"/>
  <c r="AM114" i="65"/>
  <c r="AD114" i="65"/>
  <c r="AE146" i="65"/>
  <c r="AN146" i="65" s="1"/>
  <c r="AD145" i="65"/>
  <c r="AE140" i="65"/>
  <c r="AN140" i="65" s="1"/>
  <c r="AE137" i="65"/>
  <c r="AL125" i="65"/>
  <c r="AJ120" i="65"/>
  <c r="AJ85" i="65"/>
  <c r="AL85" i="65"/>
  <c r="AD137" i="65"/>
  <c r="AN112" i="65"/>
  <c r="AJ108" i="65"/>
  <c r="AD159" i="65"/>
  <c r="AN159" i="65" s="1"/>
  <c r="AE148" i="65"/>
  <c r="AN148" i="65" s="1"/>
  <c r="AD147" i="65"/>
  <c r="AL141" i="65"/>
  <c r="AH92" i="65"/>
  <c r="AI92" i="65" s="1"/>
  <c r="AD92" i="65"/>
  <c r="AM92" i="65"/>
  <c r="AE92" i="65"/>
  <c r="AJ90" i="65"/>
  <c r="AE161" i="65"/>
  <c r="AE149" i="65"/>
  <c r="AH132" i="65"/>
  <c r="AI132" i="65" s="1"/>
  <c r="AJ132" i="65" s="1"/>
  <c r="AE130" i="65"/>
  <c r="AH115" i="65"/>
  <c r="AI115" i="65" s="1"/>
  <c r="AJ115" i="65" s="1"/>
  <c r="AM115" i="65"/>
  <c r="AD115" i="65"/>
  <c r="AE115" i="65"/>
  <c r="AJ104" i="65"/>
  <c r="AL104" i="65"/>
  <c r="AD149" i="65"/>
  <c r="AE141" i="65"/>
  <c r="AN141" i="65" s="1"/>
  <c r="AD130" i="65"/>
  <c r="AD127" i="65"/>
  <c r="AJ111" i="65"/>
  <c r="AL111" i="65"/>
  <c r="AN106" i="65"/>
  <c r="AJ49" i="65"/>
  <c r="AL49" i="65"/>
  <c r="AH166" i="65"/>
  <c r="AI166" i="65" s="1"/>
  <c r="AL166" i="65" s="1"/>
  <c r="AD162" i="65"/>
  <c r="AN162" i="65" s="1"/>
  <c r="AH154" i="65"/>
  <c r="AI154" i="65" s="1"/>
  <c r="AL154" i="65" s="1"/>
  <c r="AE151" i="65"/>
  <c r="AN151" i="65" s="1"/>
  <c r="AD150" i="65"/>
  <c r="AL146" i="65"/>
  <c r="AE138" i="65"/>
  <c r="AN138" i="65" s="1"/>
  <c r="AD118" i="65"/>
  <c r="AE118" i="65"/>
  <c r="AH118" i="65"/>
  <c r="AI118" i="65" s="1"/>
  <c r="AJ118" i="65" s="1"/>
  <c r="AJ105" i="65"/>
  <c r="AL105" i="65"/>
  <c r="AJ95" i="65"/>
  <c r="AJ87" i="65"/>
  <c r="AL87" i="65"/>
  <c r="AL133" i="65"/>
  <c r="AE132" i="65"/>
  <c r="AN132" i="65" s="1"/>
  <c r="AJ124" i="65"/>
  <c r="AN117" i="65"/>
  <c r="AL114" i="65"/>
  <c r="AE142" i="65"/>
  <c r="AN142" i="65" s="1"/>
  <c r="AJ140" i="65"/>
  <c r="AJ139" i="65"/>
  <c r="AN128" i="65"/>
  <c r="AJ122" i="65"/>
  <c r="AD121" i="65"/>
  <c r="AE121" i="65"/>
  <c r="AH121" i="65"/>
  <c r="AI121" i="65" s="1"/>
  <c r="AL121" i="65" s="1"/>
  <c r="AN116" i="65"/>
  <c r="AE114" i="65"/>
  <c r="AE136" i="65"/>
  <c r="AN136" i="65" s="1"/>
  <c r="AH131" i="65"/>
  <c r="AI131" i="65" s="1"/>
  <c r="AJ131" i="65" s="1"/>
  <c r="AL129" i="65"/>
  <c r="AJ123" i="65"/>
  <c r="AL123" i="65"/>
  <c r="AN120" i="65"/>
  <c r="AJ107" i="65"/>
  <c r="AJ92" i="65"/>
  <c r="AD86" i="65"/>
  <c r="AE86" i="65"/>
  <c r="AM79" i="65"/>
  <c r="AD79" i="65"/>
  <c r="AJ59" i="65"/>
  <c r="AL59" i="65"/>
  <c r="AL106" i="65"/>
  <c r="AH103" i="65"/>
  <c r="AI103" i="65" s="1"/>
  <c r="AJ103" i="65" s="1"/>
  <c r="AL88" i="65"/>
  <c r="AJ82" i="65"/>
  <c r="AH80" i="65"/>
  <c r="AI80" i="65" s="1"/>
  <c r="AL80" i="65" s="1"/>
  <c r="AD80" i="65"/>
  <c r="AE80" i="65"/>
  <c r="AJ71" i="65"/>
  <c r="AH68" i="65"/>
  <c r="AI68" i="65" s="1"/>
  <c r="AJ68" i="65" s="1"/>
  <c r="AM68" i="65"/>
  <c r="AD68" i="65"/>
  <c r="AE68" i="65"/>
  <c r="AH119" i="65"/>
  <c r="AI119" i="65" s="1"/>
  <c r="AJ119" i="65" s="1"/>
  <c r="AH107" i="65"/>
  <c r="AI107" i="65" s="1"/>
  <c r="AL107" i="65" s="1"/>
  <c r="AH97" i="65"/>
  <c r="AI97" i="65" s="1"/>
  <c r="AL97" i="65" s="1"/>
  <c r="AM91" i="65"/>
  <c r="AH86" i="65"/>
  <c r="AI86" i="65" s="1"/>
  <c r="AL86" i="65" s="1"/>
  <c r="AM80" i="65"/>
  <c r="AN78" i="65"/>
  <c r="AJ75" i="65"/>
  <c r="AD57" i="65"/>
  <c r="AH57" i="65"/>
  <c r="AI57" i="65" s="1"/>
  <c r="AJ57" i="65" s="1"/>
  <c r="AE103" i="65"/>
  <c r="AN98" i="65"/>
  <c r="AL76" i="65"/>
  <c r="AL61" i="65"/>
  <c r="AJ61" i="65"/>
  <c r="AN56" i="65"/>
  <c r="AH109" i="65"/>
  <c r="AI109" i="65" s="1"/>
  <c r="AJ109" i="65" s="1"/>
  <c r="AD103" i="65"/>
  <c r="AN82" i="65"/>
  <c r="AJ78" i="65"/>
  <c r="AL78" i="65"/>
  <c r="AE119" i="65"/>
  <c r="AN119" i="65" s="1"/>
  <c r="AE95" i="65"/>
  <c r="AE89" i="65"/>
  <c r="AH89" i="65"/>
  <c r="AI89" i="65" s="1"/>
  <c r="AM89" i="65"/>
  <c r="AD84" i="65"/>
  <c r="AH84" i="65"/>
  <c r="AI84" i="65" s="1"/>
  <c r="AL84" i="65" s="1"/>
  <c r="AH79" i="65"/>
  <c r="AI79" i="65" s="1"/>
  <c r="AL79" i="65" s="1"/>
  <c r="AJ73" i="65"/>
  <c r="AL73" i="65"/>
  <c r="AJ62" i="65"/>
  <c r="AE58" i="65"/>
  <c r="AH58" i="65"/>
  <c r="AI58" i="65" s="1"/>
  <c r="AJ58" i="65" s="1"/>
  <c r="AD58" i="65"/>
  <c r="AN58" i="65" s="1"/>
  <c r="AD53" i="65"/>
  <c r="AN53" i="65" s="1"/>
  <c r="AE53" i="65"/>
  <c r="AH53" i="65"/>
  <c r="AI53" i="65" s="1"/>
  <c r="AJ53" i="65" s="1"/>
  <c r="AJ74" i="65"/>
  <c r="AM71" i="65"/>
  <c r="AD71" i="65"/>
  <c r="AE71" i="65"/>
  <c r="AH71" i="65"/>
  <c r="AI71" i="65" s="1"/>
  <c r="AJ67" i="65"/>
  <c r="AL67" i="65"/>
  <c r="AJ63" i="65"/>
  <c r="AL63" i="65"/>
  <c r="AD42" i="65"/>
  <c r="AE42" i="65"/>
  <c r="AH42" i="65"/>
  <c r="AI42" i="65" s="1"/>
  <c r="AJ42" i="65" s="1"/>
  <c r="AH112" i="65"/>
  <c r="AI112" i="65" s="1"/>
  <c r="AL112" i="65" s="1"/>
  <c r="AE109" i="65"/>
  <c r="AN109" i="65" s="1"/>
  <c r="AE104" i="65"/>
  <c r="AM83" i="65"/>
  <c r="AH83" i="65"/>
  <c r="AI83" i="65" s="1"/>
  <c r="AJ83" i="65" s="1"/>
  <c r="AE79" i="65"/>
  <c r="AD104" i="65"/>
  <c r="AL96" i="65"/>
  <c r="AD93" i="65"/>
  <c r="AN93" i="65" s="1"/>
  <c r="AE91" i="65"/>
  <c r="AL90" i="65"/>
  <c r="AJ65" i="65"/>
  <c r="AD60" i="65"/>
  <c r="AE60" i="65"/>
  <c r="AN60" i="65" s="1"/>
  <c r="AH60" i="65"/>
  <c r="AI60" i="65" s="1"/>
  <c r="AL60" i="65" s="1"/>
  <c r="AL92" i="65"/>
  <c r="AD89" i="65"/>
  <c r="AE85" i="65"/>
  <c r="AN85" i="65" s="1"/>
  <c r="AE77" i="65"/>
  <c r="AH77" i="65"/>
  <c r="AI77" i="65" s="1"/>
  <c r="AJ77" i="65" s="1"/>
  <c r="AM77" i="65"/>
  <c r="AD77" i="65"/>
  <c r="AL69" i="65"/>
  <c r="AN45" i="65"/>
  <c r="AJ106" i="65"/>
  <c r="AE96" i="65"/>
  <c r="AN96" i="65" s="1"/>
  <c r="AJ94" i="65"/>
  <c r="AL94" i="65"/>
  <c r="AN72" i="65"/>
  <c r="AL71" i="65"/>
  <c r="AJ70" i="65"/>
  <c r="AE57" i="65"/>
  <c r="AL36" i="65"/>
  <c r="AL26" i="65"/>
  <c r="AL14" i="65"/>
  <c r="AJ10" i="65"/>
  <c r="AL10" i="65"/>
  <c r="AJ51" i="65"/>
  <c r="AL51" i="65"/>
  <c r="AH72" i="65"/>
  <c r="AI72" i="65" s="1"/>
  <c r="AJ72" i="65" s="1"/>
  <c r="AE69" i="65"/>
  <c r="AN69" i="65" s="1"/>
  <c r="AD54" i="65"/>
  <c r="AE54" i="65"/>
  <c r="AH54" i="65"/>
  <c r="AI54" i="65" s="1"/>
  <c r="AD46" i="65"/>
  <c r="AE46" i="65"/>
  <c r="AH46" i="65"/>
  <c r="AI46" i="65" s="1"/>
  <c r="AJ46" i="65" s="1"/>
  <c r="AL19" i="65"/>
  <c r="AL7" i="65"/>
  <c r="AJ7" i="65"/>
  <c r="AJ11" i="65"/>
  <c r="AL11" i="65"/>
  <c r="AJ39" i="65"/>
  <c r="AL39" i="65"/>
  <c r="AN24" i="65"/>
  <c r="AJ23" i="65"/>
  <c r="AL23" i="65"/>
  <c r="AD22" i="65"/>
  <c r="AN22" i="65" s="1"/>
  <c r="AE22" i="65"/>
  <c r="AH22" i="65"/>
  <c r="AI22" i="65" s="1"/>
  <c r="AJ22" i="65" s="1"/>
  <c r="AL65" i="65"/>
  <c r="AN63" i="65"/>
  <c r="AL58" i="65"/>
  <c r="AN52" i="65"/>
  <c r="AJ48" i="65"/>
  <c r="AJ41" i="65"/>
  <c r="AL41" i="65"/>
  <c r="AJ40" i="65"/>
  <c r="AJ32" i="65"/>
  <c r="AL32" i="65"/>
  <c r="AN21" i="65"/>
  <c r="AJ20" i="65"/>
  <c r="AL20" i="65"/>
  <c r="AN17" i="65"/>
  <c r="AE73" i="65"/>
  <c r="AJ47" i="65"/>
  <c r="AL47" i="65"/>
  <c r="AL43" i="65"/>
  <c r="AJ43" i="65"/>
  <c r="AD34" i="65"/>
  <c r="AE34" i="65"/>
  <c r="AH34" i="65"/>
  <c r="AI34" i="65" s="1"/>
  <c r="AJ34" i="65" s="1"/>
  <c r="AM34" i="65"/>
  <c r="AN20" i="65"/>
  <c r="AJ8" i="65"/>
  <c r="AL8" i="65"/>
  <c r="AN6" i="65"/>
  <c r="AJ5" i="65"/>
  <c r="AL5" i="65"/>
  <c r="AE74" i="65"/>
  <c r="AN74" i="65" s="1"/>
  <c r="AD73" i="65"/>
  <c r="AN73" i="65" s="1"/>
  <c r="AE65" i="65"/>
  <c r="AN65" i="65" s="1"/>
  <c r="AL42" i="65"/>
  <c r="AJ35" i="65"/>
  <c r="AL35" i="65"/>
  <c r="AN33" i="65"/>
  <c r="AL82" i="65"/>
  <c r="AL70" i="65"/>
  <c r="AJ13" i="65"/>
  <c r="AJ33" i="65"/>
  <c r="AL33" i="65"/>
  <c r="AN8" i="65"/>
  <c r="AJ52" i="65"/>
  <c r="AN51" i="65"/>
  <c r="AH50" i="65"/>
  <c r="AI50" i="65" s="1"/>
  <c r="AL50" i="65" s="1"/>
  <c r="AD50" i="65"/>
  <c r="AN50" i="65" s="1"/>
  <c r="AJ26" i="65"/>
  <c r="AJ14" i="65"/>
  <c r="AN7" i="65"/>
  <c r="AE38" i="65"/>
  <c r="AJ31" i="65"/>
  <c r="AE26" i="65"/>
  <c r="AJ19" i="65"/>
  <c r="AE14" i="65"/>
  <c r="AL9" i="65"/>
  <c r="AE39" i="65"/>
  <c r="AD38" i="65"/>
  <c r="AH30" i="65"/>
  <c r="AI30" i="65" s="1"/>
  <c r="AJ30" i="65" s="1"/>
  <c r="AE27" i="65"/>
  <c r="AD26" i="65"/>
  <c r="AH18" i="65"/>
  <c r="AI18" i="65" s="1"/>
  <c r="AL18" i="65" s="1"/>
  <c r="AE15" i="65"/>
  <c r="AD14" i="65"/>
  <c r="AD39" i="65"/>
  <c r="AD27" i="65"/>
  <c r="AE16" i="65"/>
  <c r="AN16" i="65" s="1"/>
  <c r="AD15" i="65"/>
  <c r="AH45" i="65"/>
  <c r="AI45" i="65" s="1"/>
  <c r="AL45" i="65" s="1"/>
  <c r="AM38" i="65"/>
  <c r="AH33" i="65"/>
  <c r="AI33" i="65" s="1"/>
  <c r="AE30" i="65"/>
  <c r="AM26" i="65"/>
  <c r="AH21" i="65"/>
  <c r="AI21" i="65" s="1"/>
  <c r="AE18" i="65"/>
  <c r="AL13" i="65"/>
  <c r="AD30" i="65"/>
  <c r="AM27" i="65"/>
  <c r="AD18" i="65"/>
  <c r="AM15" i="65"/>
  <c r="AL27" i="65"/>
  <c r="AL15" i="65"/>
  <c r="AD8" i="65"/>
  <c r="AH12" i="65"/>
  <c r="AI12" i="65" s="1"/>
  <c r="AJ12" i="65" s="1"/>
  <c r="AE9" i="65"/>
  <c r="AN9" i="65" s="1"/>
  <c r="AL17" i="65"/>
  <c r="AL101" i="65" l="1"/>
  <c r="AN124" i="65"/>
  <c r="AJ143" i="65"/>
  <c r="AJ176" i="65"/>
  <c r="AN155" i="65"/>
  <c r="AN104" i="65"/>
  <c r="AN161" i="65"/>
  <c r="AL178" i="65"/>
  <c r="AJ134" i="65"/>
  <c r="AN150" i="65"/>
  <c r="AL128" i="65"/>
  <c r="AN133" i="65"/>
  <c r="AJ110" i="65"/>
  <c r="AN103" i="65"/>
  <c r="AN121" i="65"/>
  <c r="AN125" i="65"/>
  <c r="AN86" i="65"/>
  <c r="AJ18" i="65"/>
  <c r="AN84" i="65"/>
  <c r="AJ55" i="65"/>
  <c r="AL6" i="65"/>
  <c r="AL25" i="65"/>
  <c r="AN95" i="65"/>
  <c r="AN90" i="65"/>
  <c r="AJ44" i="65"/>
  <c r="AL22" i="65"/>
  <c r="AJ37" i="65"/>
  <c r="AN14" i="65"/>
  <c r="AJ80" i="65"/>
  <c r="AL81" i="65"/>
  <c r="AN62" i="65"/>
  <c r="AJ28" i="65"/>
  <c r="AJ56" i="65"/>
  <c r="AJ127" i="65"/>
  <c r="AN42" i="65"/>
  <c r="AL93" i="65"/>
  <c r="AL159" i="65"/>
  <c r="AL29" i="65"/>
  <c r="AN145" i="65"/>
  <c r="AL162" i="65"/>
  <c r="AL164" i="65"/>
  <c r="AL170" i="65"/>
  <c r="AL53" i="65"/>
  <c r="AL147" i="65"/>
  <c r="AN149" i="65"/>
  <c r="AJ97" i="65"/>
  <c r="AL160" i="65"/>
  <c r="AN126" i="65"/>
  <c r="AJ121" i="65"/>
  <c r="AL98" i="65"/>
  <c r="AL91" i="65"/>
  <c r="AL130" i="65"/>
  <c r="AN118" i="65"/>
  <c r="AN30" i="65"/>
  <c r="AL24" i="65"/>
  <c r="AL57" i="65"/>
  <c r="AL118" i="65"/>
  <c r="AN147" i="65"/>
  <c r="AN18" i="65"/>
  <c r="AN39" i="65"/>
  <c r="AN54" i="65"/>
  <c r="AN27" i="65"/>
  <c r="AJ45" i="65"/>
  <c r="AN114" i="65"/>
  <c r="AN71" i="65"/>
  <c r="AN68" i="65"/>
  <c r="AN157" i="65"/>
  <c r="AN158" i="65"/>
  <c r="AJ163" i="65"/>
  <c r="AN156" i="65"/>
  <c r="AN34" i="65"/>
  <c r="AL109" i="65"/>
  <c r="AL103" i="65"/>
  <c r="AJ79" i="65"/>
  <c r="AN80" i="65"/>
  <c r="AL77" i="65"/>
  <c r="AJ86" i="65"/>
  <c r="AN169" i="65"/>
  <c r="AN160" i="65"/>
  <c r="AJ21" i="65"/>
  <c r="AL21" i="65"/>
  <c r="AJ50" i="65"/>
  <c r="AL72" i="65"/>
  <c r="AN137" i="65"/>
  <c r="AN174" i="65"/>
  <c r="AL115" i="65"/>
  <c r="AJ166" i="65"/>
  <c r="AN144" i="65"/>
  <c r="AL144" i="65"/>
  <c r="AN77" i="65"/>
  <c r="AN91" i="65"/>
  <c r="AJ112" i="65"/>
  <c r="AN92" i="65"/>
  <c r="AL83" i="65"/>
  <c r="AL157" i="65"/>
  <c r="AL131" i="65"/>
  <c r="AN26" i="65"/>
  <c r="AN46" i="65"/>
  <c r="AL30" i="65"/>
  <c r="AL68" i="65"/>
  <c r="AN115" i="65"/>
  <c r="AN175" i="65"/>
  <c r="AL156" i="65"/>
  <c r="AL158" i="65"/>
  <c r="AL169" i="65"/>
  <c r="AL34" i="65"/>
  <c r="AN83" i="65"/>
  <c r="AN79" i="65"/>
  <c r="AJ84" i="65"/>
  <c r="AN127" i="65"/>
  <c r="AN130" i="65"/>
  <c r="AL119" i="65"/>
  <c r="AN179" i="65"/>
  <c r="AN38" i="65"/>
  <c r="AL12" i="65"/>
  <c r="AL54" i="65"/>
  <c r="AJ54" i="65"/>
  <c r="AN89" i="65"/>
  <c r="AL126" i="65"/>
  <c r="AL132" i="65"/>
  <c r="AN15" i="65"/>
  <c r="AL46" i="65"/>
  <c r="AJ89" i="65"/>
  <c r="AL89" i="65"/>
  <c r="AJ60" i="65"/>
  <c r="AN57" i="65"/>
  <c r="AN168" i="65"/>
  <c r="A8" i="60" l="1"/>
  <c r="A6" i="60"/>
  <c r="T63" i="68"/>
  <c r="S63" i="68"/>
  <c r="L63" i="68"/>
  <c r="K63" i="68"/>
  <c r="J63" i="68"/>
  <c r="H63" i="68"/>
  <c r="I62" i="68"/>
  <c r="A8" i="22"/>
  <c r="A6" i="62"/>
  <c r="A8" i="62"/>
  <c r="A6" i="20"/>
  <c r="A8" i="20"/>
  <c r="N62" i="68" l="1"/>
  <c r="O62" i="68"/>
  <c r="R62" i="68" l="1"/>
  <c r="Q62" i="68"/>
  <c r="E46" i="2"/>
  <c r="E45" i="2"/>
  <c r="E42" i="2"/>
  <c r="T89" i="22" l="1"/>
  <c r="AH89" i="22" s="1"/>
  <c r="AI89" i="22" s="1"/>
  <c r="V89" i="22"/>
  <c r="Y89" i="22"/>
  <c r="AE89" i="22"/>
  <c r="AF89" i="22"/>
  <c r="AG89" i="22" s="1"/>
  <c r="AK89" i="22"/>
  <c r="AM89" i="22"/>
  <c r="T90" i="22"/>
  <c r="AH90" i="22" s="1"/>
  <c r="AI90" i="22" s="1"/>
  <c r="V90" i="22"/>
  <c r="Y90" i="22"/>
  <c r="AF90" i="22"/>
  <c r="AG90" i="22" s="1"/>
  <c r="AK90" i="22"/>
  <c r="T91" i="22"/>
  <c r="AD91" i="22" s="1"/>
  <c r="V91" i="22"/>
  <c r="Y91" i="22"/>
  <c r="AF91" i="22"/>
  <c r="AG91" i="22" s="1"/>
  <c r="AK91" i="22"/>
  <c r="T92" i="22"/>
  <c r="AE92" i="22" s="1"/>
  <c r="V92" i="22"/>
  <c r="Y92" i="22"/>
  <c r="AF92" i="22"/>
  <c r="AG92" i="22" s="1"/>
  <c r="AH92" i="22"/>
  <c r="AI92" i="22" s="1"/>
  <c r="AK92" i="22"/>
  <c r="T93" i="22"/>
  <c r="AD93" i="22" s="1"/>
  <c r="V93" i="22"/>
  <c r="Y93" i="22"/>
  <c r="AF93" i="22"/>
  <c r="AG93" i="22" s="1"/>
  <c r="AK93" i="22"/>
  <c r="T94" i="22"/>
  <c r="AE94" i="22" s="1"/>
  <c r="V94" i="22"/>
  <c r="Y94" i="22"/>
  <c r="AF94" i="22"/>
  <c r="AG94" i="22" s="1"/>
  <c r="AK94" i="22"/>
  <c r="T95" i="22"/>
  <c r="AD95" i="22" s="1"/>
  <c r="V95" i="22"/>
  <c r="Y95" i="22"/>
  <c r="AF95" i="22"/>
  <c r="AG95" i="22" s="1"/>
  <c r="AK95" i="22"/>
  <c r="T96" i="22"/>
  <c r="AD96" i="22" s="1"/>
  <c r="V96" i="22"/>
  <c r="Y96" i="22"/>
  <c r="AF96" i="22"/>
  <c r="AG96" i="22" s="1"/>
  <c r="AK96" i="22"/>
  <c r="T97" i="22"/>
  <c r="AD97" i="22" s="1"/>
  <c r="V97" i="22"/>
  <c r="Y97" i="22"/>
  <c r="AF97" i="22"/>
  <c r="AG97" i="22" s="1"/>
  <c r="AK97" i="22"/>
  <c r="T98" i="22"/>
  <c r="AD98" i="22" s="1"/>
  <c r="V98" i="22"/>
  <c r="Y98" i="22"/>
  <c r="AF98" i="22"/>
  <c r="AG98" i="22" s="1"/>
  <c r="AK98" i="22"/>
  <c r="T99" i="22"/>
  <c r="AE99" i="22" s="1"/>
  <c r="V99" i="22"/>
  <c r="Y99" i="22"/>
  <c r="AF99" i="22"/>
  <c r="AG99" i="22" s="1"/>
  <c r="AK99" i="22"/>
  <c r="AM99" i="22"/>
  <c r="T100" i="22"/>
  <c r="AM100" i="22" s="1"/>
  <c r="V100" i="22"/>
  <c r="Y100" i="22"/>
  <c r="AF100" i="22"/>
  <c r="AG100" i="22" s="1"/>
  <c r="AK100" i="22"/>
  <c r="T101" i="22"/>
  <c r="AH101" i="22" s="1"/>
  <c r="AI101" i="22" s="1"/>
  <c r="V101" i="22"/>
  <c r="Y101" i="22"/>
  <c r="AF101" i="22"/>
  <c r="AG101" i="22" s="1"/>
  <c r="AK101" i="22"/>
  <c r="T102" i="22"/>
  <c r="AH102" i="22" s="1"/>
  <c r="AI102" i="22" s="1"/>
  <c r="V102" i="22"/>
  <c r="Y102" i="22"/>
  <c r="AF102" i="22"/>
  <c r="AG102" i="22" s="1"/>
  <c r="AK102" i="22"/>
  <c r="T103" i="22"/>
  <c r="AD103" i="22" s="1"/>
  <c r="V103" i="22"/>
  <c r="Y103" i="22"/>
  <c r="AF103" i="22"/>
  <c r="AG103" i="22" s="1"/>
  <c r="AK103" i="22"/>
  <c r="AM103" i="22"/>
  <c r="T106" i="22"/>
  <c r="AD106" i="22" s="1"/>
  <c r="V106" i="22"/>
  <c r="Y106" i="22"/>
  <c r="AF106" i="22"/>
  <c r="AG106" i="22" s="1"/>
  <c r="AK106" i="22"/>
  <c r="AM106" i="22"/>
  <c r="T107" i="22"/>
  <c r="AH107" i="22" s="1"/>
  <c r="AI107" i="22" s="1"/>
  <c r="V107" i="22"/>
  <c r="Y107" i="22"/>
  <c r="AF107" i="22"/>
  <c r="AG107" i="22" s="1"/>
  <c r="AK107" i="22"/>
  <c r="AM107" i="22"/>
  <c r="T108" i="22"/>
  <c r="AH108" i="22" s="1"/>
  <c r="AI108" i="22" s="1"/>
  <c r="V108" i="22"/>
  <c r="Y108" i="22"/>
  <c r="AF108" i="22"/>
  <c r="AG108" i="22" s="1"/>
  <c r="AK108" i="22"/>
  <c r="AM108" i="22"/>
  <c r="T109" i="22"/>
  <c r="AH109" i="22" s="1"/>
  <c r="AI109" i="22" s="1"/>
  <c r="V109" i="22"/>
  <c r="Y109" i="22"/>
  <c r="AF109" i="22"/>
  <c r="AG109" i="22" s="1"/>
  <c r="AK109" i="22"/>
  <c r="AM109" i="22"/>
  <c r="T110" i="22"/>
  <c r="AH110" i="22" s="1"/>
  <c r="AI110" i="22" s="1"/>
  <c r="V110" i="22"/>
  <c r="Y110" i="22"/>
  <c r="AF110" i="22"/>
  <c r="AG110" i="22" s="1"/>
  <c r="AK110" i="22"/>
  <c r="AM110" i="22"/>
  <c r="T11" i="21"/>
  <c r="T12" i="21"/>
  <c r="T13" i="21"/>
  <c r="T14" i="21"/>
  <c r="T15" i="21"/>
  <c r="T16" i="21"/>
  <c r="T17" i="21"/>
  <c r="T18" i="21"/>
  <c r="T19" i="21"/>
  <c r="T20" i="21"/>
  <c r="T21" i="21"/>
  <c r="T22" i="21"/>
  <c r="T15" i="19"/>
  <c r="T16" i="19"/>
  <c r="T17" i="19"/>
  <c r="T18" i="19"/>
  <c r="T19" i="19"/>
  <c r="T20" i="19"/>
  <c r="T21" i="19"/>
  <c r="AE108" i="22" l="1"/>
  <c r="AE95" i="22"/>
  <c r="AM93" i="22"/>
  <c r="AH93" i="22"/>
  <c r="AI93" i="22" s="1"/>
  <c r="AL93" i="22" s="1"/>
  <c r="AE93" i="22"/>
  <c r="AD99" i="22"/>
  <c r="AN99" i="22" s="1"/>
  <c r="AL92" i="22"/>
  <c r="AJ107" i="22"/>
  <c r="AH103" i="22"/>
  <c r="AI103" i="22" s="1"/>
  <c r="AJ103" i="22" s="1"/>
  <c r="AE107" i="22"/>
  <c r="AD107" i="22"/>
  <c r="AN107" i="22" s="1"/>
  <c r="AD108" i="22"/>
  <c r="AN108" i="22" s="1"/>
  <c r="AH100" i="22"/>
  <c r="AI100" i="22" s="1"/>
  <c r="AL100" i="22" s="1"/>
  <c r="AH106" i="22"/>
  <c r="AI106" i="22" s="1"/>
  <c r="AJ106" i="22" s="1"/>
  <c r="AE100" i="22"/>
  <c r="AM96" i="22"/>
  <c r="AD100" i="22"/>
  <c r="AH98" i="22"/>
  <c r="AI98" i="22" s="1"/>
  <c r="AJ98" i="22" s="1"/>
  <c r="AE109" i="22"/>
  <c r="AH99" i="22"/>
  <c r="AI99" i="22" s="1"/>
  <c r="AJ99" i="22" s="1"/>
  <c r="AM92" i="22"/>
  <c r="AM102" i="22"/>
  <c r="AM95" i="22"/>
  <c r="AN95" i="22" s="1"/>
  <c r="AM97" i="22"/>
  <c r="AM94" i="22"/>
  <c r="AM101" i="22"/>
  <c r="AH97" i="22"/>
  <c r="AI97" i="22" s="1"/>
  <c r="AJ97" i="22" s="1"/>
  <c r="AD94" i="22"/>
  <c r="AM91" i="22"/>
  <c r="AE101" i="22"/>
  <c r="AM98" i="22"/>
  <c r="AH91" i="22"/>
  <c r="AI91" i="22" s="1"/>
  <c r="AL91" i="22" s="1"/>
  <c r="AE97" i="22"/>
  <c r="AJ93" i="22"/>
  <c r="AJ92" i="22"/>
  <c r="AD92" i="22"/>
  <c r="AM90" i="22"/>
  <c r="AJ109" i="22"/>
  <c r="AL109" i="22"/>
  <c r="AJ101" i="22"/>
  <c r="AL101" i="22"/>
  <c r="AJ90" i="22"/>
  <c r="AL90" i="22"/>
  <c r="AJ110" i="22"/>
  <c r="AL110" i="22"/>
  <c r="AJ89" i="22"/>
  <c r="AL89" i="22"/>
  <c r="AJ102" i="22"/>
  <c r="AL102" i="22"/>
  <c r="AJ108" i="22"/>
  <c r="AL108" i="22"/>
  <c r="AD109" i="22"/>
  <c r="AN109" i="22" s="1"/>
  <c r="AE102" i="22"/>
  <c r="AD101" i="22"/>
  <c r="AE90" i="22"/>
  <c r="AD89" i="22"/>
  <c r="AN89" i="22" s="1"/>
  <c r="AD110" i="22"/>
  <c r="AE103" i="22"/>
  <c r="AN103" i="22" s="1"/>
  <c r="AD102" i="22"/>
  <c r="AH94" i="22"/>
  <c r="AI94" i="22" s="1"/>
  <c r="AL94" i="22" s="1"/>
  <c r="AE91" i="22"/>
  <c r="AD90" i="22"/>
  <c r="AE110" i="22"/>
  <c r="AL107" i="22"/>
  <c r="AH95" i="22"/>
  <c r="AI95" i="22" s="1"/>
  <c r="AL95" i="22" s="1"/>
  <c r="AH96" i="22"/>
  <c r="AI96" i="22" s="1"/>
  <c r="AJ96" i="22" s="1"/>
  <c r="AE96" i="22"/>
  <c r="AE106" i="22"/>
  <c r="AN106" i="22" s="1"/>
  <c r="AE98" i="22"/>
  <c r="AL103" i="22" l="1"/>
  <c r="AN93" i="22"/>
  <c r="AN100" i="22"/>
  <c r="AL106" i="22"/>
  <c r="AJ91" i="22"/>
  <c r="AL98" i="22"/>
  <c r="AN91" i="22"/>
  <c r="AN98" i="22"/>
  <c r="AJ100" i="22"/>
  <c r="AN96" i="22"/>
  <c r="AL99" i="22"/>
  <c r="AN101" i="22"/>
  <c r="AN92" i="22"/>
  <c r="AN94" i="22"/>
  <c r="AN90" i="22"/>
  <c r="AL96" i="22"/>
  <c r="AL97" i="22"/>
  <c r="AN102" i="22"/>
  <c r="AJ94" i="22"/>
  <c r="AN97" i="22"/>
  <c r="AN110" i="22"/>
  <c r="AJ95" i="22"/>
  <c r="T16" i="13" l="1"/>
  <c r="T17" i="13"/>
  <c r="T18" i="13"/>
  <c r="T19" i="13"/>
  <c r="T20" i="13"/>
  <c r="T42" i="66" l="1"/>
  <c r="AE42" i="66" s="1"/>
  <c r="V42" i="66"/>
  <c r="Y42" i="66"/>
  <c r="AD42" i="66"/>
  <c r="AF42" i="66"/>
  <c r="AG42" i="66" s="1"/>
  <c r="AK42" i="66"/>
  <c r="AM42" i="66"/>
  <c r="T43" i="66"/>
  <c r="AH43" i="66" s="1"/>
  <c r="AI43" i="66" s="1"/>
  <c r="V43" i="66"/>
  <c r="Y43" i="66"/>
  <c r="AF43" i="66"/>
  <c r="AG43" i="66" s="1"/>
  <c r="AK43" i="66"/>
  <c r="T44" i="66"/>
  <c r="V44" i="66"/>
  <c r="Y44" i="66"/>
  <c r="AF44" i="66"/>
  <c r="AG44" i="66" s="1"/>
  <c r="AK44" i="66"/>
  <c r="AM44" i="66"/>
  <c r="T45" i="66"/>
  <c r="AD45" i="66" s="1"/>
  <c r="V45" i="66"/>
  <c r="Y45" i="66"/>
  <c r="AF45" i="66"/>
  <c r="AG45" i="66" s="1"/>
  <c r="AK45" i="66"/>
  <c r="T46" i="66"/>
  <c r="AD46" i="66" s="1"/>
  <c r="V46" i="66"/>
  <c r="Y46" i="66"/>
  <c r="AF46" i="66"/>
  <c r="AG46" i="66" s="1"/>
  <c r="AK46" i="66"/>
  <c r="T47" i="66"/>
  <c r="AD47" i="66" s="1"/>
  <c r="V47" i="66"/>
  <c r="Y47" i="66"/>
  <c r="AF47" i="66"/>
  <c r="AG47" i="66" s="1"/>
  <c r="AK47" i="66"/>
  <c r="T48" i="66"/>
  <c r="AD48" i="66" s="1"/>
  <c r="V48" i="66"/>
  <c r="Y48" i="66"/>
  <c r="AF48" i="66"/>
  <c r="AG48" i="66" s="1"/>
  <c r="AK48" i="66"/>
  <c r="T49" i="66"/>
  <c r="AD49" i="66" s="1"/>
  <c r="V49" i="66"/>
  <c r="Y49" i="66"/>
  <c r="AF49" i="66"/>
  <c r="AG49" i="66" s="1"/>
  <c r="AK49" i="66"/>
  <c r="T50" i="66"/>
  <c r="AD50" i="66" s="1"/>
  <c r="V50" i="66"/>
  <c r="Y50" i="66"/>
  <c r="AF50" i="66"/>
  <c r="AG50" i="66" s="1"/>
  <c r="AK50" i="66"/>
  <c r="T51" i="66"/>
  <c r="AD51" i="66" s="1"/>
  <c r="V51" i="66"/>
  <c r="Y51" i="66"/>
  <c r="AF51" i="66"/>
  <c r="AG51" i="66" s="1"/>
  <c r="AK51" i="66"/>
  <c r="T52" i="66"/>
  <c r="AD52" i="66" s="1"/>
  <c r="V52" i="66"/>
  <c r="Y52" i="66"/>
  <c r="AF52" i="66"/>
  <c r="AG52" i="66" s="1"/>
  <c r="AK52" i="66"/>
  <c r="T53" i="66"/>
  <c r="AE53" i="66" s="1"/>
  <c r="V53" i="66"/>
  <c r="Y53" i="66"/>
  <c r="AF53" i="66"/>
  <c r="AG53" i="66" s="1"/>
  <c r="AK53" i="66"/>
  <c r="T54" i="66"/>
  <c r="AE54" i="66" s="1"/>
  <c r="V54" i="66"/>
  <c r="Y54" i="66"/>
  <c r="AF54" i="66"/>
  <c r="AG54" i="66" s="1"/>
  <c r="AK54" i="66"/>
  <c r="T55" i="66"/>
  <c r="AH55" i="66" s="1"/>
  <c r="AI55" i="66" s="1"/>
  <c r="V55" i="66"/>
  <c r="Y55" i="66"/>
  <c r="AF55" i="66"/>
  <c r="AG55" i="66" s="1"/>
  <c r="AK55" i="66"/>
  <c r="T56" i="66"/>
  <c r="V56" i="66"/>
  <c r="Y56" i="66"/>
  <c r="AF56" i="66"/>
  <c r="AG56" i="66" s="1"/>
  <c r="AK56" i="66"/>
  <c r="AM56" i="66"/>
  <c r="T57" i="66"/>
  <c r="AM57" i="66" s="1"/>
  <c r="V57" i="66"/>
  <c r="Y57" i="66"/>
  <c r="AF57" i="66"/>
  <c r="AG57" i="66" s="1"/>
  <c r="AK57" i="66"/>
  <c r="T58" i="66"/>
  <c r="AM58" i="66" s="1"/>
  <c r="V58" i="66"/>
  <c r="Y58" i="66"/>
  <c r="AF58" i="66"/>
  <c r="AG58" i="66" s="1"/>
  <c r="AK58" i="66"/>
  <c r="T59" i="66"/>
  <c r="AD59" i="66" s="1"/>
  <c r="V59" i="66"/>
  <c r="Y59" i="66"/>
  <c r="AF59" i="66"/>
  <c r="AG59" i="66" s="1"/>
  <c r="AK59" i="66"/>
  <c r="T60" i="66"/>
  <c r="AE60" i="66" s="1"/>
  <c r="V60" i="66"/>
  <c r="Y60" i="66"/>
  <c r="AF60" i="66"/>
  <c r="AG60" i="66" s="1"/>
  <c r="AK60" i="66"/>
  <c r="T61" i="66"/>
  <c r="AM61" i="66" s="1"/>
  <c r="V61" i="66"/>
  <c r="Y61" i="66"/>
  <c r="AF61" i="66"/>
  <c r="AG61" i="66" s="1"/>
  <c r="AK61" i="66"/>
  <c r="T62" i="66"/>
  <c r="AD62" i="66" s="1"/>
  <c r="V62" i="66"/>
  <c r="Y62" i="66"/>
  <c r="AF62" i="66"/>
  <c r="AG62" i="66" s="1"/>
  <c r="AK62" i="66"/>
  <c r="T63" i="66"/>
  <c r="AD63" i="66" s="1"/>
  <c r="V63" i="66"/>
  <c r="Y63" i="66"/>
  <c r="AF63" i="66"/>
  <c r="AG63" i="66" s="1"/>
  <c r="AK63" i="66"/>
  <c r="AM63" i="66"/>
  <c r="T64" i="66"/>
  <c r="AD64" i="66" s="1"/>
  <c r="V64" i="66"/>
  <c r="Y64" i="66"/>
  <c r="AF64" i="66"/>
  <c r="AG64" i="66" s="1"/>
  <c r="AK64" i="66"/>
  <c r="AM64" i="66"/>
  <c r="T65" i="66"/>
  <c r="AE65" i="66" s="1"/>
  <c r="V65" i="66"/>
  <c r="Y65" i="66"/>
  <c r="AF65" i="66"/>
  <c r="AG65" i="66" s="1"/>
  <c r="AK65" i="66"/>
  <c r="AM65" i="66"/>
  <c r="T66" i="66"/>
  <c r="AD66" i="66" s="1"/>
  <c r="V66" i="66"/>
  <c r="Y66" i="66"/>
  <c r="AF66" i="66"/>
  <c r="AG66" i="66" s="1"/>
  <c r="AK66" i="66"/>
  <c r="AM66" i="66"/>
  <c r="T67" i="66"/>
  <c r="AH67" i="66" s="1"/>
  <c r="AI67" i="66" s="1"/>
  <c r="V67" i="66"/>
  <c r="Y67" i="66"/>
  <c r="AF67" i="66"/>
  <c r="AG67" i="66" s="1"/>
  <c r="AK67" i="66"/>
  <c r="AM67" i="66"/>
  <c r="T68" i="66"/>
  <c r="V68" i="66"/>
  <c r="Y68" i="66"/>
  <c r="AF68" i="66"/>
  <c r="AG68" i="66" s="1"/>
  <c r="AK68" i="66"/>
  <c r="AM68" i="66"/>
  <c r="T69" i="66"/>
  <c r="AM69" i="66" s="1"/>
  <c r="V69" i="66"/>
  <c r="Y69" i="66"/>
  <c r="AF69" i="66"/>
  <c r="AG69" i="66" s="1"/>
  <c r="AK69" i="66"/>
  <c r="T70" i="66"/>
  <c r="AD70" i="66" s="1"/>
  <c r="V70" i="66"/>
  <c r="Y70" i="66"/>
  <c r="AF70" i="66"/>
  <c r="AG70" i="66" s="1"/>
  <c r="AK70" i="66"/>
  <c r="AM70" i="66"/>
  <c r="T71" i="66"/>
  <c r="AD71" i="66" s="1"/>
  <c r="V71" i="66"/>
  <c r="Y71" i="66"/>
  <c r="AF71" i="66"/>
  <c r="AG71" i="66" s="1"/>
  <c r="AK71" i="66"/>
  <c r="AM71" i="66"/>
  <c r="T72" i="66"/>
  <c r="AD72" i="66" s="1"/>
  <c r="V72" i="66"/>
  <c r="Y72" i="66"/>
  <c r="AF72" i="66"/>
  <c r="AG72" i="66" s="1"/>
  <c r="AK72" i="66"/>
  <c r="T73" i="66"/>
  <c r="AM73" i="66" s="1"/>
  <c r="V73" i="66"/>
  <c r="Y73" i="66"/>
  <c r="AF73" i="66"/>
  <c r="AG73" i="66" s="1"/>
  <c r="AK73" i="66"/>
  <c r="T74" i="66"/>
  <c r="AD74" i="66" s="1"/>
  <c r="V74" i="66"/>
  <c r="Y74" i="66"/>
  <c r="AF74" i="66"/>
  <c r="AG74" i="66" s="1"/>
  <c r="AK74" i="66"/>
  <c r="T75" i="66"/>
  <c r="AD75" i="66" s="1"/>
  <c r="V75" i="66"/>
  <c r="Y75" i="66"/>
  <c r="AF75" i="66"/>
  <c r="AG75" i="66" s="1"/>
  <c r="AK75" i="66"/>
  <c r="T76" i="66"/>
  <c r="AD76" i="66" s="1"/>
  <c r="V76" i="66"/>
  <c r="Y76" i="66"/>
  <c r="AF76" i="66"/>
  <c r="AG76" i="66" s="1"/>
  <c r="AK76" i="66"/>
  <c r="T77" i="66"/>
  <c r="AE77" i="66" s="1"/>
  <c r="V77" i="66"/>
  <c r="Y77" i="66"/>
  <c r="AF77" i="66"/>
  <c r="AG77" i="66" s="1"/>
  <c r="AK77" i="66"/>
  <c r="AM77" i="66"/>
  <c r="T78" i="66"/>
  <c r="AD78" i="66" s="1"/>
  <c r="V78" i="66"/>
  <c r="Y78" i="66"/>
  <c r="AF78" i="66"/>
  <c r="AG78" i="66" s="1"/>
  <c r="AK78" i="66"/>
  <c r="T79" i="66"/>
  <c r="V79" i="66"/>
  <c r="Y79" i="66"/>
  <c r="AF79" i="66"/>
  <c r="AG79" i="66" s="1"/>
  <c r="AK79" i="66"/>
  <c r="T80" i="66"/>
  <c r="V80" i="66"/>
  <c r="Y80" i="66"/>
  <c r="AF80" i="66"/>
  <c r="AG80" i="66" s="1"/>
  <c r="AK80" i="66"/>
  <c r="AM80" i="66"/>
  <c r="T81" i="66"/>
  <c r="AM81" i="66" s="1"/>
  <c r="V81" i="66"/>
  <c r="Y81" i="66"/>
  <c r="AD81" i="66"/>
  <c r="AF81" i="66"/>
  <c r="AG81" i="66" s="1"/>
  <c r="AK81" i="66"/>
  <c r="T82" i="66"/>
  <c r="AD82" i="66" s="1"/>
  <c r="V82" i="66"/>
  <c r="Y82" i="66"/>
  <c r="AE82" i="66"/>
  <c r="AF82" i="66"/>
  <c r="AG82" i="66"/>
  <c r="AH82" i="66"/>
  <c r="AI82" i="66" s="1"/>
  <c r="AK82" i="66"/>
  <c r="AM82" i="66"/>
  <c r="T83" i="66"/>
  <c r="V83" i="66"/>
  <c r="Y83" i="66"/>
  <c r="AD83" i="66"/>
  <c r="AF83" i="66"/>
  <c r="AG83" i="66" s="1"/>
  <c r="AH83" i="66"/>
  <c r="AI83" i="66" s="1"/>
  <c r="AK83" i="66"/>
  <c r="T84" i="66"/>
  <c r="AE84" i="66" s="1"/>
  <c r="V84" i="66"/>
  <c r="Y84" i="66"/>
  <c r="AD84" i="66"/>
  <c r="AF84" i="66"/>
  <c r="AG84" i="66" s="1"/>
  <c r="AK84" i="66"/>
  <c r="AM84" i="66"/>
  <c r="T85" i="66"/>
  <c r="V85" i="66"/>
  <c r="Y85" i="66"/>
  <c r="AF85" i="66"/>
  <c r="AG85" i="66" s="1"/>
  <c r="AK85" i="66"/>
  <c r="T86" i="66"/>
  <c r="AD86" i="66" s="1"/>
  <c r="V86" i="66"/>
  <c r="Y86" i="66"/>
  <c r="AF86" i="66"/>
  <c r="AG86" i="66" s="1"/>
  <c r="AK86" i="66"/>
  <c r="AM86" i="66"/>
  <c r="T87" i="66"/>
  <c r="AD87" i="66" s="1"/>
  <c r="V87" i="66"/>
  <c r="Y87" i="66"/>
  <c r="AF87" i="66"/>
  <c r="AG87" i="66"/>
  <c r="AL87" i="66" s="1"/>
  <c r="AH87" i="66"/>
  <c r="AI87" i="66" s="1"/>
  <c r="AK87" i="66"/>
  <c r="AM87" i="66"/>
  <c r="T88" i="66"/>
  <c r="AD88" i="66" s="1"/>
  <c r="V88" i="66"/>
  <c r="Y88" i="66"/>
  <c r="AF88" i="66"/>
  <c r="AG88" i="66" s="1"/>
  <c r="AH88" i="66"/>
  <c r="AI88" i="66"/>
  <c r="AK88" i="66"/>
  <c r="AM88" i="66"/>
  <c r="T89" i="66"/>
  <c r="AE89" i="66" s="1"/>
  <c r="V89" i="66"/>
  <c r="Y89" i="66"/>
  <c r="AD89" i="66"/>
  <c r="AF89" i="66"/>
  <c r="AG89" i="66" s="1"/>
  <c r="AH89" i="66"/>
  <c r="AI89" i="66" s="1"/>
  <c r="AJ89" i="66" s="1"/>
  <c r="AK89" i="66"/>
  <c r="AM89" i="66"/>
  <c r="AN89" i="66" s="1"/>
  <c r="T90" i="66"/>
  <c r="AD90" i="66" s="1"/>
  <c r="V90" i="66"/>
  <c r="Y90" i="66"/>
  <c r="AF90" i="66"/>
  <c r="AG90" i="66"/>
  <c r="AK90" i="66"/>
  <c r="AM90" i="66"/>
  <c r="T91" i="66"/>
  <c r="AH91" i="66" s="1"/>
  <c r="AI91" i="66" s="1"/>
  <c r="V91" i="66"/>
  <c r="Y91" i="66"/>
  <c r="AF91" i="66"/>
  <c r="AG91" i="66" s="1"/>
  <c r="AK91" i="66"/>
  <c r="AM91" i="66"/>
  <c r="T92" i="66"/>
  <c r="AH92" i="66" s="1"/>
  <c r="AI92" i="66" s="1"/>
  <c r="V92" i="66"/>
  <c r="Y92" i="66"/>
  <c r="AD92" i="66"/>
  <c r="AE92" i="66"/>
  <c r="AF92" i="66"/>
  <c r="AG92" i="66" s="1"/>
  <c r="AK92" i="66"/>
  <c r="AM92" i="66"/>
  <c r="T93" i="66"/>
  <c r="AD93" i="66" s="1"/>
  <c r="V93" i="66"/>
  <c r="Y93" i="66"/>
  <c r="AF93" i="66"/>
  <c r="AG93" i="66" s="1"/>
  <c r="AK93" i="66"/>
  <c r="AM93" i="66"/>
  <c r="T94" i="66"/>
  <c r="AD94" i="66" s="1"/>
  <c r="V94" i="66"/>
  <c r="Y94" i="66"/>
  <c r="AE94" i="66"/>
  <c r="AF94" i="66"/>
  <c r="AG94" i="66" s="1"/>
  <c r="AK94" i="66"/>
  <c r="AM94" i="66"/>
  <c r="T95" i="66"/>
  <c r="AE95" i="66" s="1"/>
  <c r="V95" i="66"/>
  <c r="Y95" i="66"/>
  <c r="AF95" i="66"/>
  <c r="AG95" i="66" s="1"/>
  <c r="AH95" i="66"/>
  <c r="AI95" i="66" s="1"/>
  <c r="AK95" i="66"/>
  <c r="AM95" i="66"/>
  <c r="T96" i="66"/>
  <c r="AD96" i="66" s="1"/>
  <c r="V96" i="66"/>
  <c r="Y96" i="66"/>
  <c r="AF96" i="66"/>
  <c r="AG96" i="66"/>
  <c r="AK96" i="66"/>
  <c r="AM96" i="66"/>
  <c r="T97" i="66"/>
  <c r="AD97" i="66" s="1"/>
  <c r="AN97" i="66" s="1"/>
  <c r="V97" i="66"/>
  <c r="Y97" i="66"/>
  <c r="AE97" i="66"/>
  <c r="AF97" i="66"/>
  <c r="AG97" i="66" s="1"/>
  <c r="AH97" i="66"/>
  <c r="AI97" i="66" s="1"/>
  <c r="AK97" i="66"/>
  <c r="AM97" i="66"/>
  <c r="T98" i="66"/>
  <c r="AH98" i="66" s="1"/>
  <c r="AI98" i="66" s="1"/>
  <c r="AJ98" i="66" s="1"/>
  <c r="V98" i="66"/>
  <c r="Y98" i="66"/>
  <c r="AF98" i="66"/>
  <c r="AG98" i="66"/>
  <c r="AK98" i="66"/>
  <c r="AM98" i="66"/>
  <c r="T99" i="66"/>
  <c r="AD99" i="66" s="1"/>
  <c r="V99" i="66"/>
  <c r="Y99" i="66"/>
  <c r="AF99" i="66"/>
  <c r="AG99" i="66" s="1"/>
  <c r="AK99" i="66"/>
  <c r="AM99" i="66"/>
  <c r="T100" i="66"/>
  <c r="AD100" i="66" s="1"/>
  <c r="V100" i="66"/>
  <c r="Y100" i="66"/>
  <c r="AF100" i="66"/>
  <c r="AG100" i="66" s="1"/>
  <c r="AK100" i="66"/>
  <c r="AM100" i="66"/>
  <c r="T101" i="66"/>
  <c r="AH101" i="66" s="1"/>
  <c r="AI101" i="66" s="1"/>
  <c r="V101" i="66"/>
  <c r="Y101" i="66"/>
  <c r="AD101" i="66"/>
  <c r="AE101" i="66"/>
  <c r="AF101" i="66"/>
  <c r="AG101" i="66" s="1"/>
  <c r="AK101" i="66"/>
  <c r="AM101" i="66"/>
  <c r="T102" i="66"/>
  <c r="V102" i="66"/>
  <c r="Y102" i="66"/>
  <c r="AE102" i="66"/>
  <c r="AF102" i="66"/>
  <c r="AG102" i="66" s="1"/>
  <c r="AK102" i="66"/>
  <c r="AM102" i="66"/>
  <c r="T103" i="66"/>
  <c r="V103" i="66"/>
  <c r="Y103" i="66"/>
  <c r="AF103" i="66"/>
  <c r="AG103" i="66" s="1"/>
  <c r="AK103" i="66"/>
  <c r="AM103" i="66"/>
  <c r="T104" i="66"/>
  <c r="AD104" i="66" s="1"/>
  <c r="V104" i="66"/>
  <c r="Y104" i="66"/>
  <c r="AE104" i="66"/>
  <c r="AF104" i="66"/>
  <c r="AG104" i="66" s="1"/>
  <c r="AH104" i="66"/>
  <c r="AI104" i="66" s="1"/>
  <c r="AK104" i="66"/>
  <c r="AM104" i="66"/>
  <c r="T105" i="66"/>
  <c r="AD105" i="66" s="1"/>
  <c r="V105" i="66"/>
  <c r="Y105" i="66"/>
  <c r="AF105" i="66"/>
  <c r="AG105" i="66" s="1"/>
  <c r="AH105" i="66"/>
  <c r="AI105" i="66"/>
  <c r="AK105" i="66"/>
  <c r="AM105" i="66"/>
  <c r="T106" i="66"/>
  <c r="AD106" i="66" s="1"/>
  <c r="V106" i="66"/>
  <c r="Y106" i="66"/>
  <c r="AF106" i="66"/>
  <c r="AG106" i="66"/>
  <c r="AK106" i="66"/>
  <c r="AM106" i="66"/>
  <c r="T107" i="66"/>
  <c r="AD107" i="66" s="1"/>
  <c r="V107" i="66"/>
  <c r="Y107" i="66"/>
  <c r="AF107" i="66"/>
  <c r="AG107" i="66" s="1"/>
  <c r="AK107" i="66"/>
  <c r="AM107" i="66"/>
  <c r="T108" i="66"/>
  <c r="AE108" i="66" s="1"/>
  <c r="V108" i="66"/>
  <c r="Y108" i="66"/>
  <c r="AF108" i="66"/>
  <c r="AG108" i="66" s="1"/>
  <c r="AK108" i="66"/>
  <c r="AM108" i="66"/>
  <c r="T109" i="66"/>
  <c r="AD109" i="66" s="1"/>
  <c r="V109" i="66"/>
  <c r="Y109" i="66"/>
  <c r="AE109" i="66"/>
  <c r="AF109" i="66"/>
  <c r="AG109" i="66" s="1"/>
  <c r="AK109" i="66"/>
  <c r="AM109" i="66"/>
  <c r="T110" i="66"/>
  <c r="AD110" i="66" s="1"/>
  <c r="V110" i="66"/>
  <c r="Y110" i="66"/>
  <c r="AF110" i="66"/>
  <c r="AG110" i="66" s="1"/>
  <c r="AK110" i="66"/>
  <c r="AM110" i="66"/>
  <c r="T111" i="66"/>
  <c r="AE111" i="66" s="1"/>
  <c r="V111" i="66"/>
  <c r="Y111" i="66"/>
  <c r="AD111" i="66"/>
  <c r="AF111" i="66"/>
  <c r="AG111" i="66"/>
  <c r="AK111" i="66"/>
  <c r="AM111" i="66"/>
  <c r="T112" i="66"/>
  <c r="AH112" i="66" s="1"/>
  <c r="AI112" i="66" s="1"/>
  <c r="V112" i="66"/>
  <c r="Y112" i="66"/>
  <c r="AE112" i="66"/>
  <c r="AF112" i="66"/>
  <c r="AG112" i="66"/>
  <c r="AK112" i="66"/>
  <c r="AM112" i="66"/>
  <c r="T113" i="66"/>
  <c r="AH113" i="66" s="1"/>
  <c r="AI113" i="66" s="1"/>
  <c r="V113" i="66"/>
  <c r="Y113" i="66"/>
  <c r="AD113" i="66"/>
  <c r="AF113" i="66"/>
  <c r="AG113" i="66" s="1"/>
  <c r="AK113" i="66"/>
  <c r="T114" i="66"/>
  <c r="V114" i="66"/>
  <c r="Y114" i="66"/>
  <c r="AF114" i="66"/>
  <c r="AG114" i="66" s="1"/>
  <c r="AK114" i="66"/>
  <c r="AM114" i="66"/>
  <c r="T115" i="66"/>
  <c r="V115" i="66"/>
  <c r="Y115" i="66"/>
  <c r="AD115" i="66"/>
  <c r="AF115" i="66"/>
  <c r="AG115" i="66"/>
  <c r="AK115" i="66"/>
  <c r="T116" i="66"/>
  <c r="AD116" i="66" s="1"/>
  <c r="V116" i="66"/>
  <c r="Y116" i="66"/>
  <c r="AE116" i="66"/>
  <c r="AF116" i="66"/>
  <c r="AG116" i="66" s="1"/>
  <c r="AH116" i="66"/>
  <c r="AI116" i="66" s="1"/>
  <c r="AK116" i="66"/>
  <c r="AM116" i="66"/>
  <c r="T117" i="66"/>
  <c r="AH117" i="66" s="1"/>
  <c r="AI117" i="66" s="1"/>
  <c r="V117" i="66"/>
  <c r="Y117" i="66"/>
  <c r="AF117" i="66"/>
  <c r="AG117" i="66" s="1"/>
  <c r="AK117" i="66"/>
  <c r="AM117" i="66"/>
  <c r="T118" i="66"/>
  <c r="AM118" i="66" s="1"/>
  <c r="V118" i="66"/>
  <c r="Y118" i="66"/>
  <c r="AD118" i="66"/>
  <c r="AE118" i="66"/>
  <c r="AF118" i="66"/>
  <c r="AG118" i="66" s="1"/>
  <c r="AH118" i="66"/>
  <c r="AI118" i="66" s="1"/>
  <c r="AK118" i="66"/>
  <c r="AN118" i="66"/>
  <c r="T119" i="66"/>
  <c r="AE119" i="66" s="1"/>
  <c r="V119" i="66"/>
  <c r="Y119" i="66"/>
  <c r="AD119" i="66"/>
  <c r="AF119" i="66"/>
  <c r="AG119" i="66" s="1"/>
  <c r="AH119" i="66"/>
  <c r="AI119" i="66" s="1"/>
  <c r="AK119" i="66"/>
  <c r="AM119" i="66"/>
  <c r="T120" i="66"/>
  <c r="AE120" i="66" s="1"/>
  <c r="V120" i="66"/>
  <c r="Y120" i="66"/>
  <c r="AD120" i="66"/>
  <c r="AF120" i="66"/>
  <c r="AG120" i="66" s="1"/>
  <c r="AK120" i="66"/>
  <c r="T121" i="66"/>
  <c r="AD121" i="66" s="1"/>
  <c r="V121" i="66"/>
  <c r="Y121" i="66"/>
  <c r="AE121" i="66"/>
  <c r="AF121" i="66"/>
  <c r="AG121" i="66"/>
  <c r="AK121" i="66"/>
  <c r="AM121" i="66"/>
  <c r="T122" i="66"/>
  <c r="V122" i="66"/>
  <c r="Y122" i="66"/>
  <c r="AF122" i="66"/>
  <c r="AG122" i="66" s="1"/>
  <c r="AK122" i="66"/>
  <c r="AM122" i="66"/>
  <c r="T123" i="66"/>
  <c r="AE123" i="66" s="1"/>
  <c r="V123" i="66"/>
  <c r="Y123" i="66"/>
  <c r="AF123" i="66"/>
  <c r="AG123" i="66"/>
  <c r="AK123" i="66"/>
  <c r="AM123" i="66"/>
  <c r="T124" i="66"/>
  <c r="AD124" i="66" s="1"/>
  <c r="V124" i="66"/>
  <c r="Y124" i="66"/>
  <c r="AF124" i="66"/>
  <c r="AG124" i="66"/>
  <c r="AK124" i="66"/>
  <c r="AM124" i="66"/>
  <c r="T125" i="66"/>
  <c r="AH125" i="66" s="1"/>
  <c r="V125" i="66"/>
  <c r="Y125" i="66"/>
  <c r="AE125" i="66"/>
  <c r="AF125" i="66"/>
  <c r="AG125" i="66" s="1"/>
  <c r="AI125" i="66"/>
  <c r="AK125" i="66"/>
  <c r="AM125" i="66"/>
  <c r="T126" i="66"/>
  <c r="AH126" i="66" s="1"/>
  <c r="AI126" i="66" s="1"/>
  <c r="V126" i="66"/>
  <c r="Y126" i="66"/>
  <c r="AF126" i="66"/>
  <c r="AG126" i="66" s="1"/>
  <c r="AJ126" i="66" s="1"/>
  <c r="AK126" i="66"/>
  <c r="AM126" i="66"/>
  <c r="T127" i="66"/>
  <c r="AH127" i="66" s="1"/>
  <c r="AI127" i="66" s="1"/>
  <c r="V127" i="66"/>
  <c r="Y127" i="66"/>
  <c r="AD127" i="66"/>
  <c r="AF127" i="66"/>
  <c r="AG127" i="66" s="1"/>
  <c r="AK127" i="66"/>
  <c r="AM127" i="66"/>
  <c r="T128" i="66"/>
  <c r="AD128" i="66" s="1"/>
  <c r="V128" i="66"/>
  <c r="Y128" i="66"/>
  <c r="AF128" i="66"/>
  <c r="AG128" i="66" s="1"/>
  <c r="AK128" i="66"/>
  <c r="AM128" i="66"/>
  <c r="T129" i="66"/>
  <c r="V129" i="66"/>
  <c r="Y129" i="66"/>
  <c r="AF129" i="66"/>
  <c r="AG129" i="66" s="1"/>
  <c r="AH129" i="66"/>
  <c r="AI129" i="66" s="1"/>
  <c r="AK129" i="66"/>
  <c r="AM129" i="66"/>
  <c r="T130" i="66"/>
  <c r="V130" i="66"/>
  <c r="Y130" i="66"/>
  <c r="AD130" i="66"/>
  <c r="AE130" i="66"/>
  <c r="AF130" i="66"/>
  <c r="AG130" i="66"/>
  <c r="AH130" i="66"/>
  <c r="AI130" i="66" s="1"/>
  <c r="AJ130" i="66" s="1"/>
  <c r="AK130" i="66"/>
  <c r="AM130" i="66"/>
  <c r="T131" i="66"/>
  <c r="AE131" i="66" s="1"/>
  <c r="V131" i="66"/>
  <c r="Y131" i="66"/>
  <c r="AD131" i="66"/>
  <c r="AF131" i="66"/>
  <c r="AG131" i="66" s="1"/>
  <c r="AH131" i="66"/>
  <c r="AI131" i="66" s="1"/>
  <c r="AK131" i="66"/>
  <c r="AM131" i="66"/>
  <c r="T132" i="66"/>
  <c r="AH132" i="66" s="1"/>
  <c r="AI132" i="66" s="1"/>
  <c r="V132" i="66"/>
  <c r="Y132" i="66"/>
  <c r="AF132" i="66"/>
  <c r="AG132" i="66" s="1"/>
  <c r="AK132" i="66"/>
  <c r="AM132" i="66"/>
  <c r="T133" i="66"/>
  <c r="V133" i="66"/>
  <c r="Y133" i="66"/>
  <c r="AF133" i="66"/>
  <c r="AG133" i="66" s="1"/>
  <c r="AK133" i="66"/>
  <c r="AM133" i="66"/>
  <c r="T134" i="66"/>
  <c r="AH134" i="66" s="1"/>
  <c r="AI134" i="66" s="1"/>
  <c r="V134" i="66"/>
  <c r="Y134" i="66"/>
  <c r="AF134" i="66"/>
  <c r="AG134" i="66" s="1"/>
  <c r="AK134" i="66"/>
  <c r="AM134" i="66"/>
  <c r="T135" i="66"/>
  <c r="AE135" i="66" s="1"/>
  <c r="V135" i="66"/>
  <c r="Y135" i="66"/>
  <c r="AD135" i="66"/>
  <c r="AF135" i="66"/>
  <c r="AG135" i="66" s="1"/>
  <c r="AK135" i="66"/>
  <c r="AM135" i="66"/>
  <c r="T136" i="66"/>
  <c r="V136" i="66"/>
  <c r="Y136" i="66"/>
  <c r="AD136" i="66"/>
  <c r="AE136" i="66"/>
  <c r="AF136" i="66"/>
  <c r="AG136" i="66"/>
  <c r="AH136" i="66"/>
  <c r="AI136" i="66" s="1"/>
  <c r="AK136" i="66"/>
  <c r="AM136" i="66"/>
  <c r="AN136" i="66" s="1"/>
  <c r="T137" i="66"/>
  <c r="AH137" i="66" s="1"/>
  <c r="V137" i="66"/>
  <c r="Y137" i="66"/>
  <c r="AF137" i="66"/>
  <c r="AG137" i="66" s="1"/>
  <c r="AI137" i="66"/>
  <c r="AJ137" i="66" s="1"/>
  <c r="AK137" i="66"/>
  <c r="AM137" i="66"/>
  <c r="T138" i="66"/>
  <c r="V138" i="66"/>
  <c r="Y138" i="66"/>
  <c r="AF138" i="66"/>
  <c r="AG138" i="66"/>
  <c r="AK138" i="66"/>
  <c r="AM138" i="66"/>
  <c r="T139" i="66"/>
  <c r="AE139" i="66" s="1"/>
  <c r="V139" i="66"/>
  <c r="Y139" i="66"/>
  <c r="AD139" i="66"/>
  <c r="AF139" i="66"/>
  <c r="AG139" i="66"/>
  <c r="AJ139" i="66" s="1"/>
  <c r="AH139" i="66"/>
  <c r="AI139" i="66" s="1"/>
  <c r="AK139" i="66"/>
  <c r="AM139" i="66"/>
  <c r="T140" i="66"/>
  <c r="AD140" i="66" s="1"/>
  <c r="V140" i="66"/>
  <c r="Y140" i="66"/>
  <c r="AF140" i="66"/>
  <c r="AG140" i="66"/>
  <c r="AH140" i="66"/>
  <c r="AI140" i="66" s="1"/>
  <c r="AL140" i="66" s="1"/>
  <c r="AK140" i="66"/>
  <c r="AM140" i="66"/>
  <c r="T141" i="66"/>
  <c r="AE141" i="66" s="1"/>
  <c r="V141" i="66"/>
  <c r="Y141" i="66"/>
  <c r="AF141" i="66"/>
  <c r="AG141" i="66" s="1"/>
  <c r="AH141" i="66"/>
  <c r="AI141" i="66" s="1"/>
  <c r="AK141" i="66"/>
  <c r="AM141" i="66"/>
  <c r="T142" i="66"/>
  <c r="AE142" i="66" s="1"/>
  <c r="V142" i="66"/>
  <c r="Y142" i="66"/>
  <c r="AD142" i="66"/>
  <c r="AF142" i="66"/>
  <c r="AG142" i="66"/>
  <c r="AK142" i="66"/>
  <c r="AM142" i="66"/>
  <c r="T143" i="66"/>
  <c r="AD143" i="66" s="1"/>
  <c r="V143" i="66"/>
  <c r="Y143" i="66"/>
  <c r="AF143" i="66"/>
  <c r="AG143" i="66" s="1"/>
  <c r="AK143" i="66"/>
  <c r="AM143" i="66"/>
  <c r="T144" i="66"/>
  <c r="AD144" i="66" s="1"/>
  <c r="V144" i="66"/>
  <c r="Y144" i="66"/>
  <c r="AF144" i="66"/>
  <c r="AG144" i="66" s="1"/>
  <c r="AK144" i="66"/>
  <c r="AM144" i="66"/>
  <c r="T145" i="66"/>
  <c r="AE145" i="66" s="1"/>
  <c r="V145" i="66"/>
  <c r="Y145" i="66"/>
  <c r="AD145" i="66"/>
  <c r="AF145" i="66"/>
  <c r="AG145" i="66" s="1"/>
  <c r="AK145" i="66"/>
  <c r="AM145" i="66"/>
  <c r="T146" i="66"/>
  <c r="AD146" i="66" s="1"/>
  <c r="V146" i="66"/>
  <c r="Y146" i="66"/>
  <c r="AF146" i="66"/>
  <c r="AG146" i="66" s="1"/>
  <c r="AH146" i="66"/>
  <c r="AI146" i="66" s="1"/>
  <c r="AK146" i="66"/>
  <c r="AM146" i="66"/>
  <c r="T147" i="66"/>
  <c r="AD147" i="66" s="1"/>
  <c r="V147" i="66"/>
  <c r="Y147" i="66"/>
  <c r="AF147" i="66"/>
  <c r="AG147" i="66" s="1"/>
  <c r="AK147" i="66"/>
  <c r="T148" i="66"/>
  <c r="AE148" i="66" s="1"/>
  <c r="AN148" i="66" s="1"/>
  <c r="V148" i="66"/>
  <c r="Y148" i="66"/>
  <c r="AD148" i="66"/>
  <c r="AF148" i="66"/>
  <c r="AG148" i="66" s="1"/>
  <c r="AH148" i="66"/>
  <c r="AI148" i="66" s="1"/>
  <c r="AK148" i="66"/>
  <c r="AM148" i="66"/>
  <c r="T149" i="66"/>
  <c r="AE149" i="66" s="1"/>
  <c r="V149" i="66"/>
  <c r="Y149" i="66"/>
  <c r="AF149" i="66"/>
  <c r="AG149" i="66" s="1"/>
  <c r="AH149" i="66"/>
  <c r="AI149" i="66" s="1"/>
  <c r="AK149" i="66"/>
  <c r="AM149" i="66"/>
  <c r="T150" i="66"/>
  <c r="AH150" i="66" s="1"/>
  <c r="AI150" i="66" s="1"/>
  <c r="V150" i="66"/>
  <c r="Y150" i="66"/>
  <c r="AE150" i="66"/>
  <c r="AF150" i="66"/>
  <c r="AG150" i="66" s="1"/>
  <c r="AK150" i="66"/>
  <c r="AM150" i="66"/>
  <c r="T151" i="66"/>
  <c r="V151" i="66"/>
  <c r="Y151" i="66"/>
  <c r="AF151" i="66"/>
  <c r="AG151" i="66" s="1"/>
  <c r="AK151" i="66"/>
  <c r="T152" i="66"/>
  <c r="AH152" i="66" s="1"/>
  <c r="AI152" i="66" s="1"/>
  <c r="V152" i="66"/>
  <c r="Y152" i="66"/>
  <c r="AF152" i="66"/>
  <c r="AG152" i="66" s="1"/>
  <c r="AK152" i="66"/>
  <c r="T153" i="66"/>
  <c r="AE153" i="66" s="1"/>
  <c r="V153" i="66"/>
  <c r="Y153" i="66"/>
  <c r="AF153" i="66"/>
  <c r="AG153" i="66" s="1"/>
  <c r="AH153" i="66"/>
  <c r="AI153" i="66" s="1"/>
  <c r="AK153" i="66"/>
  <c r="AM153" i="66"/>
  <c r="T154" i="66"/>
  <c r="AH154" i="66" s="1"/>
  <c r="AI154" i="66" s="1"/>
  <c r="V154" i="66"/>
  <c r="Y154" i="66"/>
  <c r="AE154" i="66"/>
  <c r="AF154" i="66"/>
  <c r="AG154" i="66" s="1"/>
  <c r="AK154" i="66"/>
  <c r="AM154" i="66"/>
  <c r="T155" i="66"/>
  <c r="AM155" i="66" s="1"/>
  <c r="V155" i="66"/>
  <c r="Y155" i="66"/>
  <c r="AF155" i="66"/>
  <c r="AG155" i="66" s="1"/>
  <c r="AK155" i="66"/>
  <c r="T156" i="66"/>
  <c r="AD156" i="66" s="1"/>
  <c r="V156" i="66"/>
  <c r="Y156" i="66"/>
  <c r="AF156" i="66"/>
  <c r="AG156" i="66" s="1"/>
  <c r="AK156" i="66"/>
  <c r="AM156" i="66"/>
  <c r="T157" i="66"/>
  <c r="AH157" i="66" s="1"/>
  <c r="AI157" i="66" s="1"/>
  <c r="V157" i="66"/>
  <c r="Y157" i="66"/>
  <c r="AE157" i="66"/>
  <c r="AF157" i="66"/>
  <c r="AG157" i="66" s="1"/>
  <c r="AL157" i="66" s="1"/>
  <c r="AK157" i="66"/>
  <c r="AM157" i="66"/>
  <c r="T158" i="66"/>
  <c r="AD158" i="66" s="1"/>
  <c r="V158" i="66"/>
  <c r="Y158" i="66"/>
  <c r="AF158" i="66"/>
  <c r="AG158" i="66" s="1"/>
  <c r="AH158" i="66"/>
  <c r="AI158" i="66"/>
  <c r="AK158" i="66"/>
  <c r="AM158" i="66"/>
  <c r="T159" i="66"/>
  <c r="AD159" i="66" s="1"/>
  <c r="V159" i="66"/>
  <c r="Y159" i="66"/>
  <c r="AF159" i="66"/>
  <c r="AG159" i="66" s="1"/>
  <c r="AK159" i="66"/>
  <c r="AM159" i="66"/>
  <c r="T160" i="66"/>
  <c r="V160" i="66"/>
  <c r="Y160" i="66"/>
  <c r="AD160" i="66"/>
  <c r="AE160" i="66"/>
  <c r="AF160" i="66"/>
  <c r="AG160" i="66"/>
  <c r="AH160" i="66"/>
  <c r="AI160" i="66" s="1"/>
  <c r="AK160" i="66"/>
  <c r="AM160" i="66"/>
  <c r="T161" i="66"/>
  <c r="AE161" i="66" s="1"/>
  <c r="V161" i="66"/>
  <c r="Y161" i="66"/>
  <c r="AF161" i="66"/>
  <c r="AG161" i="66" s="1"/>
  <c r="AH161" i="66"/>
  <c r="AI161" i="66" s="1"/>
  <c r="AK161" i="66"/>
  <c r="AM161" i="66"/>
  <c r="T162" i="66"/>
  <c r="AH162" i="66" s="1"/>
  <c r="AI162" i="66" s="1"/>
  <c r="V162" i="66"/>
  <c r="Y162" i="66"/>
  <c r="AF162" i="66"/>
  <c r="AG162" i="66" s="1"/>
  <c r="AK162" i="66"/>
  <c r="AM162" i="66"/>
  <c r="T163" i="66"/>
  <c r="V163" i="66"/>
  <c r="Y163" i="66"/>
  <c r="AF163" i="66"/>
  <c r="AG163" i="66" s="1"/>
  <c r="AK163" i="66"/>
  <c r="AM163" i="66"/>
  <c r="AM75" i="66" l="1"/>
  <c r="AM60" i="66"/>
  <c r="AM72" i="66"/>
  <c r="AM62" i="66"/>
  <c r="AM53" i="66"/>
  <c r="AM46" i="66"/>
  <c r="AH64" i="66"/>
  <c r="AI64" i="66" s="1"/>
  <c r="AJ64" i="66" s="1"/>
  <c r="AM78" i="66"/>
  <c r="AM76" i="66"/>
  <c r="AD53" i="66"/>
  <c r="AN53" i="66"/>
  <c r="AM50" i="66"/>
  <c r="AM54" i="66"/>
  <c r="AM45" i="66"/>
  <c r="AM43" i="66"/>
  <c r="AH72" i="66"/>
  <c r="AI72" i="66" s="1"/>
  <c r="AJ72" i="66" s="1"/>
  <c r="AH66" i="66"/>
  <c r="AI66" i="66" s="1"/>
  <c r="AL66" i="66" s="1"/>
  <c r="AH42" i="66"/>
  <c r="AI42" i="66" s="1"/>
  <c r="AL42" i="66" s="1"/>
  <c r="AE72" i="66"/>
  <c r="AN72" i="66" s="1"/>
  <c r="AE66" i="66"/>
  <c r="AN66" i="66" s="1"/>
  <c r="AH47" i="66"/>
  <c r="AI47" i="66" s="1"/>
  <c r="AJ47" i="66" s="1"/>
  <c r="AD60" i="66"/>
  <c r="AN60" i="66" s="1"/>
  <c r="AM51" i="66"/>
  <c r="AH51" i="66"/>
  <c r="AI51" i="66" s="1"/>
  <c r="AJ51" i="66" s="1"/>
  <c r="AE55" i="66"/>
  <c r="AH65" i="66"/>
  <c r="AI65" i="66" s="1"/>
  <c r="AJ65" i="66" s="1"/>
  <c r="AH58" i="66"/>
  <c r="AI58" i="66" s="1"/>
  <c r="AJ58" i="66" s="1"/>
  <c r="AH75" i="66"/>
  <c r="AI75" i="66" s="1"/>
  <c r="AL75" i="66" s="1"/>
  <c r="AH73" i="66"/>
  <c r="AI73" i="66" s="1"/>
  <c r="AJ73" i="66" s="1"/>
  <c r="AD65" i="66"/>
  <c r="AN65" i="66" s="1"/>
  <c r="AM49" i="66"/>
  <c r="AM47" i="66"/>
  <c r="AE46" i="66"/>
  <c r="AN46" i="66" s="1"/>
  <c r="AE58" i="66"/>
  <c r="AM52" i="66"/>
  <c r="AM59" i="66"/>
  <c r="AD54" i="66"/>
  <c r="AH69" i="66"/>
  <c r="AI69" i="66" s="1"/>
  <c r="AL69" i="66" s="1"/>
  <c r="AH59" i="66"/>
  <c r="AI59" i="66" s="1"/>
  <c r="AJ59" i="66" s="1"/>
  <c r="AM55" i="66"/>
  <c r="AM74" i="66"/>
  <c r="AD69" i="66"/>
  <c r="AH50" i="66"/>
  <c r="AI50" i="66" s="1"/>
  <c r="AJ50" i="66" s="1"/>
  <c r="AM48" i="66"/>
  <c r="AJ136" i="66"/>
  <c r="AJ157" i="66"/>
  <c r="AL89" i="66"/>
  <c r="AJ154" i="66"/>
  <c r="AL118" i="66"/>
  <c r="AN96" i="66"/>
  <c r="AD154" i="66"/>
  <c r="AH135" i="66"/>
  <c r="AI135" i="66" s="1"/>
  <c r="AL135" i="66" s="1"/>
  <c r="AD132" i="66"/>
  <c r="AL119" i="66"/>
  <c r="AD112" i="66"/>
  <c r="AH109" i="66"/>
  <c r="AI109" i="66" s="1"/>
  <c r="AJ109" i="66" s="1"/>
  <c r="AN145" i="66"/>
  <c r="AD161" i="66"/>
  <c r="AD157" i="66"/>
  <c r="AN157" i="66" s="1"/>
  <c r="AD149" i="66"/>
  <c r="AN149" i="66" s="1"/>
  <c r="AE146" i="66"/>
  <c r="AL126" i="66"/>
  <c r="AE113" i="66"/>
  <c r="AL95" i="66"/>
  <c r="AE158" i="66"/>
  <c r="AN119" i="66"/>
  <c r="AN111" i="66"/>
  <c r="AH99" i="66"/>
  <c r="AI99" i="66" s="1"/>
  <c r="AH96" i="66"/>
  <c r="AI96" i="66" s="1"/>
  <c r="AH90" i="66"/>
  <c r="AI90" i="66" s="1"/>
  <c r="AJ90" i="66" s="1"/>
  <c r="AL96" i="66"/>
  <c r="AL90" i="66"/>
  <c r="AE162" i="66"/>
  <c r="AN162" i="66" s="1"/>
  <c r="AD162" i="66"/>
  <c r="AN154" i="66"/>
  <c r="AD150" i="66"/>
  <c r="AN150" i="66" s="1"/>
  <c r="AE137" i="66"/>
  <c r="AE127" i="66"/>
  <c r="AH124" i="66"/>
  <c r="AI124" i="66" s="1"/>
  <c r="AL124" i="66" s="1"/>
  <c r="AH123" i="66"/>
  <c r="AI123" i="66" s="1"/>
  <c r="AL123" i="66" s="1"/>
  <c r="AH107" i="66"/>
  <c r="AI107" i="66" s="1"/>
  <c r="AJ107" i="66" s="1"/>
  <c r="AH106" i="66"/>
  <c r="AI106" i="66" s="1"/>
  <c r="AJ106" i="66" s="1"/>
  <c r="AN104" i="66"/>
  <c r="AH100" i="66"/>
  <c r="AI100" i="66" s="1"/>
  <c r="AE96" i="66"/>
  <c r="AN94" i="66"/>
  <c r="AL91" i="66"/>
  <c r="AE90" i="66"/>
  <c r="AH76" i="66"/>
  <c r="AI76" i="66" s="1"/>
  <c r="AL76" i="66" s="1"/>
  <c r="AH70" i="66"/>
  <c r="AI70" i="66" s="1"/>
  <c r="AJ70" i="66" s="1"/>
  <c r="AE67" i="66"/>
  <c r="AH48" i="66"/>
  <c r="AI48" i="66" s="1"/>
  <c r="AL48" i="66" s="1"/>
  <c r="AJ123" i="66"/>
  <c r="AL106" i="66"/>
  <c r="AJ91" i="66"/>
  <c r="AH78" i="66"/>
  <c r="AI78" i="66" s="1"/>
  <c r="AL78" i="66" s="1"/>
  <c r="AH52" i="66"/>
  <c r="AI52" i="66" s="1"/>
  <c r="AJ52" i="66" s="1"/>
  <c r="AH145" i="66"/>
  <c r="AI145" i="66" s="1"/>
  <c r="AJ145" i="66" s="1"/>
  <c r="AH142" i="66"/>
  <c r="AI142" i="66" s="1"/>
  <c r="AJ142" i="66" s="1"/>
  <c r="AN130" i="66"/>
  <c r="AE107" i="66"/>
  <c r="AN107" i="66" s="1"/>
  <c r="AE100" i="66"/>
  <c r="AH84" i="66"/>
  <c r="AI84" i="66" s="1"/>
  <c r="AJ84" i="66" s="1"/>
  <c r="AH77" i="66"/>
  <c r="AI77" i="66" s="1"/>
  <c r="AL77" i="66" s="1"/>
  <c r="AH60" i="66"/>
  <c r="AI60" i="66" s="1"/>
  <c r="AL60" i="66" s="1"/>
  <c r="AH54" i="66"/>
  <c r="AI54" i="66" s="1"/>
  <c r="AL54" i="66" s="1"/>
  <c r="AH45" i="66"/>
  <c r="AI45" i="66" s="1"/>
  <c r="AJ45" i="66" s="1"/>
  <c r="AN139" i="66"/>
  <c r="AH128" i="66"/>
  <c r="AI128" i="66" s="1"/>
  <c r="AE124" i="66"/>
  <c r="AN124" i="66" s="1"/>
  <c r="AD123" i="66"/>
  <c r="AN123" i="66" s="1"/>
  <c r="AH121" i="66"/>
  <c r="AI121" i="66" s="1"/>
  <c r="AJ121" i="66" s="1"/>
  <c r="AH111" i="66"/>
  <c r="AI111" i="66" s="1"/>
  <c r="AJ111" i="66" s="1"/>
  <c r="AE106" i="66"/>
  <c r="AN106" i="66" s="1"/>
  <c r="AH94" i="66"/>
  <c r="AI94" i="66" s="1"/>
  <c r="AH81" i="66"/>
  <c r="AI81" i="66" s="1"/>
  <c r="AJ81" i="66" s="1"/>
  <c r="AE70" i="66"/>
  <c r="AN70" i="66" s="1"/>
  <c r="AH63" i="66"/>
  <c r="AI63" i="66" s="1"/>
  <c r="AJ63" i="66" s="1"/>
  <c r="AH57" i="66"/>
  <c r="AI57" i="66" s="1"/>
  <c r="AJ57" i="66" s="1"/>
  <c r="AH53" i="66"/>
  <c r="AI53" i="66" s="1"/>
  <c r="AJ53" i="66" s="1"/>
  <c r="AH49" i="66"/>
  <c r="AI49" i="66" s="1"/>
  <c r="AE48" i="66"/>
  <c r="AD153" i="66"/>
  <c r="AE78" i="66"/>
  <c r="AN160" i="66"/>
  <c r="AN135" i="66"/>
  <c r="AE128" i="66"/>
  <c r="AN128" i="66" s="1"/>
  <c r="AD125" i="66"/>
  <c r="AN125" i="66" s="1"/>
  <c r="AD108" i="66"/>
  <c r="AN108" i="66" s="1"/>
  <c r="AJ87" i="66"/>
  <c r="AD77" i="66"/>
  <c r="AN77" i="66" s="1"/>
  <c r="AH61" i="66"/>
  <c r="AI61" i="66" s="1"/>
  <c r="AJ61" i="66" s="1"/>
  <c r="AH46" i="66"/>
  <c r="AI46" i="66" s="1"/>
  <c r="AL46" i="66" s="1"/>
  <c r="AE43" i="66"/>
  <c r="AN142" i="66"/>
  <c r="AL151" i="66"/>
  <c r="AL129" i="66"/>
  <c r="AJ129" i="66"/>
  <c r="AJ148" i="66"/>
  <c r="AJ160" i="66"/>
  <c r="AH151" i="66"/>
  <c r="AI151" i="66" s="1"/>
  <c r="AJ151" i="66" s="1"/>
  <c r="AM151" i="66"/>
  <c r="AD151" i="66"/>
  <c r="AE151" i="66"/>
  <c r="AJ127" i="66"/>
  <c r="AL127" i="66"/>
  <c r="AL158" i="66"/>
  <c r="AJ158" i="66"/>
  <c r="AL145" i="66"/>
  <c r="AH163" i="66"/>
  <c r="AI163" i="66" s="1"/>
  <c r="AJ163" i="66" s="1"/>
  <c r="AE163" i="66"/>
  <c r="AD163" i="66"/>
  <c r="AJ152" i="66"/>
  <c r="AL152" i="66"/>
  <c r="AJ149" i="66"/>
  <c r="AL149" i="66"/>
  <c r="AN146" i="66"/>
  <c r="AL144" i="66"/>
  <c r="AH138" i="66"/>
  <c r="AI138" i="66" s="1"/>
  <c r="AD138" i="66"/>
  <c r="AE138" i="66"/>
  <c r="AJ132" i="66"/>
  <c r="AL132" i="66"/>
  <c r="AL161" i="66"/>
  <c r="AJ161" i="66"/>
  <c r="AJ150" i="66"/>
  <c r="AJ162" i="66"/>
  <c r="AN161" i="66"/>
  <c r="AN158" i="66"/>
  <c r="AN153" i="66"/>
  <c r="AJ134" i="66"/>
  <c r="AL134" i="66"/>
  <c r="AD133" i="66"/>
  <c r="AH133" i="66"/>
  <c r="AI133" i="66" s="1"/>
  <c r="AE133" i="66"/>
  <c r="AJ103" i="66"/>
  <c r="AJ128" i="66"/>
  <c r="AL128" i="66"/>
  <c r="AJ153" i="66"/>
  <c r="AL153" i="66"/>
  <c r="AL146" i="66"/>
  <c r="AJ146" i="66"/>
  <c r="AL141" i="66"/>
  <c r="AJ141" i="66"/>
  <c r="AJ135" i="66"/>
  <c r="AJ116" i="66"/>
  <c r="AL116" i="66"/>
  <c r="AH114" i="66"/>
  <c r="AI114" i="66" s="1"/>
  <c r="AL114" i="66" s="1"/>
  <c r="AD114" i="66"/>
  <c r="AH155" i="66"/>
  <c r="AI155" i="66" s="1"/>
  <c r="AJ155" i="66" s="1"/>
  <c r="AE152" i="66"/>
  <c r="AH143" i="66"/>
  <c r="AI143" i="66" s="1"/>
  <c r="AJ140" i="66"/>
  <c r="AE126" i="66"/>
  <c r="AN126" i="66" s="1"/>
  <c r="AN112" i="66"/>
  <c r="AJ104" i="66"/>
  <c r="AL104" i="66"/>
  <c r="AJ100" i="66"/>
  <c r="AL100" i="66"/>
  <c r="AL88" i="66"/>
  <c r="AL73" i="66"/>
  <c r="AM147" i="66"/>
  <c r="AL131" i="66"/>
  <c r="AJ99" i="66"/>
  <c r="AL99" i="66"/>
  <c r="AL160" i="66"/>
  <c r="AH156" i="66"/>
  <c r="AI156" i="66" s="1"/>
  <c r="AJ156" i="66" s="1"/>
  <c r="AD152" i="66"/>
  <c r="AL148" i="66"/>
  <c r="AH144" i="66"/>
  <c r="AI144" i="66" s="1"/>
  <c r="AJ144" i="66" s="1"/>
  <c r="AN131" i="66"/>
  <c r="AD126" i="66"/>
  <c r="AJ125" i="66"/>
  <c r="AL125" i="66"/>
  <c r="AN109" i="66"/>
  <c r="AJ101" i="66"/>
  <c r="AL101" i="66"/>
  <c r="AE143" i="66"/>
  <c r="AN143" i="66" s="1"/>
  <c r="AE140" i="66"/>
  <c r="AN140" i="66" s="1"/>
  <c r="AL136" i="66"/>
  <c r="AL117" i="66"/>
  <c r="AJ117" i="66"/>
  <c r="AM115" i="66"/>
  <c r="AE115" i="66"/>
  <c r="AH115" i="66"/>
  <c r="AI115" i="66" s="1"/>
  <c r="AJ115" i="66" s="1"/>
  <c r="AJ112" i="66"/>
  <c r="AL112" i="66"/>
  <c r="AL107" i="66"/>
  <c r="AD103" i="66"/>
  <c r="AE103" i="66"/>
  <c r="AN103" i="66" s="1"/>
  <c r="AH103" i="66"/>
  <c r="AI103" i="66" s="1"/>
  <c r="AL103" i="66" s="1"/>
  <c r="AL162" i="66"/>
  <c r="AE155" i="66"/>
  <c r="AN155" i="66" s="1"/>
  <c r="AL150" i="66"/>
  <c r="AL139" i="66"/>
  <c r="AL137" i="66"/>
  <c r="AL130" i="66"/>
  <c r="AD129" i="66"/>
  <c r="AE129" i="66"/>
  <c r="AJ124" i="66"/>
  <c r="AD122" i="66"/>
  <c r="AE122" i="66"/>
  <c r="AH122" i="66"/>
  <c r="AI122" i="66" s="1"/>
  <c r="AJ122" i="66" s="1"/>
  <c r="AJ113" i="66"/>
  <c r="AL113" i="66"/>
  <c r="AN101" i="66"/>
  <c r="AJ94" i="66"/>
  <c r="AL94" i="66"/>
  <c r="AN84" i="66"/>
  <c r="AH159" i="66"/>
  <c r="AI159" i="66" s="1"/>
  <c r="AJ159" i="66" s="1"/>
  <c r="AE156" i="66"/>
  <c r="AN156" i="66" s="1"/>
  <c r="AD155" i="66"/>
  <c r="AM152" i="66"/>
  <c r="AH147" i="66"/>
  <c r="AI147" i="66" s="1"/>
  <c r="AJ147" i="66" s="1"/>
  <c r="AE144" i="66"/>
  <c r="AN144" i="66" s="1"/>
  <c r="AN121" i="66"/>
  <c r="AL105" i="66"/>
  <c r="AJ105" i="66"/>
  <c r="AJ95" i="66"/>
  <c r="AD134" i="66"/>
  <c r="AN134" i="66" s="1"/>
  <c r="AE134" i="66"/>
  <c r="AN116" i="66"/>
  <c r="AJ97" i="66"/>
  <c r="AL97" i="66"/>
  <c r="AJ92" i="66"/>
  <c r="AL92" i="66"/>
  <c r="AJ82" i="66"/>
  <c r="AL82" i="66"/>
  <c r="AJ114" i="66"/>
  <c r="AE159" i="66"/>
  <c r="AN159" i="66" s="1"/>
  <c r="AL154" i="66"/>
  <c r="AE147" i="66"/>
  <c r="AD141" i="66"/>
  <c r="AN141" i="66" s="1"/>
  <c r="AE132" i="66"/>
  <c r="AN132" i="66" s="1"/>
  <c r="AN127" i="66"/>
  <c r="AD117" i="66"/>
  <c r="AE117" i="66"/>
  <c r="AE114" i="66"/>
  <c r="AN114" i="66" s="1"/>
  <c r="AN90" i="66"/>
  <c r="AL98" i="66"/>
  <c r="AL142" i="66"/>
  <c r="AJ131" i="66"/>
  <c r="AJ119" i="66"/>
  <c r="AJ118" i="66"/>
  <c r="AL115" i="66"/>
  <c r="AD137" i="66"/>
  <c r="AN137" i="66" s="1"/>
  <c r="AH102" i="66"/>
  <c r="AI102" i="66" s="1"/>
  <c r="AJ102" i="66" s="1"/>
  <c r="AD102" i="66"/>
  <c r="AN102" i="66" s="1"/>
  <c r="AN100" i="66"/>
  <c r="AL83" i="66"/>
  <c r="AJ83" i="66"/>
  <c r="AM120" i="66"/>
  <c r="AJ55" i="66"/>
  <c r="AL55" i="66"/>
  <c r="AH79" i="66"/>
  <c r="AI79" i="66" s="1"/>
  <c r="AJ79" i="66" s="1"/>
  <c r="AM79" i="66"/>
  <c r="AD79" i="66"/>
  <c r="AN42" i="66"/>
  <c r="AJ88" i="66"/>
  <c r="AH68" i="66"/>
  <c r="AI68" i="66" s="1"/>
  <c r="AJ68" i="66" s="1"/>
  <c r="AD68" i="66"/>
  <c r="AE68" i="66"/>
  <c r="AH120" i="66"/>
  <c r="AI120" i="66" s="1"/>
  <c r="AJ120" i="66" s="1"/>
  <c r="AM113" i="66"/>
  <c r="AH108" i="66"/>
  <c r="AI108" i="66" s="1"/>
  <c r="AL108" i="66" s="1"/>
  <c r="AE105" i="66"/>
  <c r="AN105" i="66" s="1"/>
  <c r="AH93" i="66"/>
  <c r="AI93" i="66" s="1"/>
  <c r="AJ93" i="66" s="1"/>
  <c r="AM85" i="66"/>
  <c r="AD85" i="66"/>
  <c r="AE85" i="66"/>
  <c r="AN78" i="66"/>
  <c r="AE98" i="66"/>
  <c r="AJ96" i="66"/>
  <c r="AJ49" i="66"/>
  <c r="AL49" i="66"/>
  <c r="AH44" i="66"/>
  <c r="AI44" i="66" s="1"/>
  <c r="AJ44" i="66" s="1"/>
  <c r="AD44" i="66"/>
  <c r="AE44" i="66"/>
  <c r="AH110" i="66"/>
  <c r="AI110" i="66" s="1"/>
  <c r="AJ110" i="66" s="1"/>
  <c r="AD98" i="66"/>
  <c r="AN98" i="66" s="1"/>
  <c r="AD95" i="66"/>
  <c r="AN95" i="66" s="1"/>
  <c r="AN92" i="66"/>
  <c r="AE91" i="66"/>
  <c r="AH80" i="66"/>
  <c r="AI80" i="66" s="1"/>
  <c r="AJ80" i="66" s="1"/>
  <c r="AD80" i="66"/>
  <c r="AE80" i="66"/>
  <c r="AJ67" i="66"/>
  <c r="AL67" i="66"/>
  <c r="AE93" i="66"/>
  <c r="AN93" i="66" s="1"/>
  <c r="AD91" i="66"/>
  <c r="AN91" i="66" s="1"/>
  <c r="AM83" i="66"/>
  <c r="AE83" i="66"/>
  <c r="AH56" i="66"/>
  <c r="AI56" i="66" s="1"/>
  <c r="AJ56" i="66" s="1"/>
  <c r="AD56" i="66"/>
  <c r="AE56" i="66"/>
  <c r="AJ43" i="66"/>
  <c r="AL43" i="66"/>
  <c r="AE110" i="66"/>
  <c r="AN110" i="66" s="1"/>
  <c r="AE99" i="66"/>
  <c r="AN99" i="66" s="1"/>
  <c r="AN82" i="66"/>
  <c r="AJ46" i="66"/>
  <c r="AH85" i="66"/>
  <c r="AI85" i="66" s="1"/>
  <c r="AJ85" i="66" s="1"/>
  <c r="AL84" i="66"/>
  <c r="AE79" i="66"/>
  <c r="AH71" i="66"/>
  <c r="AI71" i="66" s="1"/>
  <c r="AJ71" i="66" s="1"/>
  <c r="AD67" i="66"/>
  <c r="AD55" i="66"/>
  <c r="AD43" i="66"/>
  <c r="AE81" i="66"/>
  <c r="AN81" i="66" s="1"/>
  <c r="AE69" i="66"/>
  <c r="AE57" i="66"/>
  <c r="AL52" i="66"/>
  <c r="AE45" i="66"/>
  <c r="AD57" i="66"/>
  <c r="AH86" i="66"/>
  <c r="AI86" i="66" s="1"/>
  <c r="AH74" i="66"/>
  <c r="AI74" i="66" s="1"/>
  <c r="AL74" i="66" s="1"/>
  <c r="AE71" i="66"/>
  <c r="AN71" i="66" s="1"/>
  <c r="AH62" i="66"/>
  <c r="AI62" i="66" s="1"/>
  <c r="AL62" i="66" s="1"/>
  <c r="AE59" i="66"/>
  <c r="AD58" i="66"/>
  <c r="AE47" i="66"/>
  <c r="AE73" i="66"/>
  <c r="AE61" i="66"/>
  <c r="AE49" i="66"/>
  <c r="AE86" i="66"/>
  <c r="AN86" i="66" s="1"/>
  <c r="AE74" i="66"/>
  <c r="AD73" i="66"/>
  <c r="AE62" i="66"/>
  <c r="AN62" i="66" s="1"/>
  <c r="AD61" i="66"/>
  <c r="AE50" i="66"/>
  <c r="AE87" i="66"/>
  <c r="AN87" i="66" s="1"/>
  <c r="AE75" i="66"/>
  <c r="AN75" i="66" s="1"/>
  <c r="AE63" i="66"/>
  <c r="AN63" i="66" s="1"/>
  <c r="AL58" i="66"/>
  <c r="AE51" i="66"/>
  <c r="AE88" i="66"/>
  <c r="AN88" i="66" s="1"/>
  <c r="AE76" i="66"/>
  <c r="AE64" i="66"/>
  <c r="AN64" i="66" s="1"/>
  <c r="AE52" i="66"/>
  <c r="AN52" i="66" l="1"/>
  <c r="AN51" i="66"/>
  <c r="AN80" i="66"/>
  <c r="AN58" i="66"/>
  <c r="AN54" i="66"/>
  <c r="AN76" i="66"/>
  <c r="AN45" i="66"/>
  <c r="AL57" i="66"/>
  <c r="AL64" i="66"/>
  <c r="AN50" i="66"/>
  <c r="AN68" i="66"/>
  <c r="AL72" i="66"/>
  <c r="AJ42" i="66"/>
  <c r="AL70" i="66"/>
  <c r="AL59" i="66"/>
  <c r="AN47" i="66"/>
  <c r="AN49" i="66"/>
  <c r="AL65" i="66"/>
  <c r="AL63" i="66"/>
  <c r="AL61" i="66"/>
  <c r="AN59" i="66"/>
  <c r="AN55" i="66"/>
  <c r="AL45" i="66"/>
  <c r="AL47" i="66"/>
  <c r="AJ66" i="66"/>
  <c r="AN43" i="66"/>
  <c r="AN69" i="66"/>
  <c r="AJ69" i="66"/>
  <c r="AJ75" i="66"/>
  <c r="AL51" i="66"/>
  <c r="AN56" i="66"/>
  <c r="AL50" i="66"/>
  <c r="AJ62" i="66"/>
  <c r="AN67" i="66"/>
  <c r="AN48" i="66"/>
  <c r="AL56" i="66"/>
  <c r="AN74" i="66"/>
  <c r="AJ77" i="66"/>
  <c r="AN57" i="66"/>
  <c r="AN117" i="66"/>
  <c r="AN129" i="66"/>
  <c r="AL111" i="66"/>
  <c r="AL81" i="66"/>
  <c r="AJ60" i="66"/>
  <c r="AL102" i="66"/>
  <c r="AJ54" i="66"/>
  <c r="AL109" i="66"/>
  <c r="AN44" i="66"/>
  <c r="AL71" i="66"/>
  <c r="AJ48" i="66"/>
  <c r="AJ74" i="66"/>
  <c r="AL68" i="66"/>
  <c r="AL155" i="66"/>
  <c r="AJ76" i="66"/>
  <c r="AL121" i="66"/>
  <c r="AN122" i="66"/>
  <c r="AJ78" i="66"/>
  <c r="AL53" i="66"/>
  <c r="AN61" i="66"/>
  <c r="AN73" i="66"/>
  <c r="AL85" i="66"/>
  <c r="AN138" i="66"/>
  <c r="AJ86" i="66"/>
  <c r="AL86" i="66"/>
  <c r="AL120" i="66"/>
  <c r="AN113" i="66"/>
  <c r="AN79" i="66"/>
  <c r="AJ108" i="66"/>
  <c r="AL93" i="66"/>
  <c r="AN133" i="66"/>
  <c r="AN163" i="66"/>
  <c r="AN120" i="66"/>
  <c r="AN115" i="66"/>
  <c r="AL159" i="66"/>
  <c r="AL138" i="66"/>
  <c r="AJ138" i="66"/>
  <c r="AL79" i="66"/>
  <c r="AN85" i="66"/>
  <c r="AL143" i="66"/>
  <c r="AJ143" i="66"/>
  <c r="AL44" i="66"/>
  <c r="AL110" i="66"/>
  <c r="AL163" i="66"/>
  <c r="AL147" i="66"/>
  <c r="AL133" i="66"/>
  <c r="AJ133" i="66"/>
  <c r="AL156" i="66"/>
  <c r="AL80" i="66"/>
  <c r="AN152" i="66"/>
  <c r="AN147" i="66"/>
  <c r="AL122" i="66"/>
  <c r="AN83" i="66"/>
  <c r="AN151" i="66"/>
  <c r="AF6" i="37" l="1"/>
  <c r="T164" i="66" l="1"/>
  <c r="AD164" i="66" s="1"/>
  <c r="V164" i="66"/>
  <c r="Y164" i="66"/>
  <c r="AF164" i="66"/>
  <c r="AG164" i="66"/>
  <c r="AK164" i="66"/>
  <c r="AM164" i="66"/>
  <c r="T165" i="66"/>
  <c r="AD165" i="66" s="1"/>
  <c r="V165" i="66"/>
  <c r="Y165" i="66"/>
  <c r="AE165" i="66"/>
  <c r="AF165" i="66"/>
  <c r="AG165" i="66"/>
  <c r="AJ165" i="66" s="1"/>
  <c r="AH165" i="66"/>
  <c r="AI165" i="66" s="1"/>
  <c r="AL165" i="66" s="1"/>
  <c r="AK165" i="66"/>
  <c r="AM165" i="66"/>
  <c r="AN165" i="66" s="1"/>
  <c r="T166" i="66"/>
  <c r="AD166" i="66" s="1"/>
  <c r="V166" i="66"/>
  <c r="Y166" i="66"/>
  <c r="AF166" i="66"/>
  <c r="AG166" i="66" s="1"/>
  <c r="AH166" i="66"/>
  <c r="AI166" i="66"/>
  <c r="AK166" i="66"/>
  <c r="AM166" i="66"/>
  <c r="T167" i="66"/>
  <c r="V167" i="66"/>
  <c r="Y167" i="66"/>
  <c r="AD167" i="66"/>
  <c r="AN167" i="66" s="1"/>
  <c r="AE167" i="66"/>
  <c r="AF167" i="66"/>
  <c r="AG167" i="66"/>
  <c r="AH167" i="66"/>
  <c r="AI167" i="66"/>
  <c r="AL167" i="66" s="1"/>
  <c r="AJ167" i="66"/>
  <c r="AK167" i="66"/>
  <c r="AM167" i="66"/>
  <c r="T168" i="66"/>
  <c r="V168" i="66"/>
  <c r="Y168" i="66"/>
  <c r="AD168" i="66"/>
  <c r="AE168" i="66"/>
  <c r="AF168" i="66"/>
  <c r="AG168" i="66" s="1"/>
  <c r="AH168" i="66"/>
  <c r="AI168" i="66" s="1"/>
  <c r="AK168" i="66"/>
  <c r="AM168" i="66"/>
  <c r="T169" i="66"/>
  <c r="V169" i="66"/>
  <c r="Y169" i="66"/>
  <c r="AE169" i="66"/>
  <c r="AF169" i="66"/>
  <c r="AG169" i="66" s="1"/>
  <c r="AK169" i="66"/>
  <c r="AM169" i="66"/>
  <c r="T170" i="66"/>
  <c r="V170" i="66"/>
  <c r="Y170" i="66"/>
  <c r="AF170" i="66"/>
  <c r="AG170" i="66"/>
  <c r="AK170" i="66"/>
  <c r="AM170" i="66"/>
  <c r="T171" i="66"/>
  <c r="AD171" i="66" s="1"/>
  <c r="V171" i="66"/>
  <c r="Y171" i="66"/>
  <c r="AF171" i="66"/>
  <c r="AG171" i="66"/>
  <c r="AH171" i="66"/>
  <c r="AI171" i="66" s="1"/>
  <c r="AK171" i="66"/>
  <c r="AM171" i="66"/>
  <c r="T172" i="66"/>
  <c r="AD172" i="66" s="1"/>
  <c r="AN172" i="66" s="1"/>
  <c r="V172" i="66"/>
  <c r="Y172" i="66"/>
  <c r="AE172" i="66"/>
  <c r="AF172" i="66"/>
  <c r="AG172" i="66"/>
  <c r="AH172" i="66"/>
  <c r="AI172" i="66"/>
  <c r="AK172" i="66"/>
  <c r="AM172" i="66"/>
  <c r="T173" i="66"/>
  <c r="AE173" i="66" s="1"/>
  <c r="V173" i="66"/>
  <c r="Y173" i="66"/>
  <c r="AD173" i="66"/>
  <c r="AF173" i="66"/>
  <c r="AG173" i="66" s="1"/>
  <c r="AL173" i="66" s="1"/>
  <c r="AH173" i="66"/>
  <c r="AI173" i="66"/>
  <c r="AK173" i="66"/>
  <c r="AM173" i="66"/>
  <c r="AN173" i="66" s="1"/>
  <c r="T174" i="66"/>
  <c r="V174" i="66"/>
  <c r="Y174" i="66"/>
  <c r="AD174" i="66"/>
  <c r="AN174" i="66" s="1"/>
  <c r="AE174" i="66"/>
  <c r="AF174" i="66"/>
  <c r="AG174" i="66"/>
  <c r="AH174" i="66"/>
  <c r="AI174" i="66"/>
  <c r="AJ174" i="66"/>
  <c r="AK174" i="66"/>
  <c r="AM174" i="66"/>
  <c r="T175" i="66"/>
  <c r="AD175" i="66" s="1"/>
  <c r="V175" i="66"/>
  <c r="Y175" i="66"/>
  <c r="AF175" i="66"/>
  <c r="AG175" i="66" s="1"/>
  <c r="AK175" i="66"/>
  <c r="AM175" i="66"/>
  <c r="T176" i="66"/>
  <c r="AD176" i="66" s="1"/>
  <c r="V176" i="66"/>
  <c r="Y176" i="66"/>
  <c r="AF176" i="66"/>
  <c r="AG176" i="66"/>
  <c r="AK176" i="66"/>
  <c r="AM176" i="66"/>
  <c r="T177" i="66"/>
  <c r="AD177" i="66" s="1"/>
  <c r="V177" i="66"/>
  <c r="Y177" i="66"/>
  <c r="AE177" i="66"/>
  <c r="AF177" i="66"/>
  <c r="AG177" i="66"/>
  <c r="AH177" i="66"/>
  <c r="AI177" i="66" s="1"/>
  <c r="AK177" i="66"/>
  <c r="AM177" i="66"/>
  <c r="AN177" i="66"/>
  <c r="T178" i="66"/>
  <c r="AD178" i="66" s="1"/>
  <c r="V178" i="66"/>
  <c r="Y178" i="66"/>
  <c r="AF178" i="66"/>
  <c r="AG178" i="66" s="1"/>
  <c r="AH178" i="66"/>
  <c r="AI178" i="66"/>
  <c r="AK178" i="66"/>
  <c r="AM178" i="66"/>
  <c r="T179" i="66"/>
  <c r="AE179" i="66" s="1"/>
  <c r="V179" i="66"/>
  <c r="Y179" i="66"/>
  <c r="AD179" i="66"/>
  <c r="AN179" i="66" s="1"/>
  <c r="AF179" i="66"/>
  <c r="AG179" i="66"/>
  <c r="AH179" i="66"/>
  <c r="AI179" i="66"/>
  <c r="AL179" i="66" s="1"/>
  <c r="AJ179" i="66"/>
  <c r="AK179" i="66"/>
  <c r="AM179" i="66"/>
  <c r="T180" i="66"/>
  <c r="V180" i="66"/>
  <c r="Y180" i="66"/>
  <c r="AD180" i="66"/>
  <c r="AE180" i="66"/>
  <c r="AF180" i="66"/>
  <c r="AG180" i="66"/>
  <c r="AH180" i="66"/>
  <c r="AI180" i="66" s="1"/>
  <c r="AK180" i="66"/>
  <c r="AM180" i="66"/>
  <c r="T181" i="66"/>
  <c r="AH181" i="66" s="1"/>
  <c r="AI181" i="66" s="1"/>
  <c r="V181" i="66"/>
  <c r="Y181" i="66"/>
  <c r="AD181" i="66"/>
  <c r="AE181" i="66"/>
  <c r="AF181" i="66"/>
  <c r="AG181" i="66" s="1"/>
  <c r="AJ181" i="66" s="1"/>
  <c r="AK181" i="66"/>
  <c r="AM181" i="66"/>
  <c r="T182" i="66"/>
  <c r="V182" i="66"/>
  <c r="Y182" i="66"/>
  <c r="AE182" i="66"/>
  <c r="AF182" i="66"/>
  <c r="AG182" i="66"/>
  <c r="AK182" i="66"/>
  <c r="AM182" i="66"/>
  <c r="T183" i="66"/>
  <c r="AE183" i="66" s="1"/>
  <c r="V183" i="66"/>
  <c r="Y183" i="66"/>
  <c r="AD183" i="66"/>
  <c r="AN183" i="66" s="1"/>
  <c r="AF183" i="66"/>
  <c r="AG183" i="66"/>
  <c r="AH183" i="66"/>
  <c r="AI183" i="66" s="1"/>
  <c r="AK183" i="66"/>
  <c r="AM183" i="66"/>
  <c r="T184" i="66"/>
  <c r="AD184" i="66" s="1"/>
  <c r="V184" i="66"/>
  <c r="Y184" i="66"/>
  <c r="AE184" i="66"/>
  <c r="AF184" i="66"/>
  <c r="AG184" i="66"/>
  <c r="AH184" i="66"/>
  <c r="AI184" i="66" s="1"/>
  <c r="AK184" i="66"/>
  <c r="AM184" i="66"/>
  <c r="T185" i="66"/>
  <c r="AE185" i="66" s="1"/>
  <c r="V185" i="66"/>
  <c r="Y185" i="66"/>
  <c r="AD185" i="66"/>
  <c r="AF185" i="66"/>
  <c r="AG185" i="66" s="1"/>
  <c r="AL185" i="66" s="1"/>
  <c r="AH185" i="66"/>
  <c r="AI185" i="66"/>
  <c r="AJ185" i="66"/>
  <c r="AK185" i="66"/>
  <c r="AM185" i="66"/>
  <c r="T186" i="66"/>
  <c r="V186" i="66"/>
  <c r="Y186" i="66"/>
  <c r="AD186" i="66"/>
  <c r="AE186" i="66"/>
  <c r="AF186" i="66"/>
  <c r="AG186" i="66"/>
  <c r="AH186" i="66"/>
  <c r="AI186" i="66"/>
  <c r="AJ186" i="66"/>
  <c r="AK186" i="66"/>
  <c r="AM186" i="66"/>
  <c r="T187" i="66"/>
  <c r="AD187" i="66" s="1"/>
  <c r="V187" i="66"/>
  <c r="Y187" i="66"/>
  <c r="AF187" i="66"/>
  <c r="AG187" i="66" s="1"/>
  <c r="AL187" i="66" s="1"/>
  <c r="AH187" i="66"/>
  <c r="AI187" i="66"/>
  <c r="AJ187" i="66"/>
  <c r="AK187" i="66"/>
  <c r="AM187" i="66"/>
  <c r="AJ177" i="66" l="1"/>
  <c r="AL177" i="66"/>
  <c r="AJ183" i="66"/>
  <c r="AL183" i="66"/>
  <c r="AJ178" i="66"/>
  <c r="AL178" i="66"/>
  <c r="AJ170" i="66"/>
  <c r="AL170" i="66"/>
  <c r="AH169" i="66"/>
  <c r="AI169" i="66" s="1"/>
  <c r="AJ169" i="66" s="1"/>
  <c r="AD169" i="66"/>
  <c r="AN169" i="66" s="1"/>
  <c r="AL182" i="66"/>
  <c r="AL186" i="66"/>
  <c r="AN185" i="66"/>
  <c r="AE187" i="66"/>
  <c r="AH182" i="66"/>
  <c r="AI182" i="66" s="1"/>
  <c r="AJ182" i="66" s="1"/>
  <c r="AD182" i="66"/>
  <c r="AN168" i="66"/>
  <c r="AJ166" i="66"/>
  <c r="AL166" i="66"/>
  <c r="AN184" i="66"/>
  <c r="AN180" i="66"/>
  <c r="AJ173" i="66"/>
  <c r="AJ171" i="66"/>
  <c r="AL171" i="66"/>
  <c r="AN181" i="66"/>
  <c r="AN186" i="66"/>
  <c r="AN182" i="66"/>
  <c r="AL181" i="66"/>
  <c r="AH170" i="66"/>
  <c r="AI170" i="66" s="1"/>
  <c r="AD170" i="66"/>
  <c r="AE170" i="66"/>
  <c r="AN170" i="66" s="1"/>
  <c r="AJ168" i="66"/>
  <c r="AL168" i="66"/>
  <c r="AJ184" i="66"/>
  <c r="AL184" i="66"/>
  <c r="AN187" i="66"/>
  <c r="AJ180" i="66"/>
  <c r="AL180" i="66"/>
  <c r="AL174" i="66"/>
  <c r="AJ172" i="66"/>
  <c r="AE171" i="66"/>
  <c r="AN171" i="66" s="1"/>
  <c r="AH175" i="66"/>
  <c r="AI175" i="66" s="1"/>
  <c r="AJ175" i="66" s="1"/>
  <c r="AH176" i="66"/>
  <c r="AI176" i="66" s="1"/>
  <c r="AL176" i="66" s="1"/>
  <c r="AH164" i="66"/>
  <c r="AI164" i="66" s="1"/>
  <c r="AL164" i="66" s="1"/>
  <c r="AE175" i="66"/>
  <c r="AN175" i="66" s="1"/>
  <c r="AE176" i="66"/>
  <c r="AN176" i="66" s="1"/>
  <c r="AE164" i="66"/>
  <c r="AN164" i="66" s="1"/>
  <c r="AL172" i="66"/>
  <c r="AE178" i="66"/>
  <c r="AN178" i="66" s="1"/>
  <c r="AE166" i="66"/>
  <c r="AN166" i="66" s="1"/>
  <c r="F28" i="67"/>
  <c r="F36" i="67"/>
  <c r="AL175" i="66" l="1"/>
  <c r="AJ176" i="66"/>
  <c r="AJ164" i="66"/>
  <c r="AL169" i="66"/>
  <c r="T25" i="60" l="1"/>
  <c r="AH25" i="60" s="1"/>
  <c r="AI25" i="60" s="1"/>
  <c r="V25" i="60"/>
  <c r="Y25" i="60"/>
  <c r="AE25" i="60"/>
  <c r="AF25" i="60"/>
  <c r="AG25" i="60" s="1"/>
  <c r="AK25" i="60"/>
  <c r="AM25" i="60"/>
  <c r="T26" i="60"/>
  <c r="AH26" i="60" s="1"/>
  <c r="AI26" i="60" s="1"/>
  <c r="V26" i="60"/>
  <c r="Y26" i="60"/>
  <c r="AE26" i="60"/>
  <c r="AF26" i="60"/>
  <c r="AG26" i="60" s="1"/>
  <c r="AK26" i="60"/>
  <c r="AM26" i="60"/>
  <c r="T27" i="60"/>
  <c r="V27" i="60"/>
  <c r="Y27" i="60"/>
  <c r="AF27" i="60"/>
  <c r="AG27" i="60" s="1"/>
  <c r="AK27" i="60"/>
  <c r="AM27" i="60"/>
  <c r="T28" i="60"/>
  <c r="AD28" i="60" s="1"/>
  <c r="V28" i="60"/>
  <c r="Y28" i="60"/>
  <c r="AF28" i="60"/>
  <c r="AG28" i="60" s="1"/>
  <c r="AK28" i="60"/>
  <c r="AM28" i="60"/>
  <c r="T29" i="60"/>
  <c r="AD29" i="60" s="1"/>
  <c r="V29" i="60"/>
  <c r="Y29" i="60"/>
  <c r="AF29" i="60"/>
  <c r="AG29" i="60" s="1"/>
  <c r="AH29" i="60"/>
  <c r="AI29" i="60" s="1"/>
  <c r="AK29" i="60"/>
  <c r="AM29" i="60"/>
  <c r="T30" i="60"/>
  <c r="AD30" i="60" s="1"/>
  <c r="V30" i="60"/>
  <c r="Y30" i="60"/>
  <c r="AF30" i="60"/>
  <c r="AG30" i="60" s="1"/>
  <c r="AK30" i="60"/>
  <c r="AM30" i="60"/>
  <c r="T31" i="60"/>
  <c r="AE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 s="1"/>
  <c r="AK32" i="60"/>
  <c r="AM32" i="60"/>
  <c r="T33" i="60"/>
  <c r="AD33" i="60" s="1"/>
  <c r="V33" i="60"/>
  <c r="Y33" i="60"/>
  <c r="AF33" i="60"/>
  <c r="AG33" i="60" s="1"/>
  <c r="AK33" i="60"/>
  <c r="AM33" i="60"/>
  <c r="T34" i="60"/>
  <c r="AD34" i="60" s="1"/>
  <c r="V34" i="60"/>
  <c r="Y34" i="60"/>
  <c r="AF34" i="60"/>
  <c r="AG34" i="60" s="1"/>
  <c r="AK34" i="60"/>
  <c r="AM34" i="60"/>
  <c r="T35" i="60"/>
  <c r="AD35" i="60" s="1"/>
  <c r="V35" i="60"/>
  <c r="Y35" i="60"/>
  <c r="AF35" i="60"/>
  <c r="AG35" i="60" s="1"/>
  <c r="AK35" i="60"/>
  <c r="AM35" i="60"/>
  <c r="T36" i="60"/>
  <c r="AH36" i="60" s="1"/>
  <c r="AI36" i="60" s="1"/>
  <c r="V36" i="60"/>
  <c r="Y36" i="60"/>
  <c r="AF36" i="60"/>
  <c r="AG36" i="60" s="1"/>
  <c r="AK36" i="60"/>
  <c r="AM36" i="60"/>
  <c r="T37" i="60"/>
  <c r="AH37" i="60" s="1"/>
  <c r="AI37" i="60" s="1"/>
  <c r="V37" i="60"/>
  <c r="Y37" i="60"/>
  <c r="AE37" i="60"/>
  <c r="AF37" i="60"/>
  <c r="AG37" i="60" s="1"/>
  <c r="AK37" i="60"/>
  <c r="AM37" i="60"/>
  <c r="T38" i="60"/>
  <c r="AH38" i="60" s="1"/>
  <c r="AI38" i="60" s="1"/>
  <c r="V38" i="60"/>
  <c r="Y38" i="60"/>
  <c r="AE38" i="60"/>
  <c r="AF38" i="60"/>
  <c r="AG38" i="60" s="1"/>
  <c r="AK38" i="60"/>
  <c r="AM38" i="60"/>
  <c r="T39" i="60"/>
  <c r="V39" i="60"/>
  <c r="Y39" i="60"/>
  <c r="AF39" i="60"/>
  <c r="AG39" i="60" s="1"/>
  <c r="AK39" i="60"/>
  <c r="AM39" i="60"/>
  <c r="T40" i="60"/>
  <c r="AD40" i="60" s="1"/>
  <c r="V40" i="60"/>
  <c r="Y40" i="60"/>
  <c r="AF40" i="60"/>
  <c r="AG40" i="60" s="1"/>
  <c r="AH40" i="60"/>
  <c r="AI40" i="60" s="1"/>
  <c r="AK40" i="60"/>
  <c r="AM40" i="60"/>
  <c r="T41" i="60"/>
  <c r="AD41" i="60" s="1"/>
  <c r="V41" i="60"/>
  <c r="Y41" i="60"/>
  <c r="AF41" i="60"/>
  <c r="AG41" i="60" s="1"/>
  <c r="AK41" i="60"/>
  <c r="AM41" i="60"/>
  <c r="T42" i="60"/>
  <c r="AD42" i="60" s="1"/>
  <c r="V42" i="60"/>
  <c r="Y42" i="60"/>
  <c r="AE42" i="60"/>
  <c r="AF42" i="60"/>
  <c r="AG42" i="60" s="1"/>
  <c r="AH42" i="60"/>
  <c r="AI42" i="60" s="1"/>
  <c r="AK42" i="60"/>
  <c r="AM42" i="60"/>
  <c r="T43" i="60"/>
  <c r="AE43" i="60" s="1"/>
  <c r="V43" i="60"/>
  <c r="Y43" i="60"/>
  <c r="AF43" i="60"/>
  <c r="AG43" i="60" s="1"/>
  <c r="AK43" i="60"/>
  <c r="AM43" i="60"/>
  <c r="T44" i="60"/>
  <c r="AH44" i="60" s="1"/>
  <c r="AI44" i="60" s="1"/>
  <c r="V44" i="60"/>
  <c r="Y44" i="60"/>
  <c r="AD44" i="60"/>
  <c r="AE44" i="60"/>
  <c r="AF44" i="60"/>
  <c r="AG44" i="60" s="1"/>
  <c r="AJ44" i="60" s="1"/>
  <c r="AK44" i="60"/>
  <c r="AM44" i="60"/>
  <c r="T45" i="60"/>
  <c r="AD45" i="60" s="1"/>
  <c r="V45" i="60"/>
  <c r="Y45" i="60"/>
  <c r="AF45" i="60"/>
  <c r="AG45" i="60" s="1"/>
  <c r="AK45" i="60"/>
  <c r="AM45" i="60"/>
  <c r="T46" i="60"/>
  <c r="AD46" i="60" s="1"/>
  <c r="V46" i="60"/>
  <c r="Y46" i="60"/>
  <c r="AF46" i="60"/>
  <c r="AG46" i="60" s="1"/>
  <c r="AK46" i="60"/>
  <c r="AM46" i="60"/>
  <c r="T47" i="60"/>
  <c r="AE47" i="60" s="1"/>
  <c r="V47" i="60"/>
  <c r="Y47" i="60"/>
  <c r="AD47" i="60"/>
  <c r="AF47" i="60"/>
  <c r="AG47" i="60" s="1"/>
  <c r="AH47" i="60"/>
  <c r="AI47" i="60" s="1"/>
  <c r="AK47" i="60"/>
  <c r="AM47" i="60"/>
  <c r="T48" i="60"/>
  <c r="AE48" i="60" s="1"/>
  <c r="V48" i="60"/>
  <c r="Y48" i="60"/>
  <c r="AD48" i="60"/>
  <c r="AF48" i="60"/>
  <c r="AG48" i="60" s="1"/>
  <c r="AH48" i="60"/>
  <c r="AI48" i="60"/>
  <c r="AK48" i="60"/>
  <c r="AM48" i="60"/>
  <c r="T49" i="60"/>
  <c r="AH49" i="60" s="1"/>
  <c r="AI49" i="60" s="1"/>
  <c r="V49" i="60"/>
  <c r="Y49" i="60"/>
  <c r="AF49" i="60"/>
  <c r="AG49" i="60" s="1"/>
  <c r="AK49" i="60"/>
  <c r="AM49" i="60"/>
  <c r="T50" i="60"/>
  <c r="AH50" i="60" s="1"/>
  <c r="AI50" i="60" s="1"/>
  <c r="V50" i="60"/>
  <c r="Y50" i="60"/>
  <c r="AF50" i="60"/>
  <c r="AG50" i="60" s="1"/>
  <c r="AK50" i="60"/>
  <c r="AM50" i="60"/>
  <c r="T51" i="60"/>
  <c r="V51" i="60"/>
  <c r="Y51" i="60"/>
  <c r="AF51" i="60"/>
  <c r="AG51" i="60" s="1"/>
  <c r="AK51" i="60"/>
  <c r="AM51" i="60"/>
  <c r="T52" i="60"/>
  <c r="AD52" i="60" s="1"/>
  <c r="V52" i="60"/>
  <c r="Y52" i="60"/>
  <c r="AF52" i="60"/>
  <c r="AG52" i="60" s="1"/>
  <c r="AK52" i="60"/>
  <c r="AM52" i="60"/>
  <c r="T53" i="60"/>
  <c r="AD53" i="60" s="1"/>
  <c r="V53" i="60"/>
  <c r="Y53" i="60"/>
  <c r="AF53" i="60"/>
  <c r="AG53" i="60" s="1"/>
  <c r="AJ53" i="60" s="1"/>
  <c r="AH53" i="60"/>
  <c r="AI53" i="60" s="1"/>
  <c r="AK53" i="60"/>
  <c r="AM53" i="60"/>
  <c r="T54" i="60"/>
  <c r="AD54" i="60" s="1"/>
  <c r="V54" i="60"/>
  <c r="Y54" i="60"/>
  <c r="AF54" i="60"/>
  <c r="AG54" i="60"/>
  <c r="AK54" i="60"/>
  <c r="AM54" i="60"/>
  <c r="T55" i="60"/>
  <c r="AE55" i="60" s="1"/>
  <c r="V55" i="60"/>
  <c r="Y55" i="60"/>
  <c r="AF55" i="60"/>
  <c r="AG55" i="60" s="1"/>
  <c r="AK55" i="60"/>
  <c r="AM55" i="60"/>
  <c r="T56" i="60"/>
  <c r="AE56" i="60" s="1"/>
  <c r="V56" i="60"/>
  <c r="Y56" i="60"/>
  <c r="AD56" i="60"/>
  <c r="AF56" i="60"/>
  <c r="AG56" i="60"/>
  <c r="AK56" i="60"/>
  <c r="AM56" i="60"/>
  <c r="T57" i="60"/>
  <c r="AD57" i="60" s="1"/>
  <c r="V57" i="60"/>
  <c r="Y57" i="60"/>
  <c r="AF57" i="60"/>
  <c r="AG57" i="60" s="1"/>
  <c r="AK57" i="60"/>
  <c r="AM57" i="60"/>
  <c r="T58" i="60"/>
  <c r="AD58" i="60" s="1"/>
  <c r="V58" i="60"/>
  <c r="Y58" i="60"/>
  <c r="AF58" i="60"/>
  <c r="AG58" i="60" s="1"/>
  <c r="AK58" i="60"/>
  <c r="AM58" i="60"/>
  <c r="T59" i="60"/>
  <c r="AD59" i="60" s="1"/>
  <c r="V59" i="60"/>
  <c r="Y59" i="60"/>
  <c r="AF59" i="60"/>
  <c r="AG59" i="60"/>
  <c r="AK59" i="60"/>
  <c r="AM59" i="60"/>
  <c r="T60" i="60"/>
  <c r="AE60" i="60" s="1"/>
  <c r="V60" i="60"/>
  <c r="Y60" i="60"/>
  <c r="AD60" i="60"/>
  <c r="AF60" i="60"/>
  <c r="AG60" i="60" s="1"/>
  <c r="AK60" i="60"/>
  <c r="AM60" i="60"/>
  <c r="T61" i="60"/>
  <c r="AH61" i="60" s="1"/>
  <c r="AI61" i="60" s="1"/>
  <c r="V61" i="60"/>
  <c r="Y61" i="60"/>
  <c r="AE61" i="60"/>
  <c r="AF61" i="60"/>
  <c r="AG61" i="60" s="1"/>
  <c r="AK61" i="60"/>
  <c r="AM61" i="60"/>
  <c r="T62" i="60"/>
  <c r="V62" i="60"/>
  <c r="Y62" i="60"/>
  <c r="AE62" i="60"/>
  <c r="AF62" i="60"/>
  <c r="AG62" i="60" s="1"/>
  <c r="AK62" i="60"/>
  <c r="AM62" i="60"/>
  <c r="T63" i="60"/>
  <c r="V63" i="60"/>
  <c r="Y63" i="60"/>
  <c r="AF63" i="60"/>
  <c r="AG63" i="60" s="1"/>
  <c r="AK63" i="60"/>
  <c r="AM63" i="60"/>
  <c r="T64" i="60"/>
  <c r="V64" i="60"/>
  <c r="Y64" i="60"/>
  <c r="AF64" i="60"/>
  <c r="AG64" i="60" s="1"/>
  <c r="AH64" i="60"/>
  <c r="AI64" i="60" s="1"/>
  <c r="AK64" i="60"/>
  <c r="AM64" i="60"/>
  <c r="T65" i="60"/>
  <c r="AD65" i="60" s="1"/>
  <c r="V65" i="60"/>
  <c r="Y65" i="60"/>
  <c r="AF65" i="60"/>
  <c r="AG65" i="60" s="1"/>
  <c r="AK65" i="60"/>
  <c r="AM65" i="60"/>
  <c r="T66" i="60"/>
  <c r="AD66" i="60" s="1"/>
  <c r="V66" i="60"/>
  <c r="Y66" i="60"/>
  <c r="AE66" i="60"/>
  <c r="AF66" i="60"/>
  <c r="AG66" i="60" s="1"/>
  <c r="AH66" i="60"/>
  <c r="AI66" i="60" s="1"/>
  <c r="AK66" i="60"/>
  <c r="AM66" i="60"/>
  <c r="T67" i="60"/>
  <c r="AE67" i="60" s="1"/>
  <c r="V67" i="60"/>
  <c r="Y67" i="60"/>
  <c r="AF67" i="60"/>
  <c r="AG67" i="60" s="1"/>
  <c r="AH67" i="60"/>
  <c r="AI67" i="60" s="1"/>
  <c r="AK67" i="60"/>
  <c r="AM67" i="60"/>
  <c r="T68" i="60"/>
  <c r="AD68" i="60" s="1"/>
  <c r="V68" i="60"/>
  <c r="Y68" i="60"/>
  <c r="AF68" i="60"/>
  <c r="AG68" i="60" s="1"/>
  <c r="AK68" i="60"/>
  <c r="AM68" i="60"/>
  <c r="T69" i="60"/>
  <c r="AD69" i="60" s="1"/>
  <c r="V69" i="60"/>
  <c r="Y69" i="60"/>
  <c r="AF69" i="60"/>
  <c r="AG69" i="60" s="1"/>
  <c r="AK69" i="60"/>
  <c r="AM69" i="60"/>
  <c r="T70" i="60"/>
  <c r="AD70" i="60" s="1"/>
  <c r="V70" i="60"/>
  <c r="Y70" i="60"/>
  <c r="AF70" i="60"/>
  <c r="AG70" i="60" s="1"/>
  <c r="AK70" i="60"/>
  <c r="AM70" i="60"/>
  <c r="T71" i="60"/>
  <c r="AH71" i="60" s="1"/>
  <c r="AI71" i="60" s="1"/>
  <c r="V71" i="60"/>
  <c r="Y71" i="60"/>
  <c r="AD71" i="60"/>
  <c r="AE71" i="60"/>
  <c r="AF71" i="60"/>
  <c r="AG71" i="60" s="1"/>
  <c r="AK71" i="60"/>
  <c r="AM71" i="60"/>
  <c r="T72" i="60"/>
  <c r="AE72" i="60" s="1"/>
  <c r="V72" i="60"/>
  <c r="Y72" i="60"/>
  <c r="AF72" i="60"/>
  <c r="AG72" i="60" s="1"/>
  <c r="AH72" i="60"/>
  <c r="AI72" i="60"/>
  <c r="AK72" i="60"/>
  <c r="AM72" i="60"/>
  <c r="T73" i="60"/>
  <c r="AH73" i="60" s="1"/>
  <c r="AI73" i="60" s="1"/>
  <c r="V73" i="60"/>
  <c r="Y73" i="60"/>
  <c r="AF73" i="60"/>
  <c r="AG73" i="60" s="1"/>
  <c r="AK73" i="60"/>
  <c r="AM73" i="60"/>
  <c r="T74" i="60"/>
  <c r="AH74" i="60" s="1"/>
  <c r="AI74" i="60" s="1"/>
  <c r="V74" i="60"/>
  <c r="Y74" i="60"/>
  <c r="AF74" i="60"/>
  <c r="AG74" i="60" s="1"/>
  <c r="AJ74" i="60" s="1"/>
  <c r="AK74" i="60"/>
  <c r="AM74" i="60"/>
  <c r="T75" i="60"/>
  <c r="AH75" i="60" s="1"/>
  <c r="AI75" i="60" s="1"/>
  <c r="V75" i="60"/>
  <c r="Y75" i="60"/>
  <c r="AF75" i="60"/>
  <c r="AG75" i="60" s="1"/>
  <c r="AK75" i="60"/>
  <c r="AM75" i="60"/>
  <c r="T76" i="60"/>
  <c r="AD76" i="60" s="1"/>
  <c r="V76" i="60"/>
  <c r="Y76" i="60"/>
  <c r="AF76" i="60"/>
  <c r="AG76" i="60" s="1"/>
  <c r="AK76" i="60"/>
  <c r="AM76" i="60"/>
  <c r="T77" i="60"/>
  <c r="V77" i="60"/>
  <c r="Y77" i="60"/>
  <c r="AF77" i="60"/>
  <c r="AG77" i="60"/>
  <c r="AK77" i="60"/>
  <c r="AM77" i="60"/>
  <c r="T78" i="60"/>
  <c r="AD78" i="60" s="1"/>
  <c r="V78" i="60"/>
  <c r="Y78" i="60"/>
  <c r="AE78" i="60"/>
  <c r="AF78" i="60"/>
  <c r="AG78" i="60" s="1"/>
  <c r="AK78" i="60"/>
  <c r="AM78" i="60"/>
  <c r="T79" i="60"/>
  <c r="V79" i="60"/>
  <c r="Y79" i="60"/>
  <c r="AF79" i="60"/>
  <c r="AG79" i="60" s="1"/>
  <c r="AK79" i="60"/>
  <c r="AM79" i="60"/>
  <c r="T80" i="60"/>
  <c r="AE80" i="60" s="1"/>
  <c r="V80" i="60"/>
  <c r="Y80" i="60"/>
  <c r="AF80" i="60"/>
  <c r="AG80" i="60" s="1"/>
  <c r="AK80" i="60"/>
  <c r="AM80" i="60"/>
  <c r="T81" i="60"/>
  <c r="V81" i="60"/>
  <c r="Y81" i="60"/>
  <c r="AF81" i="60"/>
  <c r="AG81" i="60" s="1"/>
  <c r="AK81" i="60"/>
  <c r="AM81" i="60"/>
  <c r="T82" i="60"/>
  <c r="AD82" i="60" s="1"/>
  <c r="V82" i="60"/>
  <c r="Y82" i="60"/>
  <c r="AF82" i="60"/>
  <c r="AG82" i="60" s="1"/>
  <c r="AK82" i="60"/>
  <c r="AM82" i="60"/>
  <c r="T83" i="60"/>
  <c r="AE83" i="60" s="1"/>
  <c r="V83" i="60"/>
  <c r="Y83" i="60"/>
  <c r="AF83" i="60"/>
  <c r="AG83" i="60" s="1"/>
  <c r="AK83" i="60"/>
  <c r="AM83" i="60"/>
  <c r="T84" i="60"/>
  <c r="V84" i="60"/>
  <c r="Y84" i="60"/>
  <c r="AF84" i="60"/>
  <c r="AG84" i="60" s="1"/>
  <c r="AK84" i="60"/>
  <c r="AM84" i="60"/>
  <c r="T85" i="60"/>
  <c r="AE85" i="60" s="1"/>
  <c r="V85" i="60"/>
  <c r="Y85" i="60"/>
  <c r="AF85" i="60"/>
  <c r="AG85" i="60" s="1"/>
  <c r="AH85" i="60"/>
  <c r="AI85" i="60" s="1"/>
  <c r="AK85" i="60"/>
  <c r="AM85" i="60"/>
  <c r="T86" i="60"/>
  <c r="AD86" i="60" s="1"/>
  <c r="V86" i="60"/>
  <c r="Y86" i="60"/>
  <c r="AF86" i="60"/>
  <c r="AG86" i="60" s="1"/>
  <c r="AK86" i="60"/>
  <c r="AM86" i="60"/>
  <c r="T87" i="60"/>
  <c r="AD87" i="60" s="1"/>
  <c r="V87" i="60"/>
  <c r="Y87" i="60"/>
  <c r="AF87" i="60"/>
  <c r="AG87" i="60" s="1"/>
  <c r="AK87" i="60"/>
  <c r="AM87" i="60"/>
  <c r="T88" i="60"/>
  <c r="AD88" i="60" s="1"/>
  <c r="V88" i="60"/>
  <c r="Y88" i="60"/>
  <c r="AF88" i="60"/>
  <c r="AG88" i="60" s="1"/>
  <c r="AK88" i="60"/>
  <c r="AM88" i="60"/>
  <c r="T89" i="60"/>
  <c r="AD89" i="60" s="1"/>
  <c r="V89" i="60"/>
  <c r="Y89" i="60"/>
  <c r="AF89" i="60"/>
  <c r="AG89" i="60" s="1"/>
  <c r="AK89" i="60"/>
  <c r="AM89" i="60"/>
  <c r="T90" i="60"/>
  <c r="AD90" i="60" s="1"/>
  <c r="V90" i="60"/>
  <c r="Y90" i="60"/>
  <c r="AF90" i="60"/>
  <c r="AG90" i="60" s="1"/>
  <c r="AK90" i="60"/>
  <c r="AM90" i="60"/>
  <c r="T91" i="60"/>
  <c r="AH91" i="60" s="1"/>
  <c r="AI91" i="60" s="1"/>
  <c r="V91" i="60"/>
  <c r="Y91" i="60"/>
  <c r="AD91" i="60"/>
  <c r="AF91" i="60"/>
  <c r="AG91" i="60" s="1"/>
  <c r="AK91" i="60"/>
  <c r="AM91" i="60"/>
  <c r="T92" i="60"/>
  <c r="AE92" i="60" s="1"/>
  <c r="V92" i="60"/>
  <c r="Y92" i="60"/>
  <c r="AF92" i="60"/>
  <c r="AG92" i="60" s="1"/>
  <c r="AK92" i="60"/>
  <c r="AM92" i="60"/>
  <c r="T93" i="60"/>
  <c r="V93" i="60"/>
  <c r="Y93" i="60"/>
  <c r="AF93" i="60"/>
  <c r="AG93" i="60" s="1"/>
  <c r="AK93" i="60"/>
  <c r="AM93" i="60"/>
  <c r="T94" i="60"/>
  <c r="AE94" i="60" s="1"/>
  <c r="V94" i="60"/>
  <c r="Y94" i="60"/>
  <c r="AD94" i="60"/>
  <c r="AF94" i="60"/>
  <c r="AG94" i="60"/>
  <c r="AH94" i="60"/>
  <c r="AI94" i="60" s="1"/>
  <c r="AK94" i="60"/>
  <c r="AM94" i="60"/>
  <c r="T95" i="60"/>
  <c r="AD95" i="60" s="1"/>
  <c r="V95" i="60"/>
  <c r="Y95" i="60"/>
  <c r="AF95" i="60"/>
  <c r="AG95" i="60" s="1"/>
  <c r="AH95" i="60"/>
  <c r="AI95" i="60" s="1"/>
  <c r="AK95" i="60"/>
  <c r="AM95" i="60"/>
  <c r="T96" i="60"/>
  <c r="AD96" i="60" s="1"/>
  <c r="V96" i="60"/>
  <c r="Y96" i="60"/>
  <c r="AF96" i="60"/>
  <c r="AG96" i="60"/>
  <c r="AK96" i="60"/>
  <c r="AM96" i="60"/>
  <c r="T97" i="60"/>
  <c r="AE97" i="60" s="1"/>
  <c r="V97" i="60"/>
  <c r="Y97" i="60"/>
  <c r="AD97" i="60"/>
  <c r="AF97" i="60"/>
  <c r="AG97" i="60" s="1"/>
  <c r="AH97" i="60"/>
  <c r="AI97" i="60" s="1"/>
  <c r="AK97" i="60"/>
  <c r="AM97" i="60"/>
  <c r="T98" i="60"/>
  <c r="AD98" i="60" s="1"/>
  <c r="V98" i="60"/>
  <c r="Y98" i="60"/>
  <c r="AF98" i="60"/>
  <c r="AG98" i="60"/>
  <c r="AK98" i="60"/>
  <c r="AM98" i="60"/>
  <c r="T99" i="60"/>
  <c r="AD99" i="60" s="1"/>
  <c r="V99" i="60"/>
  <c r="Y99" i="60"/>
  <c r="AF99" i="60"/>
  <c r="AG99" i="60" s="1"/>
  <c r="AK99" i="60"/>
  <c r="AM99" i="60"/>
  <c r="T100" i="60"/>
  <c r="AD100" i="60" s="1"/>
  <c r="V100" i="60"/>
  <c r="Y100" i="60"/>
  <c r="AF100" i="60"/>
  <c r="AG100" i="60" s="1"/>
  <c r="AK100" i="60"/>
  <c r="AM100" i="60"/>
  <c r="T101" i="60"/>
  <c r="AH101" i="60" s="1"/>
  <c r="AI101" i="60" s="1"/>
  <c r="V101" i="60"/>
  <c r="Y101" i="60"/>
  <c r="AD101" i="60"/>
  <c r="AF101" i="60"/>
  <c r="AG101" i="60"/>
  <c r="AK101" i="60"/>
  <c r="AM101" i="60"/>
  <c r="T102" i="60"/>
  <c r="AD102" i="60" s="1"/>
  <c r="V102" i="60"/>
  <c r="Y102" i="60"/>
  <c r="AF102" i="60"/>
  <c r="AG102" i="60" s="1"/>
  <c r="AH102" i="60"/>
  <c r="AI102" i="60" s="1"/>
  <c r="AL102" i="60" s="1"/>
  <c r="AK102" i="60"/>
  <c r="AM102" i="60"/>
  <c r="T103" i="60"/>
  <c r="AH103" i="60" s="1"/>
  <c r="AI103" i="60" s="1"/>
  <c r="V103" i="60"/>
  <c r="Y103" i="60"/>
  <c r="AF103" i="60"/>
  <c r="AG103" i="60" s="1"/>
  <c r="AK103" i="60"/>
  <c r="AM103" i="60"/>
  <c r="T104" i="60"/>
  <c r="V104" i="60"/>
  <c r="Y104" i="60"/>
  <c r="AE104" i="60"/>
  <c r="AF104" i="60"/>
  <c r="AG104" i="60"/>
  <c r="AK104" i="60"/>
  <c r="AM104" i="60"/>
  <c r="T105" i="60"/>
  <c r="AE105" i="60" s="1"/>
  <c r="V105" i="60"/>
  <c r="Y105" i="60"/>
  <c r="AF105" i="60"/>
  <c r="AG105" i="60" s="1"/>
  <c r="AK105" i="60"/>
  <c r="AM105" i="60"/>
  <c r="T106" i="60"/>
  <c r="AH106" i="60" s="1"/>
  <c r="AI106" i="60" s="1"/>
  <c r="V106" i="60"/>
  <c r="Y106" i="60"/>
  <c r="AD106" i="60"/>
  <c r="AE106" i="60"/>
  <c r="AF106" i="60"/>
  <c r="AG106" i="60" s="1"/>
  <c r="AK106" i="60"/>
  <c r="AM106" i="60"/>
  <c r="T107" i="60"/>
  <c r="AD107" i="60" s="1"/>
  <c r="V107" i="60"/>
  <c r="Y107" i="60"/>
  <c r="AF107" i="60"/>
  <c r="AG107" i="60" s="1"/>
  <c r="AK107" i="60"/>
  <c r="AM107" i="60"/>
  <c r="T108" i="60"/>
  <c r="V108" i="60"/>
  <c r="Y108" i="60"/>
  <c r="AF108" i="60"/>
  <c r="AG108" i="60" s="1"/>
  <c r="AK108" i="60"/>
  <c r="AM108" i="60"/>
  <c r="T109" i="60"/>
  <c r="AE109" i="60" s="1"/>
  <c r="V109" i="60"/>
  <c r="Y109" i="60"/>
  <c r="AF109" i="60"/>
  <c r="AG109" i="60" s="1"/>
  <c r="AH109" i="60"/>
  <c r="AI109" i="60" s="1"/>
  <c r="AK109" i="60"/>
  <c r="AM109" i="60"/>
  <c r="T110" i="60"/>
  <c r="AD110" i="60" s="1"/>
  <c r="V110" i="60"/>
  <c r="Y110" i="60"/>
  <c r="AF110" i="60"/>
  <c r="AG110" i="60"/>
  <c r="AK110" i="60"/>
  <c r="AM110" i="60"/>
  <c r="T111" i="60"/>
  <c r="V111" i="60"/>
  <c r="Y111" i="60"/>
  <c r="AF111" i="60"/>
  <c r="AG111" i="60" s="1"/>
  <c r="AK111" i="60"/>
  <c r="AM111" i="60"/>
  <c r="T112" i="60"/>
  <c r="V112" i="60"/>
  <c r="Y112" i="60"/>
  <c r="AF112" i="60"/>
  <c r="AG112" i="60" s="1"/>
  <c r="AK112" i="60"/>
  <c r="AM112" i="60"/>
  <c r="T113" i="60"/>
  <c r="AD113" i="60" s="1"/>
  <c r="V113" i="60"/>
  <c r="Y113" i="60"/>
  <c r="AF113" i="60"/>
  <c r="AG113" i="60" s="1"/>
  <c r="AK113" i="60"/>
  <c r="AM113" i="60"/>
  <c r="T114" i="60"/>
  <c r="AH114" i="60" s="1"/>
  <c r="AI114" i="60" s="1"/>
  <c r="V114" i="60"/>
  <c r="Y114" i="60"/>
  <c r="AD114" i="60"/>
  <c r="AE114" i="60"/>
  <c r="AF114" i="60"/>
  <c r="AG114" i="60" s="1"/>
  <c r="AK114" i="60"/>
  <c r="AM114" i="60"/>
  <c r="T115" i="60"/>
  <c r="AH115" i="60" s="1"/>
  <c r="AI115" i="60" s="1"/>
  <c r="V115" i="60"/>
  <c r="Y115" i="60"/>
  <c r="AF115" i="60"/>
  <c r="AG115" i="60" s="1"/>
  <c r="AK115" i="60"/>
  <c r="AM115" i="60"/>
  <c r="T116" i="60"/>
  <c r="AH116" i="60" s="1"/>
  <c r="AI116" i="60" s="1"/>
  <c r="V116" i="60"/>
  <c r="Y116" i="60"/>
  <c r="AF116" i="60"/>
  <c r="AG116" i="60" s="1"/>
  <c r="AL116" i="60" s="1"/>
  <c r="AK116" i="60"/>
  <c r="AM116" i="60"/>
  <c r="T117" i="60"/>
  <c r="AD117" i="60" s="1"/>
  <c r="V117" i="60"/>
  <c r="Y117" i="60"/>
  <c r="AF117" i="60"/>
  <c r="AG117" i="60"/>
  <c r="AH117" i="60"/>
  <c r="AI117" i="60" s="1"/>
  <c r="AK117" i="60"/>
  <c r="AM117" i="60"/>
  <c r="T118" i="60"/>
  <c r="AE118" i="60" s="1"/>
  <c r="V118" i="60"/>
  <c r="Y118" i="60"/>
  <c r="AD118" i="60"/>
  <c r="AF118" i="60"/>
  <c r="AG118" i="60" s="1"/>
  <c r="AH118" i="60"/>
  <c r="AI118" i="60" s="1"/>
  <c r="AK118" i="60"/>
  <c r="AM118" i="60"/>
  <c r="T119" i="60"/>
  <c r="AD119" i="60" s="1"/>
  <c r="V119" i="60"/>
  <c r="Y119" i="60"/>
  <c r="AF119" i="60"/>
  <c r="AG119" i="60" s="1"/>
  <c r="AK119" i="60"/>
  <c r="AM119" i="60"/>
  <c r="T120" i="60"/>
  <c r="AD120" i="60" s="1"/>
  <c r="V120" i="60"/>
  <c r="Y120" i="60"/>
  <c r="AF120" i="60"/>
  <c r="AG120" i="60" s="1"/>
  <c r="AK120" i="60"/>
  <c r="AM120" i="60"/>
  <c r="T121" i="60"/>
  <c r="AE121" i="60" s="1"/>
  <c r="V121" i="60"/>
  <c r="Y121" i="60"/>
  <c r="AF121" i="60"/>
  <c r="AG121" i="60" s="1"/>
  <c r="AH121" i="60"/>
  <c r="AI121" i="60" s="1"/>
  <c r="AK121" i="60"/>
  <c r="AM121" i="60"/>
  <c r="T122" i="60"/>
  <c r="V122" i="60"/>
  <c r="Y122" i="60"/>
  <c r="AD122" i="60"/>
  <c r="AE122" i="60"/>
  <c r="AF122" i="60"/>
  <c r="AG122" i="60"/>
  <c r="AH122" i="60"/>
  <c r="AI122" i="60"/>
  <c r="AJ122" i="60"/>
  <c r="AK122" i="60"/>
  <c r="AL122" i="60"/>
  <c r="AM122" i="60"/>
  <c r="T123" i="60"/>
  <c r="AD123" i="60" s="1"/>
  <c r="V123" i="60"/>
  <c r="Y123" i="60"/>
  <c r="AF123" i="60"/>
  <c r="AG123" i="60" s="1"/>
  <c r="AK123" i="60"/>
  <c r="AM123" i="60"/>
  <c r="T124" i="60"/>
  <c r="V124" i="60"/>
  <c r="Y124" i="60"/>
  <c r="AF124" i="60"/>
  <c r="AG124" i="60"/>
  <c r="AK124" i="60"/>
  <c r="AM124" i="60"/>
  <c r="T125" i="60"/>
  <c r="V125" i="60"/>
  <c r="Y125" i="60"/>
  <c r="AD125" i="60"/>
  <c r="AN125" i="60" s="1"/>
  <c r="AE125" i="60"/>
  <c r="AF125" i="60"/>
  <c r="AG125" i="60"/>
  <c r="AJ125" i="60" s="1"/>
  <c r="AH125" i="60"/>
  <c r="AI125" i="60" s="1"/>
  <c r="AK125" i="60"/>
  <c r="AM125" i="60"/>
  <c r="T126" i="60"/>
  <c r="AD126" i="60" s="1"/>
  <c r="V126" i="60"/>
  <c r="Y126" i="60"/>
  <c r="AF126" i="60"/>
  <c r="AG126" i="60" s="1"/>
  <c r="AK126" i="60"/>
  <c r="AM126" i="60"/>
  <c r="T127" i="60"/>
  <c r="AH127" i="60" s="1"/>
  <c r="V127" i="60"/>
  <c r="Y127" i="60"/>
  <c r="AF127" i="60"/>
  <c r="AG127" i="60" s="1"/>
  <c r="AI127" i="60"/>
  <c r="AK127" i="60"/>
  <c r="AM127" i="60"/>
  <c r="T128" i="60"/>
  <c r="V128" i="60"/>
  <c r="Y128" i="60"/>
  <c r="AD128" i="60"/>
  <c r="AE128" i="60"/>
  <c r="AN128" i="60" s="1"/>
  <c r="AF128" i="60"/>
  <c r="AG128" i="60"/>
  <c r="AJ128" i="60" s="1"/>
  <c r="AH128" i="60"/>
  <c r="AI128" i="60" s="1"/>
  <c r="AK128" i="60"/>
  <c r="AM128" i="60"/>
  <c r="T129" i="60"/>
  <c r="AE129" i="60" s="1"/>
  <c r="V129" i="60"/>
  <c r="Y129" i="60"/>
  <c r="AD129" i="60"/>
  <c r="AF129" i="60"/>
  <c r="AG129" i="60" s="1"/>
  <c r="AH129" i="60"/>
  <c r="AI129" i="60" s="1"/>
  <c r="AK129" i="60"/>
  <c r="AM129" i="60"/>
  <c r="T130" i="60"/>
  <c r="AD130" i="60" s="1"/>
  <c r="V130" i="60"/>
  <c r="Y130" i="60"/>
  <c r="AF130" i="60"/>
  <c r="AG130" i="60" s="1"/>
  <c r="AH130" i="60"/>
  <c r="AI130" i="60" s="1"/>
  <c r="AK130" i="60"/>
  <c r="AM130" i="60"/>
  <c r="T25" i="59"/>
  <c r="AH25" i="59" s="1"/>
  <c r="AI25" i="59" s="1"/>
  <c r="V25" i="59"/>
  <c r="Y25" i="59"/>
  <c r="AD25" i="59"/>
  <c r="AF25" i="59"/>
  <c r="AG25" i="59" s="1"/>
  <c r="AK25" i="59"/>
  <c r="AM25" i="59"/>
  <c r="T26" i="59"/>
  <c r="AH26" i="59" s="1"/>
  <c r="AI26" i="59" s="1"/>
  <c r="V26" i="59"/>
  <c r="Y26" i="59"/>
  <c r="AF26" i="59"/>
  <c r="AG26" i="59" s="1"/>
  <c r="AK26" i="59"/>
  <c r="AM26" i="59"/>
  <c r="T27" i="59"/>
  <c r="AH27" i="59" s="1"/>
  <c r="AI27" i="59" s="1"/>
  <c r="V27" i="59"/>
  <c r="Y27" i="59"/>
  <c r="AF27" i="59"/>
  <c r="AG27" i="59" s="1"/>
  <c r="AK27" i="59"/>
  <c r="AM27" i="59"/>
  <c r="T28" i="59"/>
  <c r="AD28" i="59" s="1"/>
  <c r="V28" i="59"/>
  <c r="Y28" i="59"/>
  <c r="AF28" i="59"/>
  <c r="AG28" i="59" s="1"/>
  <c r="AK28" i="59"/>
  <c r="AM28" i="59"/>
  <c r="T29" i="59"/>
  <c r="AD29" i="59" s="1"/>
  <c r="V29" i="59"/>
  <c r="Y29" i="59"/>
  <c r="AF29" i="59"/>
  <c r="AG29" i="59" s="1"/>
  <c r="AK29" i="59"/>
  <c r="AM29" i="59"/>
  <c r="T30" i="59"/>
  <c r="AE30" i="59" s="1"/>
  <c r="V30" i="59"/>
  <c r="Y30" i="59"/>
  <c r="AF30" i="59"/>
  <c r="AG30" i="59"/>
  <c r="AH30" i="59"/>
  <c r="AI30" i="59" s="1"/>
  <c r="AK30" i="59"/>
  <c r="AM30" i="59"/>
  <c r="T31" i="59"/>
  <c r="AD31" i="59" s="1"/>
  <c r="V31" i="59"/>
  <c r="Y31" i="59"/>
  <c r="AF31" i="59"/>
  <c r="AG31" i="59" s="1"/>
  <c r="AK31" i="59"/>
  <c r="AM31" i="59"/>
  <c r="T32" i="59"/>
  <c r="AD32" i="59" s="1"/>
  <c r="V32" i="59"/>
  <c r="Y32" i="59"/>
  <c r="AF32" i="59"/>
  <c r="AG32" i="59" s="1"/>
  <c r="AK32" i="59"/>
  <c r="AM32" i="59"/>
  <c r="T33" i="59"/>
  <c r="AD33" i="59" s="1"/>
  <c r="V33" i="59"/>
  <c r="Y33" i="59"/>
  <c r="AF33" i="59"/>
  <c r="AG33" i="59" s="1"/>
  <c r="AK33" i="59"/>
  <c r="AM33" i="59"/>
  <c r="T34" i="59"/>
  <c r="AD34" i="59" s="1"/>
  <c r="V34" i="59"/>
  <c r="Y34" i="59"/>
  <c r="AF34" i="59"/>
  <c r="AG34" i="59"/>
  <c r="AK34" i="59"/>
  <c r="AM34" i="59"/>
  <c r="T35" i="59"/>
  <c r="AE35" i="59" s="1"/>
  <c r="V35" i="59"/>
  <c r="Y35" i="59"/>
  <c r="AD35" i="59"/>
  <c r="AF35" i="59"/>
  <c r="AG35" i="59"/>
  <c r="AK35" i="59"/>
  <c r="AM35" i="59"/>
  <c r="T36" i="59"/>
  <c r="AE36" i="59" s="1"/>
  <c r="V36" i="59"/>
  <c r="Y36" i="59"/>
  <c r="AF36" i="59"/>
  <c r="AG36" i="59" s="1"/>
  <c r="AK36" i="59"/>
  <c r="AM36" i="59"/>
  <c r="T37" i="59"/>
  <c r="AH37" i="59" s="1"/>
  <c r="AI37" i="59" s="1"/>
  <c r="V37" i="59"/>
  <c r="Y37" i="59"/>
  <c r="AE37" i="59"/>
  <c r="AF37" i="59"/>
  <c r="AG37" i="59" s="1"/>
  <c r="AK37" i="59"/>
  <c r="AM37" i="59"/>
  <c r="T38" i="59"/>
  <c r="AH38" i="59" s="1"/>
  <c r="AI38" i="59" s="1"/>
  <c r="V38" i="59"/>
  <c r="Y38" i="59"/>
  <c r="AF38" i="59"/>
  <c r="AG38" i="59" s="1"/>
  <c r="AK38" i="59"/>
  <c r="AM38" i="59"/>
  <c r="T39" i="59"/>
  <c r="AH39" i="59" s="1"/>
  <c r="AI39" i="59" s="1"/>
  <c r="V39" i="59"/>
  <c r="Y39" i="59"/>
  <c r="AF39" i="59"/>
  <c r="AG39" i="59" s="1"/>
  <c r="AK39" i="59"/>
  <c r="AM39" i="59"/>
  <c r="T40" i="59"/>
  <c r="AD40" i="59" s="1"/>
  <c r="V40" i="59"/>
  <c r="Y40" i="59"/>
  <c r="AF40" i="59"/>
  <c r="AG40" i="59" s="1"/>
  <c r="AH40" i="59"/>
  <c r="AI40" i="59" s="1"/>
  <c r="AK40" i="59"/>
  <c r="AM40" i="59"/>
  <c r="T41" i="59"/>
  <c r="AD41" i="59" s="1"/>
  <c r="V41" i="59"/>
  <c r="Y41" i="59"/>
  <c r="AF41" i="59"/>
  <c r="AG41" i="59" s="1"/>
  <c r="AK41" i="59"/>
  <c r="AM41" i="59"/>
  <c r="T42" i="59"/>
  <c r="AE42" i="59" s="1"/>
  <c r="V42" i="59"/>
  <c r="Y42" i="59"/>
  <c r="AD42" i="59"/>
  <c r="AF42" i="59"/>
  <c r="AG42" i="59" s="1"/>
  <c r="AH42" i="59"/>
  <c r="AI42" i="59" s="1"/>
  <c r="AK42" i="59"/>
  <c r="AM42" i="59"/>
  <c r="T43" i="59"/>
  <c r="AH43" i="59" s="1"/>
  <c r="AI43" i="59" s="1"/>
  <c r="V43" i="59"/>
  <c r="Y43" i="59"/>
  <c r="AF43" i="59"/>
  <c r="AG43" i="59" s="1"/>
  <c r="AK43" i="59"/>
  <c r="AM43" i="59"/>
  <c r="T44" i="59"/>
  <c r="AD44" i="59" s="1"/>
  <c r="V44" i="59"/>
  <c r="Y44" i="59"/>
  <c r="AF44" i="59"/>
  <c r="AG44" i="59" s="1"/>
  <c r="AK44" i="59"/>
  <c r="AM44" i="59"/>
  <c r="T45" i="59"/>
  <c r="AD45" i="59" s="1"/>
  <c r="V45" i="59"/>
  <c r="Y45" i="59"/>
  <c r="AF45" i="59"/>
  <c r="AG45" i="59" s="1"/>
  <c r="AK45" i="59"/>
  <c r="T46" i="59"/>
  <c r="AD46" i="59" s="1"/>
  <c r="V46" i="59"/>
  <c r="Y46" i="59"/>
  <c r="AF46" i="59"/>
  <c r="AG46" i="59" s="1"/>
  <c r="AK46" i="59"/>
  <c r="T47" i="59"/>
  <c r="AM47" i="59" s="1"/>
  <c r="V47" i="59"/>
  <c r="Y47" i="59"/>
  <c r="AF47" i="59"/>
  <c r="AG47" i="59" s="1"/>
  <c r="AH47" i="59"/>
  <c r="AI47" i="59" s="1"/>
  <c r="AK47" i="59"/>
  <c r="T48" i="59"/>
  <c r="AD48" i="59" s="1"/>
  <c r="V48" i="59"/>
  <c r="Y48" i="59"/>
  <c r="AF48" i="59"/>
  <c r="AG48" i="59" s="1"/>
  <c r="AK48" i="59"/>
  <c r="AM48" i="59"/>
  <c r="T49" i="59"/>
  <c r="AH49" i="59" s="1"/>
  <c r="AI49" i="59" s="1"/>
  <c r="V49" i="59"/>
  <c r="Y49" i="59"/>
  <c r="AF49" i="59"/>
  <c r="AG49" i="59" s="1"/>
  <c r="AK49" i="59"/>
  <c r="AM49" i="59"/>
  <c r="T50" i="59"/>
  <c r="AH50" i="59" s="1"/>
  <c r="AI50" i="59" s="1"/>
  <c r="V50" i="59"/>
  <c r="Y50" i="59"/>
  <c r="AF50" i="59"/>
  <c r="AG50" i="59" s="1"/>
  <c r="AK50" i="59"/>
  <c r="T51" i="59"/>
  <c r="AH51" i="59" s="1"/>
  <c r="AI51" i="59" s="1"/>
  <c r="V51" i="59"/>
  <c r="Y51" i="59"/>
  <c r="AF51" i="59"/>
  <c r="AG51" i="59" s="1"/>
  <c r="AK51" i="59"/>
  <c r="AM51" i="59"/>
  <c r="T52" i="59"/>
  <c r="AD52" i="59" s="1"/>
  <c r="V52" i="59"/>
  <c r="Y52" i="59"/>
  <c r="AF52" i="59"/>
  <c r="AG52" i="59" s="1"/>
  <c r="AK52" i="59"/>
  <c r="AM52" i="59"/>
  <c r="T53" i="59"/>
  <c r="AD53" i="59" s="1"/>
  <c r="V53" i="59"/>
  <c r="Y53" i="59"/>
  <c r="AF53" i="59"/>
  <c r="AG53" i="59" s="1"/>
  <c r="AH53" i="59"/>
  <c r="AI53" i="59" s="1"/>
  <c r="AK53" i="59"/>
  <c r="AM53" i="59"/>
  <c r="T54" i="59"/>
  <c r="V54" i="59"/>
  <c r="Y54" i="59"/>
  <c r="AD54" i="59"/>
  <c r="AE54" i="59"/>
  <c r="AF54" i="59"/>
  <c r="AG54" i="59" s="1"/>
  <c r="AH54" i="59"/>
  <c r="AI54" i="59" s="1"/>
  <c r="AK54" i="59"/>
  <c r="AM54" i="59"/>
  <c r="T55" i="59"/>
  <c r="AD55" i="59" s="1"/>
  <c r="V55" i="59"/>
  <c r="Y55" i="59"/>
  <c r="AF55" i="59"/>
  <c r="AG55" i="59" s="1"/>
  <c r="AK55" i="59"/>
  <c r="AM55" i="59"/>
  <c r="T56" i="59"/>
  <c r="AD56" i="59" s="1"/>
  <c r="V56" i="59"/>
  <c r="Y56" i="59"/>
  <c r="AF56" i="59"/>
  <c r="AG56" i="59" s="1"/>
  <c r="AK56" i="59"/>
  <c r="T57" i="59"/>
  <c r="AD57" i="59" s="1"/>
  <c r="V57" i="59"/>
  <c r="Y57" i="59"/>
  <c r="AF57" i="59"/>
  <c r="AG57" i="59" s="1"/>
  <c r="AK57" i="59"/>
  <c r="AM57" i="59"/>
  <c r="T58" i="59"/>
  <c r="AD58" i="59" s="1"/>
  <c r="V58" i="59"/>
  <c r="Y58" i="59"/>
  <c r="AF58" i="59"/>
  <c r="AG58" i="59" s="1"/>
  <c r="AK58" i="59"/>
  <c r="T59" i="59"/>
  <c r="AD59" i="59" s="1"/>
  <c r="V59" i="59"/>
  <c r="Y59" i="59"/>
  <c r="AF59" i="59"/>
  <c r="AG59" i="59" s="1"/>
  <c r="AK59" i="59"/>
  <c r="AM59" i="59"/>
  <c r="T60" i="59"/>
  <c r="AE60" i="59" s="1"/>
  <c r="V60" i="59"/>
  <c r="Y60" i="59"/>
  <c r="AD60" i="59"/>
  <c r="AF60" i="59"/>
  <c r="AG60" i="59" s="1"/>
  <c r="AK60" i="59"/>
  <c r="AM60" i="59"/>
  <c r="T61" i="59"/>
  <c r="AH61" i="59" s="1"/>
  <c r="AI61" i="59" s="1"/>
  <c r="V61" i="59"/>
  <c r="Y61" i="59"/>
  <c r="AF61" i="59"/>
  <c r="AG61" i="59" s="1"/>
  <c r="AK61" i="59"/>
  <c r="AM61" i="59"/>
  <c r="T62" i="59"/>
  <c r="AH62" i="59" s="1"/>
  <c r="AI62" i="59" s="1"/>
  <c r="V62" i="59"/>
  <c r="Y62" i="59"/>
  <c r="AE62" i="59"/>
  <c r="AF62" i="59"/>
  <c r="AG62" i="59" s="1"/>
  <c r="AK62" i="59"/>
  <c r="AM62" i="59"/>
  <c r="T63" i="59"/>
  <c r="AH63" i="59" s="1"/>
  <c r="AI63" i="59" s="1"/>
  <c r="V63" i="59"/>
  <c r="Y63" i="59"/>
  <c r="AF63" i="59"/>
  <c r="AG63" i="59" s="1"/>
  <c r="AK63" i="59"/>
  <c r="AM63" i="59"/>
  <c r="T64" i="59"/>
  <c r="AD64" i="59" s="1"/>
  <c r="V64" i="59"/>
  <c r="Y64" i="59"/>
  <c r="AF64" i="59"/>
  <c r="AG64" i="59"/>
  <c r="AJ64" i="59" s="1"/>
  <c r="AH64" i="59"/>
  <c r="AI64" i="59" s="1"/>
  <c r="AK64" i="59"/>
  <c r="AM64" i="59"/>
  <c r="T65" i="59"/>
  <c r="AD65" i="59" s="1"/>
  <c r="V65" i="59"/>
  <c r="Y65" i="59"/>
  <c r="AF65" i="59"/>
  <c r="AG65" i="59"/>
  <c r="AJ65" i="59" s="1"/>
  <c r="AH65" i="59"/>
  <c r="AI65" i="59" s="1"/>
  <c r="AK65" i="59"/>
  <c r="AM65" i="59"/>
  <c r="T66" i="59"/>
  <c r="V66" i="59"/>
  <c r="Y66" i="59"/>
  <c r="AD66" i="59"/>
  <c r="AE66" i="59"/>
  <c r="AF66" i="59"/>
  <c r="AG66" i="59"/>
  <c r="AL66" i="59" s="1"/>
  <c r="AH66" i="59"/>
  <c r="AI66" i="59"/>
  <c r="AJ66" i="59" s="1"/>
  <c r="AK66" i="59"/>
  <c r="AM66" i="59"/>
  <c r="T67" i="59"/>
  <c r="V67" i="59"/>
  <c r="Y67" i="59"/>
  <c r="AD67" i="59"/>
  <c r="AE67" i="59"/>
  <c r="AF67" i="59"/>
  <c r="AG67" i="59" s="1"/>
  <c r="AH67" i="59"/>
  <c r="AI67" i="59"/>
  <c r="AK67" i="59"/>
  <c r="AM67" i="59"/>
  <c r="T68" i="59"/>
  <c r="AD68" i="59" s="1"/>
  <c r="V68" i="59"/>
  <c r="Y68" i="59"/>
  <c r="AF68" i="59"/>
  <c r="AG68" i="59" s="1"/>
  <c r="AK68" i="59"/>
  <c r="AM68" i="59"/>
  <c r="T69" i="59"/>
  <c r="AD69" i="59" s="1"/>
  <c r="V69" i="59"/>
  <c r="Y69" i="59"/>
  <c r="AF69" i="59"/>
  <c r="AG69" i="59"/>
  <c r="AK69" i="59"/>
  <c r="AM69" i="59"/>
  <c r="T70" i="59"/>
  <c r="AD70" i="59" s="1"/>
  <c r="V70" i="59"/>
  <c r="Y70" i="59"/>
  <c r="AF70" i="59"/>
  <c r="AG70" i="59"/>
  <c r="AH70" i="59"/>
  <c r="AI70" i="59" s="1"/>
  <c r="AK70" i="59"/>
  <c r="AM70" i="59"/>
  <c r="T71" i="59"/>
  <c r="V71" i="59"/>
  <c r="Y71" i="59"/>
  <c r="AD71" i="59"/>
  <c r="AN71" i="59" s="1"/>
  <c r="AE71" i="59"/>
  <c r="AF71" i="59"/>
  <c r="AG71" i="59"/>
  <c r="AJ71" i="59" s="1"/>
  <c r="AH71" i="59"/>
  <c r="AI71" i="59"/>
  <c r="AK71" i="59"/>
  <c r="AM71" i="59"/>
  <c r="T72" i="59"/>
  <c r="V72" i="59"/>
  <c r="Y72" i="59"/>
  <c r="AD72" i="59"/>
  <c r="AE72" i="59"/>
  <c r="AF72" i="59"/>
  <c r="AG72" i="59" s="1"/>
  <c r="AH72" i="59"/>
  <c r="AI72" i="59"/>
  <c r="AK72" i="59"/>
  <c r="AM72" i="59"/>
  <c r="T73" i="59"/>
  <c r="AH73" i="59" s="1"/>
  <c r="AI73" i="59" s="1"/>
  <c r="V73" i="59"/>
  <c r="Y73" i="59"/>
  <c r="AD73" i="59"/>
  <c r="AE73" i="59"/>
  <c r="AF73" i="59"/>
  <c r="AG73" i="59" s="1"/>
  <c r="AK73" i="59"/>
  <c r="AM73" i="59"/>
  <c r="T49" i="57"/>
  <c r="AD49" i="57" s="1"/>
  <c r="V49" i="57"/>
  <c r="Y49" i="57"/>
  <c r="AF49" i="57"/>
  <c r="AG49" i="57" s="1"/>
  <c r="AK49" i="57"/>
  <c r="AM49" i="57"/>
  <c r="T50" i="57"/>
  <c r="AD50" i="57" s="1"/>
  <c r="V50" i="57"/>
  <c r="Y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AM52" i="57"/>
  <c r="T53" i="57"/>
  <c r="AD53" i="57" s="1"/>
  <c r="V53" i="57"/>
  <c r="Y53" i="57"/>
  <c r="AF53" i="57"/>
  <c r="AG53" i="57" s="1"/>
  <c r="AK53" i="57"/>
  <c r="AM53" i="57"/>
  <c r="T54" i="57"/>
  <c r="AD54" i="57" s="1"/>
  <c r="V54" i="57"/>
  <c r="Y54" i="57"/>
  <c r="AF54" i="57"/>
  <c r="AG54" i="57" s="1"/>
  <c r="AH54" i="57"/>
  <c r="AI54" i="57" s="1"/>
  <c r="AK54" i="57"/>
  <c r="AM54" i="57"/>
  <c r="T55" i="57"/>
  <c r="V55" i="57"/>
  <c r="Y55" i="57"/>
  <c r="AD55" i="57"/>
  <c r="AE55" i="57"/>
  <c r="AF55" i="57"/>
  <c r="AG55" i="57" s="1"/>
  <c r="AH55" i="57"/>
  <c r="AI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D57" i="57" s="1"/>
  <c r="V57" i="57"/>
  <c r="Y57" i="57"/>
  <c r="AF57" i="57"/>
  <c r="AG57" i="57" s="1"/>
  <c r="AK57" i="57"/>
  <c r="T58" i="57"/>
  <c r="AD58" i="57" s="1"/>
  <c r="V58" i="57"/>
  <c r="Y58" i="57"/>
  <c r="AF58" i="57"/>
  <c r="AG58" i="57" s="1"/>
  <c r="AK58" i="57"/>
  <c r="AM58" i="57"/>
  <c r="T59" i="57"/>
  <c r="AD59" i="57" s="1"/>
  <c r="V59" i="57"/>
  <c r="Y59" i="57"/>
  <c r="AF59" i="57"/>
  <c r="AG59" i="57" s="1"/>
  <c r="AJ59" i="57" s="1"/>
  <c r="AH59" i="57"/>
  <c r="AI59" i="57" s="1"/>
  <c r="AK59" i="57"/>
  <c r="AM59" i="57"/>
  <c r="T60" i="57"/>
  <c r="AE60" i="57" s="1"/>
  <c r="V60" i="57"/>
  <c r="Y60" i="57"/>
  <c r="AF60" i="57"/>
  <c r="AG60" i="57" s="1"/>
  <c r="AK60" i="57"/>
  <c r="AM60" i="57"/>
  <c r="T61" i="57"/>
  <c r="AM61" i="57" s="1"/>
  <c r="V61" i="57"/>
  <c r="Y61" i="57"/>
  <c r="AD61" i="57"/>
  <c r="AF61" i="57"/>
  <c r="AG61" i="57" s="1"/>
  <c r="AH61" i="57"/>
  <c r="AI61" i="57" s="1"/>
  <c r="AK61" i="57"/>
  <c r="T62" i="57"/>
  <c r="AD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AD64" i="57" s="1"/>
  <c r="V64" i="57"/>
  <c r="Y64" i="57"/>
  <c r="AF64" i="57"/>
  <c r="AG64" i="57"/>
  <c r="AK64" i="57"/>
  <c r="AM64" i="57"/>
  <c r="T65" i="57"/>
  <c r="AD65" i="57" s="1"/>
  <c r="V65" i="57"/>
  <c r="Y65" i="57"/>
  <c r="AF65" i="57"/>
  <c r="AG65" i="57" s="1"/>
  <c r="AK65" i="57"/>
  <c r="AM65" i="57"/>
  <c r="T66" i="57"/>
  <c r="AD66" i="57" s="1"/>
  <c r="V66" i="57"/>
  <c r="Y66" i="57"/>
  <c r="AF66" i="57"/>
  <c r="AG66" i="57" s="1"/>
  <c r="AK66" i="57"/>
  <c r="T67" i="57"/>
  <c r="AH67" i="57" s="1"/>
  <c r="AI67" i="57" s="1"/>
  <c r="V67" i="57"/>
  <c r="Y67" i="57"/>
  <c r="AF67" i="57"/>
  <c r="AG67" i="57" s="1"/>
  <c r="AK67" i="57"/>
  <c r="AM67" i="57"/>
  <c r="T68" i="57"/>
  <c r="AH68" i="57" s="1"/>
  <c r="AI68" i="57" s="1"/>
  <c r="V68" i="57"/>
  <c r="Y68" i="57"/>
  <c r="AD68" i="57"/>
  <c r="AE68" i="57"/>
  <c r="AF68" i="57"/>
  <c r="AG68" i="57" s="1"/>
  <c r="AK68" i="57"/>
  <c r="AM68" i="57"/>
  <c r="T69" i="57"/>
  <c r="AD69" i="57" s="1"/>
  <c r="V69" i="57"/>
  <c r="Y69" i="57"/>
  <c r="AE69" i="57"/>
  <c r="AF69" i="57"/>
  <c r="AG69" i="57" s="1"/>
  <c r="AK69" i="57"/>
  <c r="AM69" i="57"/>
  <c r="T70" i="57"/>
  <c r="AD70" i="57" s="1"/>
  <c r="V70" i="57"/>
  <c r="Y70" i="57"/>
  <c r="AF70" i="57"/>
  <c r="AG70" i="57" s="1"/>
  <c r="AK70" i="57"/>
  <c r="AM70" i="57"/>
  <c r="T71" i="57"/>
  <c r="AD71" i="57" s="1"/>
  <c r="V71" i="57"/>
  <c r="Y71" i="57"/>
  <c r="AF71" i="57"/>
  <c r="AG71" i="57"/>
  <c r="AH71" i="57"/>
  <c r="AI71" i="57" s="1"/>
  <c r="AK71" i="57"/>
  <c r="AM71" i="57"/>
  <c r="T72" i="57"/>
  <c r="AE72" i="57" s="1"/>
  <c r="V72" i="57"/>
  <c r="Y72" i="57"/>
  <c r="AF72" i="57"/>
  <c r="AG72" i="57" s="1"/>
  <c r="AK72" i="57"/>
  <c r="AM72" i="57"/>
  <c r="T73" i="57"/>
  <c r="AH73" i="57" s="1"/>
  <c r="AI73" i="57" s="1"/>
  <c r="V73" i="57"/>
  <c r="Y73" i="57"/>
  <c r="AD73" i="57"/>
  <c r="AE73" i="57"/>
  <c r="AF73" i="57"/>
  <c r="AG73" i="57" s="1"/>
  <c r="AJ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 s="1"/>
  <c r="AK75" i="57"/>
  <c r="AM75" i="57"/>
  <c r="T76" i="57"/>
  <c r="AD76" i="57" s="1"/>
  <c r="V76" i="57"/>
  <c r="Y76" i="57"/>
  <c r="AF76" i="57"/>
  <c r="AG76" i="57" s="1"/>
  <c r="AK76" i="57"/>
  <c r="AM76" i="57"/>
  <c r="T77" i="57"/>
  <c r="AD77" i="57" s="1"/>
  <c r="V77" i="57"/>
  <c r="Y77" i="57"/>
  <c r="AF77" i="57"/>
  <c r="AG77" i="57"/>
  <c r="AK77" i="57"/>
  <c r="AM77" i="57"/>
  <c r="T78" i="57"/>
  <c r="AD78" i="57" s="1"/>
  <c r="V78" i="57"/>
  <c r="Y78" i="57"/>
  <c r="AF78" i="57"/>
  <c r="AG78" i="57" s="1"/>
  <c r="AH78" i="57"/>
  <c r="AI78" i="57" s="1"/>
  <c r="AK78" i="57"/>
  <c r="AM78" i="57"/>
  <c r="T79" i="57"/>
  <c r="AD79" i="57" s="1"/>
  <c r="V79" i="57"/>
  <c r="Y79" i="57"/>
  <c r="AF79" i="57"/>
  <c r="AG79" i="57"/>
  <c r="AK79" i="57"/>
  <c r="AM79" i="57"/>
  <c r="T80" i="57"/>
  <c r="AD80" i="57" s="1"/>
  <c r="V80" i="57"/>
  <c r="Y80" i="57"/>
  <c r="AF80" i="57"/>
  <c r="AG80" i="57" s="1"/>
  <c r="AK80" i="57"/>
  <c r="AM80" i="57"/>
  <c r="T81" i="57"/>
  <c r="AD81" i="57" s="1"/>
  <c r="V81" i="57"/>
  <c r="Y81" i="57"/>
  <c r="AF81" i="57"/>
  <c r="AG81" i="57" s="1"/>
  <c r="AK81" i="57"/>
  <c r="AM81" i="57"/>
  <c r="T82" i="57"/>
  <c r="AD82" i="57" s="1"/>
  <c r="V82" i="57"/>
  <c r="Y82" i="57"/>
  <c r="AF82" i="57"/>
  <c r="AG82" i="57" s="1"/>
  <c r="AK82" i="57"/>
  <c r="AM82" i="57"/>
  <c r="T83" i="57"/>
  <c r="AD83" i="57" s="1"/>
  <c r="V83" i="57"/>
  <c r="Y83" i="57"/>
  <c r="AE83" i="57"/>
  <c r="AF83" i="57"/>
  <c r="AG83" i="57"/>
  <c r="AJ83" i="57" s="1"/>
  <c r="AH83" i="57"/>
  <c r="AI83" i="57" s="1"/>
  <c r="AK83" i="57"/>
  <c r="AM83" i="57"/>
  <c r="T84" i="57"/>
  <c r="AE84" i="57" s="1"/>
  <c r="V84" i="57"/>
  <c r="Y84" i="57"/>
  <c r="AF84" i="57"/>
  <c r="AG84" i="57" s="1"/>
  <c r="AH84" i="57"/>
  <c r="AI84" i="57" s="1"/>
  <c r="AK84" i="57"/>
  <c r="AM84" i="57"/>
  <c r="T85" i="57"/>
  <c r="V85" i="57"/>
  <c r="Y85" i="57"/>
  <c r="AD85" i="57"/>
  <c r="AE85" i="57"/>
  <c r="AF85" i="57"/>
  <c r="AG85" i="57"/>
  <c r="AJ85" i="57" s="1"/>
  <c r="AH85" i="57"/>
  <c r="AI85" i="57"/>
  <c r="AK85" i="57"/>
  <c r="AM85" i="57"/>
  <c r="T86" i="57"/>
  <c r="V86" i="57"/>
  <c r="Y86" i="57"/>
  <c r="AD86" i="57"/>
  <c r="AN86" i="57" s="1"/>
  <c r="AE86" i="57"/>
  <c r="AF86" i="57"/>
  <c r="AG86" i="57" s="1"/>
  <c r="AH86" i="57"/>
  <c r="AI86" i="57" s="1"/>
  <c r="AK86" i="57"/>
  <c r="AM86" i="57"/>
  <c r="T87" i="57"/>
  <c r="AH87" i="57" s="1"/>
  <c r="AI87" i="57" s="1"/>
  <c r="V87" i="57"/>
  <c r="Y87" i="57"/>
  <c r="AF87" i="57"/>
  <c r="AG87" i="57" s="1"/>
  <c r="AK87" i="57"/>
  <c r="AM87" i="57"/>
  <c r="T88" i="57"/>
  <c r="AD88" i="57" s="1"/>
  <c r="V88" i="57"/>
  <c r="Y88" i="57"/>
  <c r="AF88" i="57"/>
  <c r="AG88" i="57"/>
  <c r="AK88" i="57"/>
  <c r="AM88" i="57"/>
  <c r="T89" i="57"/>
  <c r="V89" i="57"/>
  <c r="Y89" i="57"/>
  <c r="AD89" i="57"/>
  <c r="AE89" i="57"/>
  <c r="AF89" i="57"/>
  <c r="AG89" i="57"/>
  <c r="AH89" i="57"/>
  <c r="AI89" i="57" s="1"/>
  <c r="AK89" i="57"/>
  <c r="AM89" i="57"/>
  <c r="T90" i="57"/>
  <c r="AD90" i="57" s="1"/>
  <c r="V90" i="57"/>
  <c r="Y90" i="57"/>
  <c r="AF90" i="57"/>
  <c r="AG90" i="57" s="1"/>
  <c r="AH90" i="57"/>
  <c r="AI90" i="57"/>
  <c r="AK90" i="57"/>
  <c r="AM90" i="57"/>
  <c r="T91" i="57"/>
  <c r="AH91" i="57" s="1"/>
  <c r="AI91" i="57" s="1"/>
  <c r="AJ91" i="57" s="1"/>
  <c r="V91" i="57"/>
  <c r="Y91" i="57"/>
  <c r="AD91" i="57"/>
  <c r="AE91" i="57"/>
  <c r="AF91" i="57"/>
  <c r="AG91" i="57"/>
  <c r="AL91" i="57" s="1"/>
  <c r="AK91" i="57"/>
  <c r="AM91" i="57"/>
  <c r="AN91" i="57" s="1"/>
  <c r="T92" i="57"/>
  <c r="V92" i="57"/>
  <c r="Y92" i="57"/>
  <c r="AD92" i="57"/>
  <c r="AE92" i="57"/>
  <c r="AF92" i="57"/>
  <c r="AG92" i="57" s="1"/>
  <c r="AH92" i="57"/>
  <c r="AI92" i="57" s="1"/>
  <c r="AK92" i="57"/>
  <c r="AM92" i="57"/>
  <c r="T93" i="57"/>
  <c r="AD93" i="57" s="1"/>
  <c r="V93" i="57"/>
  <c r="Y93" i="57"/>
  <c r="AE93" i="57"/>
  <c r="AF93" i="57"/>
  <c r="AG93" i="57" s="1"/>
  <c r="AK93" i="57"/>
  <c r="AM93" i="57"/>
  <c r="T94" i="57"/>
  <c r="AD94" i="57" s="1"/>
  <c r="V94" i="57"/>
  <c r="Y94" i="57"/>
  <c r="AF94" i="57"/>
  <c r="AG94" i="57" s="1"/>
  <c r="AK94" i="57"/>
  <c r="AM94" i="57"/>
  <c r="T95" i="57"/>
  <c r="V95" i="57"/>
  <c r="Y95" i="57"/>
  <c r="AD95" i="57"/>
  <c r="AN95" i="57" s="1"/>
  <c r="AE95" i="57"/>
  <c r="AF95" i="57"/>
  <c r="AG95" i="57"/>
  <c r="AH95" i="57"/>
  <c r="AI95" i="57" s="1"/>
  <c r="AK95" i="57"/>
  <c r="AM95" i="57"/>
  <c r="T96" i="57"/>
  <c r="AE96" i="57" s="1"/>
  <c r="V96" i="57"/>
  <c r="Y96" i="57"/>
  <c r="AF96" i="57"/>
  <c r="AG96" i="57" s="1"/>
  <c r="AH96" i="57"/>
  <c r="AI96" i="57" s="1"/>
  <c r="AK96" i="57"/>
  <c r="AM96" i="57"/>
  <c r="T97" i="57"/>
  <c r="AH97" i="57" s="1"/>
  <c r="AI97" i="57" s="1"/>
  <c r="V97" i="57"/>
  <c r="Y97" i="57"/>
  <c r="AD97" i="57"/>
  <c r="AE97" i="57"/>
  <c r="AF97" i="57"/>
  <c r="AG97" i="57"/>
  <c r="AJ97" i="57" s="1"/>
  <c r="AK97" i="57"/>
  <c r="AM97" i="57"/>
  <c r="T98" i="57"/>
  <c r="V98" i="57"/>
  <c r="Y98" i="57"/>
  <c r="AD98" i="57"/>
  <c r="AE98" i="57"/>
  <c r="AF98" i="57"/>
  <c r="AG98" i="57" s="1"/>
  <c r="AH98" i="57"/>
  <c r="AI98" i="57" s="1"/>
  <c r="AK98" i="57"/>
  <c r="AM98" i="57"/>
  <c r="T25" i="55"/>
  <c r="AD25" i="55" s="1"/>
  <c r="V25" i="55"/>
  <c r="Y25" i="55"/>
  <c r="AF25" i="55"/>
  <c r="AG25" i="55" s="1"/>
  <c r="AK25" i="55"/>
  <c r="AM25" i="55"/>
  <c r="T26" i="55"/>
  <c r="AH26" i="55" s="1"/>
  <c r="AI26" i="55" s="1"/>
  <c r="V26" i="55"/>
  <c r="Y26" i="55"/>
  <c r="AF26" i="55"/>
  <c r="AG26" i="55" s="1"/>
  <c r="AK26" i="55"/>
  <c r="T27" i="55"/>
  <c r="AE27" i="55" s="1"/>
  <c r="V27" i="55"/>
  <c r="Y27" i="55"/>
  <c r="AD27" i="55"/>
  <c r="AF27" i="55"/>
  <c r="AG27" i="55"/>
  <c r="AH27" i="55"/>
  <c r="AI27" i="55" s="1"/>
  <c r="AK27" i="55"/>
  <c r="AM27" i="55"/>
  <c r="T28" i="55"/>
  <c r="AE28" i="55" s="1"/>
  <c r="V28" i="55"/>
  <c r="Y28" i="55"/>
  <c r="AD28" i="55"/>
  <c r="AF28" i="55"/>
  <c r="AG28" i="55" s="1"/>
  <c r="AH28" i="55"/>
  <c r="AI28" i="55" s="1"/>
  <c r="AK28" i="55"/>
  <c r="AM28" i="55"/>
  <c r="T29" i="55"/>
  <c r="AD29" i="55" s="1"/>
  <c r="V29" i="55"/>
  <c r="Y29" i="55"/>
  <c r="AF29" i="55"/>
  <c r="AG29" i="55" s="1"/>
  <c r="AK29" i="55"/>
  <c r="AM29" i="55"/>
  <c r="T30" i="55"/>
  <c r="AD30" i="55" s="1"/>
  <c r="V30" i="55"/>
  <c r="Y30" i="55"/>
  <c r="AF30" i="55"/>
  <c r="AG30" i="55" s="1"/>
  <c r="AK30" i="55"/>
  <c r="AM30" i="55"/>
  <c r="T31" i="55"/>
  <c r="AD31" i="55" s="1"/>
  <c r="V31" i="55"/>
  <c r="Y31" i="55"/>
  <c r="AF31" i="55"/>
  <c r="AG31" i="55" s="1"/>
  <c r="AK31" i="55"/>
  <c r="AM31" i="55"/>
  <c r="T32" i="55"/>
  <c r="AE32" i="55" s="1"/>
  <c r="V32" i="55"/>
  <c r="Y32" i="55"/>
  <c r="AF32" i="55"/>
  <c r="AG32" i="55" s="1"/>
  <c r="AK32" i="55"/>
  <c r="AM32" i="55"/>
  <c r="T33" i="55"/>
  <c r="V33" i="55"/>
  <c r="Y33" i="55"/>
  <c r="AD33" i="55"/>
  <c r="AE33" i="55"/>
  <c r="AF33" i="55"/>
  <c r="AG33" i="55" s="1"/>
  <c r="AH33" i="55"/>
  <c r="AI33" i="55" s="1"/>
  <c r="AK33" i="55"/>
  <c r="AM33" i="55"/>
  <c r="T34" i="55"/>
  <c r="AD34" i="55" s="1"/>
  <c r="V34" i="55"/>
  <c r="Y34" i="55"/>
  <c r="AF34" i="55"/>
  <c r="AG34" i="55" s="1"/>
  <c r="AK34" i="55"/>
  <c r="AM34" i="55"/>
  <c r="T35" i="55"/>
  <c r="AD35" i="55" s="1"/>
  <c r="V35" i="55"/>
  <c r="Y35" i="55"/>
  <c r="AF35" i="55"/>
  <c r="AG35" i="55" s="1"/>
  <c r="AK35" i="55"/>
  <c r="AM35" i="55"/>
  <c r="T36" i="55"/>
  <c r="AE36" i="55" s="1"/>
  <c r="V36" i="55"/>
  <c r="Y36" i="55"/>
  <c r="AD36" i="55"/>
  <c r="AF36" i="55"/>
  <c r="AG36" i="55" s="1"/>
  <c r="AK36" i="55"/>
  <c r="AM36" i="55"/>
  <c r="T37" i="55"/>
  <c r="AD37" i="55" s="1"/>
  <c r="V37" i="55"/>
  <c r="Y37" i="55"/>
  <c r="AF37" i="55"/>
  <c r="AG37" i="55" s="1"/>
  <c r="AK37" i="55"/>
  <c r="AM37" i="55"/>
  <c r="T38" i="55"/>
  <c r="AH38" i="55" s="1"/>
  <c r="AI38" i="55" s="1"/>
  <c r="V38" i="55"/>
  <c r="Y38" i="55"/>
  <c r="AF38" i="55"/>
  <c r="AG38" i="55" s="1"/>
  <c r="AK38" i="55"/>
  <c r="AM38" i="55"/>
  <c r="T39" i="55"/>
  <c r="AE39" i="55" s="1"/>
  <c r="V39" i="55"/>
  <c r="Y39" i="55"/>
  <c r="AD39" i="55"/>
  <c r="AF39" i="55"/>
  <c r="AG39" i="55" s="1"/>
  <c r="AK39" i="55"/>
  <c r="AM39" i="55"/>
  <c r="T40" i="55"/>
  <c r="AE40" i="55" s="1"/>
  <c r="V40" i="55"/>
  <c r="Y40" i="55"/>
  <c r="AD40" i="55"/>
  <c r="AF40" i="55"/>
  <c r="AG40" i="55" s="1"/>
  <c r="AH40" i="55"/>
  <c r="AI40" i="55" s="1"/>
  <c r="AK40" i="55"/>
  <c r="AM40" i="55"/>
  <c r="T41" i="55"/>
  <c r="AD41" i="55" s="1"/>
  <c r="V41" i="55"/>
  <c r="Y41" i="55"/>
  <c r="AE41" i="55"/>
  <c r="AF41" i="55"/>
  <c r="AG41" i="55" s="1"/>
  <c r="AK41" i="55"/>
  <c r="AM41" i="55"/>
  <c r="AN41" i="55" s="1"/>
  <c r="T42" i="55"/>
  <c r="AD42" i="55" s="1"/>
  <c r="V42" i="55"/>
  <c r="Y42" i="55"/>
  <c r="AF42" i="55"/>
  <c r="AG42" i="55" s="1"/>
  <c r="AK42" i="55"/>
  <c r="AM42" i="55"/>
  <c r="T43" i="55"/>
  <c r="AD43" i="55" s="1"/>
  <c r="AN43" i="55" s="1"/>
  <c r="V43" i="55"/>
  <c r="Y43" i="55"/>
  <c r="AE43" i="55"/>
  <c r="AF43" i="55"/>
  <c r="AG43" i="55"/>
  <c r="AH43" i="55"/>
  <c r="AI43" i="55" s="1"/>
  <c r="AK43" i="55"/>
  <c r="AM43" i="55"/>
  <c r="T44" i="55"/>
  <c r="AE44" i="55" s="1"/>
  <c r="V44" i="55"/>
  <c r="Y44" i="55"/>
  <c r="AD44" i="55"/>
  <c r="AN44" i="55" s="1"/>
  <c r="AF44" i="55"/>
  <c r="AG44" i="55" s="1"/>
  <c r="AH44" i="55"/>
  <c r="AI44" i="55" s="1"/>
  <c r="AK44" i="55"/>
  <c r="AM44" i="55"/>
  <c r="T45" i="55"/>
  <c r="V45" i="55"/>
  <c r="Y45" i="55"/>
  <c r="AD45" i="55"/>
  <c r="AE45" i="55"/>
  <c r="AF45" i="55"/>
  <c r="AG45" i="55"/>
  <c r="AJ45" i="55" s="1"/>
  <c r="AH45" i="55"/>
  <c r="AI45" i="55"/>
  <c r="AK45" i="55"/>
  <c r="AL45" i="55"/>
  <c r="AM45" i="55"/>
  <c r="AN45" i="55" s="1"/>
  <c r="T46" i="55"/>
  <c r="AD46" i="55" s="1"/>
  <c r="V46" i="55"/>
  <c r="Y46" i="55"/>
  <c r="AF46" i="55"/>
  <c r="AG46" i="55" s="1"/>
  <c r="AK46" i="55"/>
  <c r="AM46" i="55"/>
  <c r="T47" i="55"/>
  <c r="AD47" i="55" s="1"/>
  <c r="V47" i="55"/>
  <c r="Y47" i="55"/>
  <c r="AF47" i="55"/>
  <c r="AG47" i="55"/>
  <c r="AK47" i="55"/>
  <c r="AM47" i="55"/>
  <c r="T48" i="55"/>
  <c r="AE48" i="55" s="1"/>
  <c r="V48" i="55"/>
  <c r="Y48" i="55"/>
  <c r="AD48" i="55"/>
  <c r="AF48" i="55"/>
  <c r="AG48" i="55"/>
  <c r="AH48" i="55"/>
  <c r="AI48" i="55" s="1"/>
  <c r="AK48" i="55"/>
  <c r="AM48" i="55"/>
  <c r="T49" i="55"/>
  <c r="V49" i="55"/>
  <c r="Y49" i="55"/>
  <c r="AD49" i="55"/>
  <c r="AE49" i="55"/>
  <c r="AF49" i="55"/>
  <c r="AG49" i="55"/>
  <c r="AJ49" i="55" s="1"/>
  <c r="AH49" i="55"/>
  <c r="AI49" i="55"/>
  <c r="AK49" i="55"/>
  <c r="AM49" i="55"/>
  <c r="T50" i="55"/>
  <c r="AH50" i="55" s="1"/>
  <c r="AI50" i="55" s="1"/>
  <c r="V50" i="55"/>
  <c r="Y50" i="55"/>
  <c r="AF50" i="55"/>
  <c r="AG50" i="55" s="1"/>
  <c r="AK50" i="55"/>
  <c r="AM50" i="55"/>
  <c r="T51" i="55"/>
  <c r="AH51" i="55" s="1"/>
  <c r="AI51" i="55" s="1"/>
  <c r="V51" i="55"/>
  <c r="Y51" i="55"/>
  <c r="AF51" i="55"/>
  <c r="AG51" i="55"/>
  <c r="AK51" i="55"/>
  <c r="AM51" i="55"/>
  <c r="T52" i="55"/>
  <c r="V52" i="55"/>
  <c r="Y52" i="55"/>
  <c r="AD52" i="55"/>
  <c r="AN52" i="55" s="1"/>
  <c r="AE52" i="55"/>
  <c r="AF52" i="55"/>
  <c r="AG52" i="55"/>
  <c r="AJ52" i="55" s="1"/>
  <c r="AH52" i="55"/>
  <c r="AI52" i="55" s="1"/>
  <c r="AK52" i="55"/>
  <c r="AM52" i="55"/>
  <c r="T25" i="54"/>
  <c r="AD25" i="54" s="1"/>
  <c r="V25" i="54"/>
  <c r="Y25" i="54"/>
  <c r="AF25" i="54"/>
  <c r="AG25" i="54" s="1"/>
  <c r="AK25" i="54"/>
  <c r="AM25" i="54"/>
  <c r="T26" i="54"/>
  <c r="AH26" i="54" s="1"/>
  <c r="AI26" i="54" s="1"/>
  <c r="V26" i="54"/>
  <c r="Y26" i="54"/>
  <c r="AF26" i="54"/>
  <c r="AG26" i="54" s="1"/>
  <c r="AK26" i="54"/>
  <c r="AM26" i="54"/>
  <c r="T27" i="54"/>
  <c r="AH27" i="54" s="1"/>
  <c r="AI27" i="54" s="1"/>
  <c r="V27" i="54"/>
  <c r="Y27" i="54"/>
  <c r="AF27" i="54"/>
  <c r="AG27" i="54" s="1"/>
  <c r="AK27" i="54"/>
  <c r="AM27" i="54"/>
  <c r="T28" i="54"/>
  <c r="AD28" i="54" s="1"/>
  <c r="V28" i="54"/>
  <c r="Y28" i="54"/>
  <c r="AF28" i="54"/>
  <c r="AG28" i="54"/>
  <c r="AH28" i="54"/>
  <c r="AI28" i="54" s="1"/>
  <c r="AK28" i="54"/>
  <c r="AM28" i="54"/>
  <c r="T29" i="54"/>
  <c r="AD29" i="54" s="1"/>
  <c r="V29" i="54"/>
  <c r="Y29" i="54"/>
  <c r="AF29" i="54"/>
  <c r="AG29" i="54"/>
  <c r="AH29" i="54"/>
  <c r="AI29" i="54" s="1"/>
  <c r="AK29" i="54"/>
  <c r="AM29" i="54"/>
  <c r="T30" i="54"/>
  <c r="AD30" i="54" s="1"/>
  <c r="V30" i="54"/>
  <c r="Y30" i="54"/>
  <c r="AF30" i="54"/>
  <c r="AG30" i="54"/>
  <c r="AL30" i="54" s="1"/>
  <c r="AH30" i="54"/>
  <c r="AI30" i="54"/>
  <c r="AJ30" i="54" s="1"/>
  <c r="AK30" i="54"/>
  <c r="AM30" i="54"/>
  <c r="T31" i="54"/>
  <c r="AE31" i="54" s="1"/>
  <c r="V31" i="54"/>
  <c r="Y31" i="54"/>
  <c r="AD31" i="54"/>
  <c r="AF31" i="54"/>
  <c r="AG31" i="54" s="1"/>
  <c r="AH31" i="54"/>
  <c r="AI31" i="54"/>
  <c r="AK31" i="54"/>
  <c r="AM31" i="54"/>
  <c r="T32" i="54"/>
  <c r="AD32" i="54" s="1"/>
  <c r="V32" i="54"/>
  <c r="Y32" i="54"/>
  <c r="AE32" i="54"/>
  <c r="AF32" i="54"/>
  <c r="AG32" i="54"/>
  <c r="AH32" i="54"/>
  <c r="AI32" i="54"/>
  <c r="AJ32" i="54"/>
  <c r="AK32" i="54"/>
  <c r="AL32" i="54" s="1"/>
  <c r="AM32" i="54"/>
  <c r="T33" i="54"/>
  <c r="AD33" i="54" s="1"/>
  <c r="V33" i="54"/>
  <c r="Y33" i="54"/>
  <c r="AF33" i="54"/>
  <c r="AG33" i="54" s="1"/>
  <c r="AH33" i="54"/>
  <c r="AI33" i="54" s="1"/>
  <c r="AK33" i="54"/>
  <c r="AM33" i="54"/>
  <c r="T34" i="54"/>
  <c r="AD34" i="54" s="1"/>
  <c r="V34" i="54"/>
  <c r="Y34" i="54"/>
  <c r="AF34" i="54"/>
  <c r="AG34" i="54"/>
  <c r="AJ34" i="54" s="1"/>
  <c r="AH34" i="54"/>
  <c r="AI34" i="54"/>
  <c r="AK34" i="54"/>
  <c r="AL34" i="54"/>
  <c r="AM34" i="54"/>
  <c r="T35" i="54"/>
  <c r="AE35" i="54" s="1"/>
  <c r="AN35" i="54" s="1"/>
  <c r="V35" i="54"/>
  <c r="Y35" i="54"/>
  <c r="AD35" i="54"/>
  <c r="AF35" i="54"/>
  <c r="AG35" i="54"/>
  <c r="AH35" i="54"/>
  <c r="AI35" i="54" s="1"/>
  <c r="AK35" i="54"/>
  <c r="AM35" i="54"/>
  <c r="T36" i="54"/>
  <c r="V36" i="54"/>
  <c r="Y36" i="54"/>
  <c r="AD36" i="54"/>
  <c r="AN36" i="54" s="1"/>
  <c r="AE36" i="54"/>
  <c r="AF36" i="54"/>
  <c r="AG36" i="54" s="1"/>
  <c r="AH36" i="54"/>
  <c r="AI36" i="54"/>
  <c r="AK36" i="54"/>
  <c r="AM36" i="54"/>
  <c r="T37" i="54"/>
  <c r="AH37" i="54" s="1"/>
  <c r="AI37" i="54" s="1"/>
  <c r="V37" i="54"/>
  <c r="Y37" i="54"/>
  <c r="AD37" i="54"/>
  <c r="AN37" i="54" s="1"/>
  <c r="AE37" i="54"/>
  <c r="AF37" i="54"/>
  <c r="AG37" i="54" s="1"/>
  <c r="AK37" i="54"/>
  <c r="AM37" i="54"/>
  <c r="T38" i="54"/>
  <c r="AH38" i="54" s="1"/>
  <c r="AI38" i="54" s="1"/>
  <c r="V38" i="54"/>
  <c r="Y38" i="54"/>
  <c r="AE38" i="54"/>
  <c r="AF38" i="54"/>
  <c r="AG38" i="54" s="1"/>
  <c r="AK38" i="54"/>
  <c r="AM38" i="54"/>
  <c r="T39" i="54"/>
  <c r="AH39" i="54" s="1"/>
  <c r="AI39" i="54" s="1"/>
  <c r="V39" i="54"/>
  <c r="Y39" i="54"/>
  <c r="AF39" i="54"/>
  <c r="AG39" i="54" s="1"/>
  <c r="AK39" i="54"/>
  <c r="AM39" i="54"/>
  <c r="T40" i="54"/>
  <c r="AD40" i="54" s="1"/>
  <c r="V40" i="54"/>
  <c r="Y40" i="54"/>
  <c r="AF40" i="54"/>
  <c r="AG40" i="54"/>
  <c r="AH40" i="54"/>
  <c r="AI40" i="54" s="1"/>
  <c r="AK40" i="54"/>
  <c r="AM40" i="54"/>
  <c r="T41" i="54"/>
  <c r="AD41" i="54" s="1"/>
  <c r="V41" i="54"/>
  <c r="Y41" i="54"/>
  <c r="AF41" i="54"/>
  <c r="AG41" i="54"/>
  <c r="AJ41" i="54" s="1"/>
  <c r="AH41" i="54"/>
  <c r="AI41" i="54" s="1"/>
  <c r="AK41" i="54"/>
  <c r="AM41" i="54"/>
  <c r="T42" i="54"/>
  <c r="AD42" i="54" s="1"/>
  <c r="V42" i="54"/>
  <c r="Y42" i="54"/>
  <c r="AE42" i="54"/>
  <c r="AF42" i="54"/>
  <c r="AG42" i="54"/>
  <c r="AL42" i="54" s="1"/>
  <c r="AH42" i="54"/>
  <c r="AI42" i="54"/>
  <c r="AJ42" i="54" s="1"/>
  <c r="AK42" i="54"/>
  <c r="AM42" i="54"/>
  <c r="T43" i="54"/>
  <c r="AE43" i="54" s="1"/>
  <c r="V43" i="54"/>
  <c r="Y43" i="54"/>
  <c r="AD43" i="54"/>
  <c r="AF43" i="54"/>
  <c r="AG43" i="54" s="1"/>
  <c r="AH43" i="54"/>
  <c r="AI43" i="54"/>
  <c r="AK43" i="54"/>
  <c r="AM43" i="54"/>
  <c r="T44" i="54"/>
  <c r="V44" i="54"/>
  <c r="Y44" i="54"/>
  <c r="AD44" i="54"/>
  <c r="AE44" i="54"/>
  <c r="AF44" i="54"/>
  <c r="AG44" i="54"/>
  <c r="AH44" i="54"/>
  <c r="AI44" i="54"/>
  <c r="AJ44" i="54"/>
  <c r="AK44" i="54"/>
  <c r="AL44" i="54" s="1"/>
  <c r="AM44" i="54"/>
  <c r="T56" i="53"/>
  <c r="AD56" i="53" s="1"/>
  <c r="V56" i="53"/>
  <c r="Y56" i="53"/>
  <c r="AF56" i="53"/>
  <c r="AG56" i="53" s="1"/>
  <c r="AK56" i="53"/>
  <c r="AM56" i="53"/>
  <c r="T57" i="53"/>
  <c r="AH57" i="53" s="1"/>
  <c r="AI57" i="53" s="1"/>
  <c r="V57" i="53"/>
  <c r="Y57" i="53"/>
  <c r="AF57" i="53"/>
  <c r="AG57" i="53" s="1"/>
  <c r="AK57" i="53"/>
  <c r="AM57" i="53"/>
  <c r="T58" i="53"/>
  <c r="AE58" i="53" s="1"/>
  <c r="V58" i="53"/>
  <c r="Y58" i="53"/>
  <c r="AF58" i="53"/>
  <c r="AG58" i="53" s="1"/>
  <c r="AH58" i="53"/>
  <c r="AI58" i="53" s="1"/>
  <c r="AK58" i="53"/>
  <c r="T59" i="53"/>
  <c r="AE59" i="53" s="1"/>
  <c r="V59" i="53"/>
  <c r="Y59" i="53"/>
  <c r="AF59" i="53"/>
  <c r="AG59" i="53" s="1"/>
  <c r="AK59" i="53"/>
  <c r="AM59" i="53"/>
  <c r="T60" i="53"/>
  <c r="AD60" i="53" s="1"/>
  <c r="V60" i="53"/>
  <c r="Y60" i="53"/>
  <c r="AF60" i="53"/>
  <c r="AG60" i="53" s="1"/>
  <c r="AK60" i="53"/>
  <c r="AM60" i="53"/>
  <c r="T61" i="53"/>
  <c r="AE61" i="53" s="1"/>
  <c r="V61" i="53"/>
  <c r="Y61" i="53"/>
  <c r="AF61" i="53"/>
  <c r="AG61" i="53" s="1"/>
  <c r="AK61" i="53"/>
  <c r="T62" i="53"/>
  <c r="AD62" i="53" s="1"/>
  <c r="V62" i="53"/>
  <c r="Y62" i="53"/>
  <c r="AF62" i="53"/>
  <c r="AG62" i="53" s="1"/>
  <c r="AK62" i="53"/>
  <c r="AM62" i="53"/>
  <c r="T63" i="53"/>
  <c r="AD63" i="53" s="1"/>
  <c r="V63" i="53"/>
  <c r="Y63" i="53"/>
  <c r="AF63" i="53"/>
  <c r="AG63" i="53" s="1"/>
  <c r="AK63" i="53"/>
  <c r="T64" i="53"/>
  <c r="AD64" i="53" s="1"/>
  <c r="V64" i="53"/>
  <c r="Y64" i="53"/>
  <c r="AE64" i="53"/>
  <c r="AF64" i="53"/>
  <c r="AG64" i="53" s="1"/>
  <c r="AH64" i="53"/>
  <c r="AI64" i="53" s="1"/>
  <c r="AK64" i="53"/>
  <c r="AM64" i="53"/>
  <c r="T65" i="53"/>
  <c r="AD65" i="53" s="1"/>
  <c r="V65" i="53"/>
  <c r="Y65" i="53"/>
  <c r="AF65" i="53"/>
  <c r="AG65" i="53" s="1"/>
  <c r="AK65" i="53"/>
  <c r="AM65" i="53"/>
  <c r="T66" i="53"/>
  <c r="AD66" i="53" s="1"/>
  <c r="V66" i="53"/>
  <c r="Y66" i="53"/>
  <c r="AF66" i="53"/>
  <c r="AG66" i="53" s="1"/>
  <c r="AK66" i="53"/>
  <c r="T67" i="53"/>
  <c r="AE67" i="53" s="1"/>
  <c r="V67" i="53"/>
  <c r="Y67" i="53"/>
  <c r="AD67" i="53"/>
  <c r="AF67" i="53"/>
  <c r="AG67" i="53" s="1"/>
  <c r="AK67" i="53"/>
  <c r="AM67" i="53"/>
  <c r="T68" i="53"/>
  <c r="AD68" i="53" s="1"/>
  <c r="V68" i="53"/>
  <c r="Y68" i="53"/>
  <c r="AF68" i="53"/>
  <c r="AG68" i="53"/>
  <c r="AK68" i="53"/>
  <c r="AM68" i="53"/>
  <c r="T69" i="53"/>
  <c r="AH69" i="53" s="1"/>
  <c r="AI69" i="53" s="1"/>
  <c r="V69" i="53"/>
  <c r="Y69" i="53"/>
  <c r="AF69" i="53"/>
  <c r="AG69" i="53" s="1"/>
  <c r="AK69" i="53"/>
  <c r="AM69" i="53"/>
  <c r="T70" i="53"/>
  <c r="AH70" i="53" s="1"/>
  <c r="AI70" i="53" s="1"/>
  <c r="V70" i="53"/>
  <c r="Y70" i="53"/>
  <c r="AD70" i="53"/>
  <c r="AE70" i="53"/>
  <c r="AF70" i="53"/>
  <c r="AG70" i="53" s="1"/>
  <c r="AK70" i="53"/>
  <c r="AM70" i="53"/>
  <c r="T71" i="53"/>
  <c r="AD71" i="53" s="1"/>
  <c r="V71" i="53"/>
  <c r="Y71" i="53"/>
  <c r="AF71" i="53"/>
  <c r="AG71" i="53" s="1"/>
  <c r="AK71" i="53"/>
  <c r="AM71" i="53"/>
  <c r="T72" i="53"/>
  <c r="AD72" i="53" s="1"/>
  <c r="V72" i="53"/>
  <c r="Y72" i="53"/>
  <c r="AF72" i="53"/>
  <c r="AG72" i="53" s="1"/>
  <c r="AK72" i="53"/>
  <c r="AM72" i="53"/>
  <c r="T73" i="53"/>
  <c r="AE73" i="53" s="1"/>
  <c r="V73" i="53"/>
  <c r="Y73" i="53"/>
  <c r="AF73" i="53"/>
  <c r="AG73" i="53" s="1"/>
  <c r="AK73" i="53"/>
  <c r="AM73" i="53"/>
  <c r="T74" i="53"/>
  <c r="AD74" i="53" s="1"/>
  <c r="V74" i="53"/>
  <c r="Y74" i="53"/>
  <c r="AE74" i="53"/>
  <c r="AF74" i="53"/>
  <c r="AG74" i="53"/>
  <c r="AK74" i="53"/>
  <c r="AM74" i="53"/>
  <c r="T75" i="53"/>
  <c r="AD75" i="53" s="1"/>
  <c r="V75" i="53"/>
  <c r="Y75" i="53"/>
  <c r="AF75" i="53"/>
  <c r="AG75" i="53" s="1"/>
  <c r="AK75" i="53"/>
  <c r="AM75" i="53"/>
  <c r="T76" i="53"/>
  <c r="AD76" i="53" s="1"/>
  <c r="V76" i="53"/>
  <c r="Y76" i="53"/>
  <c r="AF76" i="53"/>
  <c r="AG76" i="53" s="1"/>
  <c r="AK76" i="53"/>
  <c r="AM76" i="53"/>
  <c r="T77" i="53"/>
  <c r="AD77" i="53" s="1"/>
  <c r="V77" i="53"/>
  <c r="Y77" i="53"/>
  <c r="AF77" i="53"/>
  <c r="AG77" i="53" s="1"/>
  <c r="AK77" i="53"/>
  <c r="AM77" i="53"/>
  <c r="T78" i="53"/>
  <c r="AD78" i="53" s="1"/>
  <c r="V78" i="53"/>
  <c r="Y78" i="53"/>
  <c r="AF78" i="53"/>
  <c r="AG78" i="53" s="1"/>
  <c r="AK78" i="53"/>
  <c r="AM78" i="53"/>
  <c r="T79" i="53"/>
  <c r="AE79" i="53" s="1"/>
  <c r="V79" i="53"/>
  <c r="Y79" i="53"/>
  <c r="AF79" i="53"/>
  <c r="AG79" i="53" s="1"/>
  <c r="AK79" i="53"/>
  <c r="AM79" i="53"/>
  <c r="T80" i="53"/>
  <c r="AD80" i="53" s="1"/>
  <c r="AN80" i="53" s="1"/>
  <c r="V80" i="53"/>
  <c r="Y80" i="53"/>
  <c r="AE80" i="53"/>
  <c r="AF80" i="53"/>
  <c r="AG80" i="53"/>
  <c r="AJ80" i="53" s="1"/>
  <c r="AH80" i="53"/>
  <c r="AI80" i="53"/>
  <c r="AK80" i="53"/>
  <c r="AM80" i="53"/>
  <c r="T81" i="53"/>
  <c r="AH81" i="53" s="1"/>
  <c r="AI81" i="53" s="1"/>
  <c r="V81" i="53"/>
  <c r="Y81" i="53"/>
  <c r="AF81" i="53"/>
  <c r="AG81" i="53" s="1"/>
  <c r="AK81" i="53"/>
  <c r="AM81" i="53"/>
  <c r="T82" i="53"/>
  <c r="V82" i="53"/>
  <c r="Y82" i="53"/>
  <c r="AD82" i="53"/>
  <c r="AE82" i="53"/>
  <c r="AF82" i="53"/>
  <c r="AG82" i="53"/>
  <c r="AJ82" i="53" s="1"/>
  <c r="AH82" i="53"/>
  <c r="AI82" i="53"/>
  <c r="AK82" i="53"/>
  <c r="AM82" i="53"/>
  <c r="T83" i="53"/>
  <c r="V83" i="53"/>
  <c r="Y83" i="53"/>
  <c r="AD83" i="53"/>
  <c r="AN83" i="53" s="1"/>
  <c r="AE83" i="53"/>
  <c r="AF83" i="53"/>
  <c r="AG83" i="53" s="1"/>
  <c r="AH83" i="53"/>
  <c r="AI83" i="53" s="1"/>
  <c r="AK83" i="53"/>
  <c r="AM83" i="53"/>
  <c r="T84" i="53"/>
  <c r="AD84" i="53" s="1"/>
  <c r="V84" i="53"/>
  <c r="Y84" i="53"/>
  <c r="AF84" i="53"/>
  <c r="AG84" i="53" s="1"/>
  <c r="AK84" i="53"/>
  <c r="AM84" i="53"/>
  <c r="T85" i="53"/>
  <c r="AE85" i="53" s="1"/>
  <c r="AN85" i="53" s="1"/>
  <c r="V85" i="53"/>
  <c r="Y85" i="53"/>
  <c r="AD85" i="53"/>
  <c r="AF85" i="53"/>
  <c r="AG85" i="53"/>
  <c r="AK85" i="53"/>
  <c r="AM85" i="53"/>
  <c r="T86" i="53"/>
  <c r="AD86" i="53" s="1"/>
  <c r="V86" i="53"/>
  <c r="Y86" i="53"/>
  <c r="AE86" i="53"/>
  <c r="AF86" i="53"/>
  <c r="AG86" i="53"/>
  <c r="AH86" i="53"/>
  <c r="AI86" i="53" s="1"/>
  <c r="AK86" i="53"/>
  <c r="AM86" i="53"/>
  <c r="T87" i="53"/>
  <c r="AE87" i="53" s="1"/>
  <c r="V87" i="53"/>
  <c r="Y87" i="53"/>
  <c r="AD87" i="53"/>
  <c r="AN87" i="53" s="1"/>
  <c r="AF87" i="53"/>
  <c r="AG87" i="53" s="1"/>
  <c r="AK87" i="53"/>
  <c r="AM87" i="53"/>
  <c r="T88" i="53"/>
  <c r="V88" i="53"/>
  <c r="Y88" i="53"/>
  <c r="AD88" i="53"/>
  <c r="AE88" i="53"/>
  <c r="AF88" i="53"/>
  <c r="AG88" i="53"/>
  <c r="AJ88" i="53" s="1"/>
  <c r="AH88" i="53"/>
  <c r="AI88" i="53"/>
  <c r="AK88" i="53"/>
  <c r="AM88" i="53"/>
  <c r="T89" i="53"/>
  <c r="AD89" i="53" s="1"/>
  <c r="V89" i="53"/>
  <c r="Y89" i="53"/>
  <c r="AF89" i="53"/>
  <c r="AG89" i="53" s="1"/>
  <c r="AK89" i="53"/>
  <c r="AM89" i="53"/>
  <c r="T90" i="53"/>
  <c r="AD90" i="53" s="1"/>
  <c r="V90" i="53"/>
  <c r="Y90" i="53"/>
  <c r="AF90" i="53"/>
  <c r="AG90" i="53"/>
  <c r="AK90" i="53"/>
  <c r="AM90" i="53"/>
  <c r="T91" i="53"/>
  <c r="AE91" i="53" s="1"/>
  <c r="V91" i="53"/>
  <c r="Y91" i="53"/>
  <c r="AD91" i="53"/>
  <c r="AF91" i="53"/>
  <c r="AG91" i="53"/>
  <c r="AH91" i="53"/>
  <c r="AI91" i="53" s="1"/>
  <c r="AJ91" i="53" s="1"/>
  <c r="AK91" i="53"/>
  <c r="AM91" i="53"/>
  <c r="T92" i="53"/>
  <c r="AD92" i="53" s="1"/>
  <c r="V92" i="53"/>
  <c r="Y92" i="53"/>
  <c r="AE92" i="53"/>
  <c r="AF92" i="53"/>
  <c r="AG92" i="53"/>
  <c r="AJ92" i="53" s="1"/>
  <c r="AH92" i="53"/>
  <c r="AI92" i="53"/>
  <c r="AK92" i="53"/>
  <c r="AM92" i="53"/>
  <c r="T93" i="53"/>
  <c r="AH93" i="53" s="1"/>
  <c r="AI93" i="53" s="1"/>
  <c r="V93" i="53"/>
  <c r="Y93" i="53"/>
  <c r="AF93" i="53"/>
  <c r="AG93" i="53" s="1"/>
  <c r="AK93" i="53"/>
  <c r="AM93" i="53"/>
  <c r="T25" i="51"/>
  <c r="AE25" i="51" s="1"/>
  <c r="V25" i="51"/>
  <c r="Y25" i="51"/>
  <c r="AF25" i="51"/>
  <c r="AG25" i="51" s="1"/>
  <c r="AK25" i="51"/>
  <c r="AM25" i="51"/>
  <c r="T26" i="51"/>
  <c r="AM26" i="51" s="1"/>
  <c r="V26" i="51"/>
  <c r="Y26" i="51"/>
  <c r="AF26" i="51"/>
  <c r="AG26" i="51" s="1"/>
  <c r="AK26" i="51"/>
  <c r="T27" i="51"/>
  <c r="AH27" i="51" s="1"/>
  <c r="AI27" i="51" s="1"/>
  <c r="V27" i="51"/>
  <c r="Y27" i="51"/>
  <c r="AF27" i="51"/>
  <c r="AG27" i="51" s="1"/>
  <c r="AK27" i="51"/>
  <c r="AM27" i="51"/>
  <c r="T28" i="51"/>
  <c r="AD28" i="51" s="1"/>
  <c r="V28" i="51"/>
  <c r="Y28" i="51"/>
  <c r="AF28" i="51"/>
  <c r="AG28" i="51" s="1"/>
  <c r="AK28" i="51"/>
  <c r="AM28" i="51"/>
  <c r="T29" i="51"/>
  <c r="AD29" i="51" s="1"/>
  <c r="V29" i="51"/>
  <c r="Y29" i="51"/>
  <c r="AF29" i="51"/>
  <c r="AG29" i="51" s="1"/>
  <c r="AK29" i="51"/>
  <c r="T30" i="51"/>
  <c r="AH30" i="51" s="1"/>
  <c r="AI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AM31" i="51"/>
  <c r="T32" i="51"/>
  <c r="AD32" i="51" s="1"/>
  <c r="V32" i="51"/>
  <c r="Y32" i="51"/>
  <c r="AF32" i="51"/>
  <c r="AG32" i="51" s="1"/>
  <c r="AK32" i="51"/>
  <c r="T33" i="51"/>
  <c r="AE33" i="51" s="1"/>
  <c r="V33" i="51"/>
  <c r="Y33" i="51"/>
  <c r="AD33" i="51"/>
  <c r="AF33" i="51"/>
  <c r="AG33" i="51" s="1"/>
  <c r="AH33" i="51"/>
  <c r="AI33" i="51" s="1"/>
  <c r="AK33" i="51"/>
  <c r="T34" i="51"/>
  <c r="AD34" i="51" s="1"/>
  <c r="V34" i="51"/>
  <c r="Y34" i="51"/>
  <c r="AE34" i="51"/>
  <c r="AF34" i="51"/>
  <c r="AG34" i="51"/>
  <c r="AK34" i="51"/>
  <c r="AM34" i="51"/>
  <c r="T35" i="51"/>
  <c r="AD35" i="51" s="1"/>
  <c r="V35" i="51"/>
  <c r="Y35" i="51"/>
  <c r="AF35" i="51"/>
  <c r="AG35" i="51" s="1"/>
  <c r="AK35" i="51"/>
  <c r="AM35" i="51"/>
  <c r="T36" i="51"/>
  <c r="AH36" i="51" s="1"/>
  <c r="AI36" i="51" s="1"/>
  <c r="V36" i="51"/>
  <c r="Y36" i="51"/>
  <c r="AF36" i="51"/>
  <c r="AG36" i="51" s="1"/>
  <c r="AL36" i="51" s="1"/>
  <c r="AK36" i="51"/>
  <c r="AM36" i="51"/>
  <c r="T37" i="51"/>
  <c r="AD37" i="51" s="1"/>
  <c r="V37" i="51"/>
  <c r="Y37" i="51"/>
  <c r="AE37" i="51"/>
  <c r="AF37" i="51"/>
  <c r="AG37" i="51" s="1"/>
  <c r="AH37" i="51"/>
  <c r="AI37" i="51" s="1"/>
  <c r="AK37" i="51"/>
  <c r="AM37" i="51"/>
  <c r="T38" i="51"/>
  <c r="V38" i="51"/>
  <c r="Y38" i="51"/>
  <c r="AF38" i="51"/>
  <c r="AG38" i="51" s="1"/>
  <c r="AK38" i="51"/>
  <c r="AM38" i="51"/>
  <c r="T39" i="51"/>
  <c r="AH39" i="51" s="1"/>
  <c r="AI39" i="51" s="1"/>
  <c r="V39" i="51"/>
  <c r="Y39" i="51"/>
  <c r="AF39" i="51"/>
  <c r="AG39" i="51" s="1"/>
  <c r="AK39" i="51"/>
  <c r="AM39" i="51"/>
  <c r="T40" i="51"/>
  <c r="AD40" i="51" s="1"/>
  <c r="V40" i="51"/>
  <c r="Y40" i="51"/>
  <c r="AE40" i="51"/>
  <c r="AF40" i="51"/>
  <c r="AG40" i="51"/>
  <c r="AK40" i="51"/>
  <c r="AM40" i="51"/>
  <c r="T41" i="51"/>
  <c r="AD41" i="51" s="1"/>
  <c r="V41" i="51"/>
  <c r="Y41" i="51"/>
  <c r="AE41" i="51"/>
  <c r="AF41" i="51"/>
  <c r="AG41" i="51" s="1"/>
  <c r="AH41" i="51"/>
  <c r="AI41" i="51"/>
  <c r="AK41" i="51"/>
  <c r="AM41" i="51"/>
  <c r="T42" i="51"/>
  <c r="AH42" i="51" s="1"/>
  <c r="AI42" i="51" s="1"/>
  <c r="V42" i="51"/>
  <c r="Y42" i="51"/>
  <c r="AF42" i="51"/>
  <c r="AG42" i="51" s="1"/>
  <c r="AK42" i="51"/>
  <c r="T43" i="51"/>
  <c r="AD43" i="51" s="1"/>
  <c r="V43" i="51"/>
  <c r="Y43" i="51"/>
  <c r="AF43" i="51"/>
  <c r="AG43" i="51" s="1"/>
  <c r="AK43" i="51"/>
  <c r="AM43" i="51"/>
  <c r="T44" i="51"/>
  <c r="AD44" i="51" s="1"/>
  <c r="V44" i="51"/>
  <c r="Y44" i="51"/>
  <c r="AF44" i="51"/>
  <c r="AG44" i="51" s="1"/>
  <c r="AK44" i="51"/>
  <c r="AM44" i="51"/>
  <c r="T45" i="51"/>
  <c r="AE45" i="51" s="1"/>
  <c r="V45" i="51"/>
  <c r="Y45" i="51"/>
  <c r="AF45" i="51"/>
  <c r="AG45" i="51" s="1"/>
  <c r="AK45" i="51"/>
  <c r="T46" i="51"/>
  <c r="AM46" i="51" s="1"/>
  <c r="V46" i="51"/>
  <c r="Y46" i="51"/>
  <c r="AD46" i="51"/>
  <c r="AE46" i="51"/>
  <c r="AF46" i="51"/>
  <c r="AG46" i="51"/>
  <c r="AK46" i="51"/>
  <c r="T47" i="51"/>
  <c r="AD47" i="51" s="1"/>
  <c r="V47" i="51"/>
  <c r="Y47" i="51"/>
  <c r="AF47" i="51"/>
  <c r="AG47" i="51" s="1"/>
  <c r="AK47" i="51"/>
  <c r="AM47" i="51"/>
  <c r="T48" i="51"/>
  <c r="AH48" i="51" s="1"/>
  <c r="AI48" i="51" s="1"/>
  <c r="V48" i="51"/>
  <c r="Y48" i="51"/>
  <c r="AF48" i="51"/>
  <c r="AG48" i="51" s="1"/>
  <c r="AK48" i="51"/>
  <c r="AM48" i="51"/>
  <c r="T49" i="51"/>
  <c r="AH49" i="51" s="1"/>
  <c r="AI49" i="51" s="1"/>
  <c r="V49" i="51"/>
  <c r="Y49" i="51"/>
  <c r="AD49" i="51"/>
  <c r="AF49" i="51"/>
  <c r="AG49" i="51" s="1"/>
  <c r="AK49" i="51"/>
  <c r="AM49" i="51"/>
  <c r="T50" i="51"/>
  <c r="V50" i="51"/>
  <c r="Y50" i="51"/>
  <c r="AF50" i="51"/>
  <c r="AG50" i="51" s="1"/>
  <c r="AK50" i="51"/>
  <c r="AM50" i="51"/>
  <c r="T51" i="51"/>
  <c r="AH51" i="51" s="1"/>
  <c r="AI51" i="51" s="1"/>
  <c r="V51" i="51"/>
  <c r="Y51" i="51"/>
  <c r="AF51" i="51"/>
  <c r="AG51" i="51" s="1"/>
  <c r="AK51" i="51"/>
  <c r="AM51" i="51"/>
  <c r="T52" i="51"/>
  <c r="AD52" i="51" s="1"/>
  <c r="V52" i="51"/>
  <c r="Y52" i="51"/>
  <c r="AF52" i="51"/>
  <c r="AG52" i="51" s="1"/>
  <c r="AK52" i="51"/>
  <c r="AM52" i="51"/>
  <c r="T53" i="51"/>
  <c r="AE53" i="51" s="1"/>
  <c r="V53" i="51"/>
  <c r="Y53" i="51"/>
  <c r="AF53" i="51"/>
  <c r="AG53" i="51" s="1"/>
  <c r="AK53" i="51"/>
  <c r="AM53" i="51"/>
  <c r="T54" i="51"/>
  <c r="AH54" i="51" s="1"/>
  <c r="AI54" i="51" s="1"/>
  <c r="V54" i="51"/>
  <c r="Y54" i="51"/>
  <c r="AD54" i="51"/>
  <c r="AE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V56" i="51"/>
  <c r="Y56" i="51"/>
  <c r="AF56" i="51"/>
  <c r="AG56" i="51" s="1"/>
  <c r="AK56" i="51"/>
  <c r="AM56" i="51"/>
  <c r="T57" i="51"/>
  <c r="AE57" i="51" s="1"/>
  <c r="V57" i="51"/>
  <c r="Y57" i="51"/>
  <c r="AF57" i="51"/>
  <c r="AG57" i="51" s="1"/>
  <c r="AK57" i="51"/>
  <c r="T58" i="51"/>
  <c r="AH58" i="51" s="1"/>
  <c r="AI58" i="51" s="1"/>
  <c r="AJ58" i="51" s="1"/>
  <c r="V58" i="51"/>
  <c r="Y58" i="51"/>
  <c r="AD58" i="51"/>
  <c r="AF58" i="51"/>
  <c r="AG58" i="51" s="1"/>
  <c r="AK58" i="51"/>
  <c r="T59" i="51"/>
  <c r="V59" i="51"/>
  <c r="Y59" i="51"/>
  <c r="AF59" i="51"/>
  <c r="AG59" i="51" s="1"/>
  <c r="AK59" i="51"/>
  <c r="AM59" i="51"/>
  <c r="T60" i="51"/>
  <c r="AH60" i="51" s="1"/>
  <c r="AI60" i="51" s="1"/>
  <c r="V60" i="51"/>
  <c r="Y60" i="51"/>
  <c r="AF60" i="51"/>
  <c r="AG60" i="51" s="1"/>
  <c r="AJ60" i="51" s="1"/>
  <c r="AK60" i="51"/>
  <c r="AM60" i="51"/>
  <c r="T61" i="51"/>
  <c r="AE61" i="51" s="1"/>
  <c r="V61" i="51"/>
  <c r="Y61" i="51"/>
  <c r="AF61" i="51"/>
  <c r="AG61" i="51" s="1"/>
  <c r="AK61" i="51"/>
  <c r="AM61" i="51"/>
  <c r="T62" i="51"/>
  <c r="AD62" i="51" s="1"/>
  <c r="V62" i="51"/>
  <c r="Y62" i="51"/>
  <c r="AF62" i="51"/>
  <c r="AG62" i="51" s="1"/>
  <c r="AK62" i="51"/>
  <c r="AM62" i="51"/>
  <c r="T63" i="51"/>
  <c r="V63" i="51"/>
  <c r="Y63" i="51"/>
  <c r="AF63" i="51"/>
  <c r="AG63" i="51" s="1"/>
  <c r="AH63" i="51"/>
  <c r="AI63" i="51" s="1"/>
  <c r="AK63" i="51"/>
  <c r="AM63" i="51"/>
  <c r="T64" i="51"/>
  <c r="AE64" i="51" s="1"/>
  <c r="V64" i="51"/>
  <c r="Y64" i="51"/>
  <c r="AF64" i="51"/>
  <c r="AG64" i="51" s="1"/>
  <c r="AK64" i="51"/>
  <c r="AM64" i="51"/>
  <c r="T65" i="51"/>
  <c r="AE65" i="51" s="1"/>
  <c r="V65" i="51"/>
  <c r="Y65" i="51"/>
  <c r="AF65" i="51"/>
  <c r="AG65" i="51" s="1"/>
  <c r="AK65" i="51"/>
  <c r="AM65" i="51"/>
  <c r="T66" i="51"/>
  <c r="AH66" i="51" s="1"/>
  <c r="AI66" i="51" s="1"/>
  <c r="V66" i="51"/>
  <c r="Y66" i="51"/>
  <c r="AF66" i="51"/>
  <c r="AG66" i="51" s="1"/>
  <c r="AK66" i="51"/>
  <c r="AM66" i="51"/>
  <c r="T67" i="51"/>
  <c r="AE67" i="51" s="1"/>
  <c r="V67" i="51"/>
  <c r="Y67" i="51"/>
  <c r="AF67" i="51"/>
  <c r="AG67" i="51"/>
  <c r="AK67" i="51"/>
  <c r="T68" i="51"/>
  <c r="V68" i="51"/>
  <c r="Y68" i="51"/>
  <c r="AF68" i="51"/>
  <c r="AG68" i="51" s="1"/>
  <c r="AK68" i="51"/>
  <c r="AM68" i="51"/>
  <c r="T69" i="51"/>
  <c r="AE69" i="51" s="1"/>
  <c r="V69" i="51"/>
  <c r="Y69" i="51"/>
  <c r="AD69" i="51"/>
  <c r="AF69" i="51"/>
  <c r="AG69" i="51" s="1"/>
  <c r="AH69" i="51"/>
  <c r="AI69" i="51" s="1"/>
  <c r="AK69" i="51"/>
  <c r="AM69" i="51"/>
  <c r="T70" i="51"/>
  <c r="AD70" i="51" s="1"/>
  <c r="V70" i="51"/>
  <c r="Y70" i="51"/>
  <c r="AF70" i="51"/>
  <c r="AG70" i="51"/>
  <c r="AK70" i="51"/>
  <c r="T71" i="51"/>
  <c r="AH71" i="51" s="1"/>
  <c r="AI71" i="51" s="1"/>
  <c r="V71" i="51"/>
  <c r="Y71" i="51"/>
  <c r="AF71" i="51"/>
  <c r="AG71" i="51" s="1"/>
  <c r="AK71" i="51"/>
  <c r="AM71" i="51"/>
  <c r="T72" i="51"/>
  <c r="AH72" i="51" s="1"/>
  <c r="AI72" i="51" s="1"/>
  <c r="V72" i="51"/>
  <c r="Y72" i="51"/>
  <c r="AF72" i="51"/>
  <c r="AG72" i="51" s="1"/>
  <c r="AK72" i="51"/>
  <c r="T73" i="51"/>
  <c r="AD73" i="51" s="1"/>
  <c r="V73" i="51"/>
  <c r="Y73" i="51"/>
  <c r="AF73" i="51"/>
  <c r="AG73" i="51" s="1"/>
  <c r="AK73" i="51"/>
  <c r="AM73" i="51"/>
  <c r="T74" i="51"/>
  <c r="AD74" i="51" s="1"/>
  <c r="V74" i="51"/>
  <c r="Y74" i="51"/>
  <c r="AF74" i="51"/>
  <c r="AG74" i="51" s="1"/>
  <c r="AK74" i="51"/>
  <c r="T75" i="51"/>
  <c r="V75" i="51"/>
  <c r="Y75" i="51"/>
  <c r="AF75" i="51"/>
  <c r="AG75" i="51" s="1"/>
  <c r="AK75" i="51"/>
  <c r="AM75" i="51"/>
  <c r="T76" i="51"/>
  <c r="AH76" i="51" s="1"/>
  <c r="AI76" i="51" s="1"/>
  <c r="V76" i="51"/>
  <c r="Y76" i="51"/>
  <c r="AD76" i="51"/>
  <c r="AF76" i="51"/>
  <c r="AG76" i="51" s="1"/>
  <c r="AK76" i="51"/>
  <c r="AM76" i="51"/>
  <c r="T77" i="51"/>
  <c r="AD77" i="51" s="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F78" i="51"/>
  <c r="AG78" i="51" s="1"/>
  <c r="AK78" i="51"/>
  <c r="AM78" i="51"/>
  <c r="T79" i="51"/>
  <c r="AD79" i="51" s="1"/>
  <c r="V79" i="51"/>
  <c r="Y79" i="51"/>
  <c r="AF79" i="51"/>
  <c r="AG79" i="51"/>
  <c r="AK79" i="51"/>
  <c r="AM79" i="51"/>
  <c r="T80" i="51"/>
  <c r="V80" i="51"/>
  <c r="Y80" i="51"/>
  <c r="AF80" i="51"/>
  <c r="AG80" i="51" s="1"/>
  <c r="AK80" i="51"/>
  <c r="AM80" i="51"/>
  <c r="T81" i="51"/>
  <c r="AE81" i="51" s="1"/>
  <c r="AN81" i="51" s="1"/>
  <c r="V81" i="51"/>
  <c r="Y81" i="51"/>
  <c r="AD81" i="51"/>
  <c r="AF81" i="51"/>
  <c r="AG81" i="51"/>
  <c r="AL81" i="51" s="1"/>
  <c r="AH81" i="51"/>
  <c r="AI81" i="51"/>
  <c r="AJ81" i="51"/>
  <c r="AK81" i="51"/>
  <c r="AM81" i="51"/>
  <c r="T82" i="51"/>
  <c r="V82" i="51"/>
  <c r="Y82" i="51"/>
  <c r="AD82" i="51"/>
  <c r="AE82" i="51"/>
  <c r="AF82" i="51"/>
  <c r="AG82" i="51"/>
  <c r="AH82" i="51"/>
  <c r="AI82" i="51"/>
  <c r="AJ82" i="51"/>
  <c r="AK82" i="51"/>
  <c r="AM82" i="51"/>
  <c r="AN82" i="51"/>
  <c r="T83" i="51"/>
  <c r="AH83" i="51" s="1"/>
  <c r="AI83" i="51" s="1"/>
  <c r="AJ83" i="51" s="1"/>
  <c r="V83" i="51"/>
  <c r="Y83" i="51"/>
  <c r="AD83" i="51"/>
  <c r="AN83" i="51" s="1"/>
  <c r="AE83" i="51"/>
  <c r="AF83" i="51"/>
  <c r="AG83" i="51" s="1"/>
  <c r="AK83" i="51"/>
  <c r="AM83" i="51"/>
  <c r="T84" i="51"/>
  <c r="AH84" i="51" s="1"/>
  <c r="V84" i="51"/>
  <c r="Y84" i="51"/>
  <c r="AF84" i="51"/>
  <c r="AG84" i="51"/>
  <c r="AL84" i="51" s="1"/>
  <c r="AI84" i="51"/>
  <c r="AJ84" i="51"/>
  <c r="AK84" i="51"/>
  <c r="AM84" i="51"/>
  <c r="T85" i="51"/>
  <c r="AE85" i="51" s="1"/>
  <c r="V85" i="51"/>
  <c r="Y85" i="51"/>
  <c r="AD85" i="51"/>
  <c r="AF85" i="51"/>
  <c r="AG85" i="51" s="1"/>
  <c r="AK85" i="51"/>
  <c r="AM85" i="51"/>
  <c r="AN85" i="51" s="1"/>
  <c r="T86" i="51"/>
  <c r="AH86" i="51" s="1"/>
  <c r="AI86" i="51" s="1"/>
  <c r="V86" i="51"/>
  <c r="Y86" i="51"/>
  <c r="AD86" i="51"/>
  <c r="AE86" i="51"/>
  <c r="AF86" i="51"/>
  <c r="AG86" i="51"/>
  <c r="AK86" i="51"/>
  <c r="AM86" i="51"/>
  <c r="T87" i="51"/>
  <c r="AD87" i="51" s="1"/>
  <c r="V87" i="51"/>
  <c r="Y87" i="51"/>
  <c r="AF87" i="51"/>
  <c r="AG87" i="51" s="1"/>
  <c r="AK87" i="51"/>
  <c r="AM87" i="51"/>
  <c r="T88" i="51"/>
  <c r="AE88" i="51" s="1"/>
  <c r="V88" i="51"/>
  <c r="Y88" i="51"/>
  <c r="AF88" i="51"/>
  <c r="AG88" i="51"/>
  <c r="AK88" i="51"/>
  <c r="AM88" i="51"/>
  <c r="T89" i="51"/>
  <c r="V89" i="51"/>
  <c r="Y89" i="51"/>
  <c r="AD89" i="51"/>
  <c r="AE89" i="51"/>
  <c r="AF89" i="51"/>
  <c r="AG89" i="51"/>
  <c r="AH89" i="51"/>
  <c r="AI89" i="51" s="1"/>
  <c r="AK89" i="51"/>
  <c r="AM89" i="51"/>
  <c r="T90" i="51"/>
  <c r="V90" i="51"/>
  <c r="Y90" i="51"/>
  <c r="AD90" i="51"/>
  <c r="AN90" i="51" s="1"/>
  <c r="AE90" i="51"/>
  <c r="AF90" i="51"/>
  <c r="AG90" i="51" s="1"/>
  <c r="AH90" i="51"/>
  <c r="AI90" i="51"/>
  <c r="AK90" i="51"/>
  <c r="AM90" i="51"/>
  <c r="T91" i="51"/>
  <c r="AH91" i="51" s="1"/>
  <c r="AI91" i="51" s="1"/>
  <c r="V91" i="51"/>
  <c r="Y91" i="51"/>
  <c r="AF91" i="51"/>
  <c r="AG91" i="51" s="1"/>
  <c r="AK91" i="51"/>
  <c r="AM91" i="51"/>
  <c r="T92" i="51"/>
  <c r="AD92" i="51" s="1"/>
  <c r="V92" i="51"/>
  <c r="Y92" i="51"/>
  <c r="AF92" i="51"/>
  <c r="AG92" i="51"/>
  <c r="AK92" i="51"/>
  <c r="AM92" i="51"/>
  <c r="T93" i="51"/>
  <c r="AD93" i="51" s="1"/>
  <c r="V93" i="51"/>
  <c r="Y93" i="51"/>
  <c r="AF93" i="51"/>
  <c r="AG93" i="51"/>
  <c r="AH93" i="51"/>
  <c r="AI93" i="51" s="1"/>
  <c r="AL93" i="51" s="1"/>
  <c r="AK93" i="51"/>
  <c r="AM93" i="51"/>
  <c r="T209" i="46"/>
  <c r="AD209" i="46" s="1"/>
  <c r="V209" i="46"/>
  <c r="Y209" i="46"/>
  <c r="AF209" i="46"/>
  <c r="AG209" i="46" s="1"/>
  <c r="AK209" i="46"/>
  <c r="AM209" i="46"/>
  <c r="T210" i="46"/>
  <c r="AH210" i="46" s="1"/>
  <c r="AI210" i="46" s="1"/>
  <c r="V210" i="46"/>
  <c r="Y210" i="46"/>
  <c r="AE210" i="46"/>
  <c r="AF210" i="46"/>
  <c r="AG210" i="46" s="1"/>
  <c r="AK210" i="46"/>
  <c r="AM210" i="46"/>
  <c r="T211" i="46"/>
  <c r="AH211" i="46" s="1"/>
  <c r="AI211" i="46" s="1"/>
  <c r="V211" i="46"/>
  <c r="Y211" i="46"/>
  <c r="AF211" i="46"/>
  <c r="AG211" i="46" s="1"/>
  <c r="AK211" i="46"/>
  <c r="AM211" i="46"/>
  <c r="T212" i="46"/>
  <c r="AD212" i="46" s="1"/>
  <c r="V212" i="46"/>
  <c r="Y212" i="46"/>
  <c r="AF212" i="46"/>
  <c r="AG212" i="46"/>
  <c r="AH212" i="46"/>
  <c r="AI212" i="46" s="1"/>
  <c r="AK212" i="46"/>
  <c r="AM212" i="46"/>
  <c r="T213" i="46"/>
  <c r="AD213" i="46" s="1"/>
  <c r="AN213" i="46" s="1"/>
  <c r="V213" i="46"/>
  <c r="Y213" i="46"/>
  <c r="AE213" i="46"/>
  <c r="AF213" i="46"/>
  <c r="AG213" i="46"/>
  <c r="AJ213" i="46" s="1"/>
  <c r="AH213" i="46"/>
  <c r="AI213" i="46" s="1"/>
  <c r="AK213" i="46"/>
  <c r="AM213" i="46"/>
  <c r="T214" i="46"/>
  <c r="AD214" i="46" s="1"/>
  <c r="V214" i="46"/>
  <c r="Y214" i="46"/>
  <c r="AF214" i="46"/>
  <c r="AG214" i="46" s="1"/>
  <c r="AH214" i="46"/>
  <c r="AI214" i="46"/>
  <c r="AK214" i="46"/>
  <c r="AM214" i="46"/>
  <c r="T215" i="46"/>
  <c r="AE215" i="46" s="1"/>
  <c r="V215" i="46"/>
  <c r="Y215" i="46"/>
  <c r="AD215" i="46"/>
  <c r="AF215" i="46"/>
  <c r="AG215" i="46"/>
  <c r="AL215" i="46" s="1"/>
  <c r="AH215" i="46"/>
  <c r="AI215" i="46"/>
  <c r="AJ215" i="46"/>
  <c r="AK215" i="46"/>
  <c r="AM215" i="46"/>
  <c r="T83" i="46"/>
  <c r="AH83" i="46" s="1"/>
  <c r="AI83" i="46" s="1"/>
  <c r="V83" i="46"/>
  <c r="Y83" i="46"/>
  <c r="AF83" i="46"/>
  <c r="AG83" i="46" s="1"/>
  <c r="AK83" i="46"/>
  <c r="AM83" i="46"/>
  <c r="T84" i="46"/>
  <c r="AH84" i="46" s="1"/>
  <c r="AI84" i="46" s="1"/>
  <c r="V84" i="46"/>
  <c r="Y84" i="46"/>
  <c r="AF84" i="46"/>
  <c r="AG84" i="46" s="1"/>
  <c r="AK84" i="46"/>
  <c r="T85" i="46"/>
  <c r="V85" i="46"/>
  <c r="Y85" i="46"/>
  <c r="AF85" i="46"/>
  <c r="AG85" i="46" s="1"/>
  <c r="AK85" i="46"/>
  <c r="AM85" i="46"/>
  <c r="T86" i="46"/>
  <c r="AD86" i="46" s="1"/>
  <c r="V86" i="46"/>
  <c r="Y86" i="46"/>
  <c r="AF86" i="46"/>
  <c r="AG86" i="46" s="1"/>
  <c r="AK86" i="46"/>
  <c r="AM86" i="46"/>
  <c r="T87" i="46"/>
  <c r="AE87" i="46" s="1"/>
  <c r="V87" i="46"/>
  <c r="Y87" i="46"/>
  <c r="AD87" i="46"/>
  <c r="AF87" i="46"/>
  <c r="AG87" i="46" s="1"/>
  <c r="AH87" i="46"/>
  <c r="AI87" i="46" s="1"/>
  <c r="AK87" i="46"/>
  <c r="AM87" i="46"/>
  <c r="T88" i="46"/>
  <c r="AM88" i="46" s="1"/>
  <c r="V88" i="46"/>
  <c r="Y88" i="46"/>
  <c r="AF88" i="46"/>
  <c r="AG88" i="46" s="1"/>
  <c r="AK88" i="46"/>
  <c r="T89" i="46"/>
  <c r="AD89" i="46" s="1"/>
  <c r="V89" i="46"/>
  <c r="Y89" i="46"/>
  <c r="AF89" i="46"/>
  <c r="AG89" i="46" s="1"/>
  <c r="AK89" i="46"/>
  <c r="T90" i="46"/>
  <c r="AE90" i="46" s="1"/>
  <c r="V90" i="46"/>
  <c r="Y90" i="46"/>
  <c r="AF90" i="46"/>
  <c r="AG90" i="46" s="1"/>
  <c r="AK90" i="46"/>
  <c r="AM90" i="46"/>
  <c r="T91" i="46"/>
  <c r="AH91" i="46" s="1"/>
  <c r="AI91" i="46" s="1"/>
  <c r="V91" i="46"/>
  <c r="Y91" i="46"/>
  <c r="AD91" i="46"/>
  <c r="AE91" i="46"/>
  <c r="AF91" i="46"/>
  <c r="AG91" i="46" s="1"/>
  <c r="AK91" i="46"/>
  <c r="AM91" i="46"/>
  <c r="T92" i="46"/>
  <c r="AD92" i="46" s="1"/>
  <c r="V92" i="46"/>
  <c r="Y92" i="46"/>
  <c r="AF92" i="46"/>
  <c r="AG92" i="46" s="1"/>
  <c r="AK92" i="46"/>
  <c r="T93" i="46"/>
  <c r="AE93" i="46" s="1"/>
  <c r="V93" i="46"/>
  <c r="Y93" i="46"/>
  <c r="AD93" i="46"/>
  <c r="AF93" i="46"/>
  <c r="AG93" i="46" s="1"/>
  <c r="AK93" i="46"/>
  <c r="T94" i="46"/>
  <c r="AE94" i="46" s="1"/>
  <c r="V94" i="46"/>
  <c r="Y94" i="46"/>
  <c r="AF94" i="46"/>
  <c r="AG94" i="46" s="1"/>
  <c r="AK94" i="46"/>
  <c r="AM94" i="46"/>
  <c r="T95" i="46"/>
  <c r="AH95" i="46" s="1"/>
  <c r="AI95" i="46" s="1"/>
  <c r="V95" i="46"/>
  <c r="Y95" i="46"/>
  <c r="AF95" i="46"/>
  <c r="AG95" i="46" s="1"/>
  <c r="AK95" i="46"/>
  <c r="AM95" i="46"/>
  <c r="T96" i="46"/>
  <c r="AH96" i="46" s="1"/>
  <c r="AI96" i="46" s="1"/>
  <c r="V96" i="46"/>
  <c r="Y96" i="46"/>
  <c r="AF96" i="46"/>
  <c r="AG96" i="46" s="1"/>
  <c r="AK96" i="46"/>
  <c r="T97" i="46"/>
  <c r="V97" i="46"/>
  <c r="Y97" i="46"/>
  <c r="AF97" i="46"/>
  <c r="AG97" i="46" s="1"/>
  <c r="AK97" i="46"/>
  <c r="AM97" i="46"/>
  <c r="T98" i="46"/>
  <c r="AD98" i="46" s="1"/>
  <c r="V98" i="46"/>
  <c r="Y98" i="46"/>
  <c r="AF98" i="46"/>
  <c r="AG98" i="46" s="1"/>
  <c r="AK98" i="46"/>
  <c r="AM98" i="46"/>
  <c r="T99" i="46"/>
  <c r="AE99" i="46" s="1"/>
  <c r="V99" i="46"/>
  <c r="Y99" i="46"/>
  <c r="AF99" i="46"/>
  <c r="AG99" i="46" s="1"/>
  <c r="AK99" i="46"/>
  <c r="AM99" i="46"/>
  <c r="T100" i="46"/>
  <c r="AD100" i="46" s="1"/>
  <c r="V100" i="46"/>
  <c r="Y100" i="46"/>
  <c r="AF100" i="46"/>
  <c r="AG100" i="46" s="1"/>
  <c r="AK100" i="46"/>
  <c r="AM100" i="46"/>
  <c r="T101" i="46"/>
  <c r="AD101" i="46" s="1"/>
  <c r="V101" i="46"/>
  <c r="Y101" i="46"/>
  <c r="AF101" i="46"/>
  <c r="AG101" i="46" s="1"/>
  <c r="AK101" i="46"/>
  <c r="AM101" i="46"/>
  <c r="T102" i="46"/>
  <c r="AE102" i="46" s="1"/>
  <c r="V102" i="46"/>
  <c r="Y102" i="46"/>
  <c r="AF102" i="46"/>
  <c r="AG102" i="46" s="1"/>
  <c r="AK102" i="46"/>
  <c r="AM102" i="46"/>
  <c r="T103" i="46"/>
  <c r="AM103" i="46" s="1"/>
  <c r="V103" i="46"/>
  <c r="Y103" i="46"/>
  <c r="AD103" i="46"/>
  <c r="AE103" i="46"/>
  <c r="AF103" i="46"/>
  <c r="AG103" i="46" s="1"/>
  <c r="AH103" i="46"/>
  <c r="AI103" i="46" s="1"/>
  <c r="AK103" i="46"/>
  <c r="T104" i="46"/>
  <c r="AD104" i="46" s="1"/>
  <c r="V104" i="46"/>
  <c r="Y104" i="46"/>
  <c r="AF104" i="46"/>
  <c r="AG104" i="46" s="1"/>
  <c r="AK104" i="46"/>
  <c r="T105" i="46"/>
  <c r="AE105" i="46" s="1"/>
  <c r="V105" i="46"/>
  <c r="Y105" i="46"/>
  <c r="AF105" i="46"/>
  <c r="AG105" i="46" s="1"/>
  <c r="AK105" i="46"/>
  <c r="T106" i="46"/>
  <c r="AE106" i="46" s="1"/>
  <c r="V106" i="46"/>
  <c r="Y106" i="46"/>
  <c r="AF106" i="46"/>
  <c r="AG106" i="46" s="1"/>
  <c r="AK106" i="46"/>
  <c r="T107" i="46"/>
  <c r="AH107" i="46" s="1"/>
  <c r="AI107" i="46" s="1"/>
  <c r="V107" i="46"/>
  <c r="Y107" i="46"/>
  <c r="AF107" i="46"/>
  <c r="AG107" i="46" s="1"/>
  <c r="AK107" i="46"/>
  <c r="AM107" i="46"/>
  <c r="T108" i="46"/>
  <c r="AH108" i="46" s="1"/>
  <c r="AI108" i="46" s="1"/>
  <c r="V108" i="46"/>
  <c r="Y108" i="46"/>
  <c r="AF108" i="46"/>
  <c r="AG108" i="46" s="1"/>
  <c r="AK108" i="46"/>
  <c r="AM108" i="46"/>
  <c r="T109" i="46"/>
  <c r="AM109" i="46" s="1"/>
  <c r="V109" i="46"/>
  <c r="Y109" i="46"/>
  <c r="AF109" i="46"/>
  <c r="AG109" i="46" s="1"/>
  <c r="AK109" i="46"/>
  <c r="T110" i="46"/>
  <c r="AD110" i="46" s="1"/>
  <c r="V110" i="46"/>
  <c r="Y110" i="46"/>
  <c r="AF110" i="46"/>
  <c r="AG110" i="46" s="1"/>
  <c r="AK110" i="46"/>
  <c r="AM110" i="46"/>
  <c r="T111" i="46"/>
  <c r="AE111" i="46" s="1"/>
  <c r="V111" i="46"/>
  <c r="Y111" i="46"/>
  <c r="AF111" i="46"/>
  <c r="AG111" i="46" s="1"/>
  <c r="AK111" i="46"/>
  <c r="AM111" i="46"/>
  <c r="T112" i="46"/>
  <c r="AE112" i="46" s="1"/>
  <c r="V112" i="46"/>
  <c r="Y112" i="46"/>
  <c r="AF112" i="46"/>
  <c r="AG112" i="46" s="1"/>
  <c r="AK112" i="46"/>
  <c r="T113" i="46"/>
  <c r="AD113" i="46" s="1"/>
  <c r="V113" i="46"/>
  <c r="Y113" i="46"/>
  <c r="AF113" i="46"/>
  <c r="AG113" i="46" s="1"/>
  <c r="AK113" i="46"/>
  <c r="T114" i="46"/>
  <c r="AE114" i="46" s="1"/>
  <c r="V114" i="46"/>
  <c r="Y114" i="46"/>
  <c r="AF114" i="46"/>
  <c r="AG114" i="46" s="1"/>
  <c r="AK114" i="46"/>
  <c r="AM114" i="46"/>
  <c r="T115" i="46"/>
  <c r="AD115" i="46" s="1"/>
  <c r="V115" i="46"/>
  <c r="Y115" i="46"/>
  <c r="AF115" i="46"/>
  <c r="AG115" i="46" s="1"/>
  <c r="AK115" i="46"/>
  <c r="AM115" i="46"/>
  <c r="T116" i="46"/>
  <c r="AD116" i="46" s="1"/>
  <c r="V116" i="46"/>
  <c r="Y116" i="46"/>
  <c r="AF116" i="46"/>
  <c r="AG116" i="46" s="1"/>
  <c r="AK116" i="46"/>
  <c r="AM116" i="46"/>
  <c r="T117" i="46"/>
  <c r="AE117" i="46" s="1"/>
  <c r="V117" i="46"/>
  <c r="Y117" i="46"/>
  <c r="AF117" i="46"/>
  <c r="AG117" i="46" s="1"/>
  <c r="AK117" i="46"/>
  <c r="T118" i="46"/>
  <c r="AD118" i="46" s="1"/>
  <c r="V118" i="46"/>
  <c r="Y118" i="46"/>
  <c r="AF118" i="46"/>
  <c r="AG118" i="46" s="1"/>
  <c r="AK118" i="46"/>
  <c r="T119" i="46"/>
  <c r="AH119" i="46" s="1"/>
  <c r="AI119" i="46" s="1"/>
  <c r="V119" i="46"/>
  <c r="Y119" i="46"/>
  <c r="AF119" i="46"/>
  <c r="AG119" i="46" s="1"/>
  <c r="AK119" i="46"/>
  <c r="AM119" i="46"/>
  <c r="T120" i="46"/>
  <c r="AE120" i="46" s="1"/>
  <c r="V120" i="46"/>
  <c r="Y120" i="46"/>
  <c r="AF120" i="46"/>
  <c r="AG120" i="46" s="1"/>
  <c r="AK120" i="46"/>
  <c r="AM120" i="46"/>
  <c r="T121" i="46"/>
  <c r="V121" i="46"/>
  <c r="Y121" i="46"/>
  <c r="AF121" i="46"/>
  <c r="AG121" i="46" s="1"/>
  <c r="AK121" i="46"/>
  <c r="AM121" i="46"/>
  <c r="T122" i="46"/>
  <c r="AD122" i="46" s="1"/>
  <c r="V122" i="46"/>
  <c r="Y122" i="46"/>
  <c r="AF122" i="46"/>
  <c r="AG122" i="46" s="1"/>
  <c r="AK122" i="46"/>
  <c r="AM122" i="46"/>
  <c r="T123" i="46"/>
  <c r="AE123" i="46" s="1"/>
  <c r="V123" i="46"/>
  <c r="Y123" i="46"/>
  <c r="AF123" i="46"/>
  <c r="AG123" i="46" s="1"/>
  <c r="AK123" i="46"/>
  <c r="AM123" i="46"/>
  <c r="T124" i="46"/>
  <c r="AD124" i="46" s="1"/>
  <c r="V124" i="46"/>
  <c r="Y124" i="46"/>
  <c r="AF124" i="46"/>
  <c r="AG124" i="46" s="1"/>
  <c r="AK124" i="46"/>
  <c r="AM124" i="46"/>
  <c r="T125" i="46"/>
  <c r="AD125" i="46" s="1"/>
  <c r="V125" i="46"/>
  <c r="Y125" i="46"/>
  <c r="AF125" i="46"/>
  <c r="AG125" i="46" s="1"/>
  <c r="AK125" i="46"/>
  <c r="T126" i="46"/>
  <c r="AE126" i="46" s="1"/>
  <c r="V126" i="46"/>
  <c r="Y126" i="46"/>
  <c r="AF126" i="46"/>
  <c r="AG126" i="46" s="1"/>
  <c r="AK126" i="46"/>
  <c r="AM126" i="46"/>
  <c r="T127" i="46"/>
  <c r="AE127" i="46" s="1"/>
  <c r="V127" i="46"/>
  <c r="Y127" i="46"/>
  <c r="AF127" i="46"/>
  <c r="AG127" i="46" s="1"/>
  <c r="AK127" i="46"/>
  <c r="AM127" i="46"/>
  <c r="T128" i="46"/>
  <c r="V128" i="46"/>
  <c r="Y128" i="46"/>
  <c r="AF128" i="46"/>
  <c r="AG128" i="46" s="1"/>
  <c r="AK128" i="46"/>
  <c r="AM128" i="46"/>
  <c r="T129" i="46"/>
  <c r="AE129" i="46" s="1"/>
  <c r="V129" i="46"/>
  <c r="Y129" i="46"/>
  <c r="AD129" i="46"/>
  <c r="AF129" i="46"/>
  <c r="AG129" i="46"/>
  <c r="AK129" i="46"/>
  <c r="AM129" i="46"/>
  <c r="T130" i="46"/>
  <c r="AE130" i="46" s="1"/>
  <c r="V130" i="46"/>
  <c r="Y130" i="46"/>
  <c r="AF130" i="46"/>
  <c r="AG130" i="46" s="1"/>
  <c r="AK130" i="46"/>
  <c r="AM130" i="46"/>
  <c r="T131" i="46"/>
  <c r="AH131" i="46" s="1"/>
  <c r="AI131" i="46" s="1"/>
  <c r="V131" i="46"/>
  <c r="Y131" i="46"/>
  <c r="AD131" i="46"/>
  <c r="AF131" i="46"/>
  <c r="AG131" i="46" s="1"/>
  <c r="AK131" i="46"/>
  <c r="AM131" i="46"/>
  <c r="T132" i="46"/>
  <c r="AE132" i="46" s="1"/>
  <c r="V132" i="46"/>
  <c r="Y132" i="46"/>
  <c r="AF132" i="46"/>
  <c r="AG132" i="46" s="1"/>
  <c r="AK132" i="46"/>
  <c r="AM132" i="46"/>
  <c r="T133" i="46"/>
  <c r="AD133" i="46" s="1"/>
  <c r="V133" i="46"/>
  <c r="Y133" i="46"/>
  <c r="AF133" i="46"/>
  <c r="AG133" i="46" s="1"/>
  <c r="AK133" i="46"/>
  <c r="AM133" i="46"/>
  <c r="T134" i="46"/>
  <c r="V134" i="46"/>
  <c r="Y134" i="46"/>
  <c r="AF134" i="46"/>
  <c r="AG134" i="46" s="1"/>
  <c r="AK134" i="46"/>
  <c r="AM134" i="46"/>
  <c r="T135" i="46"/>
  <c r="AE135" i="46" s="1"/>
  <c r="V135" i="46"/>
  <c r="Y135" i="46"/>
  <c r="AF135" i="46"/>
  <c r="AG135" i="46" s="1"/>
  <c r="AK135" i="46"/>
  <c r="T136" i="46"/>
  <c r="AD136" i="46" s="1"/>
  <c r="V136" i="46"/>
  <c r="Y136" i="46"/>
  <c r="AF136" i="46"/>
  <c r="AG136" i="46" s="1"/>
  <c r="AK136" i="46"/>
  <c r="AM136" i="46"/>
  <c r="T137" i="46"/>
  <c r="V137" i="46"/>
  <c r="Y137" i="46"/>
  <c r="AF137" i="46"/>
  <c r="AG137" i="46" s="1"/>
  <c r="AK137" i="46"/>
  <c r="AM137" i="46"/>
  <c r="T138" i="46"/>
  <c r="AD138" i="46" s="1"/>
  <c r="V138" i="46"/>
  <c r="Y138" i="46"/>
  <c r="AF138" i="46"/>
  <c r="AG138" i="46" s="1"/>
  <c r="AK138" i="46"/>
  <c r="T139" i="46"/>
  <c r="AE139" i="46" s="1"/>
  <c r="V139" i="46"/>
  <c r="Y139" i="46"/>
  <c r="AF139" i="46"/>
  <c r="AG139" i="46" s="1"/>
  <c r="AK139" i="46"/>
  <c r="AM139" i="46"/>
  <c r="T140" i="46"/>
  <c r="AH140" i="46" s="1"/>
  <c r="AI140" i="46" s="1"/>
  <c r="V140" i="46"/>
  <c r="Y140" i="46"/>
  <c r="AF140" i="46"/>
  <c r="AG140" i="46" s="1"/>
  <c r="AK140" i="46"/>
  <c r="AM140" i="46"/>
  <c r="T141" i="46"/>
  <c r="AE141" i="46" s="1"/>
  <c r="V141" i="46"/>
  <c r="Y141" i="46"/>
  <c r="AF141" i="46"/>
  <c r="AG141" i="46" s="1"/>
  <c r="AK141" i="46"/>
  <c r="AM141" i="46"/>
  <c r="T142" i="46"/>
  <c r="AD142" i="46" s="1"/>
  <c r="V142" i="46"/>
  <c r="Y142" i="46"/>
  <c r="AF142" i="46"/>
  <c r="AG142" i="46" s="1"/>
  <c r="AK142" i="46"/>
  <c r="AM142" i="46"/>
  <c r="T143" i="46"/>
  <c r="AD143" i="46" s="1"/>
  <c r="V143" i="46"/>
  <c r="Y143" i="46"/>
  <c r="AF143" i="46"/>
  <c r="AG143" i="46" s="1"/>
  <c r="AK143" i="46"/>
  <c r="AM143" i="46"/>
  <c r="T144" i="46"/>
  <c r="AD144" i="46" s="1"/>
  <c r="V144" i="46"/>
  <c r="Y144" i="46"/>
  <c r="AF144" i="46"/>
  <c r="AG144" i="46" s="1"/>
  <c r="AK144" i="46"/>
  <c r="AM144" i="46"/>
  <c r="T145" i="46"/>
  <c r="AD145" i="46" s="1"/>
  <c r="V145" i="46"/>
  <c r="Y145" i="46"/>
  <c r="AF145" i="46"/>
  <c r="AG145" i="46" s="1"/>
  <c r="AK145" i="46"/>
  <c r="T146" i="46"/>
  <c r="AE146" i="46" s="1"/>
  <c r="V146" i="46"/>
  <c r="Y146" i="46"/>
  <c r="AF146" i="46"/>
  <c r="AG146" i="46" s="1"/>
  <c r="AK146" i="46"/>
  <c r="AM146" i="46"/>
  <c r="T147" i="46"/>
  <c r="V147" i="46"/>
  <c r="Y147" i="46"/>
  <c r="AF147" i="46"/>
  <c r="AG147" i="46" s="1"/>
  <c r="AK147" i="46"/>
  <c r="AM147" i="46"/>
  <c r="T148" i="46"/>
  <c r="AD148" i="46" s="1"/>
  <c r="V148" i="46"/>
  <c r="Y148" i="46"/>
  <c r="AF148" i="46"/>
  <c r="AG148" i="46" s="1"/>
  <c r="AK148" i="46"/>
  <c r="AM148" i="46"/>
  <c r="T149" i="46"/>
  <c r="AD149" i="46" s="1"/>
  <c r="V149" i="46"/>
  <c r="Y149" i="46"/>
  <c r="AF149" i="46"/>
  <c r="AG149" i="46" s="1"/>
  <c r="AK149" i="46"/>
  <c r="AM149" i="46"/>
  <c r="T150" i="46"/>
  <c r="AE150" i="46" s="1"/>
  <c r="V150" i="46"/>
  <c r="Y150" i="46"/>
  <c r="AF150" i="46"/>
  <c r="AG150" i="46" s="1"/>
  <c r="AK150" i="46"/>
  <c r="AM150" i="46"/>
  <c r="T151" i="46"/>
  <c r="AD151" i="46" s="1"/>
  <c r="V151" i="46"/>
  <c r="Y151" i="46"/>
  <c r="AF151" i="46"/>
  <c r="AG151" i="46" s="1"/>
  <c r="AK151" i="46"/>
  <c r="AM151" i="46"/>
  <c r="T152" i="46"/>
  <c r="AD152" i="46" s="1"/>
  <c r="V152" i="46"/>
  <c r="Y152" i="46"/>
  <c r="AF152" i="46"/>
  <c r="AG152" i="46" s="1"/>
  <c r="AK152" i="46"/>
  <c r="AM152" i="46"/>
  <c r="T153" i="46"/>
  <c r="AD153" i="46" s="1"/>
  <c r="V153" i="46"/>
  <c r="Y153" i="46"/>
  <c r="AF153" i="46"/>
  <c r="AG153" i="46" s="1"/>
  <c r="AK153" i="46"/>
  <c r="T154" i="46"/>
  <c r="AD154" i="46" s="1"/>
  <c r="V154" i="46"/>
  <c r="Y154" i="46"/>
  <c r="AF154" i="46"/>
  <c r="AG154" i="46" s="1"/>
  <c r="AK154" i="46"/>
  <c r="T155" i="46"/>
  <c r="AD155" i="46" s="1"/>
  <c r="V155" i="46"/>
  <c r="Y155" i="46"/>
  <c r="AF155" i="46"/>
  <c r="AG155" i="46" s="1"/>
  <c r="AK155" i="46"/>
  <c r="AM155" i="46"/>
  <c r="T156" i="46"/>
  <c r="AD156" i="46" s="1"/>
  <c r="V156" i="46"/>
  <c r="Y156" i="46"/>
  <c r="AF156" i="46"/>
  <c r="AG156" i="46" s="1"/>
  <c r="AK156" i="46"/>
  <c r="AM156" i="46"/>
  <c r="T157" i="46"/>
  <c r="AE157" i="46" s="1"/>
  <c r="V157" i="46"/>
  <c r="Y157" i="46"/>
  <c r="AD157" i="46"/>
  <c r="AF157" i="46"/>
  <c r="AG157" i="46" s="1"/>
  <c r="AK157" i="46"/>
  <c r="AM157" i="46"/>
  <c r="T158" i="46"/>
  <c r="AE158" i="46" s="1"/>
  <c r="V158" i="46"/>
  <c r="Y158" i="46"/>
  <c r="AF158" i="46"/>
  <c r="AG158" i="46" s="1"/>
  <c r="AK158" i="46"/>
  <c r="T159" i="46"/>
  <c r="V159" i="46"/>
  <c r="Y159" i="46"/>
  <c r="AF159" i="46"/>
  <c r="AG159" i="46" s="1"/>
  <c r="AK159" i="46"/>
  <c r="AM159" i="46"/>
  <c r="T160" i="46"/>
  <c r="AD160" i="46" s="1"/>
  <c r="V160" i="46"/>
  <c r="Y160" i="46"/>
  <c r="AF160" i="46"/>
  <c r="AG160" i="46" s="1"/>
  <c r="AK160" i="46"/>
  <c r="AM160" i="46"/>
  <c r="T161" i="46"/>
  <c r="AH161" i="46" s="1"/>
  <c r="AI161" i="46" s="1"/>
  <c r="V161" i="46"/>
  <c r="Y161" i="46"/>
  <c r="AD161" i="46"/>
  <c r="AF161" i="46"/>
  <c r="AG161" i="46" s="1"/>
  <c r="AK161" i="46"/>
  <c r="AM161" i="46"/>
  <c r="T162" i="46"/>
  <c r="AE162" i="46" s="1"/>
  <c r="V162" i="46"/>
  <c r="Y162" i="46"/>
  <c r="AF162" i="46"/>
  <c r="AG162" i="46" s="1"/>
  <c r="AK162" i="46"/>
  <c r="AM162" i="46"/>
  <c r="T163" i="46"/>
  <c r="AD163" i="46" s="1"/>
  <c r="V163" i="46"/>
  <c r="Y163" i="46"/>
  <c r="AF163" i="46"/>
  <c r="AG163" i="46" s="1"/>
  <c r="AK163" i="46"/>
  <c r="T164" i="46"/>
  <c r="AM164" i="46" s="1"/>
  <c r="V164" i="46"/>
  <c r="Y164" i="46"/>
  <c r="AF164" i="46"/>
  <c r="AG164" i="46" s="1"/>
  <c r="AK164" i="46"/>
  <c r="T165" i="46"/>
  <c r="AD165" i="46" s="1"/>
  <c r="V165" i="46"/>
  <c r="Y165" i="46"/>
  <c r="AF165" i="46"/>
  <c r="AG165" i="46" s="1"/>
  <c r="AK165" i="46"/>
  <c r="AM165" i="46"/>
  <c r="T166" i="46"/>
  <c r="AD166" i="46" s="1"/>
  <c r="V166" i="46"/>
  <c r="Y166" i="46"/>
  <c r="AF166" i="46"/>
  <c r="AG166" i="46" s="1"/>
  <c r="AK166" i="46"/>
  <c r="AM166" i="46"/>
  <c r="T167" i="46"/>
  <c r="V167" i="46"/>
  <c r="Y167" i="46"/>
  <c r="AF167" i="46"/>
  <c r="AG167" i="46" s="1"/>
  <c r="AK167" i="46"/>
  <c r="AM167" i="46"/>
  <c r="T168" i="46"/>
  <c r="AD168" i="46" s="1"/>
  <c r="V168" i="46"/>
  <c r="Y168" i="46"/>
  <c r="AF168" i="46"/>
  <c r="AG168" i="46" s="1"/>
  <c r="AK168" i="46"/>
  <c r="AM168" i="46"/>
  <c r="T169" i="46"/>
  <c r="AD169" i="46" s="1"/>
  <c r="V169" i="46"/>
  <c r="Y169" i="46"/>
  <c r="AF169" i="46"/>
  <c r="AG169" i="46" s="1"/>
  <c r="AK169" i="46"/>
  <c r="AM169" i="46"/>
  <c r="T170" i="46"/>
  <c r="AE170" i="46" s="1"/>
  <c r="V170" i="46"/>
  <c r="Y170" i="46"/>
  <c r="AF170" i="46"/>
  <c r="AG170" i="46" s="1"/>
  <c r="AK170" i="46"/>
  <c r="T171" i="46"/>
  <c r="V171" i="46"/>
  <c r="Y171" i="46"/>
  <c r="AF171" i="46"/>
  <c r="AG171" i="46" s="1"/>
  <c r="AK171" i="46"/>
  <c r="AM171" i="46"/>
  <c r="T172" i="46"/>
  <c r="AD172" i="46" s="1"/>
  <c r="V172" i="46"/>
  <c r="Y172" i="46"/>
  <c r="AF172" i="46"/>
  <c r="AG172" i="46" s="1"/>
  <c r="AK172" i="46"/>
  <c r="AM172" i="46"/>
  <c r="T173" i="46"/>
  <c r="AD173" i="46" s="1"/>
  <c r="V173" i="46"/>
  <c r="Y173" i="46"/>
  <c r="AF173" i="46"/>
  <c r="AG173" i="46" s="1"/>
  <c r="AK173" i="46"/>
  <c r="T174" i="46"/>
  <c r="AE174" i="46" s="1"/>
  <c r="V174" i="46"/>
  <c r="Y174" i="46"/>
  <c r="AF174" i="46"/>
  <c r="AG174" i="46" s="1"/>
  <c r="AK174" i="46"/>
  <c r="T175" i="46"/>
  <c r="AD175" i="46" s="1"/>
  <c r="V175" i="46"/>
  <c r="Y175" i="46"/>
  <c r="AF175" i="46"/>
  <c r="AG175" i="46" s="1"/>
  <c r="AK175" i="46"/>
  <c r="AM175" i="46"/>
  <c r="T176" i="46"/>
  <c r="AE176" i="46" s="1"/>
  <c r="V176" i="46"/>
  <c r="Y176" i="46"/>
  <c r="AF176" i="46"/>
  <c r="AG176" i="46" s="1"/>
  <c r="AK176" i="46"/>
  <c r="AM176" i="46"/>
  <c r="T177" i="46"/>
  <c r="AD177" i="46" s="1"/>
  <c r="V177" i="46"/>
  <c r="Y177" i="46"/>
  <c r="AF177" i="46"/>
  <c r="AG177" i="46" s="1"/>
  <c r="AK177" i="46"/>
  <c r="AM177" i="46"/>
  <c r="T178" i="46"/>
  <c r="AD178" i="46" s="1"/>
  <c r="V178" i="46"/>
  <c r="Y178" i="46"/>
  <c r="AF178" i="46"/>
  <c r="AG178" i="46" s="1"/>
  <c r="AK178" i="46"/>
  <c r="AM178" i="46"/>
  <c r="T179" i="46"/>
  <c r="V179" i="46"/>
  <c r="Y179" i="46"/>
  <c r="AF179" i="46"/>
  <c r="AG179" i="46" s="1"/>
  <c r="AK179" i="46"/>
  <c r="AM179" i="46"/>
  <c r="T180" i="46"/>
  <c r="AD180" i="46" s="1"/>
  <c r="V180" i="46"/>
  <c r="Y180" i="46"/>
  <c r="AF180" i="46"/>
  <c r="AG180" i="46" s="1"/>
  <c r="AK180" i="46"/>
  <c r="AM180" i="46"/>
  <c r="T181" i="46"/>
  <c r="AH181" i="46" s="1"/>
  <c r="AI181" i="46" s="1"/>
  <c r="V181" i="46"/>
  <c r="Y181" i="46"/>
  <c r="AF181" i="46"/>
  <c r="AG181" i="46" s="1"/>
  <c r="AK181" i="46"/>
  <c r="T182" i="46"/>
  <c r="AH182" i="46" s="1"/>
  <c r="AI182" i="46" s="1"/>
  <c r="V182" i="46"/>
  <c r="Y182" i="46"/>
  <c r="AF182" i="46"/>
  <c r="AG182" i="46" s="1"/>
  <c r="AK182" i="46"/>
  <c r="AM182" i="46"/>
  <c r="T183" i="46"/>
  <c r="AD183" i="46" s="1"/>
  <c r="V183" i="46"/>
  <c r="Y183" i="46"/>
  <c r="AF183" i="46"/>
  <c r="AG183" i="46" s="1"/>
  <c r="AK183" i="46"/>
  <c r="AM183" i="46"/>
  <c r="T184" i="46"/>
  <c r="AE184" i="46" s="1"/>
  <c r="V184" i="46"/>
  <c r="Y184" i="46"/>
  <c r="AF184" i="46"/>
  <c r="AG184" i="46" s="1"/>
  <c r="AK184" i="46"/>
  <c r="AM184" i="46"/>
  <c r="T185" i="46"/>
  <c r="AE185" i="46" s="1"/>
  <c r="V185" i="46"/>
  <c r="Y185" i="46"/>
  <c r="AF185" i="46"/>
  <c r="AG185" i="46" s="1"/>
  <c r="AK185" i="46"/>
  <c r="AM185" i="46"/>
  <c r="T186" i="46"/>
  <c r="AH186" i="46" s="1"/>
  <c r="AI186" i="46" s="1"/>
  <c r="V186" i="46"/>
  <c r="Y186" i="46"/>
  <c r="AF186" i="46"/>
  <c r="AG186" i="46" s="1"/>
  <c r="AK186" i="46"/>
  <c r="AM186" i="46"/>
  <c r="T187" i="46"/>
  <c r="AH187" i="46" s="1"/>
  <c r="AI187" i="46" s="1"/>
  <c r="V187" i="46"/>
  <c r="Y187" i="46"/>
  <c r="AF187" i="46"/>
  <c r="AG187" i="46" s="1"/>
  <c r="AK187" i="46"/>
  <c r="T188" i="46"/>
  <c r="AD188" i="46" s="1"/>
  <c r="V188" i="46"/>
  <c r="Y188" i="46"/>
  <c r="AF188" i="46"/>
  <c r="AG188" i="46" s="1"/>
  <c r="AK188" i="46"/>
  <c r="AM188" i="46"/>
  <c r="T189" i="46"/>
  <c r="AE189" i="46" s="1"/>
  <c r="V189" i="46"/>
  <c r="Y189" i="46"/>
  <c r="AF189" i="46"/>
  <c r="AG189" i="46" s="1"/>
  <c r="AK189" i="46"/>
  <c r="AM189" i="46"/>
  <c r="T190" i="46"/>
  <c r="AD190" i="46" s="1"/>
  <c r="V190" i="46"/>
  <c r="Y190" i="46"/>
  <c r="AF190" i="46"/>
  <c r="AG190" i="46" s="1"/>
  <c r="AH190" i="46"/>
  <c r="AI190" i="46" s="1"/>
  <c r="AK190" i="46"/>
  <c r="AM190" i="46"/>
  <c r="T191" i="46"/>
  <c r="AD191" i="46" s="1"/>
  <c r="V191" i="46"/>
  <c r="Y191" i="46"/>
  <c r="AF191" i="46"/>
  <c r="AG191" i="46" s="1"/>
  <c r="AK191" i="46"/>
  <c r="AM191" i="46"/>
  <c r="T192" i="46"/>
  <c r="AH192" i="46" s="1"/>
  <c r="AI192" i="46" s="1"/>
  <c r="V192" i="46"/>
  <c r="Y192" i="46"/>
  <c r="AE192" i="46"/>
  <c r="AF192" i="46"/>
  <c r="AG192" i="46" s="1"/>
  <c r="AK192" i="46"/>
  <c r="AM192" i="46"/>
  <c r="T193" i="46"/>
  <c r="AE193" i="46" s="1"/>
  <c r="V193" i="46"/>
  <c r="Y193" i="46"/>
  <c r="AF193" i="46"/>
  <c r="AG193" i="46" s="1"/>
  <c r="AK193" i="46"/>
  <c r="AM193" i="46"/>
  <c r="T194" i="46"/>
  <c r="AH194" i="46" s="1"/>
  <c r="AI194" i="46" s="1"/>
  <c r="V194" i="46"/>
  <c r="Y194" i="46"/>
  <c r="AF194" i="46"/>
  <c r="AG194" i="46" s="1"/>
  <c r="AK194" i="46"/>
  <c r="AM194" i="46"/>
  <c r="T195" i="46"/>
  <c r="AH195" i="46" s="1"/>
  <c r="AI195" i="46" s="1"/>
  <c r="V195" i="46"/>
  <c r="Y195" i="46"/>
  <c r="AF195" i="46"/>
  <c r="AG195" i="46" s="1"/>
  <c r="AK195" i="46"/>
  <c r="AM195" i="46"/>
  <c r="T196" i="46"/>
  <c r="AD196" i="46" s="1"/>
  <c r="V196" i="46"/>
  <c r="Y196" i="46"/>
  <c r="AF196" i="46"/>
  <c r="AG196" i="46" s="1"/>
  <c r="AK196" i="46"/>
  <c r="AM196" i="46"/>
  <c r="T197" i="46"/>
  <c r="AE197" i="46" s="1"/>
  <c r="V197" i="46"/>
  <c r="Y197" i="46"/>
  <c r="AF197" i="46"/>
  <c r="AG197" i="46" s="1"/>
  <c r="AK197" i="46"/>
  <c r="T198" i="46"/>
  <c r="AH198" i="46" s="1"/>
  <c r="AI198" i="46" s="1"/>
  <c r="V198" i="46"/>
  <c r="Y198" i="46"/>
  <c r="AF198" i="46"/>
  <c r="AG198" i="46" s="1"/>
  <c r="AK198" i="46"/>
  <c r="AM198" i="46"/>
  <c r="T199" i="46"/>
  <c r="AD199" i="46" s="1"/>
  <c r="V199" i="46"/>
  <c r="Y199" i="46"/>
  <c r="AF199" i="46"/>
  <c r="AG199" i="46" s="1"/>
  <c r="AK199" i="46"/>
  <c r="AM199" i="46"/>
  <c r="T200" i="46"/>
  <c r="AD200" i="46" s="1"/>
  <c r="V200" i="46"/>
  <c r="Y200" i="46"/>
  <c r="AF200" i="46"/>
  <c r="AG200" i="46" s="1"/>
  <c r="AK200" i="46"/>
  <c r="T201" i="46"/>
  <c r="AE201" i="46" s="1"/>
  <c r="V201" i="46"/>
  <c r="Y201" i="46"/>
  <c r="AF201" i="46"/>
  <c r="AG201" i="46" s="1"/>
  <c r="AK201" i="46"/>
  <c r="AM201" i="46"/>
  <c r="T202" i="46"/>
  <c r="AD202" i="46" s="1"/>
  <c r="V202" i="46"/>
  <c r="Y202" i="46"/>
  <c r="AF202" i="46"/>
  <c r="AG202" i="46"/>
  <c r="AK202" i="46"/>
  <c r="AM202" i="46"/>
  <c r="T203" i="46"/>
  <c r="AD203" i="46" s="1"/>
  <c r="V203" i="46"/>
  <c r="Y203" i="46"/>
  <c r="AF203" i="46"/>
  <c r="AG203" i="46" s="1"/>
  <c r="AK203" i="46"/>
  <c r="AM203" i="46"/>
  <c r="T204" i="46"/>
  <c r="AH204" i="46" s="1"/>
  <c r="AI204" i="46" s="1"/>
  <c r="V204" i="46"/>
  <c r="Y204" i="46"/>
  <c r="AF204" i="46"/>
  <c r="AG204" i="46" s="1"/>
  <c r="AK204" i="46"/>
  <c r="T205" i="46"/>
  <c r="AE205" i="46" s="1"/>
  <c r="V205" i="46"/>
  <c r="Y205" i="46"/>
  <c r="AF205" i="46"/>
  <c r="AG205" i="46" s="1"/>
  <c r="AH205" i="46"/>
  <c r="AI205" i="46" s="1"/>
  <c r="AK205" i="46"/>
  <c r="AM205" i="46"/>
  <c r="T206" i="46"/>
  <c r="AH206" i="46" s="1"/>
  <c r="AI206" i="46" s="1"/>
  <c r="V206" i="46"/>
  <c r="Y206" i="46"/>
  <c r="AF206" i="46"/>
  <c r="AG206" i="46" s="1"/>
  <c r="AK206" i="46"/>
  <c r="AM206" i="46"/>
  <c r="T207" i="46"/>
  <c r="AH207" i="46" s="1"/>
  <c r="AI207" i="46" s="1"/>
  <c r="V207" i="46"/>
  <c r="Y207" i="46"/>
  <c r="AF207" i="46"/>
  <c r="AG207" i="46" s="1"/>
  <c r="AK207" i="46"/>
  <c r="AM207" i="46"/>
  <c r="T208" i="46"/>
  <c r="AD208" i="46" s="1"/>
  <c r="V208" i="46"/>
  <c r="Y208" i="46"/>
  <c r="AE208" i="46"/>
  <c r="AF208" i="46"/>
  <c r="AG208" i="46" s="1"/>
  <c r="AK208" i="46"/>
  <c r="AM208" i="46"/>
  <c r="T25" i="45"/>
  <c r="AD25" i="45" s="1"/>
  <c r="V25" i="45"/>
  <c r="Y25" i="45"/>
  <c r="AF25" i="45"/>
  <c r="AG25" i="45" s="1"/>
  <c r="AK25" i="45"/>
  <c r="AM25" i="45"/>
  <c r="T26" i="45"/>
  <c r="AD26" i="45" s="1"/>
  <c r="V26" i="45"/>
  <c r="Y26" i="45"/>
  <c r="AF26" i="45"/>
  <c r="AG26" i="45" s="1"/>
  <c r="AK26" i="45"/>
  <c r="T27" i="45"/>
  <c r="AH27" i="45" s="1"/>
  <c r="AI27" i="45" s="1"/>
  <c r="V27" i="45"/>
  <c r="Y27" i="45"/>
  <c r="AF27" i="45"/>
  <c r="AG27" i="45" s="1"/>
  <c r="AK27" i="45"/>
  <c r="AM27" i="45"/>
  <c r="T28" i="45"/>
  <c r="AD28" i="45" s="1"/>
  <c r="V28" i="45"/>
  <c r="Y28" i="45"/>
  <c r="AF28" i="45"/>
  <c r="AG28" i="45" s="1"/>
  <c r="AK28" i="45"/>
  <c r="AM28" i="45"/>
  <c r="T29" i="45"/>
  <c r="AD29" i="45" s="1"/>
  <c r="V29" i="45"/>
  <c r="Y29" i="45"/>
  <c r="AE29" i="45"/>
  <c r="AF29" i="45"/>
  <c r="AG29" i="45" s="1"/>
  <c r="AK29" i="45"/>
  <c r="AM29" i="45"/>
  <c r="T30" i="45"/>
  <c r="AD30" i="45" s="1"/>
  <c r="V30" i="45"/>
  <c r="Y30" i="45"/>
  <c r="AF30" i="45"/>
  <c r="AG30" i="45" s="1"/>
  <c r="AH30" i="45"/>
  <c r="AI30" i="45" s="1"/>
  <c r="AK30" i="45"/>
  <c r="AM30" i="45"/>
  <c r="T31" i="45"/>
  <c r="AD31" i="45" s="1"/>
  <c r="V31" i="45"/>
  <c r="Y31" i="45"/>
  <c r="AF31" i="45"/>
  <c r="AG31" i="45" s="1"/>
  <c r="AH31" i="45"/>
  <c r="AI31" i="45" s="1"/>
  <c r="AK31" i="45"/>
  <c r="AM31" i="45"/>
  <c r="T32" i="45"/>
  <c r="AE32" i="45" s="1"/>
  <c r="V32" i="45"/>
  <c r="Y32" i="45"/>
  <c r="AD32" i="45"/>
  <c r="AF32" i="45"/>
  <c r="AG32" i="45" s="1"/>
  <c r="AH32" i="45"/>
  <c r="AI32" i="45" s="1"/>
  <c r="AK32" i="45"/>
  <c r="AM32" i="45"/>
  <c r="T33" i="45"/>
  <c r="AD33" i="45" s="1"/>
  <c r="V33" i="45"/>
  <c r="Y33" i="45"/>
  <c r="AF33" i="45"/>
  <c r="AG33" i="45" s="1"/>
  <c r="AK33" i="45"/>
  <c r="T34" i="45"/>
  <c r="AD34" i="45" s="1"/>
  <c r="V34" i="45"/>
  <c r="Y34" i="45"/>
  <c r="AF34" i="45"/>
  <c r="AG34" i="45" s="1"/>
  <c r="AK34" i="45"/>
  <c r="AM34" i="45"/>
  <c r="T35" i="45"/>
  <c r="AE35" i="45" s="1"/>
  <c r="V35" i="45"/>
  <c r="Y35" i="45"/>
  <c r="AD35" i="45"/>
  <c r="AF35" i="45"/>
  <c r="AG35" i="45" s="1"/>
  <c r="AK35" i="45"/>
  <c r="AM35" i="45"/>
  <c r="T36" i="45"/>
  <c r="AE36" i="45" s="1"/>
  <c r="V36" i="45"/>
  <c r="Y36" i="45"/>
  <c r="AF36" i="45"/>
  <c r="AG36" i="45" s="1"/>
  <c r="AK36" i="45"/>
  <c r="T37" i="45"/>
  <c r="AH37" i="45" s="1"/>
  <c r="AI37" i="45" s="1"/>
  <c r="V37" i="45"/>
  <c r="Y37" i="45"/>
  <c r="AD37" i="45"/>
  <c r="AF37" i="45"/>
  <c r="AG37" i="45" s="1"/>
  <c r="AK37" i="45"/>
  <c r="T38" i="45"/>
  <c r="AD38" i="45" s="1"/>
  <c r="V38" i="45"/>
  <c r="Y38" i="45"/>
  <c r="AF38" i="45"/>
  <c r="AG38" i="45" s="1"/>
  <c r="AK38" i="45"/>
  <c r="AM38" i="45"/>
  <c r="T39" i="45"/>
  <c r="AH39" i="45" s="1"/>
  <c r="AI39" i="45" s="1"/>
  <c r="V39" i="45"/>
  <c r="Y39" i="45"/>
  <c r="AF39" i="45"/>
  <c r="AG39" i="45" s="1"/>
  <c r="AK39" i="45"/>
  <c r="AM39" i="45"/>
  <c r="T40" i="45"/>
  <c r="AD40" i="45" s="1"/>
  <c r="V40" i="45"/>
  <c r="Y40" i="45"/>
  <c r="AF40" i="45"/>
  <c r="AG40" i="45" s="1"/>
  <c r="AK40" i="45"/>
  <c r="AM40" i="45"/>
  <c r="T41" i="45"/>
  <c r="AD41" i="45" s="1"/>
  <c r="V41" i="45"/>
  <c r="Y41" i="45"/>
  <c r="AF41" i="45"/>
  <c r="AG41" i="45" s="1"/>
  <c r="AH41" i="45"/>
  <c r="AI41" i="45" s="1"/>
  <c r="AK41" i="45"/>
  <c r="AM41" i="45"/>
  <c r="T42" i="45"/>
  <c r="AD42" i="45" s="1"/>
  <c r="V42" i="45"/>
  <c r="Y42" i="45"/>
  <c r="AF42" i="45"/>
  <c r="AG42" i="45" s="1"/>
  <c r="AK42" i="45"/>
  <c r="AM42" i="45"/>
  <c r="T43" i="45"/>
  <c r="AH43" i="45" s="1"/>
  <c r="AI43" i="45" s="1"/>
  <c r="V43" i="45"/>
  <c r="Y43" i="45"/>
  <c r="AD43" i="45"/>
  <c r="AE43" i="45"/>
  <c r="AF43" i="45"/>
  <c r="AG43" i="45" s="1"/>
  <c r="AK43" i="45"/>
  <c r="AM43" i="45"/>
  <c r="T44" i="45"/>
  <c r="AD44" i="45" s="1"/>
  <c r="V44" i="45"/>
  <c r="Y44" i="45"/>
  <c r="AF44" i="45"/>
  <c r="AG44" i="45" s="1"/>
  <c r="AH44" i="45"/>
  <c r="AI44" i="45" s="1"/>
  <c r="AK44" i="45"/>
  <c r="AM44" i="45"/>
  <c r="T45" i="45"/>
  <c r="AD45" i="45" s="1"/>
  <c r="V45" i="45"/>
  <c r="Y45" i="45"/>
  <c r="AF45" i="45"/>
  <c r="AG45" i="45" s="1"/>
  <c r="AK45" i="45"/>
  <c r="T46" i="45"/>
  <c r="AD46" i="45" s="1"/>
  <c r="V46" i="45"/>
  <c r="Y46" i="45"/>
  <c r="AF46" i="45"/>
  <c r="AG46" i="45" s="1"/>
  <c r="AK46" i="45"/>
  <c r="AM46" i="45"/>
  <c r="T47" i="45"/>
  <c r="AD47" i="45" s="1"/>
  <c r="V47" i="45"/>
  <c r="Y47" i="45"/>
  <c r="AF47" i="45"/>
  <c r="AG47" i="45" s="1"/>
  <c r="AH47" i="45"/>
  <c r="AI47" i="45" s="1"/>
  <c r="AK47" i="45"/>
  <c r="AM47" i="45"/>
  <c r="T48" i="45"/>
  <c r="AE48" i="45" s="1"/>
  <c r="V48" i="45"/>
  <c r="Y48" i="45"/>
  <c r="AF48" i="45"/>
  <c r="AG48" i="45" s="1"/>
  <c r="AK48" i="45"/>
  <c r="AM48" i="45"/>
  <c r="T49" i="45"/>
  <c r="AE49" i="45" s="1"/>
  <c r="V49" i="45"/>
  <c r="Y49" i="45"/>
  <c r="AD49" i="45"/>
  <c r="AF49" i="45"/>
  <c r="AG49" i="45" s="1"/>
  <c r="AK49" i="45"/>
  <c r="AM49" i="45"/>
  <c r="T50" i="45"/>
  <c r="AD50" i="45" s="1"/>
  <c r="V50" i="45"/>
  <c r="Y50" i="45"/>
  <c r="AF50" i="45"/>
  <c r="AG50" i="45" s="1"/>
  <c r="AK50" i="45"/>
  <c r="AM50" i="45"/>
  <c r="T51" i="45"/>
  <c r="AH51" i="45" s="1"/>
  <c r="AI51" i="45" s="1"/>
  <c r="V51" i="45"/>
  <c r="Y51" i="45"/>
  <c r="AF51" i="45"/>
  <c r="AG51" i="45" s="1"/>
  <c r="AK51" i="45"/>
  <c r="AM51" i="45"/>
  <c r="T52" i="45"/>
  <c r="AD52" i="45" s="1"/>
  <c r="V52" i="45"/>
  <c r="Y52" i="45"/>
  <c r="AF52" i="45"/>
  <c r="AG52" i="45"/>
  <c r="AK52" i="45"/>
  <c r="AM52" i="45"/>
  <c r="T53" i="45"/>
  <c r="AD53" i="45" s="1"/>
  <c r="V53" i="45"/>
  <c r="Y53" i="45"/>
  <c r="AE53" i="45"/>
  <c r="AF53" i="45"/>
  <c r="AG53" i="45"/>
  <c r="AH53" i="45"/>
  <c r="AI53" i="45" s="1"/>
  <c r="AK53" i="45"/>
  <c r="AM53" i="45"/>
  <c r="T54" i="45"/>
  <c r="AD54" i="45" s="1"/>
  <c r="V54" i="45"/>
  <c r="Y54" i="45"/>
  <c r="AF54" i="45"/>
  <c r="AG54" i="45" s="1"/>
  <c r="AH54" i="45"/>
  <c r="AI54" i="45"/>
  <c r="AK54" i="45"/>
  <c r="AM54" i="45"/>
  <c r="T55" i="45"/>
  <c r="AH55" i="45" s="1"/>
  <c r="AI55" i="45" s="1"/>
  <c r="AJ55" i="45" s="1"/>
  <c r="V55" i="45"/>
  <c r="Y55" i="45"/>
  <c r="AD55" i="45"/>
  <c r="AE55" i="45"/>
  <c r="AF55" i="45"/>
  <c r="AG55" i="45"/>
  <c r="AL55" i="45" s="1"/>
  <c r="AK55" i="45"/>
  <c r="AM55" i="45"/>
  <c r="T56" i="45"/>
  <c r="V56" i="45"/>
  <c r="Y56" i="45"/>
  <c r="AD56" i="45"/>
  <c r="AN56" i="45" s="1"/>
  <c r="AE56" i="45"/>
  <c r="AF56" i="45"/>
  <c r="AG56" i="45" s="1"/>
  <c r="AH56" i="45"/>
  <c r="AI56" i="45" s="1"/>
  <c r="AK56" i="45"/>
  <c r="AM56" i="45"/>
  <c r="T57" i="45"/>
  <c r="AD57" i="45" s="1"/>
  <c r="V57" i="45"/>
  <c r="Y57" i="45"/>
  <c r="AE57" i="45"/>
  <c r="AF57" i="45"/>
  <c r="AG57" i="45" s="1"/>
  <c r="AK57" i="45"/>
  <c r="AM57" i="45"/>
  <c r="T58" i="45"/>
  <c r="AD58" i="45" s="1"/>
  <c r="V58" i="45"/>
  <c r="Y58" i="45"/>
  <c r="AF58" i="45"/>
  <c r="AG58" i="45" s="1"/>
  <c r="AK58" i="45"/>
  <c r="AM58" i="45"/>
  <c r="T59" i="45"/>
  <c r="V59" i="45"/>
  <c r="Y59" i="45"/>
  <c r="AD59" i="45"/>
  <c r="AN59" i="45" s="1"/>
  <c r="AE59" i="45"/>
  <c r="AF59" i="45"/>
  <c r="AG59" i="45"/>
  <c r="AH59" i="45"/>
  <c r="AI59" i="45" s="1"/>
  <c r="AK59" i="45"/>
  <c r="AM59" i="45"/>
  <c r="T60" i="45"/>
  <c r="AE60" i="45" s="1"/>
  <c r="V60" i="45"/>
  <c r="Y60" i="45"/>
  <c r="AF60" i="45"/>
  <c r="AG60" i="45" s="1"/>
  <c r="AH60" i="45"/>
  <c r="AI60" i="45" s="1"/>
  <c r="AK60" i="45"/>
  <c r="AM60" i="45"/>
  <c r="T61" i="45"/>
  <c r="AH61" i="45" s="1"/>
  <c r="AI61" i="45" s="1"/>
  <c r="V61" i="45"/>
  <c r="Y61" i="45"/>
  <c r="AD61" i="45"/>
  <c r="AE61" i="45"/>
  <c r="AF61" i="45"/>
  <c r="AG61" i="45"/>
  <c r="AK61" i="45"/>
  <c r="AM61" i="45"/>
  <c r="T25" i="44"/>
  <c r="AD25" i="44" s="1"/>
  <c r="V25" i="44"/>
  <c r="Y25" i="44"/>
  <c r="AF25" i="44"/>
  <c r="AG25" i="44" s="1"/>
  <c r="AK25" i="44"/>
  <c r="AM25" i="44"/>
  <c r="T26" i="44"/>
  <c r="AH26" i="44" s="1"/>
  <c r="AI26" i="44" s="1"/>
  <c r="V26" i="44"/>
  <c r="Y26" i="44"/>
  <c r="AF26" i="44"/>
  <c r="AG26" i="44" s="1"/>
  <c r="AK26" i="44"/>
  <c r="AM26" i="44"/>
  <c r="T27" i="44"/>
  <c r="AH27" i="44" s="1"/>
  <c r="AI27" i="44" s="1"/>
  <c r="V27" i="44"/>
  <c r="Y27" i="44"/>
  <c r="AF27" i="44"/>
  <c r="AG27" i="44"/>
  <c r="AJ27" i="44" s="1"/>
  <c r="AK27" i="44"/>
  <c r="AM27" i="44"/>
  <c r="T28" i="44"/>
  <c r="AD28" i="44" s="1"/>
  <c r="V28" i="44"/>
  <c r="Y28" i="44"/>
  <c r="AF28" i="44"/>
  <c r="AG28" i="44"/>
  <c r="AJ28" i="44" s="1"/>
  <c r="AH28" i="44"/>
  <c r="AI28" i="44" s="1"/>
  <c r="AK28" i="44"/>
  <c r="AM28" i="44"/>
  <c r="T29" i="44"/>
  <c r="AE29" i="44" s="1"/>
  <c r="V29" i="44"/>
  <c r="Y29" i="44"/>
  <c r="AD29" i="44"/>
  <c r="AN29" i="44" s="1"/>
  <c r="AF29" i="44"/>
  <c r="AG29" i="44"/>
  <c r="AH29" i="44"/>
  <c r="AI29" i="44"/>
  <c r="AJ29" i="44" s="1"/>
  <c r="AK29" i="44"/>
  <c r="AM29" i="44"/>
  <c r="T30" i="44"/>
  <c r="V30" i="44"/>
  <c r="Y30" i="44"/>
  <c r="AD30" i="44"/>
  <c r="AE30" i="44"/>
  <c r="AF30" i="44"/>
  <c r="AG30" i="44"/>
  <c r="AL30" i="44" s="1"/>
  <c r="AH30" i="44"/>
  <c r="AI30" i="44"/>
  <c r="AJ30" i="44"/>
  <c r="AK30" i="44"/>
  <c r="AM30" i="44"/>
  <c r="AN30" i="44" s="1"/>
  <c r="T31" i="44"/>
  <c r="AD31" i="44" s="1"/>
  <c r="AN31" i="44" s="1"/>
  <c r="V31" i="44"/>
  <c r="Y31" i="44"/>
  <c r="AE31" i="44"/>
  <c r="AF31" i="44"/>
  <c r="AG31" i="44" s="1"/>
  <c r="AK31" i="44"/>
  <c r="AM31" i="44"/>
  <c r="T32" i="44"/>
  <c r="AD32" i="44" s="1"/>
  <c r="V32" i="44"/>
  <c r="Y32" i="44"/>
  <c r="AF32" i="44"/>
  <c r="AG32" i="44" s="1"/>
  <c r="AK32" i="44"/>
  <c r="AM32" i="44"/>
  <c r="T33" i="44"/>
  <c r="AE33" i="44" s="1"/>
  <c r="V33" i="44"/>
  <c r="Y33" i="44"/>
  <c r="AD33" i="44"/>
  <c r="AF33" i="44"/>
  <c r="AG33" i="44"/>
  <c r="AH33" i="44"/>
  <c r="AI33" i="44" s="1"/>
  <c r="AL33" i="44" s="1"/>
  <c r="AK33" i="44"/>
  <c r="AM33" i="44"/>
  <c r="T34" i="44"/>
  <c r="AD34" i="44" s="1"/>
  <c r="AN34" i="44" s="1"/>
  <c r="V34" i="44"/>
  <c r="Y34" i="44"/>
  <c r="AE34" i="44"/>
  <c r="AF34" i="44"/>
  <c r="AG34" i="44"/>
  <c r="AH34" i="44"/>
  <c r="AI34" i="44" s="1"/>
  <c r="AK34" i="44"/>
  <c r="AM34" i="44"/>
  <c r="T35" i="44"/>
  <c r="AD35" i="44" s="1"/>
  <c r="V35" i="44"/>
  <c r="Y35" i="44"/>
  <c r="AF35" i="44"/>
  <c r="AG35" i="44" s="1"/>
  <c r="AK35" i="44"/>
  <c r="AM35" i="44"/>
  <c r="T36" i="44"/>
  <c r="V36" i="44"/>
  <c r="Y36" i="44"/>
  <c r="AD36" i="44"/>
  <c r="AE36" i="44"/>
  <c r="AF36" i="44"/>
  <c r="AG36" i="44"/>
  <c r="AL36" i="44" s="1"/>
  <c r="AH36" i="44"/>
  <c r="AI36" i="44"/>
  <c r="AJ36" i="44"/>
  <c r="AK36" i="44"/>
  <c r="AM36" i="44"/>
  <c r="T25" i="43"/>
  <c r="AH25" i="43" s="1"/>
  <c r="AI25" i="43" s="1"/>
  <c r="V25" i="43"/>
  <c r="Y25" i="43"/>
  <c r="AE25" i="43"/>
  <c r="AF25" i="43"/>
  <c r="AG25" i="43" s="1"/>
  <c r="AK25" i="43"/>
  <c r="AM25" i="43"/>
  <c r="T26" i="43"/>
  <c r="AH26" i="43" s="1"/>
  <c r="AI26" i="43" s="1"/>
  <c r="V26" i="43"/>
  <c r="Y26" i="43"/>
  <c r="AF26" i="43"/>
  <c r="AG26" i="43" s="1"/>
  <c r="AK26" i="43"/>
  <c r="AM26" i="43"/>
  <c r="T27" i="43"/>
  <c r="AH27" i="43" s="1"/>
  <c r="AI27" i="43" s="1"/>
  <c r="V27" i="43"/>
  <c r="Y27" i="43"/>
  <c r="AF27" i="43"/>
  <c r="AG27" i="43" s="1"/>
  <c r="AK27" i="43"/>
  <c r="AM27" i="43"/>
  <c r="T28" i="43"/>
  <c r="AD28" i="43" s="1"/>
  <c r="V28" i="43"/>
  <c r="Y28" i="43"/>
  <c r="AF28" i="43"/>
  <c r="AG28" i="43" s="1"/>
  <c r="AK28" i="43"/>
  <c r="AM28" i="43"/>
  <c r="T29" i="43"/>
  <c r="AD29" i="43" s="1"/>
  <c r="V29" i="43"/>
  <c r="Y29" i="43"/>
  <c r="AE29" i="43"/>
  <c r="AF29" i="43"/>
  <c r="AG29" i="43" s="1"/>
  <c r="AK29" i="43"/>
  <c r="T30" i="43"/>
  <c r="AE30" i="43" s="1"/>
  <c r="V30" i="43"/>
  <c r="Y30" i="43"/>
  <c r="AD30" i="43"/>
  <c r="AF30" i="43"/>
  <c r="AG30" i="43" s="1"/>
  <c r="AH30" i="43"/>
  <c r="AI30" i="43" s="1"/>
  <c r="AK30" i="43"/>
  <c r="T31" i="43"/>
  <c r="AE31" i="43" s="1"/>
  <c r="V31" i="43"/>
  <c r="Y31" i="43"/>
  <c r="AD31" i="43"/>
  <c r="AF31" i="43"/>
  <c r="AG31" i="43" s="1"/>
  <c r="AH31" i="43"/>
  <c r="AI31" i="43" s="1"/>
  <c r="AK31" i="43"/>
  <c r="AM31" i="43"/>
  <c r="T32" i="43"/>
  <c r="AD32" i="43" s="1"/>
  <c r="V32" i="43"/>
  <c r="Y32" i="43"/>
  <c r="AF32" i="43"/>
  <c r="AG32" i="43" s="1"/>
  <c r="AK32" i="43"/>
  <c r="AM32" i="43"/>
  <c r="T33" i="43"/>
  <c r="AD33" i="43" s="1"/>
  <c r="V33" i="43"/>
  <c r="Y33" i="43"/>
  <c r="AF33" i="43"/>
  <c r="AG33" i="43" s="1"/>
  <c r="AK33" i="43"/>
  <c r="AM33" i="43"/>
  <c r="T34" i="43"/>
  <c r="AD34" i="43" s="1"/>
  <c r="V34" i="43"/>
  <c r="Y34" i="43"/>
  <c r="AF34" i="43"/>
  <c r="AG34" i="43" s="1"/>
  <c r="AH34" i="43"/>
  <c r="AI34" i="43" s="1"/>
  <c r="AK34" i="43"/>
  <c r="AM34" i="43"/>
  <c r="T35" i="43"/>
  <c r="AE35" i="43" s="1"/>
  <c r="V35" i="43"/>
  <c r="Y35" i="43"/>
  <c r="AF35" i="43"/>
  <c r="AG35" i="43" s="1"/>
  <c r="AK35" i="43"/>
  <c r="AM35" i="43"/>
  <c r="T36" i="43"/>
  <c r="AE36" i="43" s="1"/>
  <c r="V36" i="43"/>
  <c r="Y36" i="43"/>
  <c r="AF36" i="43"/>
  <c r="AG36" i="43" s="1"/>
  <c r="AK36" i="43"/>
  <c r="T37" i="43"/>
  <c r="AH37" i="43" s="1"/>
  <c r="AI37" i="43" s="1"/>
  <c r="V37" i="43"/>
  <c r="Y37" i="43"/>
  <c r="AD37" i="43"/>
  <c r="AE37" i="43"/>
  <c r="AF37" i="43"/>
  <c r="AG37" i="43" s="1"/>
  <c r="AK37" i="43"/>
  <c r="T38" i="43"/>
  <c r="AH38" i="43" s="1"/>
  <c r="AI38" i="43" s="1"/>
  <c r="V38" i="43"/>
  <c r="Y38" i="43"/>
  <c r="AE38" i="43"/>
  <c r="AF38" i="43"/>
  <c r="AG38" i="43" s="1"/>
  <c r="AK38" i="43"/>
  <c r="AM38" i="43"/>
  <c r="T39" i="43"/>
  <c r="AH39" i="43" s="1"/>
  <c r="AI39" i="43" s="1"/>
  <c r="V39" i="43"/>
  <c r="Y39" i="43"/>
  <c r="AF39" i="43"/>
  <c r="AG39" i="43" s="1"/>
  <c r="AK39" i="43"/>
  <c r="T40" i="43"/>
  <c r="AE40" i="43" s="1"/>
  <c r="V40" i="43"/>
  <c r="Y40" i="43"/>
  <c r="AD40" i="43"/>
  <c r="AF40" i="43"/>
  <c r="AG40" i="43" s="1"/>
  <c r="AH40" i="43"/>
  <c r="AI40" i="43" s="1"/>
  <c r="AK40" i="43"/>
  <c r="AM40" i="43"/>
  <c r="T41" i="43"/>
  <c r="AD41" i="43" s="1"/>
  <c r="V41" i="43"/>
  <c r="Y41" i="43"/>
  <c r="AE41" i="43"/>
  <c r="AF41" i="43"/>
  <c r="AG41" i="43" s="1"/>
  <c r="AJ41" i="43" s="1"/>
  <c r="AH41" i="43"/>
  <c r="AI41" i="43" s="1"/>
  <c r="AK41" i="43"/>
  <c r="AM41" i="43"/>
  <c r="T42" i="43"/>
  <c r="AE42" i="43" s="1"/>
  <c r="V42" i="43"/>
  <c r="Y42" i="43"/>
  <c r="AF42" i="43"/>
  <c r="AG42" i="43" s="1"/>
  <c r="AK42" i="43"/>
  <c r="AM42" i="43"/>
  <c r="T43" i="43"/>
  <c r="AH43" i="43" s="1"/>
  <c r="AI43" i="43" s="1"/>
  <c r="V43" i="43"/>
  <c r="Y43" i="43"/>
  <c r="AD43" i="43"/>
  <c r="AF43" i="43"/>
  <c r="AG43" i="43" s="1"/>
  <c r="AL43" i="43" s="1"/>
  <c r="AK43" i="43"/>
  <c r="AM43" i="43"/>
  <c r="T44" i="43"/>
  <c r="AD44" i="43" s="1"/>
  <c r="V44" i="43"/>
  <c r="Y44" i="43"/>
  <c r="AF44" i="43"/>
  <c r="AG44" i="43" s="1"/>
  <c r="AK44" i="43"/>
  <c r="AM44" i="43"/>
  <c r="T45" i="43"/>
  <c r="AD45" i="43" s="1"/>
  <c r="V45" i="43"/>
  <c r="Y45" i="43"/>
  <c r="AF45" i="43"/>
  <c r="AG45" i="43" s="1"/>
  <c r="AK45" i="43"/>
  <c r="AM45" i="43"/>
  <c r="T46" i="43"/>
  <c r="AD46" i="43" s="1"/>
  <c r="V46" i="43"/>
  <c r="Y46" i="43"/>
  <c r="AF46" i="43"/>
  <c r="AG46" i="43" s="1"/>
  <c r="AK46" i="43"/>
  <c r="AM46" i="43"/>
  <c r="T47" i="43"/>
  <c r="AE47" i="43" s="1"/>
  <c r="AN47" i="43" s="1"/>
  <c r="V47" i="43"/>
  <c r="Y47" i="43"/>
  <c r="AD47" i="43"/>
  <c r="AF47" i="43"/>
  <c r="AG47" i="43"/>
  <c r="AJ47" i="43" s="1"/>
  <c r="AH47" i="43"/>
  <c r="AI47" i="43"/>
  <c r="AK47" i="43"/>
  <c r="AM47" i="43"/>
  <c r="T48" i="43"/>
  <c r="V48" i="43"/>
  <c r="Y48" i="43"/>
  <c r="AD48" i="43"/>
  <c r="AN48" i="43" s="1"/>
  <c r="AE48" i="43"/>
  <c r="AF48" i="43"/>
  <c r="AG48" i="43"/>
  <c r="AH48" i="43"/>
  <c r="AI48" i="43" s="1"/>
  <c r="AK48" i="43"/>
  <c r="AM48" i="43"/>
  <c r="T49" i="43"/>
  <c r="AH49" i="43" s="1"/>
  <c r="AI49" i="43" s="1"/>
  <c r="V49" i="43"/>
  <c r="Y49" i="43"/>
  <c r="AD49" i="43"/>
  <c r="AE49" i="43"/>
  <c r="AF49" i="43"/>
  <c r="AG49" i="43" s="1"/>
  <c r="AK49" i="43"/>
  <c r="AM49" i="43"/>
  <c r="T50" i="43"/>
  <c r="AH50" i="43" s="1"/>
  <c r="AI50" i="43" s="1"/>
  <c r="V50" i="43"/>
  <c r="Y50" i="43"/>
  <c r="AE50" i="43"/>
  <c r="AF50" i="43"/>
  <c r="AG50" i="43" s="1"/>
  <c r="AK50" i="43"/>
  <c r="AM50" i="43"/>
  <c r="T51" i="43"/>
  <c r="AH51" i="43" s="1"/>
  <c r="AI51" i="43" s="1"/>
  <c r="V51" i="43"/>
  <c r="Y51" i="43"/>
  <c r="AF51" i="43"/>
  <c r="AG51" i="43" s="1"/>
  <c r="AK51" i="43"/>
  <c r="AM51" i="43"/>
  <c r="T25" i="40"/>
  <c r="AD25" i="40" s="1"/>
  <c r="V25" i="40"/>
  <c r="Y25" i="40"/>
  <c r="AF25" i="40"/>
  <c r="AG25" i="40" s="1"/>
  <c r="AK25" i="40"/>
  <c r="AM25" i="40"/>
  <c r="T26" i="40"/>
  <c r="AH26" i="40" s="1"/>
  <c r="AI26" i="40" s="1"/>
  <c r="V26" i="40"/>
  <c r="Y26" i="40"/>
  <c r="AF26" i="40"/>
  <c r="AG26" i="40" s="1"/>
  <c r="AK26" i="40"/>
  <c r="AM26" i="40"/>
  <c r="T27" i="40"/>
  <c r="AH27" i="40" s="1"/>
  <c r="AI27" i="40" s="1"/>
  <c r="V27" i="40"/>
  <c r="Y27" i="40"/>
  <c r="AF27" i="40"/>
  <c r="AG27" i="40"/>
  <c r="AJ27" i="40" s="1"/>
  <c r="AK27" i="40"/>
  <c r="AM27" i="40"/>
  <c r="T28" i="40"/>
  <c r="AD28" i="40" s="1"/>
  <c r="V28" i="40"/>
  <c r="Y28" i="40"/>
  <c r="AF28" i="40"/>
  <c r="AG28" i="40"/>
  <c r="AH28" i="40"/>
  <c r="AI28" i="40" s="1"/>
  <c r="AK28" i="40"/>
  <c r="AM28" i="40"/>
  <c r="P16" i="68"/>
  <c r="L16" i="68"/>
  <c r="T25" i="78"/>
  <c r="AH25" i="78" s="1"/>
  <c r="AI25" i="78" s="1"/>
  <c r="V25" i="78"/>
  <c r="Y25" i="78"/>
  <c r="AF25" i="78"/>
  <c r="AG25" i="78" s="1"/>
  <c r="AK25" i="78"/>
  <c r="T26" i="78"/>
  <c r="AH26" i="78" s="1"/>
  <c r="AI26" i="78" s="1"/>
  <c r="V26" i="78"/>
  <c r="Y26" i="78"/>
  <c r="AF26" i="78"/>
  <c r="AG26" i="78" s="1"/>
  <c r="AK26" i="78"/>
  <c r="AM26" i="78"/>
  <c r="T27" i="78"/>
  <c r="AD27" i="78" s="1"/>
  <c r="V27" i="78"/>
  <c r="Y27" i="78"/>
  <c r="AF27" i="78"/>
  <c r="AG27" i="78" s="1"/>
  <c r="AK27" i="78"/>
  <c r="AM27" i="78"/>
  <c r="T28" i="78"/>
  <c r="AE28" i="78" s="1"/>
  <c r="V28" i="78"/>
  <c r="Y28" i="78"/>
  <c r="AF28" i="78"/>
  <c r="AG28" i="78" s="1"/>
  <c r="AK28" i="78"/>
  <c r="T29" i="78"/>
  <c r="AE29" i="78" s="1"/>
  <c r="V29" i="78"/>
  <c r="Y29" i="78"/>
  <c r="AF29" i="78"/>
  <c r="AG29" i="78" s="1"/>
  <c r="AK29" i="78"/>
  <c r="T30" i="78"/>
  <c r="AH30" i="78" s="1"/>
  <c r="AI30" i="78" s="1"/>
  <c r="V30" i="78"/>
  <c r="Y30" i="78"/>
  <c r="AF30" i="78"/>
  <c r="AG30" i="78" s="1"/>
  <c r="AK30" i="78"/>
  <c r="AM30" i="78"/>
  <c r="T31" i="78"/>
  <c r="AD31" i="78" s="1"/>
  <c r="V31" i="78"/>
  <c r="Y31" i="78"/>
  <c r="AF31" i="78"/>
  <c r="AG31" i="78" s="1"/>
  <c r="AK31" i="78"/>
  <c r="AM31" i="78"/>
  <c r="T32" i="78"/>
  <c r="AD32" i="78" s="1"/>
  <c r="V32" i="78"/>
  <c r="Y32" i="78"/>
  <c r="AF32" i="78"/>
  <c r="AG32" i="78" s="1"/>
  <c r="AK32" i="78"/>
  <c r="AM32" i="78"/>
  <c r="T33" i="78"/>
  <c r="AD33" i="78" s="1"/>
  <c r="V33" i="78"/>
  <c r="Y33" i="78"/>
  <c r="AF33" i="78"/>
  <c r="AG33" i="78" s="1"/>
  <c r="AK33" i="78"/>
  <c r="AM33" i="78"/>
  <c r="T34" i="78"/>
  <c r="AD34" i="78" s="1"/>
  <c r="V34" i="78"/>
  <c r="Y34" i="78"/>
  <c r="AF34" i="78"/>
  <c r="AG34" i="78" s="1"/>
  <c r="AK34" i="78"/>
  <c r="T35" i="78"/>
  <c r="AE35" i="78" s="1"/>
  <c r="V35" i="78"/>
  <c r="Y35" i="78"/>
  <c r="AF35" i="78"/>
  <c r="AG35" i="78" s="1"/>
  <c r="AK35" i="78"/>
  <c r="T36" i="78"/>
  <c r="AH36" i="78" s="1"/>
  <c r="AI36" i="78" s="1"/>
  <c r="V36" i="78"/>
  <c r="Y36" i="78"/>
  <c r="AF36" i="78"/>
  <c r="AG36" i="78" s="1"/>
  <c r="AK36" i="78"/>
  <c r="T37" i="78"/>
  <c r="AH37" i="78" s="1"/>
  <c r="AI37" i="78" s="1"/>
  <c r="V37" i="78"/>
  <c r="Y37" i="78"/>
  <c r="AF37" i="78"/>
  <c r="AG37" i="78" s="1"/>
  <c r="AK37" i="78"/>
  <c r="T38" i="78"/>
  <c r="AH38" i="78" s="1"/>
  <c r="AI38" i="78" s="1"/>
  <c r="V38" i="78"/>
  <c r="Y38" i="78"/>
  <c r="AF38" i="78"/>
  <c r="AG38" i="78" s="1"/>
  <c r="AK38" i="78"/>
  <c r="AM38" i="78"/>
  <c r="T39" i="78"/>
  <c r="AD39" i="78" s="1"/>
  <c r="V39" i="78"/>
  <c r="Y39" i="78"/>
  <c r="AF39" i="78"/>
  <c r="AG39" i="78" s="1"/>
  <c r="AK39" i="78"/>
  <c r="AM39" i="78"/>
  <c r="T40" i="78"/>
  <c r="AE40" i="78" s="1"/>
  <c r="V40" i="78"/>
  <c r="Y40" i="78"/>
  <c r="AF40" i="78"/>
  <c r="AG40" i="78" s="1"/>
  <c r="AK40" i="78"/>
  <c r="AM40" i="78"/>
  <c r="T41" i="78"/>
  <c r="AD41" i="78" s="1"/>
  <c r="V41" i="78"/>
  <c r="Y41" i="78"/>
  <c r="AF41" i="78"/>
  <c r="AG41" i="78" s="1"/>
  <c r="AK41" i="78"/>
  <c r="T42" i="78"/>
  <c r="AH42" i="78" s="1"/>
  <c r="AI42" i="78" s="1"/>
  <c r="V42" i="78"/>
  <c r="Y42" i="78"/>
  <c r="AF42" i="78"/>
  <c r="AG42" i="78" s="1"/>
  <c r="AK42" i="78"/>
  <c r="AM42" i="78"/>
  <c r="T43" i="78"/>
  <c r="AD43" i="78" s="1"/>
  <c r="V43" i="78"/>
  <c r="Y43" i="78"/>
  <c r="AF43" i="78"/>
  <c r="AG43" i="78" s="1"/>
  <c r="AK43" i="78"/>
  <c r="T44" i="78"/>
  <c r="AD44" i="78" s="1"/>
  <c r="V44" i="78"/>
  <c r="Y44" i="78"/>
  <c r="AF44" i="78"/>
  <c r="AG44" i="78" s="1"/>
  <c r="AK44" i="78"/>
  <c r="AM44" i="78"/>
  <c r="T45" i="78"/>
  <c r="AD45" i="78" s="1"/>
  <c r="V45" i="78"/>
  <c r="Y45" i="78"/>
  <c r="AF45" i="78"/>
  <c r="AG45" i="78" s="1"/>
  <c r="AK45" i="78"/>
  <c r="T46" i="78"/>
  <c r="AD46" i="78" s="1"/>
  <c r="V46" i="78"/>
  <c r="Y46" i="78"/>
  <c r="AF46" i="78"/>
  <c r="AG46" i="78" s="1"/>
  <c r="AK46" i="78"/>
  <c r="AM46" i="78"/>
  <c r="T47" i="78"/>
  <c r="AE47" i="78" s="1"/>
  <c r="V47" i="78"/>
  <c r="Y47" i="78"/>
  <c r="AF47" i="78"/>
  <c r="AG47" i="78" s="1"/>
  <c r="AK47" i="78"/>
  <c r="T48" i="78"/>
  <c r="AD48" i="78" s="1"/>
  <c r="V48" i="78"/>
  <c r="Y48" i="78"/>
  <c r="AF48" i="78"/>
  <c r="AG48" i="78" s="1"/>
  <c r="AK48" i="78"/>
  <c r="AM48" i="78"/>
  <c r="T49" i="78"/>
  <c r="AH49" i="78" s="1"/>
  <c r="AI49" i="78" s="1"/>
  <c r="V49" i="78"/>
  <c r="Y49" i="78"/>
  <c r="AF49" i="78"/>
  <c r="AG49" i="78" s="1"/>
  <c r="AK49" i="78"/>
  <c r="AM49" i="78"/>
  <c r="T50" i="78"/>
  <c r="AH50" i="78" s="1"/>
  <c r="AI50" i="78" s="1"/>
  <c r="V50" i="78"/>
  <c r="Y50" i="78"/>
  <c r="AF50" i="78"/>
  <c r="AG50" i="78" s="1"/>
  <c r="AK50" i="78"/>
  <c r="AM50" i="78"/>
  <c r="T51" i="78"/>
  <c r="AD51" i="78" s="1"/>
  <c r="V51" i="78"/>
  <c r="Y51" i="78"/>
  <c r="AF51" i="78"/>
  <c r="AG51" i="78" s="1"/>
  <c r="AK51" i="78"/>
  <c r="T52" i="78"/>
  <c r="AE52" i="78" s="1"/>
  <c r="V52" i="78"/>
  <c r="Y52" i="78"/>
  <c r="AF52" i="78"/>
  <c r="AG52" i="78" s="1"/>
  <c r="AH52" i="78"/>
  <c r="AI52" i="78" s="1"/>
  <c r="AK52" i="78"/>
  <c r="AM52" i="78"/>
  <c r="T53" i="78"/>
  <c r="AD53" i="78" s="1"/>
  <c r="V53" i="78"/>
  <c r="Y53" i="78"/>
  <c r="AF53" i="78"/>
  <c r="AG53" i="78" s="1"/>
  <c r="AK53" i="78"/>
  <c r="AM53" i="78"/>
  <c r="T54" i="78"/>
  <c r="AH54" i="78" s="1"/>
  <c r="AI54" i="78" s="1"/>
  <c r="V54" i="78"/>
  <c r="Y54" i="78"/>
  <c r="AD54" i="78"/>
  <c r="AF54" i="78"/>
  <c r="AG54" i="78" s="1"/>
  <c r="AK54" i="78"/>
  <c r="AM54" i="78"/>
  <c r="T55" i="78"/>
  <c r="AD55" i="78" s="1"/>
  <c r="V55" i="78"/>
  <c r="Y55" i="78"/>
  <c r="AF55" i="78"/>
  <c r="AG55" i="78" s="1"/>
  <c r="AK55" i="78"/>
  <c r="T56" i="78"/>
  <c r="AD56" i="78" s="1"/>
  <c r="V56" i="78"/>
  <c r="Y56" i="78"/>
  <c r="AF56" i="78"/>
  <c r="AG56" i="78" s="1"/>
  <c r="AK56" i="78"/>
  <c r="AM56" i="78"/>
  <c r="T57" i="78"/>
  <c r="AD57" i="78" s="1"/>
  <c r="V57" i="78"/>
  <c r="Y57" i="78"/>
  <c r="AF57" i="78"/>
  <c r="AG57" i="78" s="1"/>
  <c r="AK57" i="78"/>
  <c r="AM57" i="78"/>
  <c r="T58" i="78"/>
  <c r="AD58" i="78" s="1"/>
  <c r="V58" i="78"/>
  <c r="Y58" i="78"/>
  <c r="AF58" i="78"/>
  <c r="AG58" i="78" s="1"/>
  <c r="AK58" i="78"/>
  <c r="T59" i="78"/>
  <c r="AM59" i="78" s="1"/>
  <c r="V59" i="78"/>
  <c r="Y59" i="78"/>
  <c r="AF59" i="78"/>
  <c r="AG59" i="78" s="1"/>
  <c r="AK59" i="78"/>
  <c r="T60" i="78"/>
  <c r="AE60" i="78" s="1"/>
  <c r="V60" i="78"/>
  <c r="Y60" i="78"/>
  <c r="AF60" i="78"/>
  <c r="AG60" i="78" s="1"/>
  <c r="AK60" i="78"/>
  <c r="AM60" i="78"/>
  <c r="T61" i="78"/>
  <c r="AH61" i="78" s="1"/>
  <c r="AI61" i="78" s="1"/>
  <c r="V61" i="78"/>
  <c r="Y61" i="78"/>
  <c r="AF61" i="78"/>
  <c r="AG61" i="78" s="1"/>
  <c r="AK61" i="78"/>
  <c r="T62" i="78"/>
  <c r="AH62" i="78" s="1"/>
  <c r="AI62" i="78" s="1"/>
  <c r="V62" i="78"/>
  <c r="Y62" i="78"/>
  <c r="AF62" i="78"/>
  <c r="AG62" i="78" s="1"/>
  <c r="AK62" i="78"/>
  <c r="AM62" i="78"/>
  <c r="T63" i="78"/>
  <c r="AD63" i="78" s="1"/>
  <c r="V63" i="78"/>
  <c r="Y63" i="78"/>
  <c r="AF63" i="78"/>
  <c r="AG63" i="78"/>
  <c r="AJ63" i="78" s="1"/>
  <c r="AH63" i="78"/>
  <c r="AI63" i="78" s="1"/>
  <c r="AK63" i="78"/>
  <c r="AM63" i="78"/>
  <c r="T64" i="78"/>
  <c r="V64" i="78"/>
  <c r="Y64" i="78"/>
  <c r="AD64" i="78"/>
  <c r="AN64" i="78" s="1"/>
  <c r="AE64" i="78"/>
  <c r="AF64" i="78"/>
  <c r="AG64" i="78"/>
  <c r="AH64" i="78"/>
  <c r="AI64" i="78" s="1"/>
  <c r="AL64" i="78" s="1"/>
  <c r="AK64" i="78"/>
  <c r="AM64" i="78"/>
  <c r="T65" i="78"/>
  <c r="V65" i="78"/>
  <c r="Y65" i="78"/>
  <c r="AD65" i="78"/>
  <c r="AE65" i="78"/>
  <c r="AF65" i="78"/>
  <c r="AG65" i="78" s="1"/>
  <c r="AH65" i="78"/>
  <c r="AI65" i="78"/>
  <c r="AK65" i="78"/>
  <c r="AM65" i="78"/>
  <c r="T66" i="78"/>
  <c r="AH66" i="78" s="1"/>
  <c r="AI66" i="78" s="1"/>
  <c r="V66" i="78"/>
  <c r="Y66" i="78"/>
  <c r="AD66" i="78"/>
  <c r="AE66" i="78"/>
  <c r="AF66" i="78"/>
  <c r="AG66" i="78" s="1"/>
  <c r="AK66" i="78"/>
  <c r="AM66" i="78"/>
  <c r="T67" i="78"/>
  <c r="AD67" i="78" s="1"/>
  <c r="V67" i="78"/>
  <c r="Y67" i="78"/>
  <c r="AE67" i="78"/>
  <c r="AF67" i="78"/>
  <c r="AG67" i="78" s="1"/>
  <c r="AK67" i="78"/>
  <c r="AM67" i="78"/>
  <c r="T68" i="78"/>
  <c r="AD68" i="78" s="1"/>
  <c r="V68" i="78"/>
  <c r="Y68" i="78"/>
  <c r="AF68" i="78"/>
  <c r="AG68" i="78" s="1"/>
  <c r="AK68" i="78"/>
  <c r="AM68" i="78"/>
  <c r="T69" i="78"/>
  <c r="AD69" i="78" s="1"/>
  <c r="V69" i="78"/>
  <c r="Y69" i="78"/>
  <c r="AE69" i="78"/>
  <c r="AF69" i="78"/>
  <c r="AG69" i="78"/>
  <c r="AH69" i="78"/>
  <c r="AI69" i="78" s="1"/>
  <c r="AK69" i="78"/>
  <c r="AM69" i="78"/>
  <c r="T70" i="78"/>
  <c r="AD70" i="78" s="1"/>
  <c r="V70" i="78"/>
  <c r="Y70" i="78"/>
  <c r="AF70" i="78"/>
  <c r="AG70" i="78" s="1"/>
  <c r="AH70" i="78"/>
  <c r="AI70" i="78" s="1"/>
  <c r="AK70" i="78"/>
  <c r="AM70" i="78"/>
  <c r="T71" i="78"/>
  <c r="V71" i="78"/>
  <c r="Y71" i="78"/>
  <c r="AD71" i="78"/>
  <c r="AE71" i="78"/>
  <c r="AF71" i="78"/>
  <c r="AG71" i="78"/>
  <c r="AJ71" i="78" s="1"/>
  <c r="AH71" i="78"/>
  <c r="AI71" i="78"/>
  <c r="AK71" i="78"/>
  <c r="AM71" i="78"/>
  <c r="T72" i="78"/>
  <c r="V72" i="78"/>
  <c r="Y72" i="78"/>
  <c r="AD72" i="78"/>
  <c r="AE72" i="78"/>
  <c r="AF72" i="78"/>
  <c r="AG72" i="78" s="1"/>
  <c r="AH72" i="78"/>
  <c r="AI72" i="78" s="1"/>
  <c r="AK72" i="78"/>
  <c r="AM72" i="78"/>
  <c r="AM24" i="78"/>
  <c r="AK24" i="78"/>
  <c r="AF24" i="78"/>
  <c r="AG24" i="78" s="1"/>
  <c r="Y24" i="78"/>
  <c r="V24" i="78"/>
  <c r="T24" i="78"/>
  <c r="AD24" i="78" s="1"/>
  <c r="AK23" i="78"/>
  <c r="AF23" i="78"/>
  <c r="AG23" i="78" s="1"/>
  <c r="Y23" i="78"/>
  <c r="V23" i="78"/>
  <c r="T23" i="78"/>
  <c r="AD23" i="78" s="1"/>
  <c r="AK22" i="78"/>
  <c r="AF22" i="78"/>
  <c r="AG22" i="78" s="1"/>
  <c r="Y22" i="78"/>
  <c r="V22" i="78"/>
  <c r="T22" i="78"/>
  <c r="AD22" i="78" s="1"/>
  <c r="AK21" i="78"/>
  <c r="AF21" i="78"/>
  <c r="AG21" i="78" s="1"/>
  <c r="Y21" i="78"/>
  <c r="V21" i="78"/>
  <c r="T21" i="78"/>
  <c r="AD21" i="78" s="1"/>
  <c r="AK20" i="78"/>
  <c r="AF20" i="78"/>
  <c r="AG20" i="78" s="1"/>
  <c r="Y20" i="78"/>
  <c r="V20" i="78"/>
  <c r="T20" i="78"/>
  <c r="AE20" i="78" s="1"/>
  <c r="AM19" i="78"/>
  <c r="AK19" i="78"/>
  <c r="AF19" i="78"/>
  <c r="AG19" i="78" s="1"/>
  <c r="Y19" i="78"/>
  <c r="V19" i="78"/>
  <c r="T19" i="78"/>
  <c r="AD19" i="78" s="1"/>
  <c r="AK18" i="78"/>
  <c r="AF18" i="78"/>
  <c r="AG18" i="78" s="1"/>
  <c r="Y18" i="78"/>
  <c r="V18" i="78"/>
  <c r="T18" i="78"/>
  <c r="AK17" i="78"/>
  <c r="AF17" i="78"/>
  <c r="AG17" i="78" s="1"/>
  <c r="Y17" i="78"/>
  <c r="V17" i="78"/>
  <c r="T17" i="78"/>
  <c r="AM17" i="78" s="1"/>
  <c r="AK16" i="78"/>
  <c r="AF16" i="78"/>
  <c r="AG16" i="78" s="1"/>
  <c r="Y16" i="78"/>
  <c r="V16" i="78"/>
  <c r="T16" i="78"/>
  <c r="AH16" i="78" s="1"/>
  <c r="AI16" i="78" s="1"/>
  <c r="AK15" i="78"/>
  <c r="AF15" i="78"/>
  <c r="AG15" i="78" s="1"/>
  <c r="Y15" i="78"/>
  <c r="V15" i="78"/>
  <c r="T15" i="78"/>
  <c r="AH15" i="78" s="1"/>
  <c r="AI15" i="78" s="1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M12" i="78"/>
  <c r="AK12" i="78"/>
  <c r="AF12" i="78"/>
  <c r="AG12" i="78" s="1"/>
  <c r="Y12" i="78"/>
  <c r="V12" i="78"/>
  <c r="T12" i="78"/>
  <c r="AH12" i="78" s="1"/>
  <c r="AI12" i="78" s="1"/>
  <c r="A12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AK9" i="78"/>
  <c r="AF9" i="78"/>
  <c r="AG9" i="78" s="1"/>
  <c r="Y9" i="78"/>
  <c r="V9" i="78"/>
  <c r="T9" i="78"/>
  <c r="AM9" i="78" s="1"/>
  <c r="AK8" i="78"/>
  <c r="AF8" i="78"/>
  <c r="AG8" i="78" s="1"/>
  <c r="Y8" i="78"/>
  <c r="V8" i="78"/>
  <c r="T8" i="78"/>
  <c r="AH8" i="78" s="1"/>
  <c r="AI8" i="78" s="1"/>
  <c r="A8" i="78"/>
  <c r="AK7" i="78"/>
  <c r="AF7" i="78"/>
  <c r="AG7" i="78" s="1"/>
  <c r="Y7" i="78"/>
  <c r="V7" i="78"/>
  <c r="T7" i="78"/>
  <c r="AH7" i="78" s="1"/>
  <c r="AI7" i="78" s="1"/>
  <c r="AK6" i="78"/>
  <c r="AF6" i="78"/>
  <c r="AG6" i="78" s="1"/>
  <c r="Y6" i="78"/>
  <c r="V6" i="78"/>
  <c r="T6" i="78"/>
  <c r="AD6" i="78" s="1"/>
  <c r="A6" i="78"/>
  <c r="AK5" i="78"/>
  <c r="AF5" i="78"/>
  <c r="AG5" i="78" s="1"/>
  <c r="Y5" i="78"/>
  <c r="V5" i="78"/>
  <c r="T5" i="78"/>
  <c r="AM5" i="78" s="1"/>
  <c r="F1" i="78"/>
  <c r="T173" i="32"/>
  <c r="AD173" i="32" s="1"/>
  <c r="V173" i="32"/>
  <c r="Y173" i="32"/>
  <c r="AE173" i="32"/>
  <c r="AF173" i="32"/>
  <c r="AG173" i="32" s="1"/>
  <c r="AK173" i="32"/>
  <c r="AM173" i="32"/>
  <c r="T174" i="32"/>
  <c r="AH174" i="32" s="1"/>
  <c r="AI174" i="32" s="1"/>
  <c r="V174" i="32"/>
  <c r="Y174" i="32"/>
  <c r="AF174" i="32"/>
  <c r="AG174" i="32" s="1"/>
  <c r="AK174" i="32"/>
  <c r="T175" i="32"/>
  <c r="AE175" i="32" s="1"/>
  <c r="V175" i="32"/>
  <c r="Y175" i="32"/>
  <c r="AF175" i="32"/>
  <c r="AG175" i="32" s="1"/>
  <c r="AH175" i="32"/>
  <c r="AI175" i="32" s="1"/>
  <c r="AK175" i="32"/>
  <c r="T176" i="32"/>
  <c r="AE176" i="32" s="1"/>
  <c r="V176" i="32"/>
  <c r="Y176" i="32"/>
  <c r="AF176" i="32"/>
  <c r="AG176" i="32" s="1"/>
  <c r="AK176" i="32"/>
  <c r="AM176" i="32"/>
  <c r="T177" i="32"/>
  <c r="AD177" i="32" s="1"/>
  <c r="V177" i="32"/>
  <c r="Y177" i="32"/>
  <c r="AF177" i="32"/>
  <c r="AG177" i="32" s="1"/>
  <c r="AK177" i="32"/>
  <c r="AM177" i="32"/>
  <c r="T178" i="32"/>
  <c r="AE178" i="32" s="1"/>
  <c r="V178" i="32"/>
  <c r="Y178" i="32"/>
  <c r="AF178" i="32"/>
  <c r="AG178" i="32" s="1"/>
  <c r="AK178" i="32"/>
  <c r="T179" i="32"/>
  <c r="AD179" i="32" s="1"/>
  <c r="V179" i="32"/>
  <c r="Y179" i="32"/>
  <c r="AF179" i="32"/>
  <c r="AG179" i="32" s="1"/>
  <c r="AH179" i="32"/>
  <c r="AI179" i="32" s="1"/>
  <c r="AK179" i="32"/>
  <c r="T180" i="32"/>
  <c r="AD180" i="32" s="1"/>
  <c r="V180" i="32"/>
  <c r="Y180" i="32"/>
  <c r="AF180" i="32"/>
  <c r="AG180" i="32" s="1"/>
  <c r="AK180" i="32"/>
  <c r="T181" i="32"/>
  <c r="AM181" i="32" s="1"/>
  <c r="V181" i="32"/>
  <c r="Y181" i="32"/>
  <c r="AE181" i="32"/>
  <c r="AF181" i="32"/>
  <c r="AG181" i="32" s="1"/>
  <c r="AK181" i="32"/>
  <c r="T182" i="32"/>
  <c r="AD182" i="32" s="1"/>
  <c r="V182" i="32"/>
  <c r="Y182" i="32"/>
  <c r="AF182" i="32"/>
  <c r="AG182" i="32" s="1"/>
  <c r="AK182" i="32"/>
  <c r="AM182" i="32"/>
  <c r="T183" i="32"/>
  <c r="AD183" i="32" s="1"/>
  <c r="V183" i="32"/>
  <c r="Y183" i="32"/>
  <c r="AF183" i="32"/>
  <c r="AG183" i="32" s="1"/>
  <c r="AK183" i="32"/>
  <c r="T184" i="32"/>
  <c r="AE184" i="32" s="1"/>
  <c r="V184" i="32"/>
  <c r="Y184" i="32"/>
  <c r="AF184" i="32"/>
  <c r="AG184" i="32" s="1"/>
  <c r="AK184" i="32"/>
  <c r="T185" i="32"/>
  <c r="AD185" i="32" s="1"/>
  <c r="V185" i="32"/>
  <c r="Y185" i="32"/>
  <c r="AF185" i="32"/>
  <c r="AG185" i="32" s="1"/>
  <c r="AK185" i="32"/>
  <c r="AM185" i="32"/>
  <c r="T186" i="32"/>
  <c r="AH186" i="32" s="1"/>
  <c r="AI186" i="32" s="1"/>
  <c r="V186" i="32"/>
  <c r="Y186" i="32"/>
  <c r="AF186" i="32"/>
  <c r="AG186" i="32" s="1"/>
  <c r="AK186" i="32"/>
  <c r="T187" i="32"/>
  <c r="AE187" i="32" s="1"/>
  <c r="V187" i="32"/>
  <c r="Y187" i="32"/>
  <c r="AF187" i="32"/>
  <c r="AG187" i="32" s="1"/>
  <c r="AK187" i="32"/>
  <c r="T188" i="32"/>
  <c r="AD188" i="32" s="1"/>
  <c r="V188" i="32"/>
  <c r="Y188" i="32"/>
  <c r="AF188" i="32"/>
  <c r="AG188" i="32" s="1"/>
  <c r="AK188" i="32"/>
  <c r="T189" i="32"/>
  <c r="AD189" i="32" s="1"/>
  <c r="V189" i="32"/>
  <c r="Y189" i="32"/>
  <c r="AF189" i="32"/>
  <c r="AG189" i="32" s="1"/>
  <c r="AK189" i="32"/>
  <c r="T190" i="32"/>
  <c r="AE190" i="32" s="1"/>
  <c r="V190" i="32"/>
  <c r="Y190" i="32"/>
  <c r="AF190" i="32"/>
  <c r="AG190" i="32" s="1"/>
  <c r="AK190" i="32"/>
  <c r="T191" i="32"/>
  <c r="AD191" i="32" s="1"/>
  <c r="V191" i="32"/>
  <c r="Y191" i="32"/>
  <c r="AF191" i="32"/>
  <c r="AG191" i="32" s="1"/>
  <c r="AK191" i="32"/>
  <c r="T192" i="32"/>
  <c r="AD192" i="32" s="1"/>
  <c r="V192" i="32"/>
  <c r="Y192" i="32"/>
  <c r="AF192" i="32"/>
  <c r="AG192" i="32" s="1"/>
  <c r="AK192" i="32"/>
  <c r="T193" i="32"/>
  <c r="AH193" i="32" s="1"/>
  <c r="AI193" i="32" s="1"/>
  <c r="V193" i="32"/>
  <c r="Y193" i="32"/>
  <c r="AE193" i="32"/>
  <c r="AF193" i="32"/>
  <c r="AG193" i="32" s="1"/>
  <c r="AK193" i="32"/>
  <c r="AM193" i="32"/>
  <c r="T194" i="32"/>
  <c r="AD194" i="32" s="1"/>
  <c r="V194" i="32"/>
  <c r="Y194" i="32"/>
  <c r="AF194" i="32"/>
  <c r="AG194" i="32" s="1"/>
  <c r="AK194" i="32"/>
  <c r="AM194" i="32"/>
  <c r="T195" i="32"/>
  <c r="AD195" i="32" s="1"/>
  <c r="V195" i="32"/>
  <c r="Y195" i="32"/>
  <c r="AF195" i="32"/>
  <c r="AG195" i="32"/>
  <c r="AK195" i="32"/>
  <c r="T196" i="32"/>
  <c r="AE196" i="32" s="1"/>
  <c r="V196" i="32"/>
  <c r="Y196" i="32"/>
  <c r="AD196" i="32"/>
  <c r="AF196" i="32"/>
  <c r="AG196" i="32" s="1"/>
  <c r="AK196" i="32"/>
  <c r="T197" i="32"/>
  <c r="AD197" i="32" s="1"/>
  <c r="V197" i="32"/>
  <c r="Y197" i="32"/>
  <c r="AF197" i="32"/>
  <c r="AG197" i="32" s="1"/>
  <c r="AK197" i="32"/>
  <c r="T198" i="32"/>
  <c r="AH198" i="32" s="1"/>
  <c r="AI198" i="32" s="1"/>
  <c r="V198" i="32"/>
  <c r="Y198" i="32"/>
  <c r="AF198" i="32"/>
  <c r="AG198" i="32" s="1"/>
  <c r="AK198" i="32"/>
  <c r="AM198" i="32"/>
  <c r="T199" i="32"/>
  <c r="AD199" i="32" s="1"/>
  <c r="V199" i="32"/>
  <c r="Y199" i="32"/>
  <c r="AE199" i="32"/>
  <c r="AF199" i="32"/>
  <c r="AG199" i="32"/>
  <c r="AK199" i="32"/>
  <c r="AM199" i="32"/>
  <c r="T200" i="32"/>
  <c r="V200" i="32"/>
  <c r="Y200" i="32"/>
  <c r="AD200" i="32"/>
  <c r="AE200" i="32"/>
  <c r="AF200" i="32"/>
  <c r="AG200" i="32" s="1"/>
  <c r="AH200" i="32"/>
  <c r="AI200" i="32" s="1"/>
  <c r="AK200" i="32"/>
  <c r="AM200" i="32"/>
  <c r="T201" i="32"/>
  <c r="AD201" i="32" s="1"/>
  <c r="V201" i="32"/>
  <c r="Y201" i="32"/>
  <c r="AF201" i="32"/>
  <c r="AG201" i="32" s="1"/>
  <c r="AK201" i="32"/>
  <c r="AM201" i="32"/>
  <c r="T202" i="32"/>
  <c r="AE202" i="32" s="1"/>
  <c r="V202" i="32"/>
  <c r="Y202" i="32"/>
  <c r="AD202" i="32"/>
  <c r="AF202" i="32"/>
  <c r="AG202" i="32"/>
  <c r="AK202" i="32"/>
  <c r="AM202" i="32"/>
  <c r="T203" i="32"/>
  <c r="AD203" i="32" s="1"/>
  <c r="V203" i="32"/>
  <c r="Y203" i="32"/>
  <c r="AE203" i="32"/>
  <c r="AF203" i="32"/>
  <c r="AG203" i="32"/>
  <c r="AH203" i="32"/>
  <c r="AI203" i="32" s="1"/>
  <c r="AK203" i="32"/>
  <c r="AM203" i="32"/>
  <c r="T204" i="32"/>
  <c r="AE204" i="32" s="1"/>
  <c r="V204" i="32"/>
  <c r="Y204" i="32"/>
  <c r="AD204" i="32"/>
  <c r="AN204" i="32" s="1"/>
  <c r="AF204" i="32"/>
  <c r="AG204" i="32" s="1"/>
  <c r="AK204" i="32"/>
  <c r="AM204" i="32"/>
  <c r="T205" i="32"/>
  <c r="V205" i="32"/>
  <c r="Y205" i="32"/>
  <c r="AD205" i="32"/>
  <c r="AE205" i="32"/>
  <c r="AF205" i="32"/>
  <c r="AG205" i="32"/>
  <c r="AJ205" i="32" s="1"/>
  <c r="AH205" i="32"/>
  <c r="AI205" i="32"/>
  <c r="AK205" i="32"/>
  <c r="AM205" i="32"/>
  <c r="T206" i="32"/>
  <c r="AD206" i="32" s="1"/>
  <c r="V206" i="32"/>
  <c r="Y206" i="32"/>
  <c r="AF206" i="32"/>
  <c r="AG206" i="32" s="1"/>
  <c r="AK206" i="32"/>
  <c r="AM206" i="32"/>
  <c r="T207" i="32"/>
  <c r="AD207" i="32" s="1"/>
  <c r="V207" i="32"/>
  <c r="Y207" i="32"/>
  <c r="AE207" i="32"/>
  <c r="AF207" i="32"/>
  <c r="AG207" i="32"/>
  <c r="AK207" i="32"/>
  <c r="AM207" i="32"/>
  <c r="T208" i="32"/>
  <c r="AE208" i="32" s="1"/>
  <c r="V208" i="32"/>
  <c r="Y208" i="32"/>
  <c r="AD208" i="32"/>
  <c r="AF208" i="32"/>
  <c r="AG208" i="32" s="1"/>
  <c r="AH208" i="32"/>
  <c r="AI208" i="32" s="1"/>
  <c r="AK208" i="32"/>
  <c r="AM208" i="32"/>
  <c r="T209" i="32"/>
  <c r="AD209" i="32" s="1"/>
  <c r="V209" i="32"/>
  <c r="Y209" i="32"/>
  <c r="AE209" i="32"/>
  <c r="AF209" i="32"/>
  <c r="AG209" i="32"/>
  <c r="AJ209" i="32" s="1"/>
  <c r="AH209" i="32"/>
  <c r="AI209" i="32"/>
  <c r="AK209" i="32"/>
  <c r="AM209" i="32"/>
  <c r="T210" i="32"/>
  <c r="AH210" i="32" s="1"/>
  <c r="AI210" i="32" s="1"/>
  <c r="V210" i="32"/>
  <c r="Y210" i="32"/>
  <c r="AF210" i="32"/>
  <c r="AG210" i="32" s="1"/>
  <c r="AK210" i="32"/>
  <c r="AM210" i="32"/>
  <c r="T211" i="32"/>
  <c r="V211" i="32"/>
  <c r="Y211" i="32"/>
  <c r="AD211" i="32"/>
  <c r="AE211" i="32"/>
  <c r="AF211" i="32"/>
  <c r="AG211" i="32"/>
  <c r="AJ211" i="32" s="1"/>
  <c r="AH211" i="32"/>
  <c r="AI211" i="32"/>
  <c r="AK211" i="32"/>
  <c r="AM211" i="32"/>
  <c r="T212" i="32"/>
  <c r="V212" i="32"/>
  <c r="Y212" i="32"/>
  <c r="AD212" i="32"/>
  <c r="AE212" i="32"/>
  <c r="AF212" i="32"/>
  <c r="AG212" i="32" s="1"/>
  <c r="AH212" i="32"/>
  <c r="AI212" i="32" s="1"/>
  <c r="AK212" i="32"/>
  <c r="AM212" i="32"/>
  <c r="T60" i="31"/>
  <c r="AD60" i="31" s="1"/>
  <c r="V60" i="31"/>
  <c r="Y60" i="31"/>
  <c r="AF60" i="31"/>
  <c r="AG60" i="31" s="1"/>
  <c r="AK60" i="31"/>
  <c r="AM60" i="31"/>
  <c r="T61" i="31"/>
  <c r="AH61" i="31" s="1"/>
  <c r="AI61" i="31" s="1"/>
  <c r="V61" i="31"/>
  <c r="Y61" i="31"/>
  <c r="AF61" i="31"/>
  <c r="AG61" i="31" s="1"/>
  <c r="AK61" i="31"/>
  <c r="AM61" i="31"/>
  <c r="T62" i="31"/>
  <c r="AH62" i="31" s="1"/>
  <c r="AI62" i="31" s="1"/>
  <c r="V62" i="31"/>
  <c r="Y62" i="31"/>
  <c r="AD62" i="31"/>
  <c r="AF62" i="31"/>
  <c r="AG62" i="31" s="1"/>
  <c r="AJ62" i="31" s="1"/>
  <c r="AK62" i="31"/>
  <c r="AM62" i="31"/>
  <c r="T63" i="31"/>
  <c r="AD63" i="31" s="1"/>
  <c r="V63" i="31"/>
  <c r="Y63" i="31"/>
  <c r="AF63" i="31"/>
  <c r="AG63" i="31" s="1"/>
  <c r="AK63" i="31"/>
  <c r="AM63" i="31"/>
  <c r="T64" i="31"/>
  <c r="AD64" i="31" s="1"/>
  <c r="V64" i="31"/>
  <c r="Y64" i="31"/>
  <c r="AF64" i="31"/>
  <c r="AG64" i="31" s="1"/>
  <c r="AK64" i="31"/>
  <c r="AM64" i="31"/>
  <c r="T65" i="31"/>
  <c r="AD65" i="31" s="1"/>
  <c r="V65" i="31"/>
  <c r="Y65" i="31"/>
  <c r="AF65" i="31"/>
  <c r="AG65" i="31"/>
  <c r="AK65" i="31"/>
  <c r="AM65" i="31"/>
  <c r="T66" i="31"/>
  <c r="AE66" i="31" s="1"/>
  <c r="V66" i="31"/>
  <c r="Y66" i="31"/>
  <c r="AF66" i="31"/>
  <c r="AG66" i="31" s="1"/>
  <c r="AK66" i="31"/>
  <c r="AM66" i="31"/>
  <c r="T67" i="31"/>
  <c r="AD67" i="31" s="1"/>
  <c r="V67" i="31"/>
  <c r="Y67" i="31"/>
  <c r="AF67" i="31"/>
  <c r="AG67" i="31" s="1"/>
  <c r="AK67" i="31"/>
  <c r="AM67" i="31"/>
  <c r="T68" i="31"/>
  <c r="AE68" i="31" s="1"/>
  <c r="V68" i="31"/>
  <c r="Y68" i="31"/>
  <c r="AD68" i="31"/>
  <c r="AF68" i="31"/>
  <c r="AG68" i="31" s="1"/>
  <c r="AK68" i="31"/>
  <c r="AM68" i="31"/>
  <c r="T69" i="31"/>
  <c r="AD69" i="31" s="1"/>
  <c r="V69" i="31"/>
  <c r="Y69" i="31"/>
  <c r="AE69" i="31"/>
  <c r="AF69" i="31"/>
  <c r="AG69" i="31"/>
  <c r="AH69" i="31"/>
  <c r="AI69" i="31" s="1"/>
  <c r="AK69" i="31"/>
  <c r="AM69" i="31"/>
  <c r="T70" i="31"/>
  <c r="AD70" i="31" s="1"/>
  <c r="V70" i="31"/>
  <c r="Y70" i="31"/>
  <c r="AF70" i="31"/>
  <c r="AG70" i="31" s="1"/>
  <c r="AK70" i="31"/>
  <c r="AM70" i="31"/>
  <c r="T71" i="31"/>
  <c r="AH71" i="31" s="1"/>
  <c r="AI71" i="31" s="1"/>
  <c r="V71" i="31"/>
  <c r="Y71" i="31"/>
  <c r="AF71" i="31"/>
  <c r="AG71" i="31" s="1"/>
  <c r="AK71" i="31"/>
  <c r="AM71" i="31"/>
  <c r="T72" i="31"/>
  <c r="AD72" i="31" s="1"/>
  <c r="V72" i="31"/>
  <c r="Y72" i="31"/>
  <c r="AE72" i="31"/>
  <c r="AF72" i="31"/>
  <c r="AG72" i="31" s="1"/>
  <c r="AK72" i="31"/>
  <c r="AM72" i="31"/>
  <c r="T73" i="31"/>
  <c r="AH73" i="31" s="1"/>
  <c r="AI73" i="31" s="1"/>
  <c r="V73" i="31"/>
  <c r="Y73" i="31"/>
  <c r="AF73" i="31"/>
  <c r="AG73" i="31" s="1"/>
  <c r="AK73" i="31"/>
  <c r="AM73" i="31"/>
  <c r="T74" i="31"/>
  <c r="AH74" i="31" s="1"/>
  <c r="AI74" i="31" s="1"/>
  <c r="V74" i="31"/>
  <c r="Y74" i="31"/>
  <c r="AF74" i="31"/>
  <c r="AG74" i="31" s="1"/>
  <c r="AK74" i="31"/>
  <c r="T75" i="31"/>
  <c r="AD75" i="31" s="1"/>
  <c r="V75" i="31"/>
  <c r="Y75" i="31"/>
  <c r="AF75" i="31"/>
  <c r="AG75" i="31" s="1"/>
  <c r="AK75" i="31"/>
  <c r="AM75" i="31"/>
  <c r="T76" i="31"/>
  <c r="AD76" i="31" s="1"/>
  <c r="V76" i="31"/>
  <c r="Y76" i="31"/>
  <c r="AF76" i="31"/>
  <c r="AG76" i="31" s="1"/>
  <c r="AK76" i="31"/>
  <c r="AM76" i="31"/>
  <c r="T77" i="31"/>
  <c r="AD77" i="31" s="1"/>
  <c r="V77" i="31"/>
  <c r="Y77" i="31"/>
  <c r="AF77" i="31"/>
  <c r="AG77" i="31" s="1"/>
  <c r="AK77" i="31"/>
  <c r="AM77" i="31"/>
  <c r="T78" i="31"/>
  <c r="AE78" i="31" s="1"/>
  <c r="V78" i="31"/>
  <c r="Y78" i="31"/>
  <c r="AD78" i="31"/>
  <c r="AF78" i="31"/>
  <c r="AG78" i="31"/>
  <c r="AL78" i="31" s="1"/>
  <c r="AH78" i="31"/>
  <c r="AI78" i="31" s="1"/>
  <c r="AJ78" i="31" s="1"/>
  <c r="AK78" i="31"/>
  <c r="AM78" i="31"/>
  <c r="T79" i="31"/>
  <c r="V79" i="31"/>
  <c r="Y79" i="31"/>
  <c r="AD79" i="31"/>
  <c r="AE79" i="31"/>
  <c r="AF79" i="31"/>
  <c r="AG79" i="31"/>
  <c r="AH79" i="31"/>
  <c r="AI79" i="31"/>
  <c r="AJ79" i="31" s="1"/>
  <c r="AK79" i="31"/>
  <c r="AL79" i="31"/>
  <c r="AM79" i="31"/>
  <c r="T80" i="31"/>
  <c r="AE80" i="31" s="1"/>
  <c r="V80" i="31"/>
  <c r="Y80" i="31"/>
  <c r="AD80" i="31"/>
  <c r="AF80" i="31"/>
  <c r="AG80" i="31" s="1"/>
  <c r="AK80" i="31"/>
  <c r="AM80" i="31"/>
  <c r="T81" i="31"/>
  <c r="AD81" i="31" s="1"/>
  <c r="AN81" i="31" s="1"/>
  <c r="V81" i="31"/>
  <c r="Y81" i="31"/>
  <c r="AE81" i="31"/>
  <c r="AF81" i="31"/>
  <c r="AG81" i="31"/>
  <c r="AK81" i="31"/>
  <c r="AM81" i="31"/>
  <c r="T82" i="31"/>
  <c r="AD82" i="31" s="1"/>
  <c r="V82" i="31"/>
  <c r="Y82" i="31"/>
  <c r="AF82" i="31"/>
  <c r="AG82" i="31" s="1"/>
  <c r="AK82" i="31"/>
  <c r="AM82" i="31"/>
  <c r="T83" i="31"/>
  <c r="V83" i="31"/>
  <c r="Y83" i="31"/>
  <c r="AD83" i="31"/>
  <c r="AE83" i="31"/>
  <c r="AF83" i="31"/>
  <c r="AG83" i="31"/>
  <c r="AJ83" i="31" s="1"/>
  <c r="AH83" i="31"/>
  <c r="AI83" i="31"/>
  <c r="AK83" i="31"/>
  <c r="AM83" i="31"/>
  <c r="T84" i="31"/>
  <c r="V84" i="31"/>
  <c r="Y84" i="31"/>
  <c r="AD84" i="31"/>
  <c r="AE84" i="31"/>
  <c r="AF84" i="31"/>
  <c r="AG84" i="31" s="1"/>
  <c r="AH84" i="31"/>
  <c r="AI84" i="31" s="1"/>
  <c r="AK84" i="31"/>
  <c r="AM84" i="31"/>
  <c r="T85" i="31"/>
  <c r="AH85" i="31" s="1"/>
  <c r="AI85" i="31" s="1"/>
  <c r="V85" i="31"/>
  <c r="Y85" i="31"/>
  <c r="AF85" i="31"/>
  <c r="AG85" i="31" s="1"/>
  <c r="AK85" i="31"/>
  <c r="AM85" i="31"/>
  <c r="T86" i="31"/>
  <c r="AH86" i="31" s="1"/>
  <c r="AI86" i="31" s="1"/>
  <c r="V86" i="31"/>
  <c r="Y86" i="31"/>
  <c r="AD86" i="31"/>
  <c r="AF86" i="31"/>
  <c r="AG86" i="31"/>
  <c r="AJ86" i="31" s="1"/>
  <c r="AK86" i="31"/>
  <c r="AM86" i="31"/>
  <c r="T87" i="31"/>
  <c r="AD87" i="31" s="1"/>
  <c r="V87" i="31"/>
  <c r="Y87" i="31"/>
  <c r="AE87" i="31"/>
  <c r="AF87" i="31"/>
  <c r="AG87" i="31"/>
  <c r="AJ87" i="31" s="1"/>
  <c r="AH87" i="31"/>
  <c r="AI87" i="31" s="1"/>
  <c r="AK87" i="31"/>
  <c r="AM87" i="31"/>
  <c r="T88" i="31"/>
  <c r="AD88" i="31" s="1"/>
  <c r="V88" i="31"/>
  <c r="Y88" i="31"/>
  <c r="AF88" i="31"/>
  <c r="AG88" i="31" s="1"/>
  <c r="AK88" i="31"/>
  <c r="AM88" i="31"/>
  <c r="T89" i="31"/>
  <c r="V89" i="31"/>
  <c r="Y89" i="31"/>
  <c r="AD89" i="31"/>
  <c r="AE89" i="31"/>
  <c r="AF89" i="31"/>
  <c r="AG89" i="31"/>
  <c r="AL89" i="31" s="1"/>
  <c r="AH89" i="31"/>
  <c r="AI89" i="31"/>
  <c r="AJ89" i="31"/>
  <c r="AK89" i="31"/>
  <c r="AM89" i="31"/>
  <c r="T25" i="30"/>
  <c r="V25" i="30"/>
  <c r="Y25" i="30"/>
  <c r="AD25" i="30"/>
  <c r="AE25" i="30"/>
  <c r="AF25" i="30"/>
  <c r="AG25" i="30"/>
  <c r="AJ25" i="30" s="1"/>
  <c r="AH25" i="30"/>
  <c r="AI25" i="30"/>
  <c r="AK25" i="30"/>
  <c r="AM25" i="30"/>
  <c r="T26" i="30"/>
  <c r="AH26" i="30" s="1"/>
  <c r="AI26" i="30" s="1"/>
  <c r="V26" i="30"/>
  <c r="Y26" i="30"/>
  <c r="AF26" i="30"/>
  <c r="AG26" i="30" s="1"/>
  <c r="AK26" i="30"/>
  <c r="AM26" i="30"/>
  <c r="T84" i="29"/>
  <c r="AH84" i="29" s="1"/>
  <c r="AI84" i="29" s="1"/>
  <c r="V84" i="29"/>
  <c r="Y84" i="29"/>
  <c r="AF84" i="29"/>
  <c r="AG84" i="29" s="1"/>
  <c r="AK84" i="29"/>
  <c r="AM84" i="29"/>
  <c r="T85" i="29"/>
  <c r="AE85" i="29" s="1"/>
  <c r="V85" i="29"/>
  <c r="Y85" i="29"/>
  <c r="AF85" i="29"/>
  <c r="AG85" i="29" s="1"/>
  <c r="AK85" i="29"/>
  <c r="AM85" i="29"/>
  <c r="T86" i="29"/>
  <c r="AH86" i="29" s="1"/>
  <c r="AI86" i="29" s="1"/>
  <c r="V86" i="29"/>
  <c r="Y86" i="29"/>
  <c r="AF86" i="29"/>
  <c r="AG86" i="29" s="1"/>
  <c r="AK86" i="29"/>
  <c r="T87" i="29"/>
  <c r="AH87" i="29" s="1"/>
  <c r="AI87" i="29" s="1"/>
  <c r="V87" i="29"/>
  <c r="Y87" i="29"/>
  <c r="AF87" i="29"/>
  <c r="AG87" i="29" s="1"/>
  <c r="AK87" i="29"/>
  <c r="AM87" i="29"/>
  <c r="T88" i="29"/>
  <c r="AD88" i="29" s="1"/>
  <c r="V88" i="29"/>
  <c r="Y88" i="29"/>
  <c r="AF88" i="29"/>
  <c r="AG88" i="29" s="1"/>
  <c r="AK88" i="29"/>
  <c r="T89" i="29"/>
  <c r="AD89" i="29" s="1"/>
  <c r="V89" i="29"/>
  <c r="Y89" i="29"/>
  <c r="AF89" i="29"/>
  <c r="AG89" i="29" s="1"/>
  <c r="AK89" i="29"/>
  <c r="AM89" i="29"/>
  <c r="T90" i="29"/>
  <c r="AD90" i="29" s="1"/>
  <c r="V90" i="29"/>
  <c r="Y90" i="29"/>
  <c r="AF90" i="29"/>
  <c r="AG90" i="29" s="1"/>
  <c r="AK90" i="29"/>
  <c r="AM90" i="29"/>
  <c r="T91" i="29"/>
  <c r="AE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E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E95" i="29" s="1"/>
  <c r="V95" i="29"/>
  <c r="Y95" i="29"/>
  <c r="AF95" i="29"/>
  <c r="AG95" i="29" s="1"/>
  <c r="AK95" i="29"/>
  <c r="AM95" i="29"/>
  <c r="T96" i="29"/>
  <c r="AH96" i="29" s="1"/>
  <c r="AI96" i="29" s="1"/>
  <c r="V96" i="29"/>
  <c r="Y96" i="29"/>
  <c r="AD96" i="29"/>
  <c r="AF96" i="29"/>
  <c r="AG96" i="29"/>
  <c r="AJ96" i="29" s="1"/>
  <c r="AK96" i="29"/>
  <c r="AM96" i="29"/>
  <c r="T97" i="29"/>
  <c r="V97" i="29"/>
  <c r="Y97" i="29"/>
  <c r="AD97" i="29"/>
  <c r="AE97" i="29"/>
  <c r="AN97" i="29" s="1"/>
  <c r="AF97" i="29"/>
  <c r="AG97" i="29"/>
  <c r="AJ97" i="29" s="1"/>
  <c r="AH97" i="29"/>
  <c r="AI97" i="29" s="1"/>
  <c r="AK97" i="29"/>
  <c r="AM97" i="29"/>
  <c r="T98" i="29"/>
  <c r="AH98" i="29" s="1"/>
  <c r="AI98" i="29" s="1"/>
  <c r="V98" i="29"/>
  <c r="Y98" i="29"/>
  <c r="AF98" i="29"/>
  <c r="AG98" i="29" s="1"/>
  <c r="AK98" i="29"/>
  <c r="AM98" i="29"/>
  <c r="T99" i="29"/>
  <c r="AH99" i="29" s="1"/>
  <c r="AI99" i="29" s="1"/>
  <c r="V99" i="29"/>
  <c r="Y99" i="29"/>
  <c r="AD99" i="29"/>
  <c r="AE99" i="29"/>
  <c r="AF99" i="29"/>
  <c r="AG99" i="29"/>
  <c r="AJ99" i="29" s="1"/>
  <c r="AK99" i="29"/>
  <c r="AM99" i="29"/>
  <c r="T100" i="29"/>
  <c r="AD100" i="29" s="1"/>
  <c r="V100" i="29"/>
  <c r="Y100" i="29"/>
  <c r="AF100" i="29"/>
  <c r="AG100" i="29" s="1"/>
  <c r="AH100" i="29"/>
  <c r="AI100" i="29" s="1"/>
  <c r="AK100" i="29"/>
  <c r="AM100" i="29"/>
  <c r="T101" i="29"/>
  <c r="AD101" i="29" s="1"/>
  <c r="V101" i="29"/>
  <c r="Y101" i="29"/>
  <c r="AF101" i="29"/>
  <c r="AG101" i="29"/>
  <c r="AK101" i="29"/>
  <c r="AM101" i="29"/>
  <c r="T49" i="28"/>
  <c r="AH49" i="28" s="1"/>
  <c r="AI49" i="28" s="1"/>
  <c r="V49" i="28"/>
  <c r="Y49" i="28"/>
  <c r="AF49" i="28"/>
  <c r="AG49" i="28" s="1"/>
  <c r="AK49" i="28"/>
  <c r="AM49" i="28"/>
  <c r="T50" i="28"/>
  <c r="AH50" i="28" s="1"/>
  <c r="AI50" i="28" s="1"/>
  <c r="V50" i="28"/>
  <c r="Y50" i="28"/>
  <c r="AF50" i="28"/>
  <c r="AG50" i="28" s="1"/>
  <c r="AK50" i="28"/>
  <c r="T51" i="28"/>
  <c r="AE51" i="28" s="1"/>
  <c r="V51" i="28"/>
  <c r="Y51" i="28"/>
  <c r="AF51" i="28"/>
  <c r="AG51" i="28" s="1"/>
  <c r="AK51" i="28"/>
  <c r="AM51" i="28"/>
  <c r="T52" i="28"/>
  <c r="AD52" i="28" s="1"/>
  <c r="V52" i="28"/>
  <c r="Y52" i="28"/>
  <c r="AF52" i="28"/>
  <c r="AG52" i="28" s="1"/>
  <c r="AK52" i="28"/>
  <c r="T53" i="28"/>
  <c r="AD53" i="28" s="1"/>
  <c r="V53" i="28"/>
  <c r="Y53" i="28"/>
  <c r="AF53" i="28"/>
  <c r="AG53" i="28" s="1"/>
  <c r="AK53" i="28"/>
  <c r="T54" i="28"/>
  <c r="AD54" i="28" s="1"/>
  <c r="V54" i="28"/>
  <c r="Y54" i="28"/>
  <c r="AF54" i="28"/>
  <c r="AG54" i="28" s="1"/>
  <c r="AK54" i="28"/>
  <c r="T55" i="28"/>
  <c r="AD55" i="28" s="1"/>
  <c r="V55" i="28"/>
  <c r="Y55" i="28"/>
  <c r="AF55" i="28"/>
  <c r="AG55" i="28" s="1"/>
  <c r="AK55" i="28"/>
  <c r="AM55" i="28"/>
  <c r="T56" i="28"/>
  <c r="AD56" i="28" s="1"/>
  <c r="V56" i="28"/>
  <c r="Y56" i="28"/>
  <c r="AF56" i="28"/>
  <c r="AG56" i="28" s="1"/>
  <c r="AK56" i="28"/>
  <c r="AM56" i="28"/>
  <c r="T57" i="28"/>
  <c r="V57" i="28"/>
  <c r="Y57" i="28"/>
  <c r="AD57" i="28"/>
  <c r="AE57" i="28"/>
  <c r="AF57" i="28"/>
  <c r="AG57" i="28"/>
  <c r="AH57" i="28"/>
  <c r="AI57" i="28" s="1"/>
  <c r="AK57" i="28"/>
  <c r="AM57" i="28"/>
  <c r="T58" i="28"/>
  <c r="AD58" i="28" s="1"/>
  <c r="V58" i="28"/>
  <c r="Y58" i="28"/>
  <c r="AF58" i="28"/>
  <c r="AG58" i="28" s="1"/>
  <c r="AH58" i="28"/>
  <c r="AI58" i="28" s="1"/>
  <c r="AK58" i="28"/>
  <c r="AM58" i="28"/>
  <c r="T59" i="28"/>
  <c r="AE59" i="28" s="1"/>
  <c r="V59" i="28"/>
  <c r="Y59" i="28"/>
  <c r="AD59" i="28"/>
  <c r="AN59" i="28" s="1"/>
  <c r="AF59" i="28"/>
  <c r="AG59" i="28"/>
  <c r="AK59" i="28"/>
  <c r="AM59" i="28"/>
  <c r="T60" i="28"/>
  <c r="V60" i="28"/>
  <c r="Y60" i="28"/>
  <c r="AD60" i="28"/>
  <c r="AE60" i="28"/>
  <c r="AF60" i="28"/>
  <c r="AG60" i="28"/>
  <c r="AH60" i="28"/>
  <c r="AI60" i="28" s="1"/>
  <c r="AJ60" i="28" s="1"/>
  <c r="AK60" i="28"/>
  <c r="AM60" i="28"/>
  <c r="T61" i="28"/>
  <c r="AH61" i="28" s="1"/>
  <c r="AI61" i="28" s="1"/>
  <c r="V61" i="28"/>
  <c r="Y61" i="28"/>
  <c r="AE61" i="28"/>
  <c r="AF61" i="28"/>
  <c r="AG61" i="28" s="1"/>
  <c r="AK61" i="28"/>
  <c r="AM61" i="28"/>
  <c r="T62" i="28"/>
  <c r="AH62" i="28" s="1"/>
  <c r="AI62" i="28" s="1"/>
  <c r="V62" i="28"/>
  <c r="Y62" i="28"/>
  <c r="AF62" i="28"/>
  <c r="AG62" i="28" s="1"/>
  <c r="AK62" i="28"/>
  <c r="AM62" i="28"/>
  <c r="T29" i="24"/>
  <c r="AD29" i="24" s="1"/>
  <c r="V29" i="24"/>
  <c r="Y29" i="24"/>
  <c r="AF29" i="24"/>
  <c r="AG29" i="24" s="1"/>
  <c r="AK29" i="24"/>
  <c r="AM29" i="24"/>
  <c r="T30" i="24"/>
  <c r="AH30" i="24" s="1"/>
  <c r="AI30" i="24" s="1"/>
  <c r="V30" i="24"/>
  <c r="Y30" i="24"/>
  <c r="AF30" i="24"/>
  <c r="AG30" i="24" s="1"/>
  <c r="AK30" i="24"/>
  <c r="AM30" i="24"/>
  <c r="T31" i="24"/>
  <c r="AD31" i="24" s="1"/>
  <c r="V31" i="24"/>
  <c r="Y31" i="24"/>
  <c r="AF31" i="24"/>
  <c r="AG31" i="24" s="1"/>
  <c r="AK31" i="24"/>
  <c r="T32" i="24"/>
  <c r="AD32" i="24" s="1"/>
  <c r="V32" i="24"/>
  <c r="Y32" i="24"/>
  <c r="AF32" i="24"/>
  <c r="AG32" i="24" s="1"/>
  <c r="AK32" i="24"/>
  <c r="T33" i="24"/>
  <c r="AE33" i="24" s="1"/>
  <c r="V33" i="24"/>
  <c r="Y33" i="24"/>
  <c r="AF33" i="24"/>
  <c r="AG33" i="24" s="1"/>
  <c r="AK33" i="24"/>
  <c r="T34" i="24"/>
  <c r="AM34" i="24" s="1"/>
  <c r="V34" i="24"/>
  <c r="Y34" i="24"/>
  <c r="AF34" i="24"/>
  <c r="AG34" i="24" s="1"/>
  <c r="AH34" i="24"/>
  <c r="AI34" i="24" s="1"/>
  <c r="AK34" i="24"/>
  <c r="T35" i="24"/>
  <c r="AD35" i="24" s="1"/>
  <c r="V35" i="24"/>
  <c r="Y35" i="24"/>
  <c r="AF35" i="24"/>
  <c r="AG35" i="24" s="1"/>
  <c r="AK35" i="24"/>
  <c r="AM35" i="24"/>
  <c r="T36" i="24"/>
  <c r="AE36" i="24" s="1"/>
  <c r="V36" i="24"/>
  <c r="Y36" i="24"/>
  <c r="AF36" i="24"/>
  <c r="AG36" i="24" s="1"/>
  <c r="AK36" i="24"/>
  <c r="AM36" i="24"/>
  <c r="T37" i="24"/>
  <c r="AH37" i="24" s="1"/>
  <c r="AI37" i="24" s="1"/>
  <c r="V37" i="24"/>
  <c r="Y37" i="24"/>
  <c r="AF37" i="24"/>
  <c r="AG37" i="24"/>
  <c r="AK37" i="24"/>
  <c r="AM37" i="24"/>
  <c r="T38" i="24"/>
  <c r="AD38" i="24" s="1"/>
  <c r="V38" i="24"/>
  <c r="Y38" i="24"/>
  <c r="AF38" i="24"/>
  <c r="AG38" i="24" s="1"/>
  <c r="AK38" i="24"/>
  <c r="AM38" i="24"/>
  <c r="T39" i="24"/>
  <c r="AE39" i="24" s="1"/>
  <c r="V39" i="24"/>
  <c r="Y39" i="24"/>
  <c r="AF39" i="24"/>
  <c r="AG39" i="24" s="1"/>
  <c r="AK39" i="24"/>
  <c r="AM39" i="24"/>
  <c r="T40" i="24"/>
  <c r="AH40" i="24" s="1"/>
  <c r="AI40" i="24" s="1"/>
  <c r="V40" i="24"/>
  <c r="Y40" i="24"/>
  <c r="AF40" i="24"/>
  <c r="AG40" i="24"/>
  <c r="AK40" i="24"/>
  <c r="AM40" i="24"/>
  <c r="T41" i="24"/>
  <c r="AH41" i="24" s="1"/>
  <c r="AI41" i="24" s="1"/>
  <c r="V41" i="24"/>
  <c r="Y41" i="24"/>
  <c r="AF41" i="24"/>
  <c r="AG41" i="24" s="1"/>
  <c r="AK41" i="24"/>
  <c r="AM41" i="24"/>
  <c r="T42" i="24"/>
  <c r="AH42" i="24" s="1"/>
  <c r="AI42" i="24" s="1"/>
  <c r="V42" i="24"/>
  <c r="Y42" i="24"/>
  <c r="AF42" i="24"/>
  <c r="AG42" i="24" s="1"/>
  <c r="AK42" i="24"/>
  <c r="AM42" i="24"/>
  <c r="T43" i="24"/>
  <c r="AD43" i="24" s="1"/>
  <c r="V43" i="24"/>
  <c r="Y43" i="24"/>
  <c r="AF43" i="24"/>
  <c r="AG43" i="24" s="1"/>
  <c r="AK43" i="24"/>
  <c r="AM43" i="24"/>
  <c r="T44" i="24"/>
  <c r="AD44" i="24" s="1"/>
  <c r="V44" i="24"/>
  <c r="Y44" i="24"/>
  <c r="AF44" i="24"/>
  <c r="AG44" i="24" s="1"/>
  <c r="AK44" i="24"/>
  <c r="AM44" i="24"/>
  <c r="T45" i="24"/>
  <c r="AE45" i="24" s="1"/>
  <c r="V45" i="24"/>
  <c r="Y45" i="24"/>
  <c r="AF45" i="24"/>
  <c r="AG45" i="24" s="1"/>
  <c r="AK45" i="24"/>
  <c r="AM45" i="24"/>
  <c r="T46" i="24"/>
  <c r="AD46" i="24" s="1"/>
  <c r="V46" i="24"/>
  <c r="Y46" i="24"/>
  <c r="AF46" i="24"/>
  <c r="AG46" i="24" s="1"/>
  <c r="AH46" i="24"/>
  <c r="AI46" i="24" s="1"/>
  <c r="AK46" i="24"/>
  <c r="AM46" i="24"/>
  <c r="T47" i="24"/>
  <c r="AD47" i="24" s="1"/>
  <c r="V47" i="24"/>
  <c r="Y47" i="24"/>
  <c r="AF47" i="24"/>
  <c r="AG47" i="24" s="1"/>
  <c r="AK47" i="24"/>
  <c r="AM47" i="24"/>
  <c r="T48" i="24"/>
  <c r="AE48" i="24" s="1"/>
  <c r="V48" i="24"/>
  <c r="Y48" i="24"/>
  <c r="AF48" i="24"/>
  <c r="AG48" i="24" s="1"/>
  <c r="AK48" i="24"/>
  <c r="AM48" i="24"/>
  <c r="T49" i="24"/>
  <c r="AD49" i="24" s="1"/>
  <c r="V49" i="24"/>
  <c r="Y49" i="24"/>
  <c r="AF49" i="24"/>
  <c r="AG49" i="24" s="1"/>
  <c r="AH49" i="24"/>
  <c r="AI49" i="24" s="1"/>
  <c r="AK49" i="24"/>
  <c r="AM49" i="24"/>
  <c r="T50" i="24"/>
  <c r="AD50" i="24" s="1"/>
  <c r="V50" i="24"/>
  <c r="Y50" i="24"/>
  <c r="AF50" i="24"/>
  <c r="AG50" i="24" s="1"/>
  <c r="AK50" i="24"/>
  <c r="AM50" i="24"/>
  <c r="T51" i="24"/>
  <c r="AE51" i="24" s="1"/>
  <c r="V51" i="24"/>
  <c r="Y51" i="24"/>
  <c r="AD51" i="24"/>
  <c r="AF51" i="24"/>
  <c r="AG51" i="24"/>
  <c r="AK51" i="24"/>
  <c r="AM51" i="24"/>
  <c r="T52" i="24"/>
  <c r="V52" i="24"/>
  <c r="Y52" i="24"/>
  <c r="AD52" i="24"/>
  <c r="AE52" i="24"/>
  <c r="AF52" i="24"/>
  <c r="AG52" i="24"/>
  <c r="AH52" i="24"/>
  <c r="AI52" i="24" s="1"/>
  <c r="AJ52" i="24" s="1"/>
  <c r="AK52" i="24"/>
  <c r="AM52" i="24"/>
  <c r="T53" i="24"/>
  <c r="AH53" i="24" s="1"/>
  <c r="AI53" i="24" s="1"/>
  <c r="V53" i="24"/>
  <c r="Y53" i="24"/>
  <c r="AE53" i="24"/>
  <c r="AF53" i="24"/>
  <c r="AG53" i="24" s="1"/>
  <c r="AK53" i="24"/>
  <c r="AM53" i="24"/>
  <c r="T54" i="24"/>
  <c r="AH54" i="24" s="1"/>
  <c r="AI54" i="24" s="1"/>
  <c r="V54" i="24"/>
  <c r="Y54" i="24"/>
  <c r="AF54" i="24"/>
  <c r="AG54" i="24" s="1"/>
  <c r="AK54" i="24"/>
  <c r="AM54" i="24"/>
  <c r="T55" i="24"/>
  <c r="AD55" i="24" s="1"/>
  <c r="V55" i="24"/>
  <c r="Y55" i="24"/>
  <c r="AE55" i="24"/>
  <c r="AF55" i="24"/>
  <c r="AG55" i="24"/>
  <c r="AJ55" i="24" s="1"/>
  <c r="AH55" i="24"/>
  <c r="AI55" i="24" s="1"/>
  <c r="AK55" i="24"/>
  <c r="AM55" i="24"/>
  <c r="T56" i="24"/>
  <c r="AD56" i="24" s="1"/>
  <c r="V56" i="24"/>
  <c r="Y56" i="24"/>
  <c r="AF56" i="24"/>
  <c r="AG56" i="24" s="1"/>
  <c r="AH56" i="24"/>
  <c r="AI56" i="24" s="1"/>
  <c r="AK56" i="24"/>
  <c r="AM56" i="24"/>
  <c r="T57" i="24"/>
  <c r="V57" i="24"/>
  <c r="Y57" i="24"/>
  <c r="AD57" i="24"/>
  <c r="AE57" i="24"/>
  <c r="AF57" i="24"/>
  <c r="AG57" i="24"/>
  <c r="AJ57" i="24" s="1"/>
  <c r="AH57" i="24"/>
  <c r="AI57" i="24"/>
  <c r="AK57" i="24"/>
  <c r="AM57" i="24"/>
  <c r="T58" i="24"/>
  <c r="V58" i="24"/>
  <c r="Y58" i="24"/>
  <c r="AD58" i="24"/>
  <c r="AN58" i="24" s="1"/>
  <c r="AE58" i="24"/>
  <c r="AF58" i="24"/>
  <c r="AG58" i="24" s="1"/>
  <c r="AH58" i="24"/>
  <c r="AI58" i="24" s="1"/>
  <c r="AK58" i="24"/>
  <c r="AM58" i="24"/>
  <c r="T59" i="24"/>
  <c r="AD59" i="24" s="1"/>
  <c r="V59" i="24"/>
  <c r="Y59" i="24"/>
  <c r="AE59" i="24"/>
  <c r="AF59" i="24"/>
  <c r="AG59" i="24" s="1"/>
  <c r="AK59" i="24"/>
  <c r="AM59" i="24"/>
  <c r="T60" i="24"/>
  <c r="AE60" i="24" s="1"/>
  <c r="V60" i="24"/>
  <c r="Y60" i="24"/>
  <c r="AD60" i="24"/>
  <c r="AF60" i="24"/>
  <c r="AG60" i="24" s="1"/>
  <c r="AK60" i="24"/>
  <c r="AM60" i="24"/>
  <c r="T61" i="24"/>
  <c r="V61" i="24"/>
  <c r="Y61" i="24"/>
  <c r="AD61" i="24"/>
  <c r="AE61" i="24"/>
  <c r="AF61" i="24"/>
  <c r="AG61" i="24"/>
  <c r="AH61" i="24"/>
  <c r="AI61" i="24" s="1"/>
  <c r="AK61" i="24"/>
  <c r="AM61" i="24"/>
  <c r="T62" i="24"/>
  <c r="AD62" i="24" s="1"/>
  <c r="V62" i="24"/>
  <c r="Y62" i="24"/>
  <c r="AF62" i="24"/>
  <c r="AG62" i="24" s="1"/>
  <c r="AK62" i="24"/>
  <c r="AM62" i="24"/>
  <c r="T63" i="24"/>
  <c r="AE63" i="24" s="1"/>
  <c r="V63" i="24"/>
  <c r="Y63" i="24"/>
  <c r="AD63" i="24"/>
  <c r="AF63" i="24"/>
  <c r="AG63" i="24"/>
  <c r="AK63" i="24"/>
  <c r="AM63" i="24"/>
  <c r="T64" i="24"/>
  <c r="V64" i="24"/>
  <c r="Y64" i="24"/>
  <c r="AD64" i="24"/>
  <c r="AE64" i="24"/>
  <c r="AF64" i="24"/>
  <c r="AG64" i="24"/>
  <c r="AH64" i="24"/>
  <c r="AI64" i="24" s="1"/>
  <c r="AJ64" i="24" s="1"/>
  <c r="AK64" i="24"/>
  <c r="AM64" i="24"/>
  <c r="T28" i="23"/>
  <c r="AH28" i="23" s="1"/>
  <c r="AI28" i="23" s="1"/>
  <c r="V28" i="23"/>
  <c r="Y28" i="23"/>
  <c r="AF28" i="23"/>
  <c r="AG28" i="23" s="1"/>
  <c r="AK28" i="23"/>
  <c r="AM28" i="23"/>
  <c r="T29" i="23"/>
  <c r="AH29" i="23" s="1"/>
  <c r="AI29" i="23" s="1"/>
  <c r="V29" i="23"/>
  <c r="Y29" i="23"/>
  <c r="AF29" i="23"/>
  <c r="AG29" i="23" s="1"/>
  <c r="AK29" i="23"/>
  <c r="T30" i="23"/>
  <c r="AD30" i="23" s="1"/>
  <c r="V30" i="23"/>
  <c r="Y30" i="23"/>
  <c r="AF30" i="23"/>
  <c r="AG30" i="23" s="1"/>
  <c r="AK30" i="23"/>
  <c r="T31" i="23"/>
  <c r="AD31" i="23" s="1"/>
  <c r="V31" i="23"/>
  <c r="Y31" i="23"/>
  <c r="AF31" i="23"/>
  <c r="AG31" i="23" s="1"/>
  <c r="AK31" i="23"/>
  <c r="T32" i="23"/>
  <c r="AE32" i="23" s="1"/>
  <c r="V32" i="23"/>
  <c r="Y32" i="23"/>
  <c r="AF32" i="23"/>
  <c r="AG32" i="23" s="1"/>
  <c r="AK32" i="23"/>
  <c r="T33" i="23"/>
  <c r="AD33" i="23" s="1"/>
  <c r="V33" i="23"/>
  <c r="Y33" i="23"/>
  <c r="AF33" i="23"/>
  <c r="AG33" i="23" s="1"/>
  <c r="AK33" i="23"/>
  <c r="AM33" i="23"/>
  <c r="T34" i="23"/>
  <c r="AD34" i="23" s="1"/>
  <c r="V34" i="23"/>
  <c r="Y34" i="23"/>
  <c r="AF34" i="23"/>
  <c r="AG34" i="23" s="1"/>
  <c r="AK34" i="23"/>
  <c r="AM34" i="23"/>
  <c r="T35" i="23"/>
  <c r="AD35" i="23" s="1"/>
  <c r="V35" i="23"/>
  <c r="Y35" i="23"/>
  <c r="AF35" i="23"/>
  <c r="AG35" i="23" s="1"/>
  <c r="AK35" i="23"/>
  <c r="T36" i="23"/>
  <c r="AH36" i="23" s="1"/>
  <c r="AI36" i="23" s="1"/>
  <c r="V36" i="23"/>
  <c r="Y36" i="23"/>
  <c r="AF36" i="23"/>
  <c r="AG36" i="23" s="1"/>
  <c r="AK36" i="23"/>
  <c r="AM36" i="23"/>
  <c r="T37" i="23"/>
  <c r="AD37" i="23" s="1"/>
  <c r="V37" i="23"/>
  <c r="Y37" i="23"/>
  <c r="AF37" i="23"/>
  <c r="AG37" i="23" s="1"/>
  <c r="AK37" i="23"/>
  <c r="T38" i="23"/>
  <c r="AE38" i="23" s="1"/>
  <c r="V38" i="23"/>
  <c r="Y38" i="23"/>
  <c r="AF38" i="23"/>
  <c r="AG38" i="23" s="1"/>
  <c r="AK38" i="23"/>
  <c r="T39" i="23"/>
  <c r="AE39" i="23" s="1"/>
  <c r="V39" i="23"/>
  <c r="Y39" i="23"/>
  <c r="AF39" i="23"/>
  <c r="AG39" i="23" s="1"/>
  <c r="AK39" i="23"/>
  <c r="AM39" i="23"/>
  <c r="T40" i="23"/>
  <c r="AH40" i="23" s="1"/>
  <c r="AI40" i="23" s="1"/>
  <c r="V40" i="23"/>
  <c r="Y40" i="23"/>
  <c r="AF40" i="23"/>
  <c r="AG40" i="23" s="1"/>
  <c r="AK40" i="23"/>
  <c r="T41" i="23"/>
  <c r="AH41" i="23" s="1"/>
  <c r="AI41" i="23" s="1"/>
  <c r="V41" i="23"/>
  <c r="Y41" i="23"/>
  <c r="AF41" i="23"/>
  <c r="AG41" i="23" s="1"/>
  <c r="AK41" i="23"/>
  <c r="T42" i="23"/>
  <c r="AD42" i="23" s="1"/>
  <c r="V42" i="23"/>
  <c r="Y42" i="23"/>
  <c r="AF42" i="23"/>
  <c r="AG42" i="23" s="1"/>
  <c r="AK42" i="23"/>
  <c r="AM42" i="23"/>
  <c r="T43" i="23"/>
  <c r="AD43" i="23" s="1"/>
  <c r="V43" i="23"/>
  <c r="Y43" i="23"/>
  <c r="AF43" i="23"/>
  <c r="AG43" i="23" s="1"/>
  <c r="AK43" i="23"/>
  <c r="T44" i="23"/>
  <c r="AE44" i="23" s="1"/>
  <c r="V44" i="23"/>
  <c r="Y44" i="23"/>
  <c r="AF44" i="23"/>
  <c r="AG44" i="23" s="1"/>
  <c r="AK44" i="23"/>
  <c r="T45" i="23"/>
  <c r="V45" i="23"/>
  <c r="Y45" i="23"/>
  <c r="AD45" i="23"/>
  <c r="AN45" i="23" s="1"/>
  <c r="AE45" i="23"/>
  <c r="AF45" i="23"/>
  <c r="AG45" i="23"/>
  <c r="AH45" i="23"/>
  <c r="AI45" i="23" s="1"/>
  <c r="AJ45" i="23" s="1"/>
  <c r="AK45" i="23"/>
  <c r="AM45" i="23"/>
  <c r="T46" i="23"/>
  <c r="AD46" i="23" s="1"/>
  <c r="V46" i="23"/>
  <c r="Y46" i="23"/>
  <c r="AE46" i="23"/>
  <c r="AF46" i="23"/>
  <c r="AG46" i="23" s="1"/>
  <c r="AK46" i="23"/>
  <c r="AM46" i="23"/>
  <c r="T47" i="23"/>
  <c r="AD47" i="23" s="1"/>
  <c r="V47" i="23"/>
  <c r="Y47" i="23"/>
  <c r="AF47" i="23"/>
  <c r="AG47" i="23" s="1"/>
  <c r="AK47" i="23"/>
  <c r="AM47" i="23"/>
  <c r="T48" i="23"/>
  <c r="V48" i="23"/>
  <c r="Y48" i="23"/>
  <c r="AD48" i="23"/>
  <c r="AE48" i="23"/>
  <c r="AF48" i="23"/>
  <c r="AG48" i="23"/>
  <c r="AH48" i="23"/>
  <c r="AI48" i="23" s="1"/>
  <c r="AK48" i="23"/>
  <c r="AM48" i="23"/>
  <c r="T49" i="23"/>
  <c r="AD49" i="23" s="1"/>
  <c r="V49" i="23"/>
  <c r="Y49" i="23"/>
  <c r="AF49" i="23"/>
  <c r="AG49" i="23" s="1"/>
  <c r="AH49" i="23"/>
  <c r="AI49" i="23" s="1"/>
  <c r="AK49" i="23"/>
  <c r="AM49" i="23"/>
  <c r="T50" i="23"/>
  <c r="AE50" i="23" s="1"/>
  <c r="V50" i="23"/>
  <c r="Y50" i="23"/>
  <c r="AD50" i="23"/>
  <c r="AF50" i="23"/>
  <c r="AG50" i="23"/>
  <c r="AK50" i="23"/>
  <c r="AM50" i="23"/>
  <c r="T51" i="23"/>
  <c r="V51" i="23"/>
  <c r="Y51" i="23"/>
  <c r="AD51" i="23"/>
  <c r="AN51" i="23" s="1"/>
  <c r="AE51" i="23"/>
  <c r="AF51" i="23"/>
  <c r="AG51" i="23"/>
  <c r="AH51" i="23"/>
  <c r="AI51" i="23" s="1"/>
  <c r="AJ51" i="23" s="1"/>
  <c r="AK51" i="23"/>
  <c r="AM51" i="23"/>
  <c r="T52" i="23"/>
  <c r="AH52" i="23" s="1"/>
  <c r="AI52" i="23" s="1"/>
  <c r="V52" i="23"/>
  <c r="Y52" i="23"/>
  <c r="AE52" i="23"/>
  <c r="AF52" i="23"/>
  <c r="AG52" i="23" s="1"/>
  <c r="AK52" i="23"/>
  <c r="AM52" i="23"/>
  <c r="T53" i="23"/>
  <c r="AH53" i="23" s="1"/>
  <c r="AI53" i="23" s="1"/>
  <c r="V53" i="23"/>
  <c r="Y53" i="23"/>
  <c r="AF53" i="23"/>
  <c r="AG53" i="23" s="1"/>
  <c r="AK53" i="23"/>
  <c r="AM53" i="23"/>
  <c r="T54" i="23"/>
  <c r="AD54" i="23" s="1"/>
  <c r="V54" i="23"/>
  <c r="Y54" i="23"/>
  <c r="AE54" i="23"/>
  <c r="AF54" i="23"/>
  <c r="AG54" i="23"/>
  <c r="AH54" i="23"/>
  <c r="AI54" i="23" s="1"/>
  <c r="AK54" i="23"/>
  <c r="AM54" i="23"/>
  <c r="T55" i="23"/>
  <c r="AD55" i="23" s="1"/>
  <c r="V55" i="23"/>
  <c r="Y55" i="23"/>
  <c r="AF55" i="23"/>
  <c r="AG55" i="23" s="1"/>
  <c r="AH55" i="23"/>
  <c r="AI55" i="23" s="1"/>
  <c r="AK55" i="23"/>
  <c r="AM55" i="23"/>
  <c r="T56" i="23"/>
  <c r="AE56" i="23" s="1"/>
  <c r="V56" i="23"/>
  <c r="Y56" i="23"/>
  <c r="AD56" i="23"/>
  <c r="AF56" i="23"/>
  <c r="AG56" i="23"/>
  <c r="AL56" i="23" s="1"/>
  <c r="AH56" i="23"/>
  <c r="AI56" i="23"/>
  <c r="AJ56" i="23" s="1"/>
  <c r="AK56" i="23"/>
  <c r="AM56" i="23"/>
  <c r="T57" i="23"/>
  <c r="V57" i="23"/>
  <c r="Y57" i="23"/>
  <c r="AD57" i="23"/>
  <c r="AE57" i="23"/>
  <c r="AF57" i="23"/>
  <c r="AG57" i="23"/>
  <c r="AL57" i="23" s="1"/>
  <c r="AH57" i="23"/>
  <c r="AI57" i="23" s="1"/>
  <c r="AJ57" i="23" s="1"/>
  <c r="AK57" i="23"/>
  <c r="AM57" i="23"/>
  <c r="T69" i="22"/>
  <c r="AH69" i="22" s="1"/>
  <c r="AI69" i="22" s="1"/>
  <c r="V69" i="22"/>
  <c r="Y69" i="22"/>
  <c r="AF69" i="22"/>
  <c r="AG69" i="22" s="1"/>
  <c r="AK69" i="22"/>
  <c r="T70" i="22"/>
  <c r="AH70" i="22" s="1"/>
  <c r="AI70" i="22" s="1"/>
  <c r="V70" i="22"/>
  <c r="Y70" i="22"/>
  <c r="AF70" i="22"/>
  <c r="AG70" i="22" s="1"/>
  <c r="AK70" i="22"/>
  <c r="T71" i="22"/>
  <c r="AH71" i="22" s="1"/>
  <c r="AI71" i="22" s="1"/>
  <c r="V71" i="22"/>
  <c r="Y71" i="22"/>
  <c r="AF71" i="22"/>
  <c r="AG71" i="22" s="1"/>
  <c r="AK71" i="22"/>
  <c r="AM71" i="22"/>
  <c r="T72" i="22"/>
  <c r="AD72" i="22" s="1"/>
  <c r="V72" i="22"/>
  <c r="Y72" i="22"/>
  <c r="AF72" i="22"/>
  <c r="AG72" i="22" s="1"/>
  <c r="AK72" i="22"/>
  <c r="T73" i="22"/>
  <c r="AD73" i="22" s="1"/>
  <c r="V73" i="22"/>
  <c r="Y73" i="22"/>
  <c r="AF73" i="22"/>
  <c r="AG73" i="22" s="1"/>
  <c r="AK73" i="22"/>
  <c r="T74" i="22"/>
  <c r="AE74" i="22" s="1"/>
  <c r="V74" i="22"/>
  <c r="Y74" i="22"/>
  <c r="AF74" i="22"/>
  <c r="AG74" i="22" s="1"/>
  <c r="AK74" i="22"/>
  <c r="T75" i="22"/>
  <c r="AD75" i="22" s="1"/>
  <c r="V75" i="22"/>
  <c r="Y75" i="22"/>
  <c r="AF75" i="22"/>
  <c r="AG75" i="22" s="1"/>
  <c r="AK75" i="22"/>
  <c r="AM75" i="22"/>
  <c r="T76" i="22"/>
  <c r="AD76" i="22" s="1"/>
  <c r="V76" i="22"/>
  <c r="Y76" i="22"/>
  <c r="AF76" i="22"/>
  <c r="AG76" i="22" s="1"/>
  <c r="AK76" i="22"/>
  <c r="T77" i="22"/>
  <c r="AD77" i="22" s="1"/>
  <c r="V77" i="22"/>
  <c r="Y77" i="22"/>
  <c r="AF77" i="22"/>
  <c r="AG77" i="22" s="1"/>
  <c r="AK77" i="22"/>
  <c r="T78" i="22"/>
  <c r="AD78" i="22" s="1"/>
  <c r="V78" i="22"/>
  <c r="Y78" i="22"/>
  <c r="AF78" i="22"/>
  <c r="AG78" i="22" s="1"/>
  <c r="AK78" i="22"/>
  <c r="T79" i="22"/>
  <c r="AE79" i="22" s="1"/>
  <c r="V79" i="22"/>
  <c r="Y79" i="22"/>
  <c r="AF79" i="22"/>
  <c r="AG79" i="22" s="1"/>
  <c r="AK79" i="22"/>
  <c r="T80" i="22"/>
  <c r="AH80" i="22" s="1"/>
  <c r="AI80" i="22" s="1"/>
  <c r="V80" i="22"/>
  <c r="Y80" i="22"/>
  <c r="AF80" i="22"/>
  <c r="AG80" i="22" s="1"/>
  <c r="AK80" i="22"/>
  <c r="AM80" i="22"/>
  <c r="T81" i="22"/>
  <c r="AH81" i="22" s="1"/>
  <c r="AI81" i="22" s="1"/>
  <c r="V81" i="22"/>
  <c r="Y81" i="22"/>
  <c r="AF81" i="22"/>
  <c r="AG81" i="22" s="1"/>
  <c r="AK81" i="22"/>
  <c r="T82" i="22"/>
  <c r="AH82" i="22" s="1"/>
  <c r="AI82" i="22" s="1"/>
  <c r="V82" i="22"/>
  <c r="Y82" i="22"/>
  <c r="AF82" i="22"/>
  <c r="AG82" i="22" s="1"/>
  <c r="AK82" i="22"/>
  <c r="AM82" i="22"/>
  <c r="T83" i="22"/>
  <c r="AH83" i="22" s="1"/>
  <c r="AI83" i="22" s="1"/>
  <c r="V83" i="22"/>
  <c r="Y83" i="22"/>
  <c r="AF83" i="22"/>
  <c r="AG83" i="22" s="1"/>
  <c r="AK83" i="22"/>
  <c r="T84" i="22"/>
  <c r="AD84" i="22" s="1"/>
  <c r="V84" i="22"/>
  <c r="Y84" i="22"/>
  <c r="AF84" i="22"/>
  <c r="AG84" i="22" s="1"/>
  <c r="AK84" i="22"/>
  <c r="AM84" i="22"/>
  <c r="T85" i="22"/>
  <c r="AD85" i="22" s="1"/>
  <c r="V85" i="22"/>
  <c r="Y85" i="22"/>
  <c r="AF85" i="22"/>
  <c r="AG85" i="22" s="1"/>
  <c r="AK85" i="22"/>
  <c r="AM85" i="22"/>
  <c r="T86" i="22"/>
  <c r="AE86" i="22" s="1"/>
  <c r="V86" i="22"/>
  <c r="Y86" i="22"/>
  <c r="AF86" i="22"/>
  <c r="AG86" i="22" s="1"/>
  <c r="AK86" i="22"/>
  <c r="T87" i="22"/>
  <c r="AE87" i="22" s="1"/>
  <c r="V87" i="22"/>
  <c r="Y87" i="22"/>
  <c r="AF87" i="22"/>
  <c r="AG87" i="22" s="1"/>
  <c r="AK87" i="22"/>
  <c r="AM87" i="22"/>
  <c r="T88" i="22"/>
  <c r="AD88" i="22" s="1"/>
  <c r="V88" i="22"/>
  <c r="Y88" i="22"/>
  <c r="AF88" i="22"/>
  <c r="AG88" i="22" s="1"/>
  <c r="AK88" i="22"/>
  <c r="T81" i="20"/>
  <c r="AH81" i="20" s="1"/>
  <c r="AI81" i="20" s="1"/>
  <c r="V81" i="20"/>
  <c r="Y81" i="20"/>
  <c r="AF81" i="20"/>
  <c r="AG81" i="20" s="1"/>
  <c r="AK81" i="20"/>
  <c r="AM81" i="20"/>
  <c r="T82" i="20"/>
  <c r="AH82" i="20" s="1"/>
  <c r="AI82" i="20" s="1"/>
  <c r="V82" i="20"/>
  <c r="Y82" i="20"/>
  <c r="AF82" i="20"/>
  <c r="AG82" i="20" s="1"/>
  <c r="AK82" i="20"/>
  <c r="T83" i="20"/>
  <c r="AH83" i="20" s="1"/>
  <c r="AI83" i="20" s="1"/>
  <c r="V83" i="20"/>
  <c r="Y83" i="20"/>
  <c r="AF83" i="20"/>
  <c r="AG83" i="20"/>
  <c r="AK83" i="20"/>
  <c r="AM83" i="20"/>
  <c r="T84" i="20"/>
  <c r="AD84" i="20" s="1"/>
  <c r="V84" i="20"/>
  <c r="Y84" i="20"/>
  <c r="AF84" i="20"/>
  <c r="AG84" i="20" s="1"/>
  <c r="AK84" i="20"/>
  <c r="AM84" i="20"/>
  <c r="T85" i="20"/>
  <c r="AE85" i="20" s="1"/>
  <c r="V85" i="20"/>
  <c r="Y85" i="20"/>
  <c r="AF85" i="20"/>
  <c r="AG85" i="20" s="1"/>
  <c r="AH85" i="20"/>
  <c r="AI85" i="20" s="1"/>
  <c r="AK85" i="20"/>
  <c r="T86" i="20"/>
  <c r="AD86" i="20" s="1"/>
  <c r="V86" i="20"/>
  <c r="Y86" i="20"/>
  <c r="AF86" i="20"/>
  <c r="AG86" i="20" s="1"/>
  <c r="AH86" i="20"/>
  <c r="AI86" i="20" s="1"/>
  <c r="AL86" i="20" s="1"/>
  <c r="AK86" i="20"/>
  <c r="AM86" i="20"/>
  <c r="T87" i="20"/>
  <c r="AE87" i="20" s="1"/>
  <c r="V87" i="20"/>
  <c r="Y87" i="20"/>
  <c r="AF87" i="20"/>
  <c r="AG87" i="20" s="1"/>
  <c r="AK87" i="20"/>
  <c r="T88" i="20"/>
  <c r="AH88" i="20" s="1"/>
  <c r="AI88" i="20" s="1"/>
  <c r="V88" i="20"/>
  <c r="Y88" i="20"/>
  <c r="AD88" i="20"/>
  <c r="AF88" i="20"/>
  <c r="AG88" i="20" s="1"/>
  <c r="AK88" i="20"/>
  <c r="AM88" i="20"/>
  <c r="T89" i="20"/>
  <c r="AD89" i="20" s="1"/>
  <c r="V89" i="20"/>
  <c r="Y89" i="20"/>
  <c r="AF89" i="20"/>
  <c r="AG89" i="20" s="1"/>
  <c r="AK89" i="20"/>
  <c r="T90" i="20"/>
  <c r="AE90" i="20" s="1"/>
  <c r="V90" i="20"/>
  <c r="Y90" i="20"/>
  <c r="AF90" i="20"/>
  <c r="AG90" i="20" s="1"/>
  <c r="AK90" i="20"/>
  <c r="T91" i="20"/>
  <c r="AD91" i="20" s="1"/>
  <c r="V91" i="20"/>
  <c r="Y91" i="20"/>
  <c r="AF91" i="20"/>
  <c r="AG91" i="20" s="1"/>
  <c r="AK91" i="20"/>
  <c r="T92" i="20"/>
  <c r="AE92" i="20" s="1"/>
  <c r="V92" i="20"/>
  <c r="Y92" i="20"/>
  <c r="AF92" i="20"/>
  <c r="AG92" i="20" s="1"/>
  <c r="AK92" i="20"/>
  <c r="T93" i="20"/>
  <c r="AH93" i="20" s="1"/>
  <c r="AI93" i="20" s="1"/>
  <c r="V93" i="20"/>
  <c r="Y93" i="20"/>
  <c r="AF93" i="20"/>
  <c r="AG93" i="20" s="1"/>
  <c r="AK93" i="20"/>
  <c r="T94" i="20"/>
  <c r="AH94" i="20" s="1"/>
  <c r="AI94" i="20" s="1"/>
  <c r="V94" i="20"/>
  <c r="Y94" i="20"/>
  <c r="AF94" i="20"/>
  <c r="AG94" i="20" s="1"/>
  <c r="AK94" i="20"/>
  <c r="AM94" i="20"/>
  <c r="T95" i="20"/>
  <c r="AH95" i="20" s="1"/>
  <c r="AI95" i="20" s="1"/>
  <c r="V95" i="20"/>
  <c r="Y95" i="20"/>
  <c r="AF95" i="20"/>
  <c r="AG95" i="20" s="1"/>
  <c r="AK95" i="20"/>
  <c r="T96" i="20"/>
  <c r="AD96" i="20" s="1"/>
  <c r="V96" i="20"/>
  <c r="Y96" i="20"/>
  <c r="AF96" i="20"/>
  <c r="AG96" i="20" s="1"/>
  <c r="AK96" i="20"/>
  <c r="AM96" i="20"/>
  <c r="T97" i="20"/>
  <c r="AE97" i="20" s="1"/>
  <c r="V97" i="20"/>
  <c r="Y97" i="20"/>
  <c r="AF97" i="20"/>
  <c r="AG97" i="20" s="1"/>
  <c r="AK97" i="20"/>
  <c r="AM97" i="20"/>
  <c r="T98" i="20"/>
  <c r="AD98" i="20" s="1"/>
  <c r="V98" i="20"/>
  <c r="Y98" i="20"/>
  <c r="AF98" i="20"/>
  <c r="AG98" i="20" s="1"/>
  <c r="AK98" i="20"/>
  <c r="AM98" i="20"/>
  <c r="T99" i="20"/>
  <c r="AE99" i="20" s="1"/>
  <c r="V99" i="20"/>
  <c r="Y99" i="20"/>
  <c r="AF99" i="20"/>
  <c r="AG99" i="20" s="1"/>
  <c r="AK99" i="20"/>
  <c r="AM99" i="20"/>
  <c r="T100" i="20"/>
  <c r="AH100" i="20" s="1"/>
  <c r="AI100" i="20" s="1"/>
  <c r="V100" i="20"/>
  <c r="Y100" i="20"/>
  <c r="AD100" i="20"/>
  <c r="AE100" i="20"/>
  <c r="AF100" i="20"/>
  <c r="AG100" i="20" s="1"/>
  <c r="AJ100" i="20" s="1"/>
  <c r="AK100" i="20"/>
  <c r="AM100" i="20"/>
  <c r="T101" i="20"/>
  <c r="AD101" i="20" s="1"/>
  <c r="V101" i="20"/>
  <c r="Y101" i="20"/>
  <c r="AF101" i="20"/>
  <c r="AG101" i="20" s="1"/>
  <c r="AK101" i="20"/>
  <c r="AM101" i="20"/>
  <c r="T102" i="20"/>
  <c r="AE102" i="20" s="1"/>
  <c r="V102" i="20"/>
  <c r="Y102" i="20"/>
  <c r="AF102" i="20"/>
  <c r="AG102" i="20" s="1"/>
  <c r="AK102" i="20"/>
  <c r="T103" i="20"/>
  <c r="AD103" i="20" s="1"/>
  <c r="V103" i="20"/>
  <c r="Y103" i="20"/>
  <c r="AF103" i="20"/>
  <c r="AG103" i="20" s="1"/>
  <c r="AK103" i="20"/>
  <c r="AM103" i="20"/>
  <c r="T104" i="20"/>
  <c r="AE104" i="20" s="1"/>
  <c r="V104" i="20"/>
  <c r="Y104" i="20"/>
  <c r="AF104" i="20"/>
  <c r="AG104" i="20" s="1"/>
  <c r="AK104" i="20"/>
  <c r="AM104" i="20"/>
  <c r="T105" i="20"/>
  <c r="AH105" i="20" s="1"/>
  <c r="AI105" i="20" s="1"/>
  <c r="V105" i="20"/>
  <c r="Y105" i="20"/>
  <c r="AF105" i="20"/>
  <c r="AG105" i="20" s="1"/>
  <c r="AK105" i="20"/>
  <c r="T106" i="20"/>
  <c r="AH106" i="20" s="1"/>
  <c r="AI106" i="20" s="1"/>
  <c r="V106" i="20"/>
  <c r="Y106" i="20"/>
  <c r="AF106" i="20"/>
  <c r="AG106" i="20" s="1"/>
  <c r="AK106" i="20"/>
  <c r="T107" i="20"/>
  <c r="AH107" i="20" s="1"/>
  <c r="AI107" i="20" s="1"/>
  <c r="V107" i="20"/>
  <c r="Y107" i="20"/>
  <c r="AF107" i="20"/>
  <c r="AG107" i="20" s="1"/>
  <c r="AK107" i="20"/>
  <c r="AM107" i="20"/>
  <c r="T108" i="20"/>
  <c r="AD108" i="20" s="1"/>
  <c r="V108" i="20"/>
  <c r="Y108" i="20"/>
  <c r="AF108" i="20"/>
  <c r="AG108" i="20" s="1"/>
  <c r="AK108" i="20"/>
  <c r="T109" i="20"/>
  <c r="AD109" i="20" s="1"/>
  <c r="V109" i="20"/>
  <c r="Y109" i="20"/>
  <c r="AE109" i="20"/>
  <c r="AF109" i="20"/>
  <c r="AG109" i="20" s="1"/>
  <c r="AK109" i="20"/>
  <c r="AM109" i="20"/>
  <c r="T110" i="20"/>
  <c r="AH110" i="20" s="1"/>
  <c r="AI110" i="20" s="1"/>
  <c r="V110" i="20"/>
  <c r="Y110" i="20"/>
  <c r="AD110" i="20"/>
  <c r="AF110" i="20"/>
  <c r="AG110" i="20" s="1"/>
  <c r="AK110" i="20"/>
  <c r="AM110" i="20"/>
  <c r="T111" i="20"/>
  <c r="AE111" i="20" s="1"/>
  <c r="V111" i="20"/>
  <c r="Y111" i="20"/>
  <c r="AF111" i="20"/>
  <c r="AG111" i="20" s="1"/>
  <c r="AK111" i="20"/>
  <c r="AM111" i="20"/>
  <c r="T112" i="20"/>
  <c r="AH112" i="20" s="1"/>
  <c r="AI112" i="20" s="1"/>
  <c r="V112" i="20"/>
  <c r="Y112" i="20"/>
  <c r="AF112" i="20"/>
  <c r="AG112" i="20" s="1"/>
  <c r="AK112" i="20"/>
  <c r="AM112" i="20"/>
  <c r="T113" i="20"/>
  <c r="AD113" i="20" s="1"/>
  <c r="V113" i="20"/>
  <c r="Y113" i="20"/>
  <c r="AF113" i="20"/>
  <c r="AG113" i="20" s="1"/>
  <c r="AK113" i="20"/>
  <c r="AM113" i="20"/>
  <c r="T114" i="20"/>
  <c r="AE114" i="20" s="1"/>
  <c r="V114" i="20"/>
  <c r="Y114" i="20"/>
  <c r="AF114" i="20"/>
  <c r="AG114" i="20"/>
  <c r="AK114" i="20"/>
  <c r="AM114" i="20"/>
  <c r="T115" i="20"/>
  <c r="AH115" i="20" s="1"/>
  <c r="AI115" i="20" s="1"/>
  <c r="V115" i="20"/>
  <c r="Y115" i="20"/>
  <c r="AF115" i="20"/>
  <c r="AG115" i="20" s="1"/>
  <c r="AK115" i="20"/>
  <c r="T116" i="20"/>
  <c r="AE116" i="20" s="1"/>
  <c r="V116" i="20"/>
  <c r="Y116" i="20"/>
  <c r="AD116" i="20"/>
  <c r="AF116" i="20"/>
  <c r="AG116" i="20" s="1"/>
  <c r="AK116" i="20"/>
  <c r="AM116" i="20"/>
  <c r="T117" i="20"/>
  <c r="AH117" i="20" s="1"/>
  <c r="AI117" i="20" s="1"/>
  <c r="V117" i="20"/>
  <c r="Y117" i="20"/>
  <c r="AD117" i="20"/>
  <c r="AF117" i="20"/>
  <c r="AG117" i="20" s="1"/>
  <c r="AK117" i="20"/>
  <c r="AM117" i="20"/>
  <c r="T118" i="20"/>
  <c r="AH118" i="20" s="1"/>
  <c r="AI118" i="20" s="1"/>
  <c r="V118" i="20"/>
  <c r="Y118" i="20"/>
  <c r="AF118" i="20"/>
  <c r="AG118" i="20" s="1"/>
  <c r="AK118" i="20"/>
  <c r="T119" i="20"/>
  <c r="AH119" i="20" s="1"/>
  <c r="AI119" i="20" s="1"/>
  <c r="V119" i="20"/>
  <c r="Y119" i="20"/>
  <c r="AF119" i="20"/>
  <c r="AG119" i="20" s="1"/>
  <c r="AJ119" i="20" s="1"/>
  <c r="AK119" i="20"/>
  <c r="T120" i="20"/>
  <c r="AD120" i="20" s="1"/>
  <c r="V120" i="20"/>
  <c r="Y120" i="20"/>
  <c r="AF120" i="20"/>
  <c r="AG120" i="20" s="1"/>
  <c r="AK120" i="20"/>
  <c r="AM120" i="20"/>
  <c r="T121" i="20"/>
  <c r="AD121" i="20" s="1"/>
  <c r="V121" i="20"/>
  <c r="Y121" i="20"/>
  <c r="AF121" i="20"/>
  <c r="AG121" i="20" s="1"/>
  <c r="AK121" i="20"/>
  <c r="AM121" i="20"/>
  <c r="T122" i="20"/>
  <c r="AH122" i="20" s="1"/>
  <c r="AI122" i="20" s="1"/>
  <c r="AJ122" i="20" s="1"/>
  <c r="V122" i="20"/>
  <c r="Y122" i="20"/>
  <c r="AD122" i="20"/>
  <c r="AN122" i="20" s="1"/>
  <c r="AE122" i="20"/>
  <c r="AF122" i="20"/>
  <c r="AG122" i="20"/>
  <c r="AK122" i="20"/>
  <c r="AM122" i="20"/>
  <c r="T123" i="20"/>
  <c r="AE123" i="20" s="1"/>
  <c r="V123" i="20"/>
  <c r="Y123" i="20"/>
  <c r="AD123" i="20"/>
  <c r="AF123" i="20"/>
  <c r="AG123" i="20" s="1"/>
  <c r="AH123" i="20"/>
  <c r="AI123" i="20" s="1"/>
  <c r="AK123" i="20"/>
  <c r="AM123" i="20"/>
  <c r="T124" i="20"/>
  <c r="V124" i="20"/>
  <c r="Y124" i="20"/>
  <c r="AD124" i="20"/>
  <c r="AE124" i="20"/>
  <c r="AN124" i="20" s="1"/>
  <c r="AF124" i="20"/>
  <c r="AG124" i="20"/>
  <c r="AJ124" i="20" s="1"/>
  <c r="AH124" i="20"/>
  <c r="AI124" i="20"/>
  <c r="AK124" i="20"/>
  <c r="AL124" i="20"/>
  <c r="AM124" i="20"/>
  <c r="T125" i="20"/>
  <c r="AD125" i="20" s="1"/>
  <c r="V125" i="20"/>
  <c r="Y125" i="20"/>
  <c r="AF125" i="20"/>
  <c r="AG125" i="20" s="1"/>
  <c r="AK125" i="20"/>
  <c r="AM125" i="20"/>
  <c r="T126" i="20"/>
  <c r="AE126" i="20" s="1"/>
  <c r="AN126" i="20" s="1"/>
  <c r="V126" i="20"/>
  <c r="Y126" i="20"/>
  <c r="AD126" i="20"/>
  <c r="AF126" i="20"/>
  <c r="AG126" i="20"/>
  <c r="AK126" i="20"/>
  <c r="AM126" i="20"/>
  <c r="T127" i="20"/>
  <c r="V127" i="20"/>
  <c r="Y127" i="20"/>
  <c r="AD127" i="20"/>
  <c r="AE127" i="20"/>
  <c r="AF127" i="20"/>
  <c r="AG127" i="20"/>
  <c r="AJ127" i="20" s="1"/>
  <c r="AH127" i="20"/>
  <c r="AI127" i="20" s="1"/>
  <c r="AL127" i="20" s="1"/>
  <c r="AK127" i="20"/>
  <c r="AM127" i="20"/>
  <c r="T128" i="20"/>
  <c r="AE128" i="20" s="1"/>
  <c r="V128" i="20"/>
  <c r="Y128" i="20"/>
  <c r="AD128" i="20"/>
  <c r="AF128" i="20"/>
  <c r="AG128" i="20" s="1"/>
  <c r="AK128" i="20"/>
  <c r="AM128" i="20"/>
  <c r="T129" i="20"/>
  <c r="AH129" i="20" s="1"/>
  <c r="AI129" i="20" s="1"/>
  <c r="AJ129" i="20" s="1"/>
  <c r="V129" i="20"/>
  <c r="Y129" i="20"/>
  <c r="AD129" i="20"/>
  <c r="AE129" i="20"/>
  <c r="AF129" i="20"/>
  <c r="AG129" i="20"/>
  <c r="AL129" i="20" s="1"/>
  <c r="AK129" i="20"/>
  <c r="AM129" i="20"/>
  <c r="T130" i="20"/>
  <c r="AH130" i="20" s="1"/>
  <c r="AI130" i="20" s="1"/>
  <c r="V130" i="20"/>
  <c r="Y130" i="20"/>
  <c r="AF130" i="20"/>
  <c r="AG130" i="20" s="1"/>
  <c r="AK130" i="20"/>
  <c r="AM130" i="20"/>
  <c r="T131" i="20"/>
  <c r="AH131" i="20" s="1"/>
  <c r="AI131" i="20" s="1"/>
  <c r="V131" i="20"/>
  <c r="Y131" i="20"/>
  <c r="AD131" i="20"/>
  <c r="AF131" i="20"/>
  <c r="AG131" i="20"/>
  <c r="AK131" i="20"/>
  <c r="AM131" i="20"/>
  <c r="T132" i="20"/>
  <c r="V132" i="20"/>
  <c r="Y132" i="20"/>
  <c r="AD132" i="20"/>
  <c r="AE132" i="20"/>
  <c r="AF132" i="20"/>
  <c r="AG132" i="20"/>
  <c r="AH132" i="20"/>
  <c r="AI132" i="20" s="1"/>
  <c r="AK132" i="20"/>
  <c r="AM132" i="20"/>
  <c r="T133" i="20"/>
  <c r="AD133" i="20" s="1"/>
  <c r="V133" i="20"/>
  <c r="Y133" i="20"/>
  <c r="AF133" i="20"/>
  <c r="AG133" i="20" s="1"/>
  <c r="AH133" i="20"/>
  <c r="AI133" i="20"/>
  <c r="AK133" i="20"/>
  <c r="AM133" i="20"/>
  <c r="T25" i="14"/>
  <c r="AH25" i="14" s="1"/>
  <c r="AI25" i="14" s="1"/>
  <c r="V25" i="14"/>
  <c r="Y25" i="14"/>
  <c r="AF25" i="14"/>
  <c r="AG25" i="14" s="1"/>
  <c r="AK25" i="14"/>
  <c r="AM25" i="14"/>
  <c r="T26" i="14"/>
  <c r="AH26" i="14" s="1"/>
  <c r="AI26" i="14" s="1"/>
  <c r="V26" i="14"/>
  <c r="Y26" i="14"/>
  <c r="AF26" i="14"/>
  <c r="AG26" i="14" s="1"/>
  <c r="AK26" i="14"/>
  <c r="AM26" i="14"/>
  <c r="T27" i="14"/>
  <c r="AH27" i="14" s="1"/>
  <c r="AI27" i="14" s="1"/>
  <c r="V27" i="14"/>
  <c r="Y27" i="14"/>
  <c r="AF27" i="14"/>
  <c r="AG27" i="14" s="1"/>
  <c r="AK27" i="14"/>
  <c r="T28" i="14"/>
  <c r="AE28" i="14" s="1"/>
  <c r="V28" i="14"/>
  <c r="Y28" i="14"/>
  <c r="AF28" i="14"/>
  <c r="AG28" i="14" s="1"/>
  <c r="AK28" i="14"/>
  <c r="T29" i="14"/>
  <c r="AH29" i="14" s="1"/>
  <c r="AI29" i="14" s="1"/>
  <c r="V29" i="14"/>
  <c r="Y29" i="14"/>
  <c r="AF29" i="14"/>
  <c r="AG29" i="14" s="1"/>
  <c r="AK29" i="14"/>
  <c r="T30" i="14"/>
  <c r="AE30" i="14" s="1"/>
  <c r="V30" i="14"/>
  <c r="Y30" i="14"/>
  <c r="AD30" i="14"/>
  <c r="AF30" i="14"/>
  <c r="AG30" i="14" s="1"/>
  <c r="AK30" i="14"/>
  <c r="T31" i="14"/>
  <c r="AH31" i="14" s="1"/>
  <c r="AI31" i="14" s="1"/>
  <c r="V31" i="14"/>
  <c r="Y31" i="14"/>
  <c r="AF31" i="14"/>
  <c r="AG31" i="14" s="1"/>
  <c r="AK31" i="14"/>
  <c r="T32" i="14"/>
  <c r="AD32" i="14" s="1"/>
  <c r="V32" i="14"/>
  <c r="Y32" i="14"/>
  <c r="AF32" i="14"/>
  <c r="AG32" i="14" s="1"/>
  <c r="AK32" i="14"/>
  <c r="T33" i="14"/>
  <c r="AD33" i="14" s="1"/>
  <c r="V33" i="14"/>
  <c r="Y33" i="14"/>
  <c r="AF33" i="14"/>
  <c r="AG33" i="14" s="1"/>
  <c r="AK33" i="14"/>
  <c r="AM33" i="14"/>
  <c r="T34" i="14"/>
  <c r="AD34" i="14" s="1"/>
  <c r="V34" i="14"/>
  <c r="Y34" i="14"/>
  <c r="AF34" i="14"/>
  <c r="AG34" i="14" s="1"/>
  <c r="AK34" i="14"/>
  <c r="AM34" i="14"/>
  <c r="T35" i="14"/>
  <c r="AH35" i="14" s="1"/>
  <c r="AI35" i="14" s="1"/>
  <c r="V35" i="14"/>
  <c r="Y35" i="14"/>
  <c r="AD35" i="14"/>
  <c r="AF35" i="14"/>
  <c r="AG35" i="14" s="1"/>
  <c r="AK35" i="14"/>
  <c r="T36" i="14"/>
  <c r="AE36" i="14" s="1"/>
  <c r="V36" i="14"/>
  <c r="Y36" i="14"/>
  <c r="AF36" i="14"/>
  <c r="AG36" i="14" s="1"/>
  <c r="AK36" i="14"/>
  <c r="T37" i="14"/>
  <c r="AH37" i="14" s="1"/>
  <c r="AI37" i="14" s="1"/>
  <c r="V37" i="14"/>
  <c r="Y37" i="14"/>
  <c r="AD37" i="14"/>
  <c r="AF37" i="14"/>
  <c r="AG37" i="14" s="1"/>
  <c r="AK37" i="14"/>
  <c r="AM37" i="14"/>
  <c r="T38" i="14"/>
  <c r="AH38" i="14" s="1"/>
  <c r="AI38" i="14" s="1"/>
  <c r="V38" i="14"/>
  <c r="Y38" i="14"/>
  <c r="AF38" i="14"/>
  <c r="AG38" i="14" s="1"/>
  <c r="AK38" i="14"/>
  <c r="AM38" i="14"/>
  <c r="T39" i="14"/>
  <c r="AH39" i="14" s="1"/>
  <c r="AI39" i="14" s="1"/>
  <c r="V39" i="14"/>
  <c r="Y39" i="14"/>
  <c r="AF39" i="14"/>
  <c r="AG39" i="14" s="1"/>
  <c r="AK39" i="14"/>
  <c r="AM39" i="14"/>
  <c r="T40" i="14"/>
  <c r="AE40" i="14" s="1"/>
  <c r="V40" i="14"/>
  <c r="Y40" i="14"/>
  <c r="AF40" i="14"/>
  <c r="AG40" i="14"/>
  <c r="AK40" i="14"/>
  <c r="AM40" i="14"/>
  <c r="T41" i="14"/>
  <c r="AD41" i="14" s="1"/>
  <c r="V41" i="14"/>
  <c r="Y41" i="14"/>
  <c r="AF41" i="14"/>
  <c r="AG41" i="14" s="1"/>
  <c r="AK41" i="14"/>
  <c r="T42" i="14"/>
  <c r="AE42" i="14" s="1"/>
  <c r="V42" i="14"/>
  <c r="Y42" i="14"/>
  <c r="AF42" i="14"/>
  <c r="AG42" i="14" s="1"/>
  <c r="AK42" i="14"/>
  <c r="T43" i="14"/>
  <c r="AH43" i="14" s="1"/>
  <c r="AI43" i="14" s="1"/>
  <c r="V43" i="14"/>
  <c r="Y43" i="14"/>
  <c r="AF43" i="14"/>
  <c r="AG43" i="14" s="1"/>
  <c r="AK43" i="14"/>
  <c r="T44" i="14"/>
  <c r="AD44" i="14" s="1"/>
  <c r="V44" i="14"/>
  <c r="Y44" i="14"/>
  <c r="AF44" i="14"/>
  <c r="AG44" i="14" s="1"/>
  <c r="AK44" i="14"/>
  <c r="T45" i="14"/>
  <c r="AD45" i="14" s="1"/>
  <c r="V45" i="14"/>
  <c r="Y45" i="14"/>
  <c r="AF45" i="14"/>
  <c r="AG45" i="14" s="1"/>
  <c r="AK45" i="14"/>
  <c r="T46" i="14"/>
  <c r="AD46" i="14" s="1"/>
  <c r="V46" i="14"/>
  <c r="Y46" i="14"/>
  <c r="AF46" i="14"/>
  <c r="AG46" i="14" s="1"/>
  <c r="AK46" i="14"/>
  <c r="T47" i="14"/>
  <c r="AD47" i="14" s="1"/>
  <c r="V47" i="14"/>
  <c r="Y47" i="14"/>
  <c r="AF47" i="14"/>
  <c r="AG47" i="14"/>
  <c r="AK47" i="14"/>
  <c r="AM47" i="14"/>
  <c r="T48" i="14"/>
  <c r="AE48" i="14" s="1"/>
  <c r="V48" i="14"/>
  <c r="Y48" i="14"/>
  <c r="AF48" i="14"/>
  <c r="AG48" i="14" s="1"/>
  <c r="AK48" i="14"/>
  <c r="AM48" i="14"/>
  <c r="T49" i="14"/>
  <c r="AH49" i="14" s="1"/>
  <c r="AI49" i="14" s="1"/>
  <c r="V49" i="14"/>
  <c r="Y49" i="14"/>
  <c r="AD49" i="14"/>
  <c r="AE49" i="14"/>
  <c r="AF49" i="14"/>
  <c r="AG49" i="14"/>
  <c r="AK49" i="14"/>
  <c r="AM49" i="14"/>
  <c r="T50" i="14"/>
  <c r="AH50" i="14" s="1"/>
  <c r="AI50" i="14" s="1"/>
  <c r="V50" i="14"/>
  <c r="Y50" i="14"/>
  <c r="AF50" i="14"/>
  <c r="AG50" i="14" s="1"/>
  <c r="AK50" i="14"/>
  <c r="AM50" i="14"/>
  <c r="T51" i="14"/>
  <c r="AH51" i="14" s="1"/>
  <c r="AI51" i="14" s="1"/>
  <c r="V51" i="14"/>
  <c r="Y51" i="14"/>
  <c r="AF51" i="14"/>
  <c r="AG51" i="14" s="1"/>
  <c r="AK51" i="14"/>
  <c r="AM51" i="14"/>
  <c r="T52" i="14"/>
  <c r="AE52" i="14" s="1"/>
  <c r="V52" i="14"/>
  <c r="Y52" i="14"/>
  <c r="AD52" i="14"/>
  <c r="AF52" i="14"/>
  <c r="AG52" i="14" s="1"/>
  <c r="AH52" i="14"/>
  <c r="AI52" i="14" s="1"/>
  <c r="AK52" i="14"/>
  <c r="AM52" i="14"/>
  <c r="T53" i="14"/>
  <c r="AE53" i="14" s="1"/>
  <c r="V53" i="14"/>
  <c r="Y53" i="14"/>
  <c r="AD53" i="14"/>
  <c r="AF53" i="14"/>
  <c r="AG53" i="14"/>
  <c r="AK53" i="14"/>
  <c r="AM53" i="14"/>
  <c r="T54" i="14"/>
  <c r="AE54" i="14" s="1"/>
  <c r="V54" i="14"/>
  <c r="Y54" i="14"/>
  <c r="AD54" i="14"/>
  <c r="AF54" i="14"/>
  <c r="AG54" i="14" s="1"/>
  <c r="AK54" i="14"/>
  <c r="AM54" i="14"/>
  <c r="T55" i="14"/>
  <c r="AH55" i="14" s="1"/>
  <c r="AI55" i="14" s="1"/>
  <c r="V55" i="14"/>
  <c r="Y55" i="14"/>
  <c r="AD55" i="14"/>
  <c r="AE55" i="14"/>
  <c r="AF55" i="14"/>
  <c r="AG55" i="14"/>
  <c r="AK55" i="14"/>
  <c r="AM55" i="14"/>
  <c r="T56" i="14"/>
  <c r="AE56" i="14" s="1"/>
  <c r="V56" i="14"/>
  <c r="Y56" i="14"/>
  <c r="AD56" i="14"/>
  <c r="AF56" i="14"/>
  <c r="AG56" i="14" s="1"/>
  <c r="AK56" i="14"/>
  <c r="AM56" i="14"/>
  <c r="T57" i="14"/>
  <c r="AD57" i="14" s="1"/>
  <c r="V57" i="14"/>
  <c r="Y57" i="14"/>
  <c r="AE57" i="14"/>
  <c r="AF57" i="14"/>
  <c r="AG57" i="14"/>
  <c r="AK57" i="14"/>
  <c r="AM57" i="14"/>
  <c r="T58" i="14"/>
  <c r="AD58" i="14" s="1"/>
  <c r="V58" i="14"/>
  <c r="Y58" i="14"/>
  <c r="AF58" i="14"/>
  <c r="AG58" i="14" s="1"/>
  <c r="AK58" i="14"/>
  <c r="AM58" i="14"/>
  <c r="T59" i="14"/>
  <c r="V59" i="14"/>
  <c r="Y59" i="14"/>
  <c r="AD59" i="14"/>
  <c r="AE59" i="14"/>
  <c r="AF59" i="14"/>
  <c r="AG59" i="14"/>
  <c r="AJ59" i="14" s="1"/>
  <c r="AH59" i="14"/>
  <c r="AI59" i="14"/>
  <c r="AK59" i="14"/>
  <c r="AM59" i="14"/>
  <c r="T60" i="14"/>
  <c r="AE60" i="14" s="1"/>
  <c r="V60" i="14"/>
  <c r="Y60" i="14"/>
  <c r="AD60" i="14"/>
  <c r="AF60" i="14"/>
  <c r="AG60" i="14" s="1"/>
  <c r="AH60" i="14"/>
  <c r="AI60" i="14" s="1"/>
  <c r="AK60" i="14"/>
  <c r="AM60" i="14"/>
  <c r="T25" i="13"/>
  <c r="AE25" i="13" s="1"/>
  <c r="V25" i="13"/>
  <c r="Y25" i="13"/>
  <c r="AF25" i="13"/>
  <c r="AG25" i="13" s="1"/>
  <c r="AK25" i="13"/>
  <c r="AM25" i="13"/>
  <c r="T26" i="13"/>
  <c r="AD26" i="13" s="1"/>
  <c r="V26" i="13"/>
  <c r="Y26" i="13"/>
  <c r="AF26" i="13"/>
  <c r="AG26" i="13" s="1"/>
  <c r="AK26" i="13"/>
  <c r="T27" i="13"/>
  <c r="AH27" i="13" s="1"/>
  <c r="AI27" i="13" s="1"/>
  <c r="V27" i="13"/>
  <c r="Y27" i="13"/>
  <c r="AF27" i="13"/>
  <c r="AG27" i="13" s="1"/>
  <c r="AK27" i="13"/>
  <c r="AM27" i="13"/>
  <c r="T28" i="13"/>
  <c r="AD28" i="13" s="1"/>
  <c r="V28" i="13"/>
  <c r="Y28" i="13"/>
  <c r="AE28" i="13"/>
  <c r="AF28" i="13"/>
  <c r="AG28" i="13"/>
  <c r="AH28" i="13"/>
  <c r="AI28" i="13" s="1"/>
  <c r="AK28" i="13"/>
  <c r="AM28" i="13"/>
  <c r="T29" i="13"/>
  <c r="AD29" i="13" s="1"/>
  <c r="V29" i="13"/>
  <c r="Y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/>
  <c r="AJ30" i="13" s="1"/>
  <c r="AH30" i="13"/>
  <c r="AI30" i="13"/>
  <c r="AL30" i="13" s="1"/>
  <c r="AK30" i="13"/>
  <c r="AM30" i="13"/>
  <c r="T31" i="13"/>
  <c r="AE31" i="13" s="1"/>
  <c r="V31" i="13"/>
  <c r="Y31" i="13"/>
  <c r="AD31" i="13"/>
  <c r="AF31" i="13"/>
  <c r="AG31" i="13" s="1"/>
  <c r="AH31" i="13"/>
  <c r="AI31" i="13" s="1"/>
  <c r="AK31" i="13"/>
  <c r="AM31" i="13"/>
  <c r="T32" i="13"/>
  <c r="AD32" i="13" s="1"/>
  <c r="V32" i="13"/>
  <c r="Y32" i="13"/>
  <c r="AE32" i="13"/>
  <c r="AF32" i="13"/>
  <c r="AG32" i="13"/>
  <c r="AH32" i="13"/>
  <c r="AI32" i="13"/>
  <c r="AJ32" i="13" s="1"/>
  <c r="AK32" i="13"/>
  <c r="AM32" i="13"/>
  <c r="T33" i="13"/>
  <c r="AD33" i="13" s="1"/>
  <c r="V33" i="13"/>
  <c r="Y33" i="13"/>
  <c r="AF33" i="13"/>
  <c r="AG33" i="13" s="1"/>
  <c r="AK33" i="13"/>
  <c r="AM33" i="13"/>
  <c r="T34" i="13"/>
  <c r="AE34" i="13" s="1"/>
  <c r="V34" i="13"/>
  <c r="Y34" i="13"/>
  <c r="AD34" i="13"/>
  <c r="AF34" i="13"/>
  <c r="AG34" i="13"/>
  <c r="AJ34" i="13" s="1"/>
  <c r="AH34" i="13"/>
  <c r="AI34" i="13"/>
  <c r="AK34" i="13"/>
  <c r="AL34" i="13" s="1"/>
  <c r="AM34" i="13"/>
  <c r="T35" i="13"/>
  <c r="V35" i="13"/>
  <c r="Y35" i="13"/>
  <c r="AD35" i="13"/>
  <c r="AE35" i="13"/>
  <c r="AF35" i="13"/>
  <c r="AG35" i="13" s="1"/>
  <c r="AH35" i="13"/>
  <c r="AI35" i="13" s="1"/>
  <c r="AK35" i="13"/>
  <c r="AM35" i="13"/>
  <c r="T36" i="13"/>
  <c r="AE36" i="13" s="1"/>
  <c r="V36" i="13"/>
  <c r="Y36" i="13"/>
  <c r="AF36" i="13"/>
  <c r="AG36" i="13" s="1"/>
  <c r="AK36" i="13"/>
  <c r="AM36" i="13"/>
  <c r="T37" i="13"/>
  <c r="AH37" i="13" s="1"/>
  <c r="AI37" i="13" s="1"/>
  <c r="V37" i="13"/>
  <c r="Y37" i="13"/>
  <c r="AD37" i="13"/>
  <c r="AE37" i="13"/>
  <c r="AF37" i="13"/>
  <c r="AG37" i="13"/>
  <c r="AJ37" i="13" s="1"/>
  <c r="AK37" i="13"/>
  <c r="AM37" i="13"/>
  <c r="T38" i="13"/>
  <c r="AD38" i="13" s="1"/>
  <c r="V38" i="13"/>
  <c r="Y38" i="13"/>
  <c r="AE38" i="13"/>
  <c r="AF38" i="13"/>
  <c r="AG38" i="13" s="1"/>
  <c r="AH38" i="13"/>
  <c r="AI38" i="13" s="1"/>
  <c r="AK38" i="13"/>
  <c r="AM38" i="13"/>
  <c r="T39" i="13"/>
  <c r="AH39" i="13" s="1"/>
  <c r="AI39" i="13" s="1"/>
  <c r="V39" i="13"/>
  <c r="Y39" i="13"/>
  <c r="AF39" i="13"/>
  <c r="AG39" i="13" s="1"/>
  <c r="AK39" i="13"/>
  <c r="AM39" i="13"/>
  <c r="T58" i="12"/>
  <c r="AD58" i="12" s="1"/>
  <c r="V58" i="12"/>
  <c r="Y58" i="12"/>
  <c r="AF58" i="12"/>
  <c r="AG58" i="12" s="1"/>
  <c r="AH58" i="12"/>
  <c r="AI58" i="12" s="1"/>
  <c r="AK58" i="12"/>
  <c r="AM58" i="12"/>
  <c r="T59" i="12"/>
  <c r="AH59" i="12" s="1"/>
  <c r="AI59" i="12" s="1"/>
  <c r="V59" i="12"/>
  <c r="Y59" i="12"/>
  <c r="AF59" i="12"/>
  <c r="AG59" i="12" s="1"/>
  <c r="AK59" i="12"/>
  <c r="T60" i="12"/>
  <c r="AH60" i="12" s="1"/>
  <c r="AI60" i="12" s="1"/>
  <c r="V60" i="12"/>
  <c r="Y60" i="12"/>
  <c r="AF60" i="12"/>
  <c r="AG60" i="12" s="1"/>
  <c r="AK60" i="12"/>
  <c r="AM60" i="12"/>
  <c r="T61" i="12"/>
  <c r="AD61" i="12" s="1"/>
  <c r="V61" i="12"/>
  <c r="Y61" i="12"/>
  <c r="AF61" i="12"/>
  <c r="AG61" i="12"/>
  <c r="AH61" i="12"/>
  <c r="AI61" i="12" s="1"/>
  <c r="AK61" i="12"/>
  <c r="AM61" i="12"/>
  <c r="T62" i="12"/>
  <c r="AD62" i="12" s="1"/>
  <c r="V62" i="12"/>
  <c r="Y62" i="12"/>
  <c r="AE62" i="12"/>
  <c r="AF62" i="12"/>
  <c r="AG62" i="12"/>
  <c r="AJ62" i="12" s="1"/>
  <c r="AH62" i="12"/>
  <c r="AI62" i="12" s="1"/>
  <c r="AK62" i="12"/>
  <c r="AM62" i="12"/>
  <c r="T51" i="12"/>
  <c r="AH51" i="12" s="1"/>
  <c r="AI51" i="12" s="1"/>
  <c r="V51" i="12"/>
  <c r="Y51" i="12"/>
  <c r="AE51" i="12"/>
  <c r="AF51" i="12"/>
  <c r="AG51" i="12" s="1"/>
  <c r="AK51" i="12"/>
  <c r="AM51" i="12"/>
  <c r="T52" i="12"/>
  <c r="AH52" i="12" s="1"/>
  <c r="AI52" i="12" s="1"/>
  <c r="V52" i="12"/>
  <c r="Y52" i="12"/>
  <c r="AF52" i="12"/>
  <c r="AG52" i="12" s="1"/>
  <c r="AK52" i="12"/>
  <c r="T53" i="12"/>
  <c r="AH53" i="12" s="1"/>
  <c r="AI53" i="12" s="1"/>
  <c r="V53" i="12"/>
  <c r="Y53" i="12"/>
  <c r="AF53" i="12"/>
  <c r="AG53" i="12" s="1"/>
  <c r="AJ53" i="12" s="1"/>
  <c r="AK53" i="12"/>
  <c r="AM53" i="12"/>
  <c r="T54" i="12"/>
  <c r="AD54" i="12" s="1"/>
  <c r="V54" i="12"/>
  <c r="Y54" i="12"/>
  <c r="AF54" i="12"/>
  <c r="AG54" i="12" s="1"/>
  <c r="AK54" i="12"/>
  <c r="AM54" i="12"/>
  <c r="T55" i="12"/>
  <c r="AD55" i="12" s="1"/>
  <c r="V55" i="12"/>
  <c r="Y55" i="12"/>
  <c r="AF55" i="12"/>
  <c r="AG55" i="12" s="1"/>
  <c r="AK55" i="12"/>
  <c r="AM55" i="12"/>
  <c r="T56" i="12"/>
  <c r="AE56" i="12" s="1"/>
  <c r="V56" i="12"/>
  <c r="Y56" i="12"/>
  <c r="AF56" i="12"/>
  <c r="AG56" i="12" s="1"/>
  <c r="AK56" i="12"/>
  <c r="AM56" i="12"/>
  <c r="T57" i="12"/>
  <c r="AH57" i="12" s="1"/>
  <c r="AI57" i="12" s="1"/>
  <c r="V57" i="12"/>
  <c r="Y57" i="12"/>
  <c r="AD57" i="12"/>
  <c r="AE57" i="12"/>
  <c r="AF57" i="12"/>
  <c r="AG57" i="12" s="1"/>
  <c r="AK57" i="12"/>
  <c r="T25" i="6"/>
  <c r="V25" i="6"/>
  <c r="Y25" i="6"/>
  <c r="AD25" i="6"/>
  <c r="AN25" i="6" s="1"/>
  <c r="AE25" i="6"/>
  <c r="AF25" i="6"/>
  <c r="AG25" i="6"/>
  <c r="AH25" i="6"/>
  <c r="AI25" i="6" s="1"/>
  <c r="AK25" i="6"/>
  <c r="AM25" i="6"/>
  <c r="T26" i="6"/>
  <c r="AH26" i="6" s="1"/>
  <c r="AI26" i="6" s="1"/>
  <c r="V26" i="6"/>
  <c r="Y26" i="6"/>
  <c r="AE26" i="6"/>
  <c r="AF26" i="6"/>
  <c r="AG26" i="6" s="1"/>
  <c r="AK26" i="6"/>
  <c r="AM26" i="6"/>
  <c r="T27" i="6"/>
  <c r="AH27" i="6" s="1"/>
  <c r="AI27" i="6" s="1"/>
  <c r="V27" i="6"/>
  <c r="Y27" i="6"/>
  <c r="AF27" i="6"/>
  <c r="AG27" i="6" s="1"/>
  <c r="AK27" i="6"/>
  <c r="AM27" i="6"/>
  <c r="T28" i="6"/>
  <c r="AD28" i="6" s="1"/>
  <c r="AN28" i="6" s="1"/>
  <c r="V28" i="6"/>
  <c r="Y28" i="6"/>
  <c r="AE28" i="6"/>
  <c r="AF28" i="6"/>
  <c r="AG28" i="6"/>
  <c r="AH28" i="6"/>
  <c r="AI28" i="6" s="1"/>
  <c r="AK28" i="6"/>
  <c r="AM28" i="6"/>
  <c r="T29" i="6"/>
  <c r="AD29" i="6" s="1"/>
  <c r="V29" i="6"/>
  <c r="Y29" i="6"/>
  <c r="AF29" i="6"/>
  <c r="AG29" i="6" s="1"/>
  <c r="AH29" i="6"/>
  <c r="AI29" i="6" s="1"/>
  <c r="AK29" i="6"/>
  <c r="AM29" i="6"/>
  <c r="T30" i="6"/>
  <c r="V30" i="6"/>
  <c r="Y30" i="6"/>
  <c r="AD30" i="6"/>
  <c r="AE30" i="6"/>
  <c r="AF30" i="6"/>
  <c r="AG30" i="6"/>
  <c r="AL30" i="6" s="1"/>
  <c r="AH30" i="6"/>
  <c r="AI30" i="6"/>
  <c r="AK30" i="6"/>
  <c r="AM30" i="6"/>
  <c r="T31" i="6"/>
  <c r="AD31" i="6" s="1"/>
  <c r="V31" i="6"/>
  <c r="Y31" i="6"/>
  <c r="AF31" i="6"/>
  <c r="AG31" i="6" s="1"/>
  <c r="AH31" i="6"/>
  <c r="AI31" i="6" s="1"/>
  <c r="AK31" i="6"/>
  <c r="AM31" i="6"/>
  <c r="T32" i="6"/>
  <c r="AD32" i="6" s="1"/>
  <c r="V32" i="6"/>
  <c r="Y32" i="6"/>
  <c r="AF32" i="6"/>
  <c r="AG32" i="6"/>
  <c r="AK32" i="6"/>
  <c r="AM32" i="6"/>
  <c r="T33" i="6"/>
  <c r="AE33" i="6" s="1"/>
  <c r="V33" i="6"/>
  <c r="Y33" i="6"/>
  <c r="AD33" i="6"/>
  <c r="AF33" i="6"/>
  <c r="AG33" i="6"/>
  <c r="AH33" i="6"/>
  <c r="AI33" i="6" s="1"/>
  <c r="AK33" i="6"/>
  <c r="AM33" i="6"/>
  <c r="T34" i="6"/>
  <c r="V34" i="6"/>
  <c r="Y34" i="6"/>
  <c r="AD34" i="6"/>
  <c r="AE34" i="6"/>
  <c r="AF34" i="6"/>
  <c r="AG34" i="6"/>
  <c r="AJ34" i="6" s="1"/>
  <c r="AH34" i="6"/>
  <c r="AI34" i="6"/>
  <c r="AK34" i="6"/>
  <c r="AL34" i="6" s="1"/>
  <c r="AM34" i="6"/>
  <c r="T35" i="6"/>
  <c r="AD35" i="6" s="1"/>
  <c r="V35" i="6"/>
  <c r="Y35" i="6"/>
  <c r="AF35" i="6"/>
  <c r="AG35" i="6" s="1"/>
  <c r="AK35" i="6"/>
  <c r="AM35" i="6"/>
  <c r="T53" i="5"/>
  <c r="AH53" i="5" s="1"/>
  <c r="AI53" i="5" s="1"/>
  <c r="V53" i="5"/>
  <c r="Y53" i="5"/>
  <c r="AF53" i="5"/>
  <c r="AG53" i="5" s="1"/>
  <c r="AK53" i="5"/>
  <c r="T54" i="5"/>
  <c r="AH54" i="5" s="1"/>
  <c r="AI54" i="5" s="1"/>
  <c r="V54" i="5"/>
  <c r="Y54" i="5"/>
  <c r="AF54" i="5"/>
  <c r="AG54" i="5" s="1"/>
  <c r="AK54" i="5"/>
  <c r="AM54" i="5"/>
  <c r="T55" i="5"/>
  <c r="AH55" i="5" s="1"/>
  <c r="AI55" i="5" s="1"/>
  <c r="V55" i="5"/>
  <c r="Y55" i="5"/>
  <c r="AF55" i="5"/>
  <c r="AG55" i="5" s="1"/>
  <c r="AK55" i="5"/>
  <c r="T56" i="5"/>
  <c r="AD56" i="5" s="1"/>
  <c r="V56" i="5"/>
  <c r="Y56" i="5"/>
  <c r="AF56" i="5"/>
  <c r="AG56" i="5" s="1"/>
  <c r="AK56" i="5"/>
  <c r="T57" i="5"/>
  <c r="AD57" i="5" s="1"/>
  <c r="V57" i="5"/>
  <c r="Y57" i="5"/>
  <c r="AF57" i="5"/>
  <c r="AG57" i="5" s="1"/>
  <c r="AK57" i="5"/>
  <c r="T58" i="5"/>
  <c r="AE58" i="5" s="1"/>
  <c r="V58" i="5"/>
  <c r="Y58" i="5"/>
  <c r="AF58" i="5"/>
  <c r="AG58" i="5" s="1"/>
  <c r="AH58" i="5"/>
  <c r="AI58" i="5" s="1"/>
  <c r="AK58" i="5"/>
  <c r="AM58" i="5"/>
  <c r="T59" i="5"/>
  <c r="AD59" i="5" s="1"/>
  <c r="V59" i="5"/>
  <c r="Y59" i="5"/>
  <c r="AF59" i="5"/>
  <c r="AG59" i="5" s="1"/>
  <c r="AK59" i="5"/>
  <c r="AM59" i="5"/>
  <c r="T60" i="5"/>
  <c r="AD60" i="5" s="1"/>
  <c r="V60" i="5"/>
  <c r="Y60" i="5"/>
  <c r="AF60" i="5"/>
  <c r="AG60" i="5" s="1"/>
  <c r="AK60" i="5"/>
  <c r="AM60" i="5"/>
  <c r="T61" i="5"/>
  <c r="AD61" i="5" s="1"/>
  <c r="V61" i="5"/>
  <c r="Y61" i="5"/>
  <c r="AF61" i="5"/>
  <c r="AG61" i="5" s="1"/>
  <c r="AK61" i="5"/>
  <c r="AM61" i="5"/>
  <c r="T62" i="5"/>
  <c r="AD62" i="5" s="1"/>
  <c r="V62" i="5"/>
  <c r="Y62" i="5"/>
  <c r="AF62" i="5"/>
  <c r="AG62" i="5" s="1"/>
  <c r="AK62" i="5"/>
  <c r="T63" i="5"/>
  <c r="AE63" i="5" s="1"/>
  <c r="V63" i="5"/>
  <c r="Y63" i="5"/>
  <c r="AF63" i="5"/>
  <c r="AG63" i="5" s="1"/>
  <c r="AK63" i="5"/>
  <c r="AM63" i="5"/>
  <c r="T64" i="5"/>
  <c r="AE64" i="5" s="1"/>
  <c r="V64" i="5"/>
  <c r="Y64" i="5"/>
  <c r="AD64" i="5"/>
  <c r="AF64" i="5"/>
  <c r="AG64" i="5" s="1"/>
  <c r="AK64" i="5"/>
  <c r="AM64" i="5"/>
  <c r="T65" i="5"/>
  <c r="AH65" i="5" s="1"/>
  <c r="AI65" i="5" s="1"/>
  <c r="V65" i="5"/>
  <c r="Y65" i="5"/>
  <c r="AE65" i="5"/>
  <c r="AF65" i="5"/>
  <c r="AG65" i="5" s="1"/>
  <c r="AK65" i="5"/>
  <c r="AM65" i="5"/>
  <c r="T66" i="5"/>
  <c r="AH66" i="5" s="1"/>
  <c r="AI66" i="5" s="1"/>
  <c r="V66" i="5"/>
  <c r="Y66" i="5"/>
  <c r="AE66" i="5"/>
  <c r="AF66" i="5"/>
  <c r="AG66" i="5" s="1"/>
  <c r="AK66" i="5"/>
  <c r="AM66" i="5"/>
  <c r="T67" i="5"/>
  <c r="AH67" i="5" s="1"/>
  <c r="AI67" i="5" s="1"/>
  <c r="V67" i="5"/>
  <c r="Y67" i="5"/>
  <c r="AF67" i="5"/>
  <c r="AG67" i="5" s="1"/>
  <c r="AK67" i="5"/>
  <c r="AM67" i="5"/>
  <c r="T68" i="5"/>
  <c r="AD68" i="5" s="1"/>
  <c r="V68" i="5"/>
  <c r="Y68" i="5"/>
  <c r="AF68" i="5"/>
  <c r="AG68" i="5"/>
  <c r="AJ68" i="5" s="1"/>
  <c r="AH68" i="5"/>
  <c r="AI68" i="5" s="1"/>
  <c r="AK68" i="5"/>
  <c r="AM68" i="5"/>
  <c r="T69" i="5"/>
  <c r="AE69" i="5" s="1"/>
  <c r="V69" i="5"/>
  <c r="Y69" i="5"/>
  <c r="AD69" i="5"/>
  <c r="AF69" i="5"/>
  <c r="AG69" i="5"/>
  <c r="AJ69" i="5" s="1"/>
  <c r="AH69" i="5"/>
  <c r="AI69" i="5" s="1"/>
  <c r="AK69" i="5"/>
  <c r="AM69" i="5"/>
  <c r="T70" i="5"/>
  <c r="V70" i="5"/>
  <c r="Y70" i="5"/>
  <c r="AD70" i="5"/>
  <c r="AN70" i="5" s="1"/>
  <c r="AE70" i="5"/>
  <c r="AF70" i="5"/>
  <c r="AG70" i="5"/>
  <c r="AL70" i="5" s="1"/>
  <c r="AH70" i="5"/>
  <c r="AI70" i="5"/>
  <c r="AJ70" i="5" s="1"/>
  <c r="AK70" i="5"/>
  <c r="AM70" i="5"/>
  <c r="T71" i="5"/>
  <c r="AD71" i="5" s="1"/>
  <c r="V71" i="5"/>
  <c r="Y71" i="5"/>
  <c r="AE71" i="5"/>
  <c r="AF71" i="5"/>
  <c r="AG71" i="5" s="1"/>
  <c r="AK71" i="5"/>
  <c r="AM71" i="5"/>
  <c r="T72" i="5"/>
  <c r="AD72" i="5" s="1"/>
  <c r="V72" i="5"/>
  <c r="Y72" i="5"/>
  <c r="AF72" i="5"/>
  <c r="AG72" i="5" s="1"/>
  <c r="AK72" i="5"/>
  <c r="AM72" i="5"/>
  <c r="T73" i="5"/>
  <c r="V73" i="5"/>
  <c r="Y73" i="5"/>
  <c r="AD73" i="5"/>
  <c r="AE73" i="5"/>
  <c r="AF73" i="5"/>
  <c r="AG73" i="5"/>
  <c r="AH73" i="5"/>
  <c r="AI73" i="5" s="1"/>
  <c r="AL73" i="5" s="1"/>
  <c r="AK73" i="5"/>
  <c r="AM73" i="5"/>
  <c r="T74" i="5"/>
  <c r="AD74" i="5" s="1"/>
  <c r="V74" i="5"/>
  <c r="Y74" i="5"/>
  <c r="AF74" i="5"/>
  <c r="AG74" i="5" s="1"/>
  <c r="AH74" i="5"/>
  <c r="AI74" i="5" s="1"/>
  <c r="AK74" i="5"/>
  <c r="AM74" i="5"/>
  <c r="T75" i="5"/>
  <c r="AE75" i="5" s="1"/>
  <c r="V75" i="5"/>
  <c r="Y75" i="5"/>
  <c r="AD75" i="5"/>
  <c r="AF75" i="5"/>
  <c r="AG75" i="5"/>
  <c r="AK75" i="5"/>
  <c r="AM75" i="5"/>
  <c r="T76" i="5"/>
  <c r="V76" i="5"/>
  <c r="Y76" i="5"/>
  <c r="AD76" i="5"/>
  <c r="AE76" i="5"/>
  <c r="AF76" i="5"/>
  <c r="AG76" i="5"/>
  <c r="AL76" i="5" s="1"/>
  <c r="AH76" i="5"/>
  <c r="AI76" i="5" s="1"/>
  <c r="AJ76" i="5" s="1"/>
  <c r="AK76" i="5"/>
  <c r="AM76" i="5"/>
  <c r="T77" i="5"/>
  <c r="AH77" i="5" s="1"/>
  <c r="AI77" i="5" s="1"/>
  <c r="V77" i="5"/>
  <c r="Y77" i="5"/>
  <c r="AD77" i="5"/>
  <c r="AE77" i="5"/>
  <c r="AF77" i="5"/>
  <c r="AG77" i="5" s="1"/>
  <c r="AK77" i="5"/>
  <c r="AM77" i="5"/>
  <c r="T78" i="5"/>
  <c r="AH78" i="5" s="1"/>
  <c r="AI78" i="5" s="1"/>
  <c r="V78" i="5"/>
  <c r="Y78" i="5"/>
  <c r="AE78" i="5"/>
  <c r="AF78" i="5"/>
  <c r="AG78" i="5" s="1"/>
  <c r="AK78" i="5"/>
  <c r="AM78" i="5"/>
  <c r="T79" i="5"/>
  <c r="AH79" i="5" s="1"/>
  <c r="AI79" i="5" s="1"/>
  <c r="V79" i="5"/>
  <c r="Y79" i="5"/>
  <c r="AF79" i="5"/>
  <c r="AG79" i="5" s="1"/>
  <c r="AK79" i="5"/>
  <c r="AM79" i="5"/>
  <c r="T80" i="5"/>
  <c r="AD80" i="5" s="1"/>
  <c r="V80" i="5"/>
  <c r="Y80" i="5"/>
  <c r="AF80" i="5"/>
  <c r="AG80" i="5"/>
  <c r="AH80" i="5"/>
  <c r="AI80" i="5" s="1"/>
  <c r="AK80" i="5"/>
  <c r="AM80" i="5"/>
  <c r="T81" i="5"/>
  <c r="AE81" i="5" s="1"/>
  <c r="V81" i="5"/>
  <c r="Y81" i="5"/>
  <c r="AD81" i="5"/>
  <c r="AF81" i="5"/>
  <c r="AG81" i="5"/>
  <c r="AJ81" i="5" s="1"/>
  <c r="AH81" i="5"/>
  <c r="AI81" i="5"/>
  <c r="AK81" i="5"/>
  <c r="AM81" i="5"/>
  <c r="T82" i="5"/>
  <c r="V82" i="5"/>
  <c r="Y82" i="5"/>
  <c r="AD82" i="5"/>
  <c r="AE82" i="5"/>
  <c r="AF82" i="5"/>
  <c r="AG82" i="5"/>
  <c r="AL82" i="5" s="1"/>
  <c r="AH82" i="5"/>
  <c r="AI82" i="5"/>
  <c r="AJ82" i="5"/>
  <c r="AK82" i="5"/>
  <c r="AM82" i="5"/>
  <c r="T83" i="5"/>
  <c r="AD83" i="5" s="1"/>
  <c r="V83" i="5"/>
  <c r="Y83" i="5"/>
  <c r="AE83" i="5"/>
  <c r="AF83" i="5"/>
  <c r="AG83" i="5" s="1"/>
  <c r="AK83" i="5"/>
  <c r="AM83" i="5"/>
  <c r="T84" i="5"/>
  <c r="AD84" i="5" s="1"/>
  <c r="V84" i="5"/>
  <c r="Y84" i="5"/>
  <c r="AF84" i="5"/>
  <c r="AG84" i="5" s="1"/>
  <c r="AK84" i="5"/>
  <c r="AM84" i="5"/>
  <c r="T35" i="3"/>
  <c r="V35" i="3"/>
  <c r="Y35" i="3"/>
  <c r="AD35" i="3"/>
  <c r="AN35" i="3" s="1"/>
  <c r="AE35" i="3"/>
  <c r="AF35" i="3"/>
  <c r="AG35" i="3" s="1"/>
  <c r="AH35" i="3"/>
  <c r="AI35" i="3" s="1"/>
  <c r="AK35" i="3"/>
  <c r="AM35" i="3"/>
  <c r="T36" i="3"/>
  <c r="AH36" i="3" s="1"/>
  <c r="AI36" i="3" s="1"/>
  <c r="V36" i="3"/>
  <c r="Y36" i="3"/>
  <c r="AF36" i="3"/>
  <c r="AG36" i="3" s="1"/>
  <c r="AK36" i="3"/>
  <c r="AM36" i="3"/>
  <c r="T37" i="3"/>
  <c r="AH37" i="3" s="1"/>
  <c r="AI37" i="3" s="1"/>
  <c r="V37" i="3"/>
  <c r="Y37" i="3"/>
  <c r="AF37" i="3"/>
  <c r="AG37" i="3" s="1"/>
  <c r="AK37" i="3"/>
  <c r="AM37" i="3"/>
  <c r="T38" i="3"/>
  <c r="AE38" i="3" s="1"/>
  <c r="V38" i="3"/>
  <c r="Y38" i="3"/>
  <c r="AF38" i="3"/>
  <c r="AG38" i="3" s="1"/>
  <c r="AH38" i="3"/>
  <c r="AI38" i="3" s="1"/>
  <c r="AK38" i="3"/>
  <c r="AM38" i="3"/>
  <c r="T24" i="3"/>
  <c r="AD24" i="3" s="1"/>
  <c r="V24" i="3"/>
  <c r="Y24" i="3"/>
  <c r="AF24" i="3"/>
  <c r="AG24" i="3" s="1"/>
  <c r="AK24" i="3"/>
  <c r="AM24" i="3"/>
  <c r="T25" i="3"/>
  <c r="AH25" i="3" s="1"/>
  <c r="AI25" i="3" s="1"/>
  <c r="V25" i="3"/>
  <c r="Y25" i="3"/>
  <c r="AF25" i="3"/>
  <c r="AG25" i="3" s="1"/>
  <c r="AK25" i="3"/>
  <c r="AM25" i="3"/>
  <c r="T26" i="3"/>
  <c r="AE26" i="3" s="1"/>
  <c r="V26" i="3"/>
  <c r="Y26" i="3"/>
  <c r="AF26" i="3"/>
  <c r="AG26" i="3" s="1"/>
  <c r="AK26" i="3"/>
  <c r="AM26" i="3"/>
  <c r="T27" i="3"/>
  <c r="AD27" i="3" s="1"/>
  <c r="V27" i="3"/>
  <c r="Y27" i="3"/>
  <c r="AF27" i="3"/>
  <c r="AG27" i="3" s="1"/>
  <c r="AH27" i="3"/>
  <c r="AI27" i="3" s="1"/>
  <c r="AK27" i="3"/>
  <c r="AM27" i="3"/>
  <c r="T28" i="3"/>
  <c r="AD28" i="3" s="1"/>
  <c r="V28" i="3"/>
  <c r="Y28" i="3"/>
  <c r="AF28" i="3"/>
  <c r="AG28" i="3" s="1"/>
  <c r="AK28" i="3"/>
  <c r="T29" i="3"/>
  <c r="AE29" i="3" s="1"/>
  <c r="V29" i="3"/>
  <c r="Y29" i="3"/>
  <c r="AF29" i="3"/>
  <c r="AG29" i="3" s="1"/>
  <c r="AK29" i="3"/>
  <c r="T30" i="3"/>
  <c r="AH30" i="3" s="1"/>
  <c r="AI30" i="3" s="1"/>
  <c r="V30" i="3"/>
  <c r="Y30" i="3"/>
  <c r="AF30" i="3"/>
  <c r="AG30" i="3" s="1"/>
  <c r="AK30" i="3"/>
  <c r="T31" i="3"/>
  <c r="AD31" i="3" s="1"/>
  <c r="V31" i="3"/>
  <c r="Y31" i="3"/>
  <c r="AF31" i="3"/>
  <c r="AG31" i="3" s="1"/>
  <c r="AK31" i="3"/>
  <c r="T32" i="3"/>
  <c r="AD32" i="3" s="1"/>
  <c r="V32" i="3"/>
  <c r="Y32" i="3"/>
  <c r="AF32" i="3"/>
  <c r="AG32" i="3" s="1"/>
  <c r="AK32" i="3"/>
  <c r="T33" i="3"/>
  <c r="AD33" i="3" s="1"/>
  <c r="V33" i="3"/>
  <c r="Y33" i="3"/>
  <c r="AF33" i="3"/>
  <c r="AG33" i="3" s="1"/>
  <c r="AK33" i="3"/>
  <c r="T34" i="3"/>
  <c r="AE34" i="3" s="1"/>
  <c r="V34" i="3"/>
  <c r="Y34" i="3"/>
  <c r="AF34" i="3"/>
  <c r="AG34" i="3" s="1"/>
  <c r="AK34" i="3"/>
  <c r="AM78" i="22" l="1"/>
  <c r="AM69" i="22"/>
  <c r="AD86" i="22"/>
  <c r="AH84" i="22"/>
  <c r="AI84" i="22" s="1"/>
  <c r="AJ101" i="60"/>
  <c r="AL117" i="60"/>
  <c r="AE101" i="60"/>
  <c r="AE91" i="60"/>
  <c r="AN71" i="60"/>
  <c r="AJ66" i="60"/>
  <c r="AN47" i="60"/>
  <c r="AJ85" i="60"/>
  <c r="AH110" i="60"/>
  <c r="AI110" i="60" s="1"/>
  <c r="AD109" i="60"/>
  <c r="AJ29" i="60"/>
  <c r="AD67" i="60"/>
  <c r="AN60" i="60"/>
  <c r="AH113" i="60"/>
  <c r="AI113" i="60" s="1"/>
  <c r="AE110" i="60"/>
  <c r="AE75" i="60"/>
  <c r="AH68" i="60"/>
  <c r="AI68" i="60" s="1"/>
  <c r="AH56" i="60"/>
  <c r="AI56" i="60" s="1"/>
  <c r="AJ56" i="60" s="1"/>
  <c r="AH43" i="60"/>
  <c r="AI43" i="60" s="1"/>
  <c r="AL113" i="60"/>
  <c r="AD75" i="60"/>
  <c r="AN75" i="60" s="1"/>
  <c r="AE116" i="60"/>
  <c r="AE113" i="60"/>
  <c r="AN113" i="60" s="1"/>
  <c r="AH78" i="60"/>
  <c r="AI78" i="60" s="1"/>
  <c r="AJ78" i="60" s="1"/>
  <c r="AE68" i="60"/>
  <c r="AD43" i="60"/>
  <c r="AD116" i="60"/>
  <c r="AD30" i="59"/>
  <c r="AJ54" i="59"/>
  <c r="AL42" i="59"/>
  <c r="AN42" i="59"/>
  <c r="AH59" i="59"/>
  <c r="AI59" i="59" s="1"/>
  <c r="AJ59" i="59"/>
  <c r="AE50" i="59"/>
  <c r="AE43" i="59"/>
  <c r="AE26" i="59"/>
  <c r="AE59" i="59"/>
  <c r="AH48" i="59"/>
  <c r="AI48" i="59" s="1"/>
  <c r="AD43" i="59"/>
  <c r="AN43" i="59" s="1"/>
  <c r="AH60" i="59"/>
  <c r="AI60" i="59" s="1"/>
  <c r="AE55" i="59"/>
  <c r="AD36" i="59"/>
  <c r="AH46" i="59"/>
  <c r="AI46" i="59" s="1"/>
  <c r="AL46" i="59" s="1"/>
  <c r="AL43" i="59"/>
  <c r="AH34" i="59"/>
  <c r="AI34" i="59" s="1"/>
  <c r="AH29" i="59"/>
  <c r="AI29" i="59" s="1"/>
  <c r="AE61" i="59"/>
  <c r="AJ30" i="59"/>
  <c r="AD61" i="59"/>
  <c r="AN61" i="59" s="1"/>
  <c r="AE49" i="59"/>
  <c r="AD37" i="59"/>
  <c r="AE25" i="59"/>
  <c r="AE56" i="57"/>
  <c r="AH77" i="57"/>
  <c r="AI77" i="57" s="1"/>
  <c r="AH72" i="57"/>
  <c r="AI72" i="57" s="1"/>
  <c r="AH62" i="57"/>
  <c r="AI62" i="57" s="1"/>
  <c r="AE62" i="57"/>
  <c r="AE67" i="57"/>
  <c r="AH65" i="57"/>
  <c r="AI65" i="57" s="1"/>
  <c r="AD67" i="57"/>
  <c r="AE65" i="57"/>
  <c r="AH49" i="57"/>
  <c r="AI49" i="57" s="1"/>
  <c r="AJ49" i="57" s="1"/>
  <c r="AE81" i="57"/>
  <c r="AE74" i="57"/>
  <c r="AE49" i="57"/>
  <c r="AN49" i="57" s="1"/>
  <c r="AD74" i="57"/>
  <c r="AE71" i="57"/>
  <c r="AH37" i="55"/>
  <c r="AI37" i="55" s="1"/>
  <c r="AE31" i="55"/>
  <c r="AE37" i="55"/>
  <c r="AH25" i="55"/>
  <c r="AI25" i="55" s="1"/>
  <c r="AE25" i="55"/>
  <c r="AN25" i="55" s="1"/>
  <c r="AH39" i="55"/>
  <c r="AI39" i="55" s="1"/>
  <c r="AH36" i="55"/>
  <c r="AI36" i="55" s="1"/>
  <c r="AH31" i="55"/>
  <c r="AI31" i="55" s="1"/>
  <c r="AH25" i="54"/>
  <c r="AI25" i="54" s="1"/>
  <c r="AE25" i="54"/>
  <c r="AH67" i="53"/>
  <c r="AI67" i="53" s="1"/>
  <c r="AE62" i="53"/>
  <c r="AL67" i="53"/>
  <c r="AJ58" i="53"/>
  <c r="AM66" i="53"/>
  <c r="AM58" i="53"/>
  <c r="AD61" i="53"/>
  <c r="AH59" i="53"/>
  <c r="AI59" i="53" s="1"/>
  <c r="AD58" i="53"/>
  <c r="AH56" i="53"/>
  <c r="AI56" i="53" s="1"/>
  <c r="AJ56" i="53" s="1"/>
  <c r="AE56" i="53"/>
  <c r="AN56" i="53" s="1"/>
  <c r="AN71" i="53"/>
  <c r="AH62" i="53"/>
  <c r="AI62" i="53" s="1"/>
  <c r="AD59" i="53"/>
  <c r="AH71" i="53"/>
  <c r="AI71" i="53" s="1"/>
  <c r="AH68" i="53"/>
  <c r="AI68" i="53" s="1"/>
  <c r="AJ68" i="53" s="1"/>
  <c r="AH65" i="53"/>
  <c r="AI65" i="53" s="1"/>
  <c r="AE71" i="53"/>
  <c r="AH74" i="53"/>
  <c r="AI74" i="53" s="1"/>
  <c r="AE68" i="53"/>
  <c r="AL74" i="53"/>
  <c r="AM32" i="51"/>
  <c r="AE30" i="51"/>
  <c r="AM33" i="51"/>
  <c r="AD30" i="51"/>
  <c r="AJ76" i="51"/>
  <c r="AE76" i="51"/>
  <c r="AD65" i="51"/>
  <c r="AD60" i="51"/>
  <c r="AE58" i="51"/>
  <c r="AD53" i="51"/>
  <c r="AH46" i="51"/>
  <c r="AI46" i="51" s="1"/>
  <c r="AD25" i="51"/>
  <c r="AD72" i="51"/>
  <c r="AJ48" i="51"/>
  <c r="AN41" i="51"/>
  <c r="AE36" i="51"/>
  <c r="AE49" i="51"/>
  <c r="AN40" i="51"/>
  <c r="AD36" i="51"/>
  <c r="AH34" i="51"/>
  <c r="AI34" i="51" s="1"/>
  <c r="AH52" i="51"/>
  <c r="AI52" i="51" s="1"/>
  <c r="AJ52" i="51" s="1"/>
  <c r="AJ30" i="51"/>
  <c r="AD64" i="51"/>
  <c r="AJ42" i="51"/>
  <c r="AH40" i="51"/>
  <c r="AI40" i="51" s="1"/>
  <c r="AE31" i="51"/>
  <c r="AH53" i="51"/>
  <c r="AI53" i="51" s="1"/>
  <c r="AE52" i="51"/>
  <c r="AN52" i="51" s="1"/>
  <c r="AH25" i="51"/>
  <c r="AI25" i="51" s="1"/>
  <c r="AD45" i="51"/>
  <c r="AE60" i="51"/>
  <c r="AE43" i="51"/>
  <c r="AM105" i="46"/>
  <c r="AM106" i="46"/>
  <c r="AM104" i="46"/>
  <c r="AD185" i="46"/>
  <c r="AJ192" i="46"/>
  <c r="AH150" i="46"/>
  <c r="AI150" i="46" s="1"/>
  <c r="AE119" i="46"/>
  <c r="AH168" i="46"/>
  <c r="AI168" i="46" s="1"/>
  <c r="AH156" i="46"/>
  <c r="AI156" i="46" s="1"/>
  <c r="AH148" i="46"/>
  <c r="AI148" i="46" s="1"/>
  <c r="AD192" i="46"/>
  <c r="AD112" i="46"/>
  <c r="AD106" i="46"/>
  <c r="AH124" i="46"/>
  <c r="AI124" i="46" s="1"/>
  <c r="AJ124" i="46" s="1"/>
  <c r="AN209" i="46"/>
  <c r="AL131" i="46"/>
  <c r="AH209" i="46"/>
  <c r="AI209" i="46" s="1"/>
  <c r="AE131" i="46"/>
  <c r="AH185" i="46"/>
  <c r="AI185" i="46" s="1"/>
  <c r="AD139" i="46"/>
  <c r="AE209" i="46"/>
  <c r="AN32" i="45"/>
  <c r="AE47" i="45"/>
  <c r="AE31" i="45"/>
  <c r="AH50" i="45"/>
  <c r="AI50" i="45" s="1"/>
  <c r="AH29" i="45"/>
  <c r="AI29" i="45" s="1"/>
  <c r="AJ29" i="45" s="1"/>
  <c r="AH25" i="45"/>
  <c r="AI25" i="45" s="1"/>
  <c r="AJ41" i="45"/>
  <c r="AE25" i="45"/>
  <c r="AE44" i="45"/>
  <c r="AN44" i="45" s="1"/>
  <c r="AE41" i="45"/>
  <c r="AE37" i="45"/>
  <c r="AH49" i="45"/>
  <c r="AI49" i="45" s="1"/>
  <c r="AH25" i="44"/>
  <c r="AI25" i="44" s="1"/>
  <c r="AE25" i="44"/>
  <c r="AD25" i="43"/>
  <c r="AE43" i="43"/>
  <c r="AD36" i="43"/>
  <c r="AN25" i="43"/>
  <c r="AH46" i="43"/>
  <c r="AI46" i="43" s="1"/>
  <c r="AH25" i="40"/>
  <c r="AI25" i="40" s="1"/>
  <c r="AE25" i="40"/>
  <c r="AM188" i="32"/>
  <c r="AD175" i="32"/>
  <c r="AH194" i="32"/>
  <c r="AI194" i="32" s="1"/>
  <c r="AM192" i="32"/>
  <c r="AD178" i="32"/>
  <c r="AH176" i="32"/>
  <c r="AI176" i="32" s="1"/>
  <c r="AM195" i="32"/>
  <c r="AM179" i="32"/>
  <c r="AM189" i="32"/>
  <c r="AD181" i="32"/>
  <c r="AM175" i="32"/>
  <c r="AE195" i="32"/>
  <c r="AN195" i="32" s="1"/>
  <c r="AM191" i="32"/>
  <c r="AE185" i="32"/>
  <c r="AE179" i="32"/>
  <c r="AH199" i="32"/>
  <c r="AI199" i="32" s="1"/>
  <c r="AD193" i="32"/>
  <c r="AH191" i="32"/>
  <c r="AI191" i="32" s="1"/>
  <c r="AH185" i="32"/>
  <c r="AI185" i="32" s="1"/>
  <c r="AH181" i="32"/>
  <c r="AI181" i="32" s="1"/>
  <c r="AD176" i="32"/>
  <c r="AJ199" i="32"/>
  <c r="AL191" i="32"/>
  <c r="AJ185" i="32"/>
  <c r="AH197" i="32"/>
  <c r="AI197" i="32" s="1"/>
  <c r="AJ197" i="32" s="1"/>
  <c r="AH188" i="32"/>
  <c r="AI188" i="32" s="1"/>
  <c r="AJ188" i="32" s="1"/>
  <c r="AH182" i="32"/>
  <c r="AI182" i="32" s="1"/>
  <c r="AE197" i="32"/>
  <c r="AE188" i="32"/>
  <c r="AJ175" i="32"/>
  <c r="AH173" i="32"/>
  <c r="AI173" i="32" s="1"/>
  <c r="AD71" i="31"/>
  <c r="AD66" i="31"/>
  <c r="AH72" i="31"/>
  <c r="AI72" i="31" s="1"/>
  <c r="AH75" i="31"/>
  <c r="AI75" i="31" s="1"/>
  <c r="AH60" i="31"/>
  <c r="AI60" i="31" s="1"/>
  <c r="AE75" i="31"/>
  <c r="AH65" i="31"/>
  <c r="AI65" i="31" s="1"/>
  <c r="AJ65" i="31" s="1"/>
  <c r="AH66" i="31"/>
  <c r="AI66" i="31" s="1"/>
  <c r="AE71" i="31"/>
  <c r="A20" i="78"/>
  <c r="I16" i="68"/>
  <c r="AH92" i="29"/>
  <c r="AI92" i="29" s="1"/>
  <c r="AD84" i="29"/>
  <c r="AD93" i="29"/>
  <c r="AJ87" i="29"/>
  <c r="AD91" i="29"/>
  <c r="AD87" i="29"/>
  <c r="AD85" i="29"/>
  <c r="AH55" i="28"/>
  <c r="AI55" i="28" s="1"/>
  <c r="AM54" i="28"/>
  <c r="AH54" i="28"/>
  <c r="AI54" i="28" s="1"/>
  <c r="AJ54" i="28" s="1"/>
  <c r="AE54" i="28"/>
  <c r="AE55" i="28"/>
  <c r="AH51" i="28"/>
  <c r="AI51" i="28" s="1"/>
  <c r="AD51" i="28"/>
  <c r="AE49" i="28"/>
  <c r="AH31" i="24"/>
  <c r="AI31" i="24" s="1"/>
  <c r="AE46" i="24"/>
  <c r="AD33" i="24"/>
  <c r="AH45" i="24"/>
  <c r="AI45" i="24" s="1"/>
  <c r="AH43" i="24"/>
  <c r="AI43" i="24" s="1"/>
  <c r="AM33" i="24"/>
  <c r="AM31" i="24"/>
  <c r="AE31" i="24"/>
  <c r="AH29" i="24"/>
  <c r="AI29" i="24" s="1"/>
  <c r="AD48" i="24"/>
  <c r="AD45" i="24"/>
  <c r="AN45" i="24" s="1"/>
  <c r="AJ40" i="24"/>
  <c r="AE49" i="24"/>
  <c r="AE43" i="24"/>
  <c r="AE41" i="24"/>
  <c r="AH44" i="24"/>
  <c r="AI44" i="24" s="1"/>
  <c r="AM40" i="23"/>
  <c r="AE36" i="23"/>
  <c r="AD39" i="23"/>
  <c r="AD36" i="23"/>
  <c r="AE34" i="23"/>
  <c r="AM76" i="22"/>
  <c r="AE69" i="22"/>
  <c r="AD69" i="22"/>
  <c r="AM83" i="22"/>
  <c r="AM81" i="22"/>
  <c r="AJ71" i="22"/>
  <c r="AH75" i="22"/>
  <c r="AI75" i="22" s="1"/>
  <c r="AJ75" i="22" s="1"/>
  <c r="AD87" i="22"/>
  <c r="AJ83" i="22"/>
  <c r="AH74" i="22"/>
  <c r="AI74" i="22" s="1"/>
  <c r="AJ74" i="22" s="1"/>
  <c r="AE81" i="22"/>
  <c r="AE88" i="22"/>
  <c r="AD81" i="22"/>
  <c r="AM77" i="22"/>
  <c r="AD79" i="22"/>
  <c r="AD74" i="22"/>
  <c r="AM86" i="22"/>
  <c r="AH85" i="22"/>
  <c r="AI85" i="22" s="1"/>
  <c r="AJ85" i="22" s="1"/>
  <c r="AH86" i="22"/>
  <c r="AI86" i="22" s="1"/>
  <c r="AL86" i="22" s="1"/>
  <c r="AH87" i="22"/>
  <c r="AI87" i="22" s="1"/>
  <c r="AE80" i="22"/>
  <c r="AH78" i="22"/>
  <c r="AI78" i="22" s="1"/>
  <c r="AJ78" i="22" s="1"/>
  <c r="AM74" i="22"/>
  <c r="AM88" i="22"/>
  <c r="AN88" i="22" s="1"/>
  <c r="AE75" i="22"/>
  <c r="AN75" i="22" s="1"/>
  <c r="AD80" i="22"/>
  <c r="AH73" i="22"/>
  <c r="AI73" i="22" s="1"/>
  <c r="AJ73" i="22" s="1"/>
  <c r="AD85" i="20"/>
  <c r="AH96" i="20"/>
  <c r="AI96" i="20" s="1"/>
  <c r="AM92" i="20"/>
  <c r="AM90" i="20"/>
  <c r="AM93" i="20"/>
  <c r="AM91" i="20"/>
  <c r="AM87" i="20"/>
  <c r="AJ95" i="20"/>
  <c r="AM85" i="20"/>
  <c r="AD111" i="20"/>
  <c r="AE81" i="20"/>
  <c r="AL115" i="20"/>
  <c r="AE93" i="20"/>
  <c r="AE86" i="20"/>
  <c r="AD81" i="20"/>
  <c r="AH109" i="20"/>
  <c r="AI109" i="20" s="1"/>
  <c r="AJ109" i="20" s="1"/>
  <c r="AD93" i="20"/>
  <c r="AN93" i="20" s="1"/>
  <c r="AH103" i="20"/>
  <c r="AI103" i="20" s="1"/>
  <c r="AJ107" i="20"/>
  <c r="AD87" i="20"/>
  <c r="AE103" i="20"/>
  <c r="AN103" i="20" s="1"/>
  <c r="AE110" i="20"/>
  <c r="AJ85" i="20"/>
  <c r="AL93" i="20"/>
  <c r="AM28" i="14"/>
  <c r="AM41" i="14"/>
  <c r="AE43" i="14"/>
  <c r="AM31" i="14"/>
  <c r="AL31" i="14"/>
  <c r="AM27" i="14"/>
  <c r="AE31" i="14"/>
  <c r="AL29" i="14"/>
  <c r="AM44" i="14"/>
  <c r="AM42" i="14"/>
  <c r="AD31" i="14"/>
  <c r="AD29" i="14"/>
  <c r="AJ27" i="14"/>
  <c r="AM46" i="14"/>
  <c r="AH40" i="14"/>
  <c r="AI40" i="14" s="1"/>
  <c r="AH53" i="14"/>
  <c r="AI53" i="14" s="1"/>
  <c r="AJ53" i="14" s="1"/>
  <c r="AE45" i="14"/>
  <c r="AD40" i="14"/>
  <c r="AE33" i="14"/>
  <c r="AL53" i="14"/>
  <c r="AD43" i="14"/>
  <c r="AH36" i="14"/>
  <c r="AI36" i="14" s="1"/>
  <c r="AN52" i="14"/>
  <c r="AD36" i="14"/>
  <c r="AH46" i="14"/>
  <c r="AI46" i="14" s="1"/>
  <c r="AE25" i="14"/>
  <c r="AD25" i="14"/>
  <c r="AL55" i="14"/>
  <c r="AJ51" i="14"/>
  <c r="AJ49" i="14"/>
  <c r="AN54" i="14"/>
  <c r="AE37" i="14"/>
  <c r="AD25" i="13"/>
  <c r="AH25" i="13"/>
  <c r="AI25" i="13" s="1"/>
  <c r="AE53" i="12"/>
  <c r="AD51" i="12"/>
  <c r="AE58" i="12"/>
  <c r="AM29" i="78"/>
  <c r="AM25" i="78"/>
  <c r="AM7" i="78"/>
  <c r="AM11" i="78"/>
  <c r="AE33" i="78"/>
  <c r="AH27" i="78"/>
  <c r="AI27" i="78" s="1"/>
  <c r="AM28" i="78"/>
  <c r="AM10" i="78"/>
  <c r="AM14" i="78"/>
  <c r="AM23" i="78"/>
  <c r="W10" i="78"/>
  <c r="J16" i="68"/>
  <c r="AE19" i="78"/>
  <c r="H16" i="68"/>
  <c r="C17" i="2" s="1"/>
  <c r="AE37" i="78"/>
  <c r="AE25" i="78"/>
  <c r="AH19" i="78"/>
  <c r="AI19" i="78" s="1"/>
  <c r="AJ19" i="78" s="1"/>
  <c r="AJ58" i="5"/>
  <c r="AM56" i="5"/>
  <c r="AH57" i="5"/>
  <c r="AI57" i="5" s="1"/>
  <c r="AM55" i="5"/>
  <c r="AM53" i="5"/>
  <c r="AH63" i="5"/>
  <c r="AI63" i="5" s="1"/>
  <c r="AE54" i="5"/>
  <c r="AH64" i="5"/>
  <c r="AI64" i="5" s="1"/>
  <c r="AH61" i="5"/>
  <c r="AI61" i="5" s="1"/>
  <c r="AD63" i="5"/>
  <c r="AD65" i="5"/>
  <c r="AE53" i="5"/>
  <c r="AN53" i="5" s="1"/>
  <c r="AD53" i="5"/>
  <c r="AM31" i="3"/>
  <c r="AM33" i="3"/>
  <c r="AD26" i="3"/>
  <c r="AH24" i="3"/>
  <c r="AI24" i="3" s="1"/>
  <c r="AE24" i="3"/>
  <c r="AN66" i="78"/>
  <c r="AN69" i="51"/>
  <c r="AN88" i="53"/>
  <c r="AN98" i="57"/>
  <c r="AN79" i="31"/>
  <c r="AN200" i="32"/>
  <c r="AN67" i="78"/>
  <c r="AN61" i="45"/>
  <c r="AN64" i="51"/>
  <c r="AN46" i="51"/>
  <c r="AN25" i="51"/>
  <c r="AN92" i="53"/>
  <c r="AN59" i="53"/>
  <c r="AN44" i="54"/>
  <c r="AN92" i="57"/>
  <c r="AN72" i="59"/>
  <c r="AN129" i="20"/>
  <c r="AN55" i="45"/>
  <c r="AN91" i="53"/>
  <c r="AN86" i="53"/>
  <c r="AN49" i="55"/>
  <c r="AN67" i="59"/>
  <c r="AN82" i="53"/>
  <c r="AN73" i="59"/>
  <c r="AN59" i="59"/>
  <c r="AN209" i="32"/>
  <c r="AN31" i="55"/>
  <c r="AN97" i="57"/>
  <c r="AN110" i="20"/>
  <c r="AN37" i="55"/>
  <c r="AN69" i="57"/>
  <c r="AN82" i="5"/>
  <c r="AN75" i="5"/>
  <c r="AN35" i="13"/>
  <c r="AN43" i="45"/>
  <c r="AN85" i="57"/>
  <c r="AN44" i="60"/>
  <c r="AN59" i="14"/>
  <c r="AN49" i="43"/>
  <c r="AN29" i="45"/>
  <c r="AN42" i="54"/>
  <c r="AN66" i="59"/>
  <c r="AN33" i="6"/>
  <c r="AN36" i="44"/>
  <c r="AN83" i="57"/>
  <c r="AN60" i="28"/>
  <c r="AN89" i="51"/>
  <c r="AN34" i="51"/>
  <c r="AN94" i="60"/>
  <c r="AN68" i="60"/>
  <c r="AN57" i="28"/>
  <c r="AN212" i="32"/>
  <c r="AN69" i="78"/>
  <c r="AN37" i="51"/>
  <c r="AN89" i="57"/>
  <c r="AN65" i="57"/>
  <c r="AJ42" i="60"/>
  <c r="AJ67" i="60"/>
  <c r="AJ115" i="60"/>
  <c r="AL115" i="60"/>
  <c r="AJ68" i="60"/>
  <c r="AJ34" i="60"/>
  <c r="AJ73" i="60"/>
  <c r="AE120" i="60"/>
  <c r="AN120" i="60" s="1"/>
  <c r="AD83" i="60"/>
  <c r="AN83" i="60" s="1"/>
  <c r="AD80" i="60"/>
  <c r="AN80" i="60" s="1"/>
  <c r="AE50" i="60"/>
  <c r="AE32" i="60"/>
  <c r="AN32" i="60" s="1"/>
  <c r="AL101" i="60"/>
  <c r="AD61" i="60"/>
  <c r="AN61" i="60" s="1"/>
  <c r="AD37" i="60"/>
  <c r="AN37" i="60" s="1"/>
  <c r="AH98" i="60"/>
  <c r="AI98" i="60" s="1"/>
  <c r="AN78" i="60"/>
  <c r="AN66" i="60"/>
  <c r="AL56" i="60"/>
  <c r="AH54" i="60"/>
  <c r="AI54" i="60" s="1"/>
  <c r="AJ54" i="60" s="1"/>
  <c r="AN42" i="60"/>
  <c r="AJ97" i="60"/>
  <c r="AH105" i="60"/>
  <c r="AI105" i="60" s="1"/>
  <c r="AJ105" i="60" s="1"/>
  <c r="AH89" i="60"/>
  <c r="AI89" i="60" s="1"/>
  <c r="AL89" i="60" s="1"/>
  <c r="AH35" i="60"/>
  <c r="AI35" i="60" s="1"/>
  <c r="AJ35" i="60" s="1"/>
  <c r="AH34" i="60"/>
  <c r="AI34" i="60" s="1"/>
  <c r="AL34" i="60" s="1"/>
  <c r="AH30" i="60"/>
  <c r="AI30" i="60" s="1"/>
  <c r="AJ30" i="60" s="1"/>
  <c r="AH119" i="60"/>
  <c r="AI119" i="60" s="1"/>
  <c r="AN116" i="60"/>
  <c r="AN114" i="60"/>
  <c r="AN101" i="60"/>
  <c r="AE98" i="60"/>
  <c r="AN98" i="60" s="1"/>
  <c r="AH86" i="60"/>
  <c r="AI86" i="60" s="1"/>
  <c r="AJ86" i="60" s="1"/>
  <c r="AD72" i="60"/>
  <c r="AN72" i="60" s="1"/>
  <c r="AH59" i="60"/>
  <c r="AI59" i="60" s="1"/>
  <c r="AL59" i="60" s="1"/>
  <c r="AD105" i="60"/>
  <c r="AN105" i="60" s="1"/>
  <c r="AE102" i="60"/>
  <c r="AE99" i="60"/>
  <c r="AN99" i="60" s="1"/>
  <c r="AH90" i="60"/>
  <c r="AI90" i="60" s="1"/>
  <c r="AH65" i="60"/>
  <c r="AI65" i="60" s="1"/>
  <c r="AH55" i="60"/>
  <c r="AI55" i="60" s="1"/>
  <c r="AJ55" i="60" s="1"/>
  <c r="AE54" i="60"/>
  <c r="AN54" i="60" s="1"/>
  <c r="AH41" i="60"/>
  <c r="AI41" i="60" s="1"/>
  <c r="AE89" i="60"/>
  <c r="AN89" i="60" s="1"/>
  <c r="AD85" i="60"/>
  <c r="AN85" i="60" s="1"/>
  <c r="AH83" i="60"/>
  <c r="AI83" i="60" s="1"/>
  <c r="AJ83" i="60" s="1"/>
  <c r="AH80" i="60"/>
  <c r="AI80" i="60" s="1"/>
  <c r="AJ80" i="60" s="1"/>
  <c r="AL74" i="60"/>
  <c r="AE73" i="60"/>
  <c r="AE49" i="60"/>
  <c r="AE35" i="60"/>
  <c r="AN35" i="60" s="1"/>
  <c r="AH31" i="60"/>
  <c r="AI31" i="60" s="1"/>
  <c r="AJ31" i="60" s="1"/>
  <c r="AD25" i="60"/>
  <c r="AN25" i="60" s="1"/>
  <c r="AE90" i="60"/>
  <c r="AN90" i="60" s="1"/>
  <c r="AE86" i="60"/>
  <c r="AN86" i="60" s="1"/>
  <c r="AE74" i="60"/>
  <c r="AD73" i="60"/>
  <c r="AN67" i="60"/>
  <c r="AH60" i="60"/>
  <c r="AI60" i="60" s="1"/>
  <c r="AL60" i="60" s="1"/>
  <c r="AE59" i="60"/>
  <c r="AN59" i="60" s="1"/>
  <c r="AD55" i="60"/>
  <c r="AH52" i="60"/>
  <c r="AI52" i="60" s="1"/>
  <c r="AD49" i="60"/>
  <c r="AE36" i="60"/>
  <c r="AH32" i="60"/>
  <c r="AI32" i="60" s="1"/>
  <c r="AJ32" i="60" s="1"/>
  <c r="AH28" i="60"/>
  <c r="AI28" i="60" s="1"/>
  <c r="AJ109" i="60"/>
  <c r="AE87" i="60"/>
  <c r="AN87" i="60" s="1"/>
  <c r="AD74" i="60"/>
  <c r="AL68" i="60"/>
  <c r="AD36" i="60"/>
  <c r="AD31" i="60"/>
  <c r="AN31" i="60" s="1"/>
  <c r="AN56" i="60"/>
  <c r="AL44" i="60"/>
  <c r="AJ110" i="60"/>
  <c r="AL110" i="60"/>
  <c r="AL118" i="60"/>
  <c r="AL130" i="60"/>
  <c r="AJ130" i="60"/>
  <c r="AJ127" i="60"/>
  <c r="AL127" i="60"/>
  <c r="AL121" i="60"/>
  <c r="AJ121" i="60"/>
  <c r="AL119" i="60"/>
  <c r="AJ119" i="60"/>
  <c r="AL106" i="60"/>
  <c r="AJ129" i="60"/>
  <c r="AL129" i="60"/>
  <c r="AN129" i="60"/>
  <c r="AL109" i="60"/>
  <c r="AH104" i="60"/>
  <c r="AI104" i="60" s="1"/>
  <c r="AJ104" i="60" s="1"/>
  <c r="AD104" i="60"/>
  <c r="AN104" i="60" s="1"/>
  <c r="AJ94" i="60"/>
  <c r="AL94" i="60"/>
  <c r="AD84" i="60"/>
  <c r="AE84" i="60"/>
  <c r="AL43" i="60"/>
  <c r="AJ43" i="60"/>
  <c r="AD112" i="60"/>
  <c r="AE112" i="60"/>
  <c r="AH112" i="60"/>
  <c r="AI112" i="60" s="1"/>
  <c r="AJ112" i="60" s="1"/>
  <c r="AJ90" i="60"/>
  <c r="AL90" i="60"/>
  <c r="AJ64" i="60"/>
  <c r="AL64" i="60"/>
  <c r="AH123" i="60"/>
  <c r="AI123" i="60" s="1"/>
  <c r="AL123" i="60" s="1"/>
  <c r="AN122" i="60"/>
  <c r="AN97" i="60"/>
  <c r="AJ91" i="60"/>
  <c r="AL91" i="60"/>
  <c r="AJ114" i="60"/>
  <c r="AD108" i="60"/>
  <c r="AE108" i="60"/>
  <c r="AH108" i="60"/>
  <c r="AI108" i="60" s="1"/>
  <c r="AL108" i="60" s="1"/>
  <c r="AH93" i="60"/>
  <c r="AI93" i="60" s="1"/>
  <c r="AJ93" i="60" s="1"/>
  <c r="AD93" i="60"/>
  <c r="AE93" i="60"/>
  <c r="AJ75" i="60"/>
  <c r="AL75" i="60"/>
  <c r="AH126" i="60"/>
  <c r="AI126" i="60" s="1"/>
  <c r="AL126" i="60" s="1"/>
  <c r="AE123" i="60"/>
  <c r="AN123" i="60" s="1"/>
  <c r="AJ95" i="60"/>
  <c r="AL95" i="60"/>
  <c r="AN91" i="60"/>
  <c r="AD111" i="60"/>
  <c r="AH111" i="60"/>
  <c r="AI111" i="60" s="1"/>
  <c r="AN102" i="60"/>
  <c r="AL97" i="60"/>
  <c r="AD81" i="60"/>
  <c r="AE81" i="60"/>
  <c r="AH81" i="60"/>
  <c r="AI81" i="60" s="1"/>
  <c r="AJ81" i="60" s="1"/>
  <c r="AE77" i="60"/>
  <c r="AD77" i="60"/>
  <c r="AH77" i="60"/>
  <c r="AI77" i="60" s="1"/>
  <c r="AJ77" i="60" s="1"/>
  <c r="AE130" i="60"/>
  <c r="AN130" i="60" s="1"/>
  <c r="AE126" i="60"/>
  <c r="AN126" i="60" s="1"/>
  <c r="AD121" i="60"/>
  <c r="AE119" i="60"/>
  <c r="AN119" i="60" s="1"/>
  <c r="AN118" i="60"/>
  <c r="AJ117" i="60"/>
  <c r="AN106" i="60"/>
  <c r="AJ103" i="60"/>
  <c r="AL103" i="60"/>
  <c r="AL128" i="60"/>
  <c r="AD124" i="60"/>
  <c r="AE124" i="60"/>
  <c r="AH124" i="60"/>
  <c r="AI124" i="60" s="1"/>
  <c r="AN110" i="60"/>
  <c r="AE103" i="60"/>
  <c r="AL125" i="60"/>
  <c r="AE117" i="60"/>
  <c r="AN117" i="60" s="1"/>
  <c r="AE115" i="60"/>
  <c r="AH107" i="60"/>
  <c r="AI107" i="60" s="1"/>
  <c r="AJ107" i="60" s="1"/>
  <c r="AD103" i="60"/>
  <c r="AH84" i="60"/>
  <c r="AI84" i="60" s="1"/>
  <c r="AJ84" i="60" s="1"/>
  <c r="AJ50" i="60"/>
  <c r="AL50" i="60"/>
  <c r="AE127" i="60"/>
  <c r="AH120" i="60"/>
  <c r="AI120" i="60" s="1"/>
  <c r="AL120" i="60" s="1"/>
  <c r="AD115" i="60"/>
  <c r="AJ113" i="60"/>
  <c r="AE111" i="60"/>
  <c r="AJ102" i="60"/>
  <c r="AL85" i="60"/>
  <c r="AD127" i="60"/>
  <c r="AN121" i="60"/>
  <c r="AJ116" i="60"/>
  <c r="AE107" i="60"/>
  <c r="AN107" i="60" s="1"/>
  <c r="AH92" i="60"/>
  <c r="AI92" i="60" s="1"/>
  <c r="AJ92" i="60" s="1"/>
  <c r="AD92" i="60"/>
  <c r="AN92" i="60" s="1"/>
  <c r="AE79" i="60"/>
  <c r="AD79" i="60"/>
  <c r="AH79" i="60"/>
  <c r="AI79" i="60" s="1"/>
  <c r="AJ79" i="60" s="1"/>
  <c r="AJ118" i="60"/>
  <c r="AL114" i="60"/>
  <c r="AN109" i="60"/>
  <c r="AJ106" i="60"/>
  <c r="AH96" i="60"/>
  <c r="AI96" i="60" s="1"/>
  <c r="AJ96" i="60" s="1"/>
  <c r="AJ59" i="60"/>
  <c r="AN55" i="60"/>
  <c r="AJ37" i="60"/>
  <c r="AL37" i="60"/>
  <c r="AH63" i="60"/>
  <c r="AI63" i="60" s="1"/>
  <c r="AL63" i="60" s="1"/>
  <c r="AD63" i="60"/>
  <c r="AE63" i="60"/>
  <c r="AJ60" i="60"/>
  <c r="AJ49" i="60"/>
  <c r="AL49" i="60"/>
  <c r="AH39" i="60"/>
  <c r="AI39" i="60" s="1"/>
  <c r="AJ39" i="60" s="1"/>
  <c r="AD39" i="60"/>
  <c r="AE39" i="60"/>
  <c r="AL30" i="60"/>
  <c r="AE95" i="60"/>
  <c r="AN95" i="60" s="1"/>
  <c r="AL73" i="60"/>
  <c r="AL67" i="60"/>
  <c r="AL66" i="60"/>
  <c r="AJ65" i="60"/>
  <c r="AL65" i="60"/>
  <c r="AJ40" i="60"/>
  <c r="AL40" i="60"/>
  <c r="AH99" i="60"/>
  <c r="AI99" i="60" s="1"/>
  <c r="AJ99" i="60" s="1"/>
  <c r="AE96" i="60"/>
  <c r="AN96" i="60" s="1"/>
  <c r="AH87" i="60"/>
  <c r="AI87" i="60" s="1"/>
  <c r="AL87" i="60" s="1"/>
  <c r="AL78" i="60"/>
  <c r="AL54" i="60"/>
  <c r="AH100" i="60"/>
  <c r="AI100" i="60" s="1"/>
  <c r="AL100" i="60" s="1"/>
  <c r="AH88" i="60"/>
  <c r="AI88" i="60" s="1"/>
  <c r="AJ88" i="60" s="1"/>
  <c r="AE82" i="60"/>
  <c r="AN82" i="60" s="1"/>
  <c r="AH82" i="60"/>
  <c r="AI82" i="60" s="1"/>
  <c r="AJ82" i="60" s="1"/>
  <c r="AH76" i="60"/>
  <c r="AI76" i="60" s="1"/>
  <c r="AJ76" i="60" s="1"/>
  <c r="AJ47" i="60"/>
  <c r="AL47" i="60"/>
  <c r="AJ38" i="60"/>
  <c r="AL38" i="60"/>
  <c r="AJ25" i="60"/>
  <c r="AL25" i="60"/>
  <c r="AD64" i="60"/>
  <c r="AE64" i="60"/>
  <c r="AN43" i="60"/>
  <c r="AH27" i="60"/>
  <c r="AI27" i="60" s="1"/>
  <c r="AL27" i="60" s="1"/>
  <c r="AD27" i="60"/>
  <c r="AN27" i="60" s="1"/>
  <c r="AE27" i="60"/>
  <c r="AJ61" i="60"/>
  <c r="AL61" i="60"/>
  <c r="AJ41" i="60"/>
  <c r="AJ28" i="60"/>
  <c r="AL28" i="60"/>
  <c r="AE100" i="60"/>
  <c r="AN100" i="60" s="1"/>
  <c r="AE88" i="60"/>
  <c r="AN88" i="60" s="1"/>
  <c r="AE76" i="60"/>
  <c r="AN76" i="60" s="1"/>
  <c r="AJ48" i="60"/>
  <c r="AL48" i="60"/>
  <c r="AJ72" i="60"/>
  <c r="AL72" i="60"/>
  <c r="AH62" i="60"/>
  <c r="AI62" i="60" s="1"/>
  <c r="AJ62" i="60" s="1"/>
  <c r="AD62" i="60"/>
  <c r="AN62" i="60" s="1"/>
  <c r="AH51" i="60"/>
  <c r="AI51" i="60" s="1"/>
  <c r="AJ51" i="60" s="1"/>
  <c r="AD51" i="60"/>
  <c r="AE51" i="60"/>
  <c r="AN48" i="60"/>
  <c r="AL42" i="60"/>
  <c r="AJ26" i="60"/>
  <c r="AL26" i="60"/>
  <c r="AJ71" i="60"/>
  <c r="AL71" i="60"/>
  <c r="AJ52" i="60"/>
  <c r="AL52" i="60"/>
  <c r="AJ36" i="60"/>
  <c r="AL36" i="60"/>
  <c r="AD50" i="60"/>
  <c r="AN50" i="60" s="1"/>
  <c r="AD38" i="60"/>
  <c r="AN38" i="60" s="1"/>
  <c r="AD26" i="60"/>
  <c r="AN26" i="60" s="1"/>
  <c r="AE52" i="60"/>
  <c r="AN52" i="60" s="1"/>
  <c r="AE40" i="60"/>
  <c r="AN40" i="60" s="1"/>
  <c r="AE28" i="60"/>
  <c r="AN28" i="60" s="1"/>
  <c r="AE65" i="60"/>
  <c r="AN65" i="60" s="1"/>
  <c r="AE53" i="60"/>
  <c r="AN53" i="60" s="1"/>
  <c r="AE41" i="60"/>
  <c r="AN41" i="60" s="1"/>
  <c r="AE29" i="60"/>
  <c r="AN29" i="60" s="1"/>
  <c r="AH69" i="60"/>
  <c r="AI69" i="60" s="1"/>
  <c r="AL69" i="60" s="1"/>
  <c r="AH57" i="60"/>
  <c r="AI57" i="60" s="1"/>
  <c r="AL57" i="60" s="1"/>
  <c r="AH45" i="60"/>
  <c r="AI45" i="60" s="1"/>
  <c r="AL45" i="60" s="1"/>
  <c r="AH33" i="60"/>
  <c r="AI33" i="60" s="1"/>
  <c r="AJ33" i="60" s="1"/>
  <c r="AE30" i="60"/>
  <c r="AN30" i="60" s="1"/>
  <c r="AH70" i="60"/>
  <c r="AI70" i="60" s="1"/>
  <c r="AL70" i="60" s="1"/>
  <c r="AH58" i="60"/>
  <c r="AI58" i="60" s="1"/>
  <c r="AL58" i="60" s="1"/>
  <c r="AH46" i="60"/>
  <c r="AI46" i="60" s="1"/>
  <c r="AL46" i="60" s="1"/>
  <c r="AE69" i="60"/>
  <c r="AN69" i="60" s="1"/>
  <c r="AE57" i="60"/>
  <c r="AN57" i="60" s="1"/>
  <c r="AE45" i="60"/>
  <c r="AN45" i="60" s="1"/>
  <c r="AE33" i="60"/>
  <c r="AN33" i="60" s="1"/>
  <c r="AE70" i="60"/>
  <c r="AN70" i="60" s="1"/>
  <c r="AE58" i="60"/>
  <c r="AN58" i="60" s="1"/>
  <c r="AL53" i="60"/>
  <c r="AE46" i="60"/>
  <c r="AN46" i="60" s="1"/>
  <c r="AL41" i="60"/>
  <c r="AE34" i="60"/>
  <c r="AN34" i="60" s="1"/>
  <c r="AL29" i="60"/>
  <c r="AN35" i="59"/>
  <c r="AJ58" i="59"/>
  <c r="AL54" i="59"/>
  <c r="AJ43" i="59"/>
  <c r="AN60" i="59"/>
  <c r="AL47" i="59"/>
  <c r="AN55" i="59"/>
  <c r="AN37" i="59"/>
  <c r="AJ47" i="59"/>
  <c r="AM58" i="59"/>
  <c r="AH55" i="59"/>
  <c r="AI55" i="59" s="1"/>
  <c r="AE48" i="59"/>
  <c r="AN48" i="59" s="1"/>
  <c r="AE47" i="59"/>
  <c r="AH31" i="59"/>
  <c r="AI31" i="59" s="1"/>
  <c r="AL31" i="59" s="1"/>
  <c r="AL30" i="59"/>
  <c r="AD47" i="59"/>
  <c r="AM45" i="59"/>
  <c r="AE38" i="59"/>
  <c r="AL34" i="59"/>
  <c r="AH58" i="59"/>
  <c r="AI58" i="59" s="1"/>
  <c r="AN54" i="59"/>
  <c r="AH41" i="59"/>
  <c r="AI41" i="59" s="1"/>
  <c r="AJ41" i="59" s="1"/>
  <c r="AN30" i="59"/>
  <c r="AM56" i="59"/>
  <c r="AD49" i="59"/>
  <c r="AN49" i="59" s="1"/>
  <c r="AH35" i="59"/>
  <c r="AI35" i="59" s="1"/>
  <c r="AL35" i="59" s="1"/>
  <c r="AE31" i="59"/>
  <c r="AN31" i="59" s="1"/>
  <c r="AN25" i="59"/>
  <c r="AH52" i="59"/>
  <c r="AI52" i="59" s="1"/>
  <c r="AJ52" i="59" s="1"/>
  <c r="AM50" i="59"/>
  <c r="AJ42" i="59"/>
  <c r="AH36" i="59"/>
  <c r="AI36" i="59" s="1"/>
  <c r="AH28" i="59"/>
  <c r="AI28" i="59" s="1"/>
  <c r="AJ28" i="59" s="1"/>
  <c r="AM46" i="59"/>
  <c r="AN36" i="59"/>
  <c r="AL67" i="59"/>
  <c r="AJ67" i="59"/>
  <c r="AJ61" i="59"/>
  <c r="AL61" i="59"/>
  <c r="AJ53" i="59"/>
  <c r="AJ29" i="59"/>
  <c r="AJ46" i="59"/>
  <c r="AJ70" i="59"/>
  <c r="AJ63" i="59"/>
  <c r="AL63" i="59"/>
  <c r="AJ48" i="59"/>
  <c r="AL48" i="59"/>
  <c r="AJ40" i="59"/>
  <c r="AJ51" i="59"/>
  <c r="AL51" i="59"/>
  <c r="AJ38" i="59"/>
  <c r="AL38" i="59"/>
  <c r="AJ27" i="59"/>
  <c r="AL27" i="59"/>
  <c r="AJ72" i="59"/>
  <c r="AL72" i="59"/>
  <c r="AJ62" i="59"/>
  <c r="AL62" i="59"/>
  <c r="AL55" i="59"/>
  <c r="AJ55" i="59"/>
  <c r="AJ49" i="59"/>
  <c r="AL49" i="59"/>
  <c r="AJ25" i="59"/>
  <c r="AL25" i="59"/>
  <c r="AJ37" i="59"/>
  <c r="AL37" i="59"/>
  <c r="AJ34" i="59"/>
  <c r="AJ73" i="59"/>
  <c r="AL73" i="59"/>
  <c r="AN64" i="59"/>
  <c r="AJ36" i="59"/>
  <c r="AL36" i="59"/>
  <c r="AJ60" i="59"/>
  <c r="AL60" i="59"/>
  <c r="AJ50" i="59"/>
  <c r="AL50" i="59"/>
  <c r="AJ39" i="59"/>
  <c r="AL39" i="59"/>
  <c r="AJ26" i="59"/>
  <c r="AL26" i="59"/>
  <c r="AL70" i="59"/>
  <c r="AE63" i="59"/>
  <c r="AD62" i="59"/>
  <c r="AN62" i="59" s="1"/>
  <c r="AL58" i="59"/>
  <c r="AE51" i="59"/>
  <c r="AD50" i="59"/>
  <c r="AE39" i="59"/>
  <c r="AD38" i="59"/>
  <c r="AE27" i="59"/>
  <c r="AD26" i="59"/>
  <c r="AN26" i="59" s="1"/>
  <c r="AL71" i="59"/>
  <c r="AE64" i="59"/>
  <c r="AD63" i="59"/>
  <c r="AL59" i="59"/>
  <c r="AE52" i="59"/>
  <c r="AN52" i="59" s="1"/>
  <c r="AD51" i="59"/>
  <c r="AE40" i="59"/>
  <c r="AN40" i="59" s="1"/>
  <c r="AD39" i="59"/>
  <c r="AE28" i="59"/>
  <c r="AN28" i="59" s="1"/>
  <c r="AD27" i="59"/>
  <c r="AH68" i="59"/>
  <c r="AI68" i="59" s="1"/>
  <c r="AJ68" i="59" s="1"/>
  <c r="AE65" i="59"/>
  <c r="AN65" i="59" s="1"/>
  <c r="AH56" i="59"/>
  <c r="AI56" i="59" s="1"/>
  <c r="AJ56" i="59" s="1"/>
  <c r="AE53" i="59"/>
  <c r="AN53" i="59" s="1"/>
  <c r="AH44" i="59"/>
  <c r="AI44" i="59" s="1"/>
  <c r="AJ44" i="59" s="1"/>
  <c r="AE41" i="59"/>
  <c r="AN41" i="59" s="1"/>
  <c r="AH32" i="59"/>
  <c r="AI32" i="59" s="1"/>
  <c r="AL32" i="59" s="1"/>
  <c r="AE29" i="59"/>
  <c r="AN29" i="59" s="1"/>
  <c r="AH69" i="59"/>
  <c r="AI69" i="59" s="1"/>
  <c r="AL69" i="59" s="1"/>
  <c r="AH57" i="59"/>
  <c r="AI57" i="59" s="1"/>
  <c r="AL57" i="59" s="1"/>
  <c r="AH45" i="59"/>
  <c r="AI45" i="59" s="1"/>
  <c r="AL45" i="59" s="1"/>
  <c r="AH33" i="59"/>
  <c r="AI33" i="59" s="1"/>
  <c r="AL33" i="59" s="1"/>
  <c r="AE68" i="59"/>
  <c r="AN68" i="59" s="1"/>
  <c r="AE56" i="59"/>
  <c r="AN56" i="59" s="1"/>
  <c r="AE44" i="59"/>
  <c r="AN44" i="59" s="1"/>
  <c r="AE32" i="59"/>
  <c r="AN32" i="59" s="1"/>
  <c r="AE69" i="59"/>
  <c r="AN69" i="59" s="1"/>
  <c r="AL64" i="59"/>
  <c r="AE57" i="59"/>
  <c r="AN57" i="59" s="1"/>
  <c r="AE45" i="59"/>
  <c r="AL40" i="59"/>
  <c r="AE33" i="59"/>
  <c r="AN33" i="59" s="1"/>
  <c r="AL28" i="59"/>
  <c r="AE70" i="59"/>
  <c r="AN70" i="59" s="1"/>
  <c r="AL65" i="59"/>
  <c r="AE58" i="59"/>
  <c r="AN58" i="59" s="1"/>
  <c r="AL53" i="59"/>
  <c r="AE46" i="59"/>
  <c r="AL41" i="59"/>
  <c r="AE34" i="59"/>
  <c r="AN34" i="59" s="1"/>
  <c r="AL29" i="59"/>
  <c r="AL55" i="57"/>
  <c r="AJ55" i="57"/>
  <c r="AL67" i="57"/>
  <c r="AJ67" i="57"/>
  <c r="AE77" i="57"/>
  <c r="AN77" i="57" s="1"/>
  <c r="AE61" i="57"/>
  <c r="AN61" i="57" s="1"/>
  <c r="AN68" i="57"/>
  <c r="AM50" i="57"/>
  <c r="AN73" i="57"/>
  <c r="AN62" i="57"/>
  <c r="AH79" i="57"/>
  <c r="AI79" i="57" s="1"/>
  <c r="AL79" i="57" s="1"/>
  <c r="AN67" i="57"/>
  <c r="AM66" i="57"/>
  <c r="AM57" i="57"/>
  <c r="AN56" i="57"/>
  <c r="AH50" i="57"/>
  <c r="AI50" i="57" s="1"/>
  <c r="AJ50" i="57" s="1"/>
  <c r="AH80" i="57"/>
  <c r="AI80" i="57" s="1"/>
  <c r="AJ80" i="57" s="1"/>
  <c r="AN71" i="57"/>
  <c r="AE59" i="57"/>
  <c r="AN59" i="57" s="1"/>
  <c r="AH53" i="57"/>
  <c r="AI53" i="57" s="1"/>
  <c r="AJ53" i="57" s="1"/>
  <c r="AE50" i="57"/>
  <c r="AE80" i="57"/>
  <c r="AN80" i="57" s="1"/>
  <c r="AE79" i="57"/>
  <c r="AN79" i="57" s="1"/>
  <c r="AH66" i="57"/>
  <c r="AI66" i="57" s="1"/>
  <c r="AE57" i="57"/>
  <c r="AN81" i="57"/>
  <c r="AH60" i="57"/>
  <c r="AI60" i="57" s="1"/>
  <c r="AJ60" i="57" s="1"/>
  <c r="AN55" i="57"/>
  <c r="AJ61" i="57"/>
  <c r="AE53" i="57"/>
  <c r="AN53" i="57" s="1"/>
  <c r="AJ71" i="57"/>
  <c r="AJ84" i="57"/>
  <c r="AL84" i="57"/>
  <c r="AJ62" i="57"/>
  <c r="AL62" i="57"/>
  <c r="AJ75" i="57"/>
  <c r="AL75" i="57"/>
  <c r="AJ56" i="57"/>
  <c r="AL56" i="57"/>
  <c r="AL90" i="57"/>
  <c r="AJ90" i="57"/>
  <c r="AJ77" i="57"/>
  <c r="AJ98" i="57"/>
  <c r="AL98" i="57"/>
  <c r="AJ65" i="57"/>
  <c r="AJ87" i="57"/>
  <c r="AL87" i="57"/>
  <c r="AJ68" i="57"/>
  <c r="AL68" i="57"/>
  <c r="AL54" i="57"/>
  <c r="AJ54" i="57"/>
  <c r="AJ92" i="57"/>
  <c r="AL92" i="57"/>
  <c r="AL78" i="57"/>
  <c r="AJ78" i="57"/>
  <c r="AJ95" i="57"/>
  <c r="AJ86" i="57"/>
  <c r="AL86" i="57"/>
  <c r="AJ72" i="57"/>
  <c r="AL72" i="57"/>
  <c r="AN93" i="57"/>
  <c r="AJ89" i="57"/>
  <c r="AJ63" i="57"/>
  <c r="AL63" i="57"/>
  <c r="AJ51" i="57"/>
  <c r="AL51" i="57"/>
  <c r="AL66" i="57"/>
  <c r="AJ66" i="57"/>
  <c r="AJ96" i="57"/>
  <c r="AL96" i="57"/>
  <c r="AJ74" i="57"/>
  <c r="AL74" i="57"/>
  <c r="AD96" i="57"/>
  <c r="AN96" i="57" s="1"/>
  <c r="AH88" i="57"/>
  <c r="AI88" i="57" s="1"/>
  <c r="AJ88" i="57" s="1"/>
  <c r="AD84" i="57"/>
  <c r="AN84" i="57" s="1"/>
  <c r="AH76" i="57"/>
  <c r="AI76" i="57" s="1"/>
  <c r="AJ76" i="57" s="1"/>
  <c r="AD72" i="57"/>
  <c r="AN72" i="57" s="1"/>
  <c r="AH64" i="57"/>
  <c r="AI64" i="57" s="1"/>
  <c r="AJ64" i="57" s="1"/>
  <c r="AD60" i="57"/>
  <c r="AN60" i="57" s="1"/>
  <c r="AH52" i="57"/>
  <c r="AI52" i="57" s="1"/>
  <c r="AJ52" i="57" s="1"/>
  <c r="AE87" i="57"/>
  <c r="AE75" i="57"/>
  <c r="AE63" i="57"/>
  <c r="AE51" i="57"/>
  <c r="AL95" i="57"/>
  <c r="AE88" i="57"/>
  <c r="AN88" i="57" s="1"/>
  <c r="AD87" i="57"/>
  <c r="AL83" i="57"/>
  <c r="AE76" i="57"/>
  <c r="AN76" i="57" s="1"/>
  <c r="AD75" i="57"/>
  <c r="AL71" i="57"/>
  <c r="AE64" i="57"/>
  <c r="AN64" i="57" s="1"/>
  <c r="AD63" i="57"/>
  <c r="AL59" i="57"/>
  <c r="AE52" i="57"/>
  <c r="AN52" i="57" s="1"/>
  <c r="AD51" i="57"/>
  <c r="AN51" i="57" s="1"/>
  <c r="AL97" i="57"/>
  <c r="AH93" i="57"/>
  <c r="AI93" i="57" s="1"/>
  <c r="AL93" i="57" s="1"/>
  <c r="AE90" i="57"/>
  <c r="AN90" i="57" s="1"/>
  <c r="AL85" i="57"/>
  <c r="AH81" i="57"/>
  <c r="AI81" i="57" s="1"/>
  <c r="AJ81" i="57" s="1"/>
  <c r="AE78" i="57"/>
  <c r="AN78" i="57" s="1"/>
  <c r="AL73" i="57"/>
  <c r="AH69" i="57"/>
  <c r="AI69" i="57" s="1"/>
  <c r="AL69" i="57" s="1"/>
  <c r="AE66" i="57"/>
  <c r="AL61" i="57"/>
  <c r="AH57" i="57"/>
  <c r="AI57" i="57" s="1"/>
  <c r="AJ57" i="57" s="1"/>
  <c r="AE54" i="57"/>
  <c r="AN54" i="57" s="1"/>
  <c r="AL49" i="57"/>
  <c r="AH94" i="57"/>
  <c r="AI94" i="57" s="1"/>
  <c r="AJ94" i="57" s="1"/>
  <c r="AH82" i="57"/>
  <c r="AI82" i="57" s="1"/>
  <c r="AJ82" i="57" s="1"/>
  <c r="AH70" i="57"/>
  <c r="AI70" i="57" s="1"/>
  <c r="AL70" i="57" s="1"/>
  <c r="AH58" i="57"/>
  <c r="AI58" i="57" s="1"/>
  <c r="AL58" i="57" s="1"/>
  <c r="AL88" i="57"/>
  <c r="AL52" i="57"/>
  <c r="AE94" i="57"/>
  <c r="AN94" i="57" s="1"/>
  <c r="AL89" i="57"/>
  <c r="AE82" i="57"/>
  <c r="AN82" i="57" s="1"/>
  <c r="AL77" i="57"/>
  <c r="AE70" i="57"/>
  <c r="AN70" i="57" s="1"/>
  <c r="AL65" i="57"/>
  <c r="AE58" i="57"/>
  <c r="AN58" i="57" s="1"/>
  <c r="AL53" i="57"/>
  <c r="AJ39" i="55"/>
  <c r="AJ33" i="55"/>
  <c r="AN40" i="55"/>
  <c r="AJ27" i="55"/>
  <c r="AJ37" i="55"/>
  <c r="AN39" i="55"/>
  <c r="AN28" i="55"/>
  <c r="AN33" i="55"/>
  <c r="AH32" i="55"/>
  <c r="AI32" i="55" s="1"/>
  <c r="AJ32" i="55" s="1"/>
  <c r="AE29" i="55"/>
  <c r="AN29" i="55" s="1"/>
  <c r="AM26" i="55"/>
  <c r="AD32" i="55"/>
  <c r="AN32" i="55" s="1"/>
  <c r="AJ40" i="55"/>
  <c r="AL40" i="55"/>
  <c r="AJ50" i="55"/>
  <c r="AL50" i="55"/>
  <c r="AL43" i="55"/>
  <c r="AJ28" i="55"/>
  <c r="AL28" i="55"/>
  <c r="AN48" i="55"/>
  <c r="AL31" i="55"/>
  <c r="AJ25" i="55"/>
  <c r="AJ36" i="55"/>
  <c r="AL36" i="55"/>
  <c r="AL44" i="55"/>
  <c r="AJ44" i="55"/>
  <c r="AJ51" i="55"/>
  <c r="AJ48" i="55"/>
  <c r="AL48" i="55"/>
  <c r="AJ38" i="55"/>
  <c r="AL38" i="55"/>
  <c r="AJ46" i="55"/>
  <c r="AN36" i="55"/>
  <c r="AL32" i="55"/>
  <c r="AN27" i="55"/>
  <c r="AJ26" i="55"/>
  <c r="AL26" i="55"/>
  <c r="AJ43" i="55"/>
  <c r="AH41" i="55"/>
  <c r="AI41" i="55" s="1"/>
  <c r="AJ41" i="55" s="1"/>
  <c r="AE38" i="55"/>
  <c r="AL33" i="55"/>
  <c r="AJ31" i="55"/>
  <c r="AH29" i="55"/>
  <c r="AI29" i="55" s="1"/>
  <c r="AJ29" i="55" s="1"/>
  <c r="AE26" i="55"/>
  <c r="AE51" i="55"/>
  <c r="AN51" i="55" s="1"/>
  <c r="AD50" i="55"/>
  <c r="AH42" i="55"/>
  <c r="AI42" i="55" s="1"/>
  <c r="AJ42" i="55" s="1"/>
  <c r="AD38" i="55"/>
  <c r="AH30" i="55"/>
  <c r="AI30" i="55" s="1"/>
  <c r="AL30" i="55" s="1"/>
  <c r="AD26" i="55"/>
  <c r="AD51" i="55"/>
  <c r="AL47" i="55"/>
  <c r="AL49" i="55"/>
  <c r="AE42" i="55"/>
  <c r="AN42" i="55" s="1"/>
  <c r="AL37" i="55"/>
  <c r="AE30" i="55"/>
  <c r="AN30" i="55" s="1"/>
  <c r="AL25" i="55"/>
  <c r="AH46" i="55"/>
  <c r="AI46" i="55" s="1"/>
  <c r="AL46" i="55" s="1"/>
  <c r="AH34" i="55"/>
  <c r="AI34" i="55" s="1"/>
  <c r="AJ34" i="55" s="1"/>
  <c r="AL51" i="55"/>
  <c r="AH47" i="55"/>
  <c r="AI47" i="55" s="1"/>
  <c r="AJ47" i="55" s="1"/>
  <c r="AL39" i="55"/>
  <c r="AH35" i="55"/>
  <c r="AI35" i="55" s="1"/>
  <c r="AJ35" i="55" s="1"/>
  <c r="AL27" i="55"/>
  <c r="AE50" i="55"/>
  <c r="AL52" i="55"/>
  <c r="AE46" i="55"/>
  <c r="AN46" i="55" s="1"/>
  <c r="AE34" i="55"/>
  <c r="AN34" i="55" s="1"/>
  <c r="AE47" i="55"/>
  <c r="AN47" i="55" s="1"/>
  <c r="AE35" i="55"/>
  <c r="AN35" i="55" s="1"/>
  <c r="AN25" i="54"/>
  <c r="AE26" i="54"/>
  <c r="AL43" i="54"/>
  <c r="AJ43" i="54"/>
  <c r="AJ40" i="54"/>
  <c r="AJ38" i="54"/>
  <c r="AL38" i="54"/>
  <c r="AJ27" i="54"/>
  <c r="AL27" i="54"/>
  <c r="AJ33" i="54"/>
  <c r="AL33" i="54"/>
  <c r="AJ35" i="54"/>
  <c r="AL35" i="54"/>
  <c r="AN32" i="54"/>
  <c r="AJ25" i="54"/>
  <c r="AL25" i="54"/>
  <c r="AL31" i="54"/>
  <c r="AJ31" i="54"/>
  <c r="AN43" i="54"/>
  <c r="AJ36" i="54"/>
  <c r="AL36" i="54"/>
  <c r="AN31" i="54"/>
  <c r="AJ28" i="54"/>
  <c r="AJ29" i="54"/>
  <c r="AJ39" i="54"/>
  <c r="AL39" i="54"/>
  <c r="AJ26" i="54"/>
  <c r="AL26" i="54"/>
  <c r="AJ37" i="54"/>
  <c r="AL37" i="54"/>
  <c r="AN34" i="54"/>
  <c r="AE39" i="54"/>
  <c r="AD38" i="54"/>
  <c r="AN38" i="54" s="1"/>
  <c r="AE27" i="54"/>
  <c r="AD26" i="54"/>
  <c r="AE40" i="54"/>
  <c r="AN40" i="54" s="1"/>
  <c r="AD39" i="54"/>
  <c r="AE28" i="54"/>
  <c r="AN28" i="54" s="1"/>
  <c r="AD27" i="54"/>
  <c r="AE41" i="54"/>
  <c r="AN41" i="54" s="1"/>
  <c r="AE29" i="54"/>
  <c r="AN29" i="54" s="1"/>
  <c r="AE30" i="54"/>
  <c r="AN30" i="54" s="1"/>
  <c r="AL40" i="54"/>
  <c r="AE33" i="54"/>
  <c r="AN33" i="54" s="1"/>
  <c r="AL28" i="54"/>
  <c r="AL41" i="54"/>
  <c r="AE34" i="54"/>
  <c r="AL29" i="54"/>
  <c r="AJ70" i="53"/>
  <c r="AN74" i="53"/>
  <c r="AN70" i="53"/>
  <c r="AH79" i="53"/>
  <c r="AI79" i="53" s="1"/>
  <c r="AJ79" i="53" s="1"/>
  <c r="AH76" i="53"/>
  <c r="AI76" i="53" s="1"/>
  <c r="AJ76" i="53" s="1"/>
  <c r="AM63" i="53"/>
  <c r="AN68" i="53"/>
  <c r="AN64" i="53"/>
  <c r="AE60" i="53"/>
  <c r="AN60" i="53" s="1"/>
  <c r="AJ64" i="53"/>
  <c r="AN67" i="53"/>
  <c r="AN62" i="53"/>
  <c r="AD79" i="53"/>
  <c r="AE76" i="53"/>
  <c r="AN76" i="53" s="1"/>
  <c r="AD73" i="53"/>
  <c r="AN73" i="53" s="1"/>
  <c r="AM61" i="53"/>
  <c r="AN61" i="53" s="1"/>
  <c r="AH77" i="53"/>
  <c r="AI77" i="53" s="1"/>
  <c r="AL77" i="53" s="1"/>
  <c r="AJ67" i="53"/>
  <c r="AN58" i="53"/>
  <c r="AJ81" i="53"/>
  <c r="AL81" i="53"/>
  <c r="AJ59" i="53"/>
  <c r="AL59" i="53"/>
  <c r="AL91" i="53"/>
  <c r="AJ65" i="53"/>
  <c r="AL65" i="53"/>
  <c r="AL62" i="53"/>
  <c r="AN79" i="53"/>
  <c r="AJ69" i="53"/>
  <c r="AL69" i="53"/>
  <c r="AL86" i="53"/>
  <c r="AJ83" i="53"/>
  <c r="AL83" i="53"/>
  <c r="AN75" i="53"/>
  <c r="AL73" i="53"/>
  <c r="AJ71" i="53"/>
  <c r="AL71" i="53"/>
  <c r="AN90" i="53"/>
  <c r="AJ93" i="53"/>
  <c r="AL93" i="53"/>
  <c r="AJ57" i="53"/>
  <c r="AL57" i="53"/>
  <c r="AE93" i="53"/>
  <c r="AL88" i="53"/>
  <c r="AJ86" i="53"/>
  <c r="AH84" i="53"/>
  <c r="AI84" i="53" s="1"/>
  <c r="AJ84" i="53" s="1"/>
  <c r="AE81" i="53"/>
  <c r="AJ74" i="53"/>
  <c r="AH72" i="53"/>
  <c r="AI72" i="53" s="1"/>
  <c r="AJ72" i="53" s="1"/>
  <c r="AE69" i="53"/>
  <c r="AL64" i="53"/>
  <c r="AJ62" i="53"/>
  <c r="AH60" i="53"/>
  <c r="AI60" i="53" s="1"/>
  <c r="AJ60" i="53" s="1"/>
  <c r="AE57" i="53"/>
  <c r="AD93" i="53"/>
  <c r="AH85" i="53"/>
  <c r="AI85" i="53" s="1"/>
  <c r="AJ85" i="53" s="1"/>
  <c r="AD81" i="53"/>
  <c r="AN81" i="53" s="1"/>
  <c r="AH73" i="53"/>
  <c r="AI73" i="53" s="1"/>
  <c r="AJ73" i="53" s="1"/>
  <c r="AD69" i="53"/>
  <c r="AH61" i="53"/>
  <c r="AI61" i="53" s="1"/>
  <c r="AL61" i="53" s="1"/>
  <c r="AD57" i="53"/>
  <c r="AL90" i="53"/>
  <c r="AH87" i="53"/>
  <c r="AI87" i="53" s="1"/>
  <c r="AL87" i="53" s="1"/>
  <c r="AE84" i="53"/>
  <c r="AN84" i="53" s="1"/>
  <c r="AH75" i="53"/>
  <c r="AI75" i="53" s="1"/>
  <c r="AL75" i="53" s="1"/>
  <c r="AE72" i="53"/>
  <c r="AN72" i="53" s="1"/>
  <c r="AH63" i="53"/>
  <c r="AI63" i="53" s="1"/>
  <c r="AL63" i="53" s="1"/>
  <c r="AL92" i="53"/>
  <c r="AL80" i="53"/>
  <c r="AL68" i="53"/>
  <c r="AL56" i="53"/>
  <c r="AH89" i="53"/>
  <c r="AI89" i="53" s="1"/>
  <c r="AJ89" i="53" s="1"/>
  <c r="AH90" i="53"/>
  <c r="AI90" i="53" s="1"/>
  <c r="AJ90" i="53" s="1"/>
  <c r="AL82" i="53"/>
  <c r="AH78" i="53"/>
  <c r="AI78" i="53" s="1"/>
  <c r="AL78" i="53" s="1"/>
  <c r="AE75" i="53"/>
  <c r="AL70" i="53"/>
  <c r="AH66" i="53"/>
  <c r="AI66" i="53" s="1"/>
  <c r="AL66" i="53" s="1"/>
  <c r="AE63" i="53"/>
  <c r="AL58" i="53"/>
  <c r="AE89" i="53"/>
  <c r="AN89" i="53" s="1"/>
  <c r="AE77" i="53"/>
  <c r="AN77" i="53" s="1"/>
  <c r="AE65" i="53"/>
  <c r="AN65" i="53" s="1"/>
  <c r="AE90" i="53"/>
  <c r="AE78" i="53"/>
  <c r="AN78" i="53" s="1"/>
  <c r="AE66" i="53"/>
  <c r="AN66" i="53" s="1"/>
  <c r="AL58" i="51"/>
  <c r="AJ46" i="51"/>
  <c r="AM70" i="51"/>
  <c r="AL69" i="51"/>
  <c r="AJ34" i="51"/>
  <c r="AH70" i="51"/>
  <c r="AI70" i="51" s="1"/>
  <c r="AJ70" i="51" s="1"/>
  <c r="AM67" i="51"/>
  <c r="AM57" i="51"/>
  <c r="AN53" i="51"/>
  <c r="AN43" i="51"/>
  <c r="AJ36" i="51"/>
  <c r="AM29" i="51"/>
  <c r="AJ33" i="51"/>
  <c r="AH77" i="51"/>
  <c r="AI77" i="51" s="1"/>
  <c r="AM74" i="51"/>
  <c r="AM58" i="51"/>
  <c r="AN58" i="51" s="1"/>
  <c r="AM42" i="51"/>
  <c r="AH28" i="51"/>
  <c r="AI28" i="51" s="1"/>
  <c r="AN76" i="51"/>
  <c r="AH57" i="51"/>
  <c r="AI57" i="51" s="1"/>
  <c r="AJ57" i="51" s="1"/>
  <c r="AE77" i="51"/>
  <c r="AH74" i="51"/>
  <c r="AI74" i="51" s="1"/>
  <c r="AJ71" i="51"/>
  <c r="AE70" i="51"/>
  <c r="AH64" i="51"/>
  <c r="AI64" i="51" s="1"/>
  <c r="AJ64" i="51" s="1"/>
  <c r="AM45" i="51"/>
  <c r="AN31" i="51"/>
  <c r="AH29" i="51"/>
  <c r="AI29" i="51" s="1"/>
  <c r="AJ29" i="51" s="1"/>
  <c r="AD78" i="51"/>
  <c r="AM72" i="51"/>
  <c r="AE71" i="51"/>
  <c r="AH65" i="51"/>
  <c r="AI65" i="51" s="1"/>
  <c r="AJ65" i="51" s="1"/>
  <c r="AE42" i="51"/>
  <c r="AN30" i="51"/>
  <c r="AE28" i="51"/>
  <c r="AN28" i="51" s="1"/>
  <c r="AE74" i="51"/>
  <c r="AD71" i="51"/>
  <c r="AD61" i="51"/>
  <c r="AD57" i="51"/>
  <c r="AE48" i="51"/>
  <c r="AH45" i="51"/>
  <c r="AI45" i="51" s="1"/>
  <c r="AD42" i="51"/>
  <c r="AE29" i="51"/>
  <c r="AN55" i="51"/>
  <c r="AE55" i="51"/>
  <c r="AD48" i="51"/>
  <c r="AJ90" i="51"/>
  <c r="AL90" i="51"/>
  <c r="AJ86" i="51"/>
  <c r="AL86" i="51"/>
  <c r="AJ93" i="51"/>
  <c r="AJ91" i="51"/>
  <c r="AL91" i="51"/>
  <c r="AJ80" i="51"/>
  <c r="AJ66" i="51"/>
  <c r="AL66" i="51"/>
  <c r="AJ78" i="51"/>
  <c r="AL78" i="51"/>
  <c r="AL83" i="51"/>
  <c r="AJ74" i="51"/>
  <c r="AL74" i="51"/>
  <c r="AJ89" i="51"/>
  <c r="AJ72" i="51"/>
  <c r="AL72" i="51"/>
  <c r="AH92" i="51"/>
  <c r="AI92" i="51" s="1"/>
  <c r="AJ92" i="51" s="1"/>
  <c r="AD88" i="51"/>
  <c r="AN88" i="51" s="1"/>
  <c r="AN86" i="51"/>
  <c r="AE78" i="51"/>
  <c r="AL76" i="51"/>
  <c r="AE59" i="51"/>
  <c r="AH59" i="51"/>
  <c r="AI59" i="51" s="1"/>
  <c r="AJ59" i="51" s="1"/>
  <c r="AL54" i="51"/>
  <c r="AH38" i="51"/>
  <c r="AI38" i="51" s="1"/>
  <c r="AL38" i="51" s="1"/>
  <c r="AD38" i="51"/>
  <c r="AE38" i="51"/>
  <c r="AN38" i="51" s="1"/>
  <c r="AE91" i="51"/>
  <c r="AL71" i="51"/>
  <c r="AN65" i="51"/>
  <c r="AJ49" i="51"/>
  <c r="AL49" i="51"/>
  <c r="AN45" i="51"/>
  <c r="AH26" i="51"/>
  <c r="AI26" i="51" s="1"/>
  <c r="AJ26" i="51" s="1"/>
  <c r="AD26" i="51"/>
  <c r="AE26" i="51"/>
  <c r="AN26" i="51" s="1"/>
  <c r="AJ53" i="51"/>
  <c r="AL53" i="51"/>
  <c r="AE92" i="51"/>
  <c r="AN92" i="51" s="1"/>
  <c r="AD91" i="51"/>
  <c r="AH73" i="51"/>
  <c r="AI73" i="51" s="1"/>
  <c r="AL73" i="51" s="1"/>
  <c r="AJ27" i="51"/>
  <c r="AL27" i="51"/>
  <c r="AE93" i="51"/>
  <c r="AN93" i="51" s="1"/>
  <c r="AH79" i="51"/>
  <c r="AI79" i="51" s="1"/>
  <c r="AJ69" i="51"/>
  <c r="AL59" i="51"/>
  <c r="AJ40" i="51"/>
  <c r="AJ37" i="51"/>
  <c r="AL37" i="51"/>
  <c r="AN33" i="51"/>
  <c r="AL89" i="51"/>
  <c r="AH85" i="51"/>
  <c r="AI85" i="51" s="1"/>
  <c r="AJ85" i="51" s="1"/>
  <c r="AE84" i="51"/>
  <c r="AN84" i="51" s="1"/>
  <c r="AD75" i="51"/>
  <c r="AN75" i="51" s="1"/>
  <c r="AE75" i="51"/>
  <c r="AH62" i="51"/>
  <c r="AI62" i="51" s="1"/>
  <c r="AJ62" i="51" s="1"/>
  <c r="AN61" i="51"/>
  <c r="AD59" i="51"/>
  <c r="AJ45" i="51"/>
  <c r="AJ41" i="51"/>
  <c r="AL41" i="51"/>
  <c r="AD84" i="51"/>
  <c r="AH75" i="51"/>
  <c r="AI75" i="51" s="1"/>
  <c r="AJ75" i="51" s="1"/>
  <c r="AE73" i="51"/>
  <c r="AN73" i="51" s="1"/>
  <c r="AL64" i="51"/>
  <c r="AL46" i="51"/>
  <c r="AL42" i="51"/>
  <c r="AJ28" i="51"/>
  <c r="AJ25" i="51"/>
  <c r="AL25" i="51"/>
  <c r="AH87" i="51"/>
  <c r="AI87" i="51" s="1"/>
  <c r="AJ87" i="51" s="1"/>
  <c r="AL82" i="51"/>
  <c r="AE79" i="51"/>
  <c r="AN79" i="51" s="1"/>
  <c r="AD68" i="51"/>
  <c r="AE68" i="51"/>
  <c r="AE66" i="51"/>
  <c r="AD56" i="51"/>
  <c r="AE56" i="51"/>
  <c r="AH56" i="51"/>
  <c r="AI56" i="51" s="1"/>
  <c r="AL56" i="51" s="1"/>
  <c r="AL63" i="51"/>
  <c r="AJ39" i="51"/>
  <c r="AL39" i="51"/>
  <c r="AL92" i="51"/>
  <c r="AH88" i="51"/>
  <c r="AI88" i="51" s="1"/>
  <c r="AL88" i="51" s="1"/>
  <c r="AN77" i="51"/>
  <c r="AL70" i="51"/>
  <c r="AD66" i="51"/>
  <c r="AE62" i="51"/>
  <c r="AN62" i="51" s="1"/>
  <c r="AH61" i="51"/>
  <c r="AI61" i="51" s="1"/>
  <c r="AJ61" i="51" s="1"/>
  <c r="AN60" i="51"/>
  <c r="AN54" i="51"/>
  <c r="AL34" i="51"/>
  <c r="AL30" i="51"/>
  <c r="AH68" i="51"/>
  <c r="AI68" i="51" s="1"/>
  <c r="AJ68" i="51" s="1"/>
  <c r="AE87" i="51"/>
  <c r="AN87" i="51" s="1"/>
  <c r="AD80" i="51"/>
  <c r="AN80" i="51" s="1"/>
  <c r="AE80" i="51"/>
  <c r="AE72" i="51"/>
  <c r="AJ63" i="51"/>
  <c r="AJ54" i="51"/>
  <c r="AH50" i="51"/>
  <c r="AI50" i="51" s="1"/>
  <c r="AL50" i="51" s="1"/>
  <c r="AD50" i="51"/>
  <c r="AE50" i="51"/>
  <c r="AH80" i="51"/>
  <c r="AI80" i="51" s="1"/>
  <c r="AL80" i="51" s="1"/>
  <c r="AD67" i="51"/>
  <c r="AN67" i="51" s="1"/>
  <c r="AH67" i="51"/>
  <c r="AI67" i="51" s="1"/>
  <c r="AJ67" i="51" s="1"/>
  <c r="AD63" i="51"/>
  <c r="AN63" i="51" s="1"/>
  <c r="AE63" i="51"/>
  <c r="AL60" i="51"/>
  <c r="AJ51" i="51"/>
  <c r="AL51" i="51"/>
  <c r="AN49" i="51"/>
  <c r="AL48" i="51"/>
  <c r="AN36" i="51"/>
  <c r="AL26" i="51"/>
  <c r="AL45" i="51"/>
  <c r="AL33" i="51"/>
  <c r="AE51" i="51"/>
  <c r="AE39" i="51"/>
  <c r="AE27" i="51"/>
  <c r="AH55" i="51"/>
  <c r="AI55" i="51" s="1"/>
  <c r="AL55" i="51" s="1"/>
  <c r="AD51" i="51"/>
  <c r="AH43" i="51"/>
  <c r="AI43" i="51" s="1"/>
  <c r="AL43" i="51" s="1"/>
  <c r="AD39" i="51"/>
  <c r="AH31" i="51"/>
  <c r="AI31" i="51" s="1"/>
  <c r="AL31" i="51" s="1"/>
  <c r="AD27" i="51"/>
  <c r="AH44" i="51"/>
  <c r="AI44" i="51" s="1"/>
  <c r="AL44" i="51" s="1"/>
  <c r="AH32" i="51"/>
  <c r="AI32" i="51" s="1"/>
  <c r="AL32" i="51" s="1"/>
  <c r="AH47" i="51"/>
  <c r="AI47" i="51" s="1"/>
  <c r="AJ47" i="51" s="1"/>
  <c r="AE44" i="51"/>
  <c r="AN44" i="51" s="1"/>
  <c r="AH35" i="51"/>
  <c r="AI35" i="51" s="1"/>
  <c r="AJ35" i="51" s="1"/>
  <c r="AE32" i="51"/>
  <c r="AN32" i="51" s="1"/>
  <c r="AL52" i="51"/>
  <c r="AL40" i="51"/>
  <c r="AL28" i="51"/>
  <c r="AE47" i="51"/>
  <c r="AN47" i="51" s="1"/>
  <c r="AE35" i="51"/>
  <c r="AN35" i="51" s="1"/>
  <c r="AD130" i="46"/>
  <c r="AD94" i="46"/>
  <c r="AM187" i="46"/>
  <c r="AE168" i="46"/>
  <c r="AN168" i="46" s="1"/>
  <c r="AH166" i="46"/>
  <c r="AI166" i="46" s="1"/>
  <c r="AE84" i="46"/>
  <c r="AD189" i="46"/>
  <c r="AN189" i="46" s="1"/>
  <c r="AE182" i="46"/>
  <c r="AH136" i="46"/>
  <c r="AI136" i="46" s="1"/>
  <c r="AL136" i="46" s="1"/>
  <c r="AM117" i="46"/>
  <c r="AM163" i="46"/>
  <c r="AE156" i="46"/>
  <c r="AM125" i="46"/>
  <c r="AE124" i="46"/>
  <c r="AN124" i="46" s="1"/>
  <c r="AM96" i="46"/>
  <c r="AE136" i="46"/>
  <c r="AN136" i="46" s="1"/>
  <c r="AN129" i="46"/>
  <c r="AD205" i="46"/>
  <c r="AN205" i="46" s="1"/>
  <c r="AH193" i="46"/>
  <c r="AI193" i="46" s="1"/>
  <c r="AJ193" i="46" s="1"/>
  <c r="AE190" i="46"/>
  <c r="AN190" i="46" s="1"/>
  <c r="AH165" i="46"/>
  <c r="AI165" i="46" s="1"/>
  <c r="AJ165" i="46" s="1"/>
  <c r="AD127" i="46"/>
  <c r="AN127" i="46" s="1"/>
  <c r="AH122" i="46"/>
  <c r="AI122" i="46" s="1"/>
  <c r="AJ122" i="46" s="1"/>
  <c r="AH94" i="46"/>
  <c r="AI94" i="46" s="1"/>
  <c r="AJ94" i="46" s="1"/>
  <c r="AE83" i="46"/>
  <c r="AE163" i="46"/>
  <c r="AM118" i="46"/>
  <c r="AD117" i="46"/>
  <c r="AD107" i="46"/>
  <c r="AD83" i="46"/>
  <c r="AN83" i="46" s="1"/>
  <c r="AD201" i="46"/>
  <c r="AD193" i="46"/>
  <c r="AM84" i="46"/>
  <c r="AJ211" i="46"/>
  <c r="AL211" i="46"/>
  <c r="AL214" i="46"/>
  <c r="AJ214" i="46"/>
  <c r="AN212" i="46"/>
  <c r="AJ209" i="46"/>
  <c r="AL209" i="46"/>
  <c r="AN215" i="46"/>
  <c r="AJ212" i="46"/>
  <c r="AJ210" i="46"/>
  <c r="AL210" i="46"/>
  <c r="AE211" i="46"/>
  <c r="AD210" i="46"/>
  <c r="AN210" i="46" s="1"/>
  <c r="AE212" i="46"/>
  <c r="AD211" i="46"/>
  <c r="AN211" i="46" s="1"/>
  <c r="AE214" i="46"/>
  <c r="AN214" i="46" s="1"/>
  <c r="AL212" i="46"/>
  <c r="AL213" i="46"/>
  <c r="AH100" i="46"/>
  <c r="AI100" i="46" s="1"/>
  <c r="AJ100" i="46" s="1"/>
  <c r="AE100" i="46"/>
  <c r="AN100" i="46" s="1"/>
  <c r="AL190" i="46"/>
  <c r="AN185" i="46"/>
  <c r="AJ156" i="46"/>
  <c r="AE202" i="46"/>
  <c r="AD197" i="46"/>
  <c r="AJ185" i="46"/>
  <c r="AL168" i="46"/>
  <c r="AE161" i="46"/>
  <c r="AH157" i="46"/>
  <c r="AI157" i="46" s="1"/>
  <c r="AD150" i="46"/>
  <c r="AN150" i="46" s="1"/>
  <c r="AH139" i="46"/>
  <c r="AI139" i="46" s="1"/>
  <c r="AH110" i="46"/>
  <c r="AI110" i="46" s="1"/>
  <c r="AL103" i="46"/>
  <c r="AL87" i="46"/>
  <c r="AN202" i="46"/>
  <c r="AD126" i="46"/>
  <c r="AN126" i="46" s="1"/>
  <c r="AH123" i="46"/>
  <c r="AI123" i="46" s="1"/>
  <c r="AJ123" i="46" s="1"/>
  <c r="AH88" i="46"/>
  <c r="AI88" i="46" s="1"/>
  <c r="AJ88" i="46" s="1"/>
  <c r="AH169" i="46"/>
  <c r="AI169" i="46" s="1"/>
  <c r="AH162" i="46"/>
  <c r="AI162" i="46" s="1"/>
  <c r="AJ162" i="46" s="1"/>
  <c r="AH130" i="46"/>
  <c r="AI130" i="46" s="1"/>
  <c r="AL130" i="46" s="1"/>
  <c r="AH127" i="46"/>
  <c r="AI127" i="46" s="1"/>
  <c r="AL127" i="46" s="1"/>
  <c r="AJ139" i="46"/>
  <c r="AE198" i="46"/>
  <c r="AE186" i="46"/>
  <c r="AE115" i="46"/>
  <c r="AN115" i="46" s="1"/>
  <c r="AD99" i="46"/>
  <c r="AD90" i="46"/>
  <c r="AN90" i="46" s="1"/>
  <c r="AH201" i="46"/>
  <c r="AI201" i="46" s="1"/>
  <c r="AJ201" i="46" s="1"/>
  <c r="AD198" i="46"/>
  <c r="AD186" i="46"/>
  <c r="AE181" i="46"/>
  <c r="AH149" i="46"/>
  <c r="AI149" i="46" s="1"/>
  <c r="AL149" i="46" s="1"/>
  <c r="AE133" i="46"/>
  <c r="AN133" i="46" s="1"/>
  <c r="AD123" i="46"/>
  <c r="AN123" i="46" s="1"/>
  <c r="AE118" i="46"/>
  <c r="AH189" i="46"/>
  <c r="AI189" i="46" s="1"/>
  <c r="AJ189" i="46" s="1"/>
  <c r="AE175" i="46"/>
  <c r="AN175" i="46" s="1"/>
  <c r="AE107" i="46"/>
  <c r="AJ190" i="46"/>
  <c r="AL161" i="46"/>
  <c r="AH208" i="46"/>
  <c r="AI208" i="46" s="1"/>
  <c r="AJ208" i="46" s="1"/>
  <c r="AH202" i="46"/>
  <c r="AI202" i="46" s="1"/>
  <c r="AL202" i="46" s="1"/>
  <c r="AD174" i="46"/>
  <c r="AM153" i="46"/>
  <c r="AN106" i="46"/>
  <c r="AJ87" i="46"/>
  <c r="AE165" i="46"/>
  <c r="AN165" i="46" s="1"/>
  <c r="AD162" i="46"/>
  <c r="AN162" i="46" s="1"/>
  <c r="AH118" i="46"/>
  <c r="AI118" i="46" s="1"/>
  <c r="AJ118" i="46" s="1"/>
  <c r="AN94" i="46"/>
  <c r="AM92" i="46"/>
  <c r="AM89" i="46"/>
  <c r="AL91" i="46"/>
  <c r="AM173" i="46"/>
  <c r="AH172" i="46"/>
  <c r="AI172" i="46" s="1"/>
  <c r="AL172" i="46" s="1"/>
  <c r="AE169" i="46"/>
  <c r="AM154" i="46"/>
  <c r="AH153" i="46"/>
  <c r="AI153" i="46" s="1"/>
  <c r="AJ153" i="46" s="1"/>
  <c r="AE149" i="46"/>
  <c r="AN149" i="46" s="1"/>
  <c r="AH144" i="46"/>
  <c r="AI144" i="46" s="1"/>
  <c r="AJ144" i="46" s="1"/>
  <c r="AM138" i="46"/>
  <c r="AM135" i="46"/>
  <c r="AL124" i="46"/>
  <c r="AM112" i="46"/>
  <c r="AN112" i="46" s="1"/>
  <c r="AE95" i="46"/>
  <c r="AE88" i="46"/>
  <c r="AM204" i="46"/>
  <c r="AM200" i="46"/>
  <c r="AH196" i="46"/>
  <c r="AI196" i="46" s="1"/>
  <c r="AJ196" i="46" s="1"/>
  <c r="AD176" i="46"/>
  <c r="AN176" i="46" s="1"/>
  <c r="AM170" i="46"/>
  <c r="AE166" i="46"/>
  <c r="AN166" i="46" s="1"/>
  <c r="AM145" i="46"/>
  <c r="AH115" i="46"/>
  <c r="AI115" i="46" s="1"/>
  <c r="AL115" i="46" s="1"/>
  <c r="AD114" i="46"/>
  <c r="AN114" i="46" s="1"/>
  <c r="AH111" i="46"/>
  <c r="AI111" i="46" s="1"/>
  <c r="AJ111" i="46" s="1"/>
  <c r="AE108" i="46"/>
  <c r="AD95" i="46"/>
  <c r="AD88" i="46"/>
  <c r="AN208" i="46"/>
  <c r="AM197" i="46"/>
  <c r="AN193" i="46"/>
  <c r="AH183" i="46"/>
  <c r="AI183" i="46" s="1"/>
  <c r="AL183" i="46" s="1"/>
  <c r="AH180" i="46"/>
  <c r="AI180" i="46" s="1"/>
  <c r="AJ180" i="46" s="1"/>
  <c r="AH177" i="46"/>
  <c r="AI177" i="46" s="1"/>
  <c r="AJ177" i="46" s="1"/>
  <c r="AH173" i="46"/>
  <c r="AI173" i="46" s="1"/>
  <c r="AL173" i="46" s="1"/>
  <c r="AN156" i="46"/>
  <c r="AH154" i="46"/>
  <c r="AI154" i="46" s="1"/>
  <c r="AJ154" i="46" s="1"/>
  <c r="AJ150" i="46"/>
  <c r="AN139" i="46"/>
  <c r="AN103" i="46"/>
  <c r="AH98" i="46"/>
  <c r="AI98" i="46" s="1"/>
  <c r="AM174" i="46"/>
  <c r="AN161" i="46"/>
  <c r="AH160" i="46"/>
  <c r="AI160" i="46" s="1"/>
  <c r="AL160" i="46" s="1"/>
  <c r="AE153" i="46"/>
  <c r="AH145" i="46"/>
  <c r="AI145" i="46" s="1"/>
  <c r="AJ145" i="46" s="1"/>
  <c r="AE144" i="46"/>
  <c r="AN144" i="46" s="1"/>
  <c r="AH135" i="46"/>
  <c r="AI135" i="46" s="1"/>
  <c r="AL135" i="46" s="1"/>
  <c r="AH112" i="46"/>
  <c r="AI112" i="46" s="1"/>
  <c r="AJ112" i="46" s="1"/>
  <c r="AH106" i="46"/>
  <c r="AI106" i="46" s="1"/>
  <c r="AJ106" i="46" s="1"/>
  <c r="AN99" i="46"/>
  <c r="AM93" i="46"/>
  <c r="AN93" i="46" s="1"/>
  <c r="AL198" i="46"/>
  <c r="AN201" i="46"/>
  <c r="AJ198" i="46"/>
  <c r="AE196" i="46"/>
  <c r="AN196" i="46" s="1"/>
  <c r="AE183" i="46"/>
  <c r="AN183" i="46" s="1"/>
  <c r="AM181" i="46"/>
  <c r="AM158" i="46"/>
  <c r="AE154" i="46"/>
  <c r="AN154" i="46" s="1"/>
  <c r="AH142" i="46"/>
  <c r="AI142" i="46" s="1"/>
  <c r="AD111" i="46"/>
  <c r="AN111" i="46" s="1"/>
  <c r="AD105" i="46"/>
  <c r="AN105" i="46" s="1"/>
  <c r="AH86" i="46"/>
  <c r="AI86" i="46" s="1"/>
  <c r="AJ86" i="46" s="1"/>
  <c r="AE204" i="46"/>
  <c r="AH197" i="46"/>
  <c r="AI197" i="46" s="1"/>
  <c r="AL197" i="46" s="1"/>
  <c r="AD187" i="46"/>
  <c r="AE180" i="46"/>
  <c r="AN180" i="46" s="1"/>
  <c r="AE177" i="46"/>
  <c r="AN177" i="46" s="1"/>
  <c r="AE173" i="46"/>
  <c r="AE145" i="46"/>
  <c r="AD119" i="46"/>
  <c r="AN119" i="46" s="1"/>
  <c r="AM113" i="46"/>
  <c r="AD102" i="46"/>
  <c r="AN102" i="46" s="1"/>
  <c r="AH99" i="46"/>
  <c r="AI99" i="46" s="1"/>
  <c r="AJ99" i="46" s="1"/>
  <c r="AE96" i="46"/>
  <c r="AN91" i="46"/>
  <c r="AD204" i="46"/>
  <c r="AL201" i="46"/>
  <c r="AN192" i="46"/>
  <c r="AH174" i="46"/>
  <c r="AI174" i="46" s="1"/>
  <c r="AJ174" i="46" s="1"/>
  <c r="AE151" i="46"/>
  <c r="AN151" i="46" s="1"/>
  <c r="AE142" i="46"/>
  <c r="AN142" i="46" s="1"/>
  <c r="AD135" i="46"/>
  <c r="AJ205" i="46"/>
  <c r="AL205" i="46"/>
  <c r="AJ195" i="46"/>
  <c r="AJ186" i="46"/>
  <c r="AL182" i="46"/>
  <c r="AJ182" i="46"/>
  <c r="AJ206" i="46"/>
  <c r="AL206" i="46"/>
  <c r="AJ204" i="46"/>
  <c r="AL187" i="46"/>
  <c r="AJ187" i="46"/>
  <c r="AJ207" i="46"/>
  <c r="AJ194" i="46"/>
  <c r="AL194" i="46"/>
  <c r="AE194" i="46"/>
  <c r="AJ181" i="46"/>
  <c r="AE179" i="46"/>
  <c r="AH179" i="46"/>
  <c r="AI179" i="46" s="1"/>
  <c r="AL179" i="46" s="1"/>
  <c r="AE206" i="46"/>
  <c r="AE207" i="46"/>
  <c r="AD206" i="46"/>
  <c r="AE195" i="46"/>
  <c r="AD194" i="46"/>
  <c r="AL185" i="46"/>
  <c r="AD181" i="46"/>
  <c r="AN181" i="46" s="1"/>
  <c r="AJ172" i="46"/>
  <c r="AJ166" i="46"/>
  <c r="AL166" i="46"/>
  <c r="AJ157" i="46"/>
  <c r="AL157" i="46"/>
  <c r="AL156" i="46"/>
  <c r="AD207" i="46"/>
  <c r="AH199" i="46"/>
  <c r="AI199" i="46" s="1"/>
  <c r="AL199" i="46" s="1"/>
  <c r="AD195" i="46"/>
  <c r="AD179" i="46"/>
  <c r="AL204" i="46"/>
  <c r="AH200" i="46"/>
  <c r="AI200" i="46" s="1"/>
  <c r="AL200" i="46" s="1"/>
  <c r="AL192" i="46"/>
  <c r="AH188" i="46"/>
  <c r="AI188" i="46" s="1"/>
  <c r="AL188" i="46" s="1"/>
  <c r="AE187" i="46"/>
  <c r="AH184" i="46"/>
  <c r="AI184" i="46" s="1"/>
  <c r="AL184" i="46" s="1"/>
  <c r="AJ169" i="46"/>
  <c r="AL169" i="46"/>
  <c r="AL162" i="46"/>
  <c r="AH146" i="46"/>
  <c r="AI146" i="46" s="1"/>
  <c r="AL146" i="46" s="1"/>
  <c r="AD146" i="46"/>
  <c r="AN146" i="46" s="1"/>
  <c r="AE199" i="46"/>
  <c r="AN199" i="46" s="1"/>
  <c r="AL207" i="46"/>
  <c r="AH203" i="46"/>
  <c r="AI203" i="46" s="1"/>
  <c r="AJ203" i="46" s="1"/>
  <c r="AE200" i="46"/>
  <c r="AN200" i="46" s="1"/>
  <c r="AL195" i="46"/>
  <c r="AH191" i="46"/>
  <c r="AI191" i="46" s="1"/>
  <c r="AJ191" i="46" s="1"/>
  <c r="AE188" i="46"/>
  <c r="AN188" i="46" s="1"/>
  <c r="AD184" i="46"/>
  <c r="AN184" i="46" s="1"/>
  <c r="AD182" i="46"/>
  <c r="AN182" i="46" s="1"/>
  <c r="AH178" i="46"/>
  <c r="AI178" i="46" s="1"/>
  <c r="AH176" i="46"/>
  <c r="AI176" i="46" s="1"/>
  <c r="AH170" i="46"/>
  <c r="AI170" i="46" s="1"/>
  <c r="AJ170" i="46" s="1"/>
  <c r="AD170" i="46"/>
  <c r="AJ161" i="46"/>
  <c r="AJ142" i="46"/>
  <c r="AL142" i="46"/>
  <c r="AH159" i="46"/>
  <c r="AI159" i="46" s="1"/>
  <c r="AJ159" i="46" s="1"/>
  <c r="AD159" i="46"/>
  <c r="AE159" i="46"/>
  <c r="AL208" i="46"/>
  <c r="AL196" i="46"/>
  <c r="AL181" i="46"/>
  <c r="AH171" i="46"/>
  <c r="AI171" i="46" s="1"/>
  <c r="AJ171" i="46" s="1"/>
  <c r="AD171" i="46"/>
  <c r="AE171" i="46"/>
  <c r="AD140" i="46"/>
  <c r="AE140" i="46"/>
  <c r="AE178" i="46"/>
  <c r="AN178" i="46" s="1"/>
  <c r="AN169" i="46"/>
  <c r="AD167" i="46"/>
  <c r="AE167" i="46"/>
  <c r="AH167" i="46"/>
  <c r="AI167" i="46" s="1"/>
  <c r="AJ167" i="46" s="1"/>
  <c r="AJ160" i="46"/>
  <c r="AH158" i="46"/>
  <c r="AI158" i="46" s="1"/>
  <c r="AL158" i="46" s="1"/>
  <c r="AD158" i="46"/>
  <c r="AJ148" i="46"/>
  <c r="AL148" i="46"/>
  <c r="AE203" i="46"/>
  <c r="AN203" i="46" s="1"/>
  <c r="AE191" i="46"/>
  <c r="AN191" i="46" s="1"/>
  <c r="AJ168" i="46"/>
  <c r="AD164" i="46"/>
  <c r="AE164" i="46"/>
  <c r="AH164" i="46"/>
  <c r="AI164" i="46" s="1"/>
  <c r="AL164" i="46" s="1"/>
  <c r="AJ149" i="46"/>
  <c r="AH147" i="46"/>
  <c r="AI147" i="46" s="1"/>
  <c r="AJ147" i="46" s="1"/>
  <c r="AD147" i="46"/>
  <c r="AE147" i="46"/>
  <c r="AD128" i="46"/>
  <c r="AE128" i="46"/>
  <c r="AH128" i="46"/>
  <c r="AI128" i="46" s="1"/>
  <c r="AL128" i="46" s="1"/>
  <c r="AL186" i="46"/>
  <c r="AL165" i="46"/>
  <c r="AN157" i="46"/>
  <c r="AL150" i="46"/>
  <c r="AD137" i="46"/>
  <c r="AH137" i="46"/>
  <c r="AI137" i="46" s="1"/>
  <c r="AL137" i="46" s="1"/>
  <c r="AE137" i="46"/>
  <c r="AJ140" i="46"/>
  <c r="AJ107" i="46"/>
  <c r="AL107" i="46"/>
  <c r="AH175" i="46"/>
  <c r="AI175" i="46" s="1"/>
  <c r="AL175" i="46" s="1"/>
  <c r="AE172" i="46"/>
  <c r="AN172" i="46" s="1"/>
  <c r="AH163" i="46"/>
  <c r="AI163" i="46" s="1"/>
  <c r="AJ163" i="46" s="1"/>
  <c r="AE160" i="46"/>
  <c r="AN160" i="46" s="1"/>
  <c r="AH151" i="46"/>
  <c r="AI151" i="46" s="1"/>
  <c r="AJ151" i="46" s="1"/>
  <c r="AE148" i="46"/>
  <c r="AN148" i="46" s="1"/>
  <c r="AJ131" i="46"/>
  <c r="AH109" i="46"/>
  <c r="AI109" i="46" s="1"/>
  <c r="AJ109" i="46" s="1"/>
  <c r="AD109" i="46"/>
  <c r="AE109" i="46"/>
  <c r="AH152" i="46"/>
  <c r="AI152" i="46" s="1"/>
  <c r="AL152" i="46" s="1"/>
  <c r="AJ110" i="46"/>
  <c r="AL110" i="46"/>
  <c r="AJ95" i="46"/>
  <c r="AL95" i="46"/>
  <c r="AH141" i="46"/>
  <c r="AI141" i="46" s="1"/>
  <c r="AL141" i="46" s="1"/>
  <c r="AL139" i="46"/>
  <c r="AD134" i="46"/>
  <c r="AE134" i="46"/>
  <c r="AN131" i="46"/>
  <c r="AJ127" i="46"/>
  <c r="AJ103" i="46"/>
  <c r="AH97" i="46"/>
  <c r="AI97" i="46" s="1"/>
  <c r="AJ97" i="46" s="1"/>
  <c r="AD97" i="46"/>
  <c r="AE97" i="46"/>
  <c r="AH120" i="46"/>
  <c r="AI120" i="46" s="1"/>
  <c r="AJ120" i="46" s="1"/>
  <c r="AD120" i="46"/>
  <c r="AJ108" i="46"/>
  <c r="AL108" i="46"/>
  <c r="AJ98" i="46"/>
  <c r="AL98" i="46"/>
  <c r="AJ83" i="46"/>
  <c r="AL83" i="46"/>
  <c r="AH155" i="46"/>
  <c r="AI155" i="46" s="1"/>
  <c r="AL155" i="46" s="1"/>
  <c r="AE152" i="46"/>
  <c r="AN152" i="46" s="1"/>
  <c r="AH143" i="46"/>
  <c r="AI143" i="46" s="1"/>
  <c r="AJ143" i="46" s="1"/>
  <c r="AH134" i="46"/>
  <c r="AI134" i="46" s="1"/>
  <c r="AJ134" i="46" s="1"/>
  <c r="AN130" i="46"/>
  <c r="AL111" i="46"/>
  <c r="AJ91" i="46"/>
  <c r="AH85" i="46"/>
  <c r="AI85" i="46" s="1"/>
  <c r="AJ85" i="46" s="1"/>
  <c r="AD85" i="46"/>
  <c r="AE85" i="46"/>
  <c r="AD141" i="46"/>
  <c r="AN141" i="46" s="1"/>
  <c r="AL112" i="46"/>
  <c r="AJ96" i="46"/>
  <c r="AL96" i="46"/>
  <c r="AN87" i="46"/>
  <c r="AH133" i="46"/>
  <c r="AI133" i="46" s="1"/>
  <c r="AJ133" i="46" s="1"/>
  <c r="AH132" i="46"/>
  <c r="AI132" i="46" s="1"/>
  <c r="AJ132" i="46" s="1"/>
  <c r="AD132" i="46"/>
  <c r="AN132" i="46" s="1"/>
  <c r="AH121" i="46"/>
  <c r="AI121" i="46" s="1"/>
  <c r="AL121" i="46" s="1"/>
  <c r="AD121" i="46"/>
  <c r="AE121" i="46"/>
  <c r="AE155" i="46"/>
  <c r="AN155" i="46" s="1"/>
  <c r="AE143" i="46"/>
  <c r="AN143" i="46" s="1"/>
  <c r="AL140" i="46"/>
  <c r="AE138" i="46"/>
  <c r="AN138" i="46" s="1"/>
  <c r="AH138" i="46"/>
  <c r="AI138" i="46" s="1"/>
  <c r="AJ138" i="46" s="1"/>
  <c r="AN120" i="46"/>
  <c r="AL118" i="46"/>
  <c r="AL100" i="46"/>
  <c r="AJ84" i="46"/>
  <c r="AL84" i="46"/>
  <c r="AJ135" i="46"/>
  <c r="AJ119" i="46"/>
  <c r="AL119" i="46"/>
  <c r="AD108" i="46"/>
  <c r="AN108" i="46" s="1"/>
  <c r="AD96" i="46"/>
  <c r="AD84" i="46"/>
  <c r="AH125" i="46"/>
  <c r="AI125" i="46" s="1"/>
  <c r="AJ125" i="46" s="1"/>
  <c r="AE122" i="46"/>
  <c r="AN122" i="46" s="1"/>
  <c r="AH113" i="46"/>
  <c r="AI113" i="46" s="1"/>
  <c r="AJ113" i="46" s="1"/>
  <c r="AE110" i="46"/>
  <c r="AN110" i="46" s="1"/>
  <c r="AH101" i="46"/>
  <c r="AI101" i="46" s="1"/>
  <c r="AJ101" i="46" s="1"/>
  <c r="AE98" i="46"/>
  <c r="AN98" i="46" s="1"/>
  <c r="AH89" i="46"/>
  <c r="AI89" i="46" s="1"/>
  <c r="AJ89" i="46" s="1"/>
  <c r="AE86" i="46"/>
  <c r="AN86" i="46" s="1"/>
  <c r="AH126" i="46"/>
  <c r="AI126" i="46" s="1"/>
  <c r="AL126" i="46" s="1"/>
  <c r="AH114" i="46"/>
  <c r="AI114" i="46" s="1"/>
  <c r="AL114" i="46" s="1"/>
  <c r="AH102" i="46"/>
  <c r="AI102" i="46" s="1"/>
  <c r="AL102" i="46" s="1"/>
  <c r="AH90" i="46"/>
  <c r="AI90" i="46" s="1"/>
  <c r="AL90" i="46" s="1"/>
  <c r="AE125" i="46"/>
  <c r="AN125" i="46" s="1"/>
  <c r="AH116" i="46"/>
  <c r="AI116" i="46" s="1"/>
  <c r="AJ116" i="46" s="1"/>
  <c r="AE113" i="46"/>
  <c r="AN113" i="46" s="1"/>
  <c r="AH104" i="46"/>
  <c r="AI104" i="46" s="1"/>
  <c r="AJ104" i="46" s="1"/>
  <c r="AE101" i="46"/>
  <c r="AN101" i="46" s="1"/>
  <c r="AH92" i="46"/>
  <c r="AI92" i="46" s="1"/>
  <c r="AJ92" i="46" s="1"/>
  <c r="AE89" i="46"/>
  <c r="AH129" i="46"/>
  <c r="AI129" i="46" s="1"/>
  <c r="AL129" i="46" s="1"/>
  <c r="AH117" i="46"/>
  <c r="AI117" i="46" s="1"/>
  <c r="AJ117" i="46" s="1"/>
  <c r="AH105" i="46"/>
  <c r="AI105" i="46" s="1"/>
  <c r="AJ105" i="46" s="1"/>
  <c r="AH93" i="46"/>
  <c r="AI93" i="46" s="1"/>
  <c r="AJ93" i="46" s="1"/>
  <c r="AE116" i="46"/>
  <c r="AN116" i="46" s="1"/>
  <c r="AE104" i="46"/>
  <c r="AN104" i="46" s="1"/>
  <c r="AE92" i="46"/>
  <c r="AL31" i="45"/>
  <c r="AJ31" i="45"/>
  <c r="AL43" i="45"/>
  <c r="AJ43" i="45"/>
  <c r="AN35" i="45"/>
  <c r="AJ25" i="45"/>
  <c r="AN47" i="45"/>
  <c r="AJ49" i="45"/>
  <c r="AN25" i="45"/>
  <c r="AM45" i="45"/>
  <c r="AH38" i="45"/>
  <c r="AI38" i="45" s="1"/>
  <c r="AJ38" i="45" s="1"/>
  <c r="AN49" i="45"/>
  <c r="AH48" i="45"/>
  <c r="AI48" i="45" s="1"/>
  <c r="AL48" i="45" s="1"/>
  <c r="AE38" i="45"/>
  <c r="AN38" i="45" s="1"/>
  <c r="AH35" i="45"/>
  <c r="AI35" i="45" s="1"/>
  <c r="AM26" i="45"/>
  <c r="AE45" i="45"/>
  <c r="AM36" i="45"/>
  <c r="AM33" i="45"/>
  <c r="AH26" i="45"/>
  <c r="AI26" i="45" s="1"/>
  <c r="AJ26" i="45" s="1"/>
  <c r="AH36" i="45"/>
  <c r="AI36" i="45" s="1"/>
  <c r="AJ36" i="45" s="1"/>
  <c r="AE26" i="45"/>
  <c r="AH42" i="45"/>
  <c r="AI42" i="45" s="1"/>
  <c r="AL42" i="45" s="1"/>
  <c r="AM37" i="45"/>
  <c r="AN37" i="45" s="1"/>
  <c r="AE33" i="45"/>
  <c r="AE50" i="45"/>
  <c r="AN50" i="45" s="1"/>
  <c r="AN31" i="45"/>
  <c r="AJ44" i="45"/>
  <c r="AL44" i="45"/>
  <c r="AL57" i="45"/>
  <c r="AJ47" i="45"/>
  <c r="AJ60" i="45"/>
  <c r="AL60" i="45"/>
  <c r="AJ51" i="45"/>
  <c r="AL51" i="45"/>
  <c r="AN41" i="45"/>
  <c r="AL30" i="45"/>
  <c r="AJ30" i="45"/>
  <c r="AL38" i="45"/>
  <c r="AJ61" i="45"/>
  <c r="AL54" i="45"/>
  <c r="AJ54" i="45"/>
  <c r="AJ32" i="45"/>
  <c r="AL32" i="45"/>
  <c r="AJ48" i="45"/>
  <c r="AJ35" i="45"/>
  <c r="AJ58" i="45"/>
  <c r="AJ27" i="45"/>
  <c r="AL27" i="45"/>
  <c r="AN53" i="45"/>
  <c r="AJ39" i="45"/>
  <c r="AL39" i="45"/>
  <c r="AJ56" i="45"/>
  <c r="AL56" i="45"/>
  <c r="AJ50" i="45"/>
  <c r="AL50" i="45"/>
  <c r="AJ59" i="45"/>
  <c r="AN57" i="45"/>
  <c r="AJ53" i="45"/>
  <c r="AJ37" i="45"/>
  <c r="AD60" i="45"/>
  <c r="AN60" i="45" s="1"/>
  <c r="AN58" i="45"/>
  <c r="AH52" i="45"/>
  <c r="AI52" i="45" s="1"/>
  <c r="AL52" i="45" s="1"/>
  <c r="AD48" i="45"/>
  <c r="AN48" i="45" s="1"/>
  <c r="AH40" i="45"/>
  <c r="AI40" i="45" s="1"/>
  <c r="AL40" i="45" s="1"/>
  <c r="AD36" i="45"/>
  <c r="AN36" i="45" s="1"/>
  <c r="AH28" i="45"/>
  <c r="AI28" i="45" s="1"/>
  <c r="AL28" i="45" s="1"/>
  <c r="AE51" i="45"/>
  <c r="AN51" i="45" s="1"/>
  <c r="AE39" i="45"/>
  <c r="AE27" i="45"/>
  <c r="AL59" i="45"/>
  <c r="AE52" i="45"/>
  <c r="AN52" i="45" s="1"/>
  <c r="AD51" i="45"/>
  <c r="AL47" i="45"/>
  <c r="AE40" i="45"/>
  <c r="AN40" i="45" s="1"/>
  <c r="AD39" i="45"/>
  <c r="AN39" i="45" s="1"/>
  <c r="AL35" i="45"/>
  <c r="AE28" i="45"/>
  <c r="AN28" i="45" s="1"/>
  <c r="AD27" i="45"/>
  <c r="AL61" i="45"/>
  <c r="AH57" i="45"/>
  <c r="AI57" i="45" s="1"/>
  <c r="AJ57" i="45" s="1"/>
  <c r="AE54" i="45"/>
  <c r="AN54" i="45" s="1"/>
  <c r="AL49" i="45"/>
  <c r="AH45" i="45"/>
  <c r="AI45" i="45" s="1"/>
  <c r="AL45" i="45" s="1"/>
  <c r="AE42" i="45"/>
  <c r="AN42" i="45" s="1"/>
  <c r="AL37" i="45"/>
  <c r="AH33" i="45"/>
  <c r="AI33" i="45" s="1"/>
  <c r="AL33" i="45" s="1"/>
  <c r="AE30" i="45"/>
  <c r="AN30" i="45" s="1"/>
  <c r="AL25" i="45"/>
  <c r="AH58" i="45"/>
  <c r="AI58" i="45" s="1"/>
  <c r="AL58" i="45" s="1"/>
  <c r="AH46" i="45"/>
  <c r="AI46" i="45" s="1"/>
  <c r="AJ46" i="45" s="1"/>
  <c r="AH34" i="45"/>
  <c r="AI34" i="45" s="1"/>
  <c r="AJ34" i="45" s="1"/>
  <c r="AE58" i="45"/>
  <c r="AL53" i="45"/>
  <c r="AE46" i="45"/>
  <c r="AN46" i="45" s="1"/>
  <c r="AL41" i="45"/>
  <c r="AE34" i="45"/>
  <c r="AN34" i="45" s="1"/>
  <c r="AL29" i="45"/>
  <c r="AN25" i="44"/>
  <c r="AJ34" i="44"/>
  <c r="AJ33" i="44"/>
  <c r="AJ25" i="44"/>
  <c r="AL25" i="44"/>
  <c r="AL32" i="44"/>
  <c r="AN33" i="44"/>
  <c r="AJ26" i="44"/>
  <c r="AL26" i="44"/>
  <c r="AE26" i="44"/>
  <c r="AL34" i="44"/>
  <c r="AE27" i="44"/>
  <c r="AD26" i="44"/>
  <c r="AN26" i="44" s="1"/>
  <c r="AH31" i="44"/>
  <c r="AI31" i="44" s="1"/>
  <c r="AL31" i="44" s="1"/>
  <c r="AE28" i="44"/>
  <c r="AN28" i="44" s="1"/>
  <c r="AD27" i="44"/>
  <c r="AH32" i="44"/>
  <c r="AI32" i="44" s="1"/>
  <c r="AJ32" i="44" s="1"/>
  <c r="AH35" i="44"/>
  <c r="AI35" i="44" s="1"/>
  <c r="AJ35" i="44" s="1"/>
  <c r="AE32" i="44"/>
  <c r="AN32" i="44" s="1"/>
  <c r="AL27" i="44"/>
  <c r="AL28" i="44"/>
  <c r="AL29" i="44"/>
  <c r="AE35" i="44"/>
  <c r="AN35" i="44" s="1"/>
  <c r="AL31" i="43"/>
  <c r="AJ31" i="43"/>
  <c r="AN41" i="43"/>
  <c r="AN29" i="43"/>
  <c r="AJ43" i="43"/>
  <c r="AM36" i="43"/>
  <c r="AN36" i="43" s="1"/>
  <c r="AH35" i="43"/>
  <c r="AI35" i="43" s="1"/>
  <c r="AJ35" i="43" s="1"/>
  <c r="AN31" i="43"/>
  <c r="AH28" i="43"/>
  <c r="AI28" i="43" s="1"/>
  <c r="AN40" i="43"/>
  <c r="AM29" i="43"/>
  <c r="AM39" i="43"/>
  <c r="AH36" i="43"/>
  <c r="AI36" i="43" s="1"/>
  <c r="AJ36" i="43" s="1"/>
  <c r="AN43" i="43"/>
  <c r="AD42" i="43"/>
  <c r="AN42" i="43" s="1"/>
  <c r="AM37" i="43"/>
  <c r="AN37" i="43" s="1"/>
  <c r="AD35" i="43"/>
  <c r="AN35" i="43" s="1"/>
  <c r="AH29" i="43"/>
  <c r="AI29" i="43" s="1"/>
  <c r="AJ29" i="43" s="1"/>
  <c r="AE26" i="43"/>
  <c r="AM30" i="43"/>
  <c r="AN30" i="43" s="1"/>
  <c r="AJ40" i="43"/>
  <c r="AL30" i="43"/>
  <c r="AJ30" i="43"/>
  <c r="AJ27" i="43"/>
  <c r="AL27" i="43"/>
  <c r="AJ34" i="43"/>
  <c r="AL34" i="43"/>
  <c r="AJ50" i="43"/>
  <c r="AL50" i="43"/>
  <c r="AJ46" i="43"/>
  <c r="AL46" i="43"/>
  <c r="AJ38" i="43"/>
  <c r="AL38" i="43"/>
  <c r="AJ37" i="43"/>
  <c r="AL37" i="43"/>
  <c r="AJ25" i="43"/>
  <c r="AL25" i="43"/>
  <c r="AL32" i="43"/>
  <c r="AJ48" i="43"/>
  <c r="AL48" i="43"/>
  <c r="AJ28" i="43"/>
  <c r="AJ26" i="43"/>
  <c r="AL26" i="43"/>
  <c r="AJ49" i="43"/>
  <c r="AL49" i="43"/>
  <c r="AJ51" i="43"/>
  <c r="AL51" i="43"/>
  <c r="AJ39" i="43"/>
  <c r="AL39" i="43"/>
  <c r="AE51" i="43"/>
  <c r="AD50" i="43"/>
  <c r="AN50" i="43" s="1"/>
  <c r="AH42" i="43"/>
  <c r="AI42" i="43" s="1"/>
  <c r="AL42" i="43" s="1"/>
  <c r="AE39" i="43"/>
  <c r="AD38" i="43"/>
  <c r="AN38" i="43" s="1"/>
  <c r="AE27" i="43"/>
  <c r="AD26" i="43"/>
  <c r="AD51" i="43"/>
  <c r="AN51" i="43" s="1"/>
  <c r="AL47" i="43"/>
  <c r="AD39" i="43"/>
  <c r="AE28" i="43"/>
  <c r="AN28" i="43" s="1"/>
  <c r="AD27" i="43"/>
  <c r="AH44" i="43"/>
  <c r="AI44" i="43" s="1"/>
  <c r="AJ44" i="43" s="1"/>
  <c r="AH32" i="43"/>
  <c r="AI32" i="43" s="1"/>
  <c r="AJ32" i="43" s="1"/>
  <c r="AH45" i="43"/>
  <c r="AI45" i="43" s="1"/>
  <c r="AL45" i="43" s="1"/>
  <c r="AH33" i="43"/>
  <c r="AI33" i="43" s="1"/>
  <c r="AL33" i="43" s="1"/>
  <c r="AE44" i="43"/>
  <c r="AN44" i="43" s="1"/>
  <c r="AE32" i="43"/>
  <c r="AN32" i="43" s="1"/>
  <c r="AE45" i="43"/>
  <c r="AN45" i="43" s="1"/>
  <c r="AL40" i="43"/>
  <c r="AE33" i="43"/>
  <c r="AN33" i="43" s="1"/>
  <c r="AL28" i="43"/>
  <c r="AE46" i="43"/>
  <c r="AN46" i="43" s="1"/>
  <c r="AL41" i="43"/>
  <c r="AE34" i="43"/>
  <c r="AN34" i="43" s="1"/>
  <c r="AN25" i="40"/>
  <c r="AJ25" i="40"/>
  <c r="AL25" i="40"/>
  <c r="AJ28" i="40"/>
  <c r="AJ26" i="40"/>
  <c r="AL26" i="40"/>
  <c r="AE26" i="40"/>
  <c r="AE27" i="40"/>
  <c r="AD26" i="40"/>
  <c r="AE28" i="40"/>
  <c r="AN28" i="40" s="1"/>
  <c r="AD27" i="40"/>
  <c r="AL27" i="40"/>
  <c r="AL28" i="40"/>
  <c r="AN31" i="14"/>
  <c r="AN71" i="78"/>
  <c r="AN46" i="23"/>
  <c r="AN59" i="24"/>
  <c r="AN62" i="12"/>
  <c r="AN173" i="32"/>
  <c r="AN83" i="31"/>
  <c r="AN65" i="78"/>
  <c r="AN55" i="24"/>
  <c r="AN80" i="31"/>
  <c r="AN208" i="32"/>
  <c r="AN127" i="20"/>
  <c r="AN83" i="5"/>
  <c r="AN72" i="78"/>
  <c r="AE43" i="78"/>
  <c r="AE14" i="78"/>
  <c r="AE22" i="78"/>
  <c r="AD29" i="78"/>
  <c r="AH20" i="78"/>
  <c r="AI20" i="78" s="1"/>
  <c r="AM34" i="78"/>
  <c r="AH22" i="78"/>
  <c r="AI22" i="78" s="1"/>
  <c r="AL22" i="78" s="1"/>
  <c r="AH59" i="78"/>
  <c r="AI59" i="78" s="1"/>
  <c r="AJ59" i="78" s="1"/>
  <c r="AE36" i="78"/>
  <c r="AM20" i="78"/>
  <c r="AM43" i="78"/>
  <c r="AD36" i="78"/>
  <c r="AH34" i="78"/>
  <c r="AI34" i="78" s="1"/>
  <c r="AL34" i="78" s="1"/>
  <c r="AD11" i="78"/>
  <c r="AN11" i="78" s="1"/>
  <c r="AM22" i="78"/>
  <c r="AE11" i="78"/>
  <c r="AE49" i="78"/>
  <c r="AE45" i="78"/>
  <c r="AH39" i="78"/>
  <c r="AI39" i="78" s="1"/>
  <c r="AJ39" i="78" s="1"/>
  <c r="AM37" i="78"/>
  <c r="AD10" i="78"/>
  <c r="AL52" i="78"/>
  <c r="W5" i="78"/>
  <c r="AE10" i="78"/>
  <c r="U18" i="78"/>
  <c r="AJ27" i="78"/>
  <c r="AD9" i="78"/>
  <c r="AE59" i="78"/>
  <c r="AH53" i="78"/>
  <c r="AI53" i="78" s="1"/>
  <c r="AJ53" i="78" s="1"/>
  <c r="AD52" i="78"/>
  <c r="AN52" i="78" s="1"/>
  <c r="AE9" i="78"/>
  <c r="AH60" i="78"/>
  <c r="AI60" i="78" s="1"/>
  <c r="AJ60" i="78" s="1"/>
  <c r="AH46" i="78"/>
  <c r="AI46" i="78" s="1"/>
  <c r="AJ46" i="78" s="1"/>
  <c r="AD14" i="78"/>
  <c r="W65" i="78"/>
  <c r="X65" i="78" s="1"/>
  <c r="Z65" i="78" s="1"/>
  <c r="AB65" i="78" s="1"/>
  <c r="AO65" i="78" s="1"/>
  <c r="AH40" i="78"/>
  <c r="AI40" i="78" s="1"/>
  <c r="AJ40" i="78" s="1"/>
  <c r="AE30" i="78"/>
  <c r="AH9" i="78"/>
  <c r="AI9" i="78" s="1"/>
  <c r="AL9" i="78" s="1"/>
  <c r="AD60" i="78"/>
  <c r="AE53" i="78"/>
  <c r="AD35" i="78"/>
  <c r="AD30" i="78"/>
  <c r="AN30" i="78" s="1"/>
  <c r="AD40" i="78"/>
  <c r="AN40" i="78" s="1"/>
  <c r="AH33" i="78"/>
  <c r="AI33" i="78" s="1"/>
  <c r="AJ33" i="78" s="1"/>
  <c r="U51" i="78"/>
  <c r="AM41" i="78"/>
  <c r="W29" i="78"/>
  <c r="X29" i="78" s="1"/>
  <c r="Z29" i="78" s="1"/>
  <c r="AB29" i="78" s="1"/>
  <c r="AO29" i="78" s="1"/>
  <c r="AE16" i="78"/>
  <c r="AM47" i="78"/>
  <c r="AD13" i="78"/>
  <c r="AN19" i="78"/>
  <c r="AN60" i="78"/>
  <c r="AE13" i="78"/>
  <c r="AD59" i="78"/>
  <c r="AN59" i="78" s="1"/>
  <c r="AE54" i="78"/>
  <c r="AN54" i="78" s="1"/>
  <c r="AH41" i="78"/>
  <c r="AI41" i="78" s="1"/>
  <c r="AJ41" i="78" s="1"/>
  <c r="AE31" i="78"/>
  <c r="AN31" i="78" s="1"/>
  <c r="AN29" i="78"/>
  <c r="AM16" i="78"/>
  <c r="AM18" i="78"/>
  <c r="AE21" i="78"/>
  <c r="AM61" i="78"/>
  <c r="AH57" i="78"/>
  <c r="AI57" i="78" s="1"/>
  <c r="AL57" i="78" s="1"/>
  <c r="AH47" i="78"/>
  <c r="AI47" i="78" s="1"/>
  <c r="AJ47" i="78" s="1"/>
  <c r="U39" i="78"/>
  <c r="AM35" i="78"/>
  <c r="AM55" i="78"/>
  <c r="W53" i="78"/>
  <c r="X53" i="78" s="1"/>
  <c r="Z53" i="78" s="1"/>
  <c r="AB53" i="78" s="1"/>
  <c r="AO53" i="78" s="1"/>
  <c r="AM51" i="78"/>
  <c r="AH48" i="78"/>
  <c r="AI48" i="78" s="1"/>
  <c r="AJ48" i="78" s="1"/>
  <c r="AH28" i="78"/>
  <c r="AI28" i="78" s="1"/>
  <c r="AL28" i="78" s="1"/>
  <c r="AD5" i="78"/>
  <c r="AD12" i="78"/>
  <c r="AM13" i="78"/>
  <c r="AE15" i="78"/>
  <c r="AD20" i="78"/>
  <c r="AH21" i="78"/>
  <c r="AI21" i="78" s="1"/>
  <c r="AM45" i="78"/>
  <c r="AE41" i="78"/>
  <c r="AH29" i="78"/>
  <c r="AI29" i="78" s="1"/>
  <c r="AJ29" i="78" s="1"/>
  <c r="AD7" i="78"/>
  <c r="AN7" i="78" s="1"/>
  <c r="AE12" i="78"/>
  <c r="W23" i="78"/>
  <c r="X23" i="78" s="1"/>
  <c r="AA23" i="78" s="1"/>
  <c r="AC23" i="78" s="1"/>
  <c r="AE61" i="78"/>
  <c r="AM58" i="78"/>
  <c r="AE57" i="78"/>
  <c r="AN57" i="78" s="1"/>
  <c r="AH51" i="78"/>
  <c r="AI51" i="78" s="1"/>
  <c r="AJ51" i="78" s="1"/>
  <c r="AD47" i="78"/>
  <c r="AN47" i="78" s="1"/>
  <c r="AE42" i="78"/>
  <c r="AM36" i="78"/>
  <c r="AH35" i="78"/>
  <c r="AI35" i="78" s="1"/>
  <c r="AJ35" i="78" s="1"/>
  <c r="U27" i="78"/>
  <c r="AM8" i="78"/>
  <c r="AM21" i="78"/>
  <c r="U63" i="78"/>
  <c r="AE55" i="78"/>
  <c r="AN55" i="78" s="1"/>
  <c r="AN53" i="78"/>
  <c r="AE48" i="78"/>
  <c r="AN48" i="78" s="1"/>
  <c r="AH45" i="78"/>
  <c r="AI45" i="78" s="1"/>
  <c r="AJ45" i="78" s="1"/>
  <c r="AD42" i="78"/>
  <c r="AD28" i="78"/>
  <c r="AN28" i="78" s="1"/>
  <c r="AM15" i="78"/>
  <c r="AL20" i="78"/>
  <c r="AN22" i="78"/>
  <c r="AH58" i="78"/>
  <c r="AI58" i="78" s="1"/>
  <c r="AL58" i="78" s="1"/>
  <c r="W41" i="78"/>
  <c r="X41" i="78" s="1"/>
  <c r="AA41" i="78" s="1"/>
  <c r="AC41" i="78" s="1"/>
  <c r="AN33" i="78"/>
  <c r="AJ69" i="78"/>
  <c r="AJ62" i="78"/>
  <c r="AL62" i="78"/>
  <c r="AJ52" i="78"/>
  <c r="AJ26" i="78"/>
  <c r="AL26" i="78"/>
  <c r="AL54" i="78"/>
  <c r="AJ54" i="78"/>
  <c r="AJ37" i="78"/>
  <c r="AL37" i="78"/>
  <c r="AJ50" i="78"/>
  <c r="AL50" i="78"/>
  <c r="AJ70" i="78"/>
  <c r="AL70" i="78"/>
  <c r="AL48" i="78"/>
  <c r="AJ34" i="78"/>
  <c r="AJ25" i="78"/>
  <c r="AL25" i="78"/>
  <c r="AJ64" i="78"/>
  <c r="AJ61" i="78"/>
  <c r="AL61" i="78"/>
  <c r="AL42" i="78"/>
  <c r="AJ42" i="78"/>
  <c r="AJ65" i="78"/>
  <c r="AL65" i="78"/>
  <c r="AJ49" i="78"/>
  <c r="AL49" i="78"/>
  <c r="AJ68" i="78"/>
  <c r="AL68" i="78"/>
  <c r="AJ38" i="78"/>
  <c r="AL38" i="78"/>
  <c r="AJ36" i="78"/>
  <c r="AL36" i="78"/>
  <c r="AJ72" i="78"/>
  <c r="AL72" i="78"/>
  <c r="AL66" i="78"/>
  <c r="AJ66" i="78"/>
  <c r="AJ30" i="78"/>
  <c r="AL30" i="78"/>
  <c r="AL69" i="78"/>
  <c r="W66" i="78"/>
  <c r="X66" i="78" s="1"/>
  <c r="U64" i="78"/>
  <c r="AE62" i="78"/>
  <c r="AD61" i="78"/>
  <c r="W54" i="78"/>
  <c r="X54" i="78" s="1"/>
  <c r="U52" i="78"/>
  <c r="AE50" i="78"/>
  <c r="AD49" i="78"/>
  <c r="AN49" i="78" s="1"/>
  <c r="W42" i="78"/>
  <c r="X42" i="78" s="1"/>
  <c r="U40" i="78"/>
  <c r="AE38" i="78"/>
  <c r="AD37" i="78"/>
  <c r="W30" i="78"/>
  <c r="X30" i="78" s="1"/>
  <c r="U28" i="78"/>
  <c r="AE26" i="78"/>
  <c r="AD25" i="78"/>
  <c r="AN25" i="78" s="1"/>
  <c r="W8" i="78"/>
  <c r="X8" i="78" s="1"/>
  <c r="AA8" i="78" s="1"/>
  <c r="AC8" i="78" s="1"/>
  <c r="W67" i="78"/>
  <c r="X67" i="78" s="1"/>
  <c r="U65" i="78"/>
  <c r="AE63" i="78"/>
  <c r="AN63" i="78" s="1"/>
  <c r="AD62" i="78"/>
  <c r="W55" i="78"/>
  <c r="X55" i="78" s="1"/>
  <c r="U53" i="78"/>
  <c r="AE51" i="78"/>
  <c r="AN51" i="78" s="1"/>
  <c r="AD50" i="78"/>
  <c r="W43" i="78"/>
  <c r="X43" i="78" s="1"/>
  <c r="U41" i="78"/>
  <c r="AE39" i="78"/>
  <c r="AN39" i="78" s="1"/>
  <c r="AD38" i="78"/>
  <c r="W31" i="78"/>
  <c r="X31" i="78" s="1"/>
  <c r="U29" i="78"/>
  <c r="AE27" i="78"/>
  <c r="AN27" i="78" s="1"/>
  <c r="AD26" i="78"/>
  <c r="W7" i="78"/>
  <c r="X7" i="78" s="1"/>
  <c r="W22" i="78"/>
  <c r="X22" i="78" s="1"/>
  <c r="AL71" i="78"/>
  <c r="W68" i="78"/>
  <c r="X68" i="78" s="1"/>
  <c r="AH67" i="78"/>
  <c r="AI67" i="78" s="1"/>
  <c r="AL67" i="78" s="1"/>
  <c r="U66" i="78"/>
  <c r="W56" i="78"/>
  <c r="X56" i="78" s="1"/>
  <c r="AH55" i="78"/>
  <c r="AI55" i="78" s="1"/>
  <c r="AL55" i="78" s="1"/>
  <c r="U54" i="78"/>
  <c r="W44" i="78"/>
  <c r="X44" i="78" s="1"/>
  <c r="AH43" i="78"/>
  <c r="AI43" i="78" s="1"/>
  <c r="AL43" i="78" s="1"/>
  <c r="U42" i="78"/>
  <c r="AL35" i="78"/>
  <c r="W32" i="78"/>
  <c r="X32" i="78" s="1"/>
  <c r="AH31" i="78"/>
  <c r="AI31" i="78" s="1"/>
  <c r="AL31" i="78" s="1"/>
  <c r="U30" i="78"/>
  <c r="A14" i="78"/>
  <c r="W69" i="78"/>
  <c r="X69" i="78" s="1"/>
  <c r="AH68" i="78"/>
  <c r="AI68" i="78" s="1"/>
  <c r="U67" i="78"/>
  <c r="W57" i="78"/>
  <c r="X57" i="78" s="1"/>
  <c r="AH56" i="78"/>
  <c r="AI56" i="78" s="1"/>
  <c r="AL56" i="78" s="1"/>
  <c r="U55" i="78"/>
  <c r="W45" i="78"/>
  <c r="X45" i="78" s="1"/>
  <c r="AH44" i="78"/>
  <c r="AI44" i="78" s="1"/>
  <c r="AL44" i="78" s="1"/>
  <c r="U43" i="78"/>
  <c r="W33" i="78"/>
  <c r="X33" i="78" s="1"/>
  <c r="AH32" i="78"/>
  <c r="AI32" i="78" s="1"/>
  <c r="AL32" i="78" s="1"/>
  <c r="U31" i="78"/>
  <c r="W12" i="78"/>
  <c r="X12" i="78" s="1"/>
  <c r="W70" i="78"/>
  <c r="X70" i="78" s="1"/>
  <c r="U68" i="78"/>
  <c r="W58" i="78"/>
  <c r="X58" i="78" s="1"/>
  <c r="U56" i="78"/>
  <c r="W46" i="78"/>
  <c r="X46" i="78" s="1"/>
  <c r="U44" i="78"/>
  <c r="W34" i="78"/>
  <c r="X34" i="78" s="1"/>
  <c r="U32" i="78"/>
  <c r="U17" i="78"/>
  <c r="U20" i="78"/>
  <c r="W21" i="78"/>
  <c r="X21" i="78" s="1"/>
  <c r="AA21" i="78" s="1"/>
  <c r="AC21" i="78" s="1"/>
  <c r="W71" i="78"/>
  <c r="X71" i="78" s="1"/>
  <c r="U69" i="78"/>
  <c r="W59" i="78"/>
  <c r="X59" i="78" s="1"/>
  <c r="U57" i="78"/>
  <c r="W47" i="78"/>
  <c r="X47" i="78" s="1"/>
  <c r="U45" i="78"/>
  <c r="W35" i="78"/>
  <c r="X35" i="78" s="1"/>
  <c r="U33" i="78"/>
  <c r="W11" i="78"/>
  <c r="U19" i="78"/>
  <c r="W24" i="78"/>
  <c r="X24" i="78" s="1"/>
  <c r="AA24" i="78" s="1"/>
  <c r="AC24" i="78" s="1"/>
  <c r="W72" i="78"/>
  <c r="X72" i="78" s="1"/>
  <c r="U70" i="78"/>
  <c r="AE68" i="78"/>
  <c r="AN68" i="78" s="1"/>
  <c r="AL63" i="78"/>
  <c r="W60" i="78"/>
  <c r="X60" i="78" s="1"/>
  <c r="U58" i="78"/>
  <c r="AE56" i="78"/>
  <c r="AN56" i="78" s="1"/>
  <c r="W48" i="78"/>
  <c r="X48" i="78" s="1"/>
  <c r="U46" i="78"/>
  <c r="AE44" i="78"/>
  <c r="AN44" i="78" s="1"/>
  <c r="W36" i="78"/>
  <c r="X36" i="78" s="1"/>
  <c r="U34" i="78"/>
  <c r="AE32" i="78"/>
  <c r="AN32" i="78" s="1"/>
  <c r="AL27" i="78"/>
  <c r="W6" i="78"/>
  <c r="X6" i="78" s="1"/>
  <c r="AA6" i="78" s="1"/>
  <c r="AC6" i="78" s="1"/>
  <c r="U71" i="78"/>
  <c r="W61" i="78"/>
  <c r="X61" i="78" s="1"/>
  <c r="U59" i="78"/>
  <c r="W49" i="78"/>
  <c r="X49" i="78" s="1"/>
  <c r="U47" i="78"/>
  <c r="W37" i="78"/>
  <c r="X37" i="78" s="1"/>
  <c r="U35" i="78"/>
  <c r="W25" i="78"/>
  <c r="X25" i="78" s="1"/>
  <c r="U72" i="78"/>
  <c r="AE70" i="78"/>
  <c r="AN70" i="78" s="1"/>
  <c r="W62" i="78"/>
  <c r="X62" i="78" s="1"/>
  <c r="U60" i="78"/>
  <c r="AE58" i="78"/>
  <c r="W50" i="78"/>
  <c r="X50" i="78" s="1"/>
  <c r="U48" i="78"/>
  <c r="AE46" i="78"/>
  <c r="AN46" i="78" s="1"/>
  <c r="W38" i="78"/>
  <c r="X38" i="78" s="1"/>
  <c r="U36" i="78"/>
  <c r="AE34" i="78"/>
  <c r="AN34" i="78" s="1"/>
  <c r="W26" i="78"/>
  <c r="X26" i="78" s="1"/>
  <c r="W63" i="78"/>
  <c r="X63" i="78" s="1"/>
  <c r="U61" i="78"/>
  <c r="W51" i="78"/>
  <c r="X51" i="78" s="1"/>
  <c r="U49" i="78"/>
  <c r="W39" i="78"/>
  <c r="X39" i="78" s="1"/>
  <c r="U37" i="78"/>
  <c r="W27" i="78"/>
  <c r="X27" i="78" s="1"/>
  <c r="U25" i="78"/>
  <c r="W64" i="78"/>
  <c r="X64" i="78" s="1"/>
  <c r="U62" i="78"/>
  <c r="W52" i="78"/>
  <c r="X52" i="78" s="1"/>
  <c r="U50" i="78"/>
  <c r="W40" i="78"/>
  <c r="X40" i="78" s="1"/>
  <c r="U38" i="78"/>
  <c r="W28" i="78"/>
  <c r="X28" i="78" s="1"/>
  <c r="U26" i="78"/>
  <c r="X5" i="78"/>
  <c r="AA5" i="78" s="1"/>
  <c r="AC5" i="78" s="1"/>
  <c r="A18" i="78"/>
  <c r="X10" i="78"/>
  <c r="AA10" i="78" s="1"/>
  <c r="AC10" i="78" s="1"/>
  <c r="X11" i="78"/>
  <c r="AA11" i="78" s="1"/>
  <c r="AC11" i="78" s="1"/>
  <c r="AL10" i="78"/>
  <c r="AJ10" i="78"/>
  <c r="AL14" i="78"/>
  <c r="AJ14" i="78"/>
  <c r="AL8" i="78"/>
  <c r="AL13" i="78"/>
  <c r="AJ13" i="78"/>
  <c r="AL16" i="78"/>
  <c r="AJ16" i="78"/>
  <c r="AL7" i="78"/>
  <c r="AJ7" i="78"/>
  <c r="AL15" i="78"/>
  <c r="AJ15" i="78"/>
  <c r="AJ12" i="78"/>
  <c r="AL12" i="78"/>
  <c r="AL21" i="78"/>
  <c r="AJ21" i="78"/>
  <c r="AJ11" i="78"/>
  <c r="AL11" i="78"/>
  <c r="AN73" i="5"/>
  <c r="AN31" i="24"/>
  <c r="AN123" i="20"/>
  <c r="AN87" i="22"/>
  <c r="U7" i="78"/>
  <c r="AE23" i="78"/>
  <c r="AN23" i="78" s="1"/>
  <c r="AE24" i="78"/>
  <c r="AN24" i="78" s="1"/>
  <c r="AN61" i="24"/>
  <c r="AN85" i="29"/>
  <c r="AN202" i="32"/>
  <c r="AN188" i="32"/>
  <c r="AJ8" i="78"/>
  <c r="AN38" i="13"/>
  <c r="AN71" i="5"/>
  <c r="AN48" i="23"/>
  <c r="AN46" i="24"/>
  <c r="AN89" i="31"/>
  <c r="AN211" i="32"/>
  <c r="U6" i="78"/>
  <c r="AH6" i="78"/>
  <c r="AI6" i="78" s="1"/>
  <c r="AJ6" i="78" s="1"/>
  <c r="AD17" i="78"/>
  <c r="AD18" i="78"/>
  <c r="U23" i="78"/>
  <c r="U24" i="78"/>
  <c r="AN77" i="5"/>
  <c r="AN53" i="14"/>
  <c r="AN76" i="5"/>
  <c r="AN30" i="6"/>
  <c r="AN25" i="14"/>
  <c r="AN54" i="23"/>
  <c r="AN25" i="30"/>
  <c r="AN205" i="32"/>
  <c r="AN181" i="32"/>
  <c r="U5" i="78"/>
  <c r="AH5" i="78"/>
  <c r="AI5" i="78" s="1"/>
  <c r="AJ5" i="78" s="1"/>
  <c r="AD15" i="78"/>
  <c r="AD16" i="78"/>
  <c r="AE17" i="78"/>
  <c r="AE18" i="78"/>
  <c r="U21" i="78"/>
  <c r="U22" i="78"/>
  <c r="AH23" i="78"/>
  <c r="AI23" i="78" s="1"/>
  <c r="AJ23" i="78" s="1"/>
  <c r="AH24" i="78"/>
  <c r="AI24" i="78" s="1"/>
  <c r="AL24" i="78" s="1"/>
  <c r="AN55" i="14"/>
  <c r="AN37" i="14"/>
  <c r="AN109" i="20"/>
  <c r="AN57" i="23"/>
  <c r="AN99" i="29"/>
  <c r="AN199" i="32"/>
  <c r="U15" i="78"/>
  <c r="U16" i="78"/>
  <c r="AH17" i="78"/>
  <c r="AI17" i="78" s="1"/>
  <c r="AJ17" i="78" s="1"/>
  <c r="AH18" i="78"/>
  <c r="AI18" i="78" s="1"/>
  <c r="AJ18" i="78" s="1"/>
  <c r="W19" i="78"/>
  <c r="X19" i="78" s="1"/>
  <c r="W20" i="78"/>
  <c r="X20" i="78" s="1"/>
  <c r="AN58" i="12"/>
  <c r="AN132" i="20"/>
  <c r="AN64" i="24"/>
  <c r="AN185" i="32"/>
  <c r="AM6" i="78"/>
  <c r="U13" i="78"/>
  <c r="U14" i="78"/>
  <c r="W17" i="78"/>
  <c r="X17" i="78" s="1"/>
  <c r="W18" i="78"/>
  <c r="X18" i="78" s="1"/>
  <c r="AJ20" i="78"/>
  <c r="AN32" i="13"/>
  <c r="AN78" i="31"/>
  <c r="AD8" i="78"/>
  <c r="U11" i="78"/>
  <c r="U12" i="78"/>
  <c r="W15" i="78"/>
  <c r="X15" i="78" s="1"/>
  <c r="W16" i="78"/>
  <c r="X16" i="78" s="1"/>
  <c r="AN65" i="5"/>
  <c r="AN31" i="13"/>
  <c r="AN28" i="13"/>
  <c r="AN111" i="20"/>
  <c r="AN86" i="20"/>
  <c r="AN81" i="20"/>
  <c r="AN52" i="24"/>
  <c r="AN179" i="32"/>
  <c r="U9" i="78"/>
  <c r="U10" i="78"/>
  <c r="W13" i="78"/>
  <c r="X13" i="78" s="1"/>
  <c r="W14" i="78"/>
  <c r="X14" i="78" s="1"/>
  <c r="AN37" i="13"/>
  <c r="AN63" i="24"/>
  <c r="AN57" i="24"/>
  <c r="AN84" i="31"/>
  <c r="U8" i="78"/>
  <c r="W9" i="78"/>
  <c r="X9" i="78" s="1"/>
  <c r="AN176" i="32"/>
  <c r="AJ193" i="32"/>
  <c r="AJ181" i="32"/>
  <c r="AD190" i="32"/>
  <c r="AH184" i="32"/>
  <c r="AI184" i="32" s="1"/>
  <c r="AJ184" i="32" s="1"/>
  <c r="AD187" i="32"/>
  <c r="AD184" i="32"/>
  <c r="AE191" i="32"/>
  <c r="AN191" i="32" s="1"/>
  <c r="AN197" i="32"/>
  <c r="AN193" i="32"/>
  <c r="AM186" i="32"/>
  <c r="AM183" i="32"/>
  <c r="AM196" i="32"/>
  <c r="AN196" i="32" s="1"/>
  <c r="AM180" i="32"/>
  <c r="AM190" i="32"/>
  <c r="AM187" i="32"/>
  <c r="AE177" i="32"/>
  <c r="AN177" i="32" s="1"/>
  <c r="AM197" i="32"/>
  <c r="AH196" i="32"/>
  <c r="AI196" i="32" s="1"/>
  <c r="AJ196" i="32" s="1"/>
  <c r="AM174" i="32"/>
  <c r="AM184" i="32"/>
  <c r="AM178" i="32"/>
  <c r="AN178" i="32" s="1"/>
  <c r="AH187" i="32"/>
  <c r="AI187" i="32" s="1"/>
  <c r="AJ187" i="32" s="1"/>
  <c r="AJ210" i="32"/>
  <c r="AL210" i="32"/>
  <c r="AJ194" i="32"/>
  <c r="AL194" i="32"/>
  <c r="AJ176" i="32"/>
  <c r="AL176" i="32"/>
  <c r="AJ182" i="32"/>
  <c r="AL182" i="32"/>
  <c r="AL179" i="32"/>
  <c r="AJ198" i="32"/>
  <c r="AL198" i="32"/>
  <c r="AJ212" i="32"/>
  <c r="AL212" i="32"/>
  <c r="AJ208" i="32"/>
  <c r="AL208" i="32"/>
  <c r="AJ173" i="32"/>
  <c r="AN203" i="32"/>
  <c r="AJ186" i="32"/>
  <c r="AL186" i="32"/>
  <c r="AL203" i="32"/>
  <c r="AJ200" i="32"/>
  <c r="AL200" i="32"/>
  <c r="AN207" i="32"/>
  <c r="AN175" i="32"/>
  <c r="AJ174" i="32"/>
  <c r="AL174" i="32"/>
  <c r="AE210" i="32"/>
  <c r="AL205" i="32"/>
  <c r="AJ203" i="32"/>
  <c r="AH201" i="32"/>
  <c r="AI201" i="32" s="1"/>
  <c r="AJ201" i="32" s="1"/>
  <c r="AE198" i="32"/>
  <c r="AL193" i="32"/>
  <c r="AJ191" i="32"/>
  <c r="AH189" i="32"/>
  <c r="AI189" i="32" s="1"/>
  <c r="AJ189" i="32" s="1"/>
  <c r="AE186" i="32"/>
  <c r="AL181" i="32"/>
  <c r="AJ179" i="32"/>
  <c r="AH177" i="32"/>
  <c r="AI177" i="32" s="1"/>
  <c r="AJ177" i="32" s="1"/>
  <c r="AE174" i="32"/>
  <c r="AD210" i="32"/>
  <c r="AH202" i="32"/>
  <c r="AI202" i="32" s="1"/>
  <c r="AJ202" i="32" s="1"/>
  <c r="AD198" i="32"/>
  <c r="AH190" i="32"/>
  <c r="AI190" i="32" s="1"/>
  <c r="AJ190" i="32" s="1"/>
  <c r="AD186" i="32"/>
  <c r="AH178" i="32"/>
  <c r="AI178" i="32" s="1"/>
  <c r="AJ178" i="32" s="1"/>
  <c r="AD174" i="32"/>
  <c r="AH204" i="32"/>
  <c r="AI204" i="32" s="1"/>
  <c r="AL204" i="32" s="1"/>
  <c r="AE201" i="32"/>
  <c r="AN201" i="32" s="1"/>
  <c r="AH192" i="32"/>
  <c r="AI192" i="32" s="1"/>
  <c r="AJ192" i="32" s="1"/>
  <c r="AE189" i="32"/>
  <c r="AN189" i="32" s="1"/>
  <c r="AH180" i="32"/>
  <c r="AI180" i="32" s="1"/>
  <c r="AL180" i="32" s="1"/>
  <c r="AL209" i="32"/>
  <c r="AL197" i="32"/>
  <c r="AL185" i="32"/>
  <c r="AL173" i="32"/>
  <c r="AH206" i="32"/>
  <c r="AI206" i="32" s="1"/>
  <c r="AJ206" i="32" s="1"/>
  <c r="AL211" i="32"/>
  <c r="AH207" i="32"/>
  <c r="AI207" i="32" s="1"/>
  <c r="AJ207" i="32" s="1"/>
  <c r="AL199" i="32"/>
  <c r="AH195" i="32"/>
  <c r="AI195" i="32" s="1"/>
  <c r="AJ195" i="32" s="1"/>
  <c r="AE192" i="32"/>
  <c r="AN192" i="32" s="1"/>
  <c r="AL187" i="32"/>
  <c r="AH183" i="32"/>
  <c r="AI183" i="32" s="1"/>
  <c r="AJ183" i="32" s="1"/>
  <c r="AE180" i="32"/>
  <c r="AL175" i="32"/>
  <c r="AE206" i="32"/>
  <c r="AN206" i="32" s="1"/>
  <c r="AE194" i="32"/>
  <c r="AN194" i="32" s="1"/>
  <c r="AE182" i="32"/>
  <c r="AN182" i="32" s="1"/>
  <c r="AE183" i="32"/>
  <c r="AN183" i="32" s="1"/>
  <c r="AJ71" i="31"/>
  <c r="AN72" i="31"/>
  <c r="AJ69" i="31"/>
  <c r="AJ66" i="31"/>
  <c r="AL65" i="31"/>
  <c r="AN71" i="31"/>
  <c r="AH63" i="31"/>
  <c r="AI63" i="31" s="1"/>
  <c r="AL63" i="31" s="1"/>
  <c r="AM74" i="31"/>
  <c r="AE60" i="31"/>
  <c r="AN60" i="31" s="1"/>
  <c r="AN69" i="31"/>
  <c r="AH67" i="31"/>
  <c r="AI67" i="31" s="1"/>
  <c r="AJ67" i="31" s="1"/>
  <c r="AE63" i="31"/>
  <c r="AN63" i="31" s="1"/>
  <c r="AH77" i="31"/>
  <c r="AI77" i="31" s="1"/>
  <c r="AL77" i="31" s="1"/>
  <c r="AD74" i="31"/>
  <c r="AE67" i="31"/>
  <c r="AN67" i="31" s="1"/>
  <c r="AN66" i="31"/>
  <c r="AJ80" i="31"/>
  <c r="AL80" i="31"/>
  <c r="AN87" i="31"/>
  <c r="AJ73" i="31"/>
  <c r="AL73" i="31"/>
  <c r="AL66" i="31"/>
  <c r="AJ60" i="31"/>
  <c r="AL60" i="31"/>
  <c r="AJ72" i="31"/>
  <c r="AL72" i="31"/>
  <c r="AJ84" i="31"/>
  <c r="AL84" i="31"/>
  <c r="AJ81" i="31"/>
  <c r="AJ74" i="31"/>
  <c r="AN68" i="31"/>
  <c r="AJ85" i="31"/>
  <c r="AL85" i="31"/>
  <c r="AJ75" i="31"/>
  <c r="AN75" i="31"/>
  <c r="AJ61" i="31"/>
  <c r="AL61" i="31"/>
  <c r="AH88" i="31"/>
  <c r="AI88" i="31" s="1"/>
  <c r="AJ88" i="31" s="1"/>
  <c r="AE85" i="31"/>
  <c r="AH76" i="31"/>
  <c r="AI76" i="31" s="1"/>
  <c r="AJ76" i="31" s="1"/>
  <c r="AE73" i="31"/>
  <c r="AH64" i="31"/>
  <c r="AI64" i="31" s="1"/>
  <c r="AL64" i="31" s="1"/>
  <c r="AE61" i="31"/>
  <c r="AE86" i="31"/>
  <c r="AN86" i="31" s="1"/>
  <c r="AD85" i="31"/>
  <c r="AL81" i="31"/>
  <c r="AE74" i="31"/>
  <c r="AD73" i="31"/>
  <c r="AL69" i="31"/>
  <c r="AE62" i="31"/>
  <c r="AN62" i="31" s="1"/>
  <c r="AD61" i="31"/>
  <c r="AE88" i="31"/>
  <c r="AN88" i="31" s="1"/>
  <c r="AL83" i="31"/>
  <c r="AE76" i="31"/>
  <c r="AN76" i="31" s="1"/>
  <c r="AL71" i="31"/>
  <c r="AE64" i="31"/>
  <c r="AN64" i="31" s="1"/>
  <c r="AH80" i="31"/>
  <c r="AI80" i="31" s="1"/>
  <c r="AE77" i="31"/>
  <c r="AN77" i="31" s="1"/>
  <c r="AH68" i="31"/>
  <c r="AI68" i="31" s="1"/>
  <c r="AJ68" i="31" s="1"/>
  <c r="AE65" i="31"/>
  <c r="AN65" i="31" s="1"/>
  <c r="AH81" i="31"/>
  <c r="AI81" i="31" s="1"/>
  <c r="AL86" i="31"/>
  <c r="AH82" i="31"/>
  <c r="AI82" i="31" s="1"/>
  <c r="AJ82" i="31" s="1"/>
  <c r="AL74" i="31"/>
  <c r="AH70" i="31"/>
  <c r="AI70" i="31" s="1"/>
  <c r="AJ70" i="31" s="1"/>
  <c r="AL62" i="31"/>
  <c r="AL87" i="31"/>
  <c r="AL75" i="31"/>
  <c r="AE82" i="31"/>
  <c r="AN82" i="31" s="1"/>
  <c r="AE70" i="31"/>
  <c r="AN70" i="31" s="1"/>
  <c r="AJ26" i="30"/>
  <c r="AL26" i="30"/>
  <c r="AE26" i="30"/>
  <c r="AD26" i="30"/>
  <c r="AL25" i="30"/>
  <c r="AD86" i="29"/>
  <c r="AE92" i="29"/>
  <c r="AN92" i="29" s="1"/>
  <c r="AN91" i="29"/>
  <c r="AE87" i="29"/>
  <c r="AH94" i="29"/>
  <c r="AI94" i="29" s="1"/>
  <c r="AJ94" i="29" s="1"/>
  <c r="AH90" i="29"/>
  <c r="AI90" i="29" s="1"/>
  <c r="AJ90" i="29" s="1"/>
  <c r="AN87" i="29"/>
  <c r="AM88" i="29"/>
  <c r="AH85" i="29"/>
  <c r="AI85" i="29" s="1"/>
  <c r="AJ85" i="29" s="1"/>
  <c r="AE94" i="29"/>
  <c r="AN94" i="29" s="1"/>
  <c r="AH91" i="29"/>
  <c r="AI91" i="29" s="1"/>
  <c r="AJ91" i="29" s="1"/>
  <c r="AM86" i="29"/>
  <c r="AJ98" i="29"/>
  <c r="AL98" i="29"/>
  <c r="AJ92" i="29"/>
  <c r="AL92" i="29"/>
  <c r="AL101" i="29"/>
  <c r="AJ84" i="29"/>
  <c r="AJ100" i="29"/>
  <c r="AL100" i="29"/>
  <c r="AJ86" i="29"/>
  <c r="AL86" i="29"/>
  <c r="AL88" i="29"/>
  <c r="AJ101" i="29"/>
  <c r="AE96" i="29"/>
  <c r="AN96" i="29" s="1"/>
  <c r="AD95" i="29"/>
  <c r="AN95" i="29" s="1"/>
  <c r="AN93" i="29"/>
  <c r="AE84" i="29"/>
  <c r="AN84" i="29" s="1"/>
  <c r="AH88" i="29"/>
  <c r="AI88" i="29" s="1"/>
  <c r="AJ88" i="29" s="1"/>
  <c r="AH101" i="29"/>
  <c r="AI101" i="29" s="1"/>
  <c r="AE98" i="29"/>
  <c r="AH89" i="29"/>
  <c r="AI89" i="29" s="1"/>
  <c r="AJ89" i="29" s="1"/>
  <c r="AE86" i="29"/>
  <c r="AE100" i="29"/>
  <c r="AN100" i="29" s="1"/>
  <c r="AE88" i="29"/>
  <c r="AE101" i="29"/>
  <c r="AN101" i="29" s="1"/>
  <c r="AL96" i="29"/>
  <c r="AE89" i="29"/>
  <c r="AN89" i="29" s="1"/>
  <c r="AL84" i="29"/>
  <c r="AL97" i="29"/>
  <c r="AH93" i="29"/>
  <c r="AI93" i="29" s="1"/>
  <c r="AJ93" i="29" s="1"/>
  <c r="AE90" i="29"/>
  <c r="AN90" i="29" s="1"/>
  <c r="AD98" i="29"/>
  <c r="AN98" i="29" s="1"/>
  <c r="AL99" i="29"/>
  <c r="AH95" i="29"/>
  <c r="AI95" i="29" s="1"/>
  <c r="AJ95" i="29" s="1"/>
  <c r="AL87" i="29"/>
  <c r="AL54" i="28"/>
  <c r="AM52" i="28"/>
  <c r="AN54" i="28"/>
  <c r="AH52" i="28"/>
  <c r="AI52" i="28" s="1"/>
  <c r="AL52" i="28" s="1"/>
  <c r="AN55" i="28"/>
  <c r="AE52" i="28"/>
  <c r="AM53" i="28"/>
  <c r="AM50" i="28"/>
  <c r="AL60" i="28"/>
  <c r="AJ50" i="28"/>
  <c r="AL50" i="28"/>
  <c r="AJ57" i="28"/>
  <c r="AN51" i="28"/>
  <c r="AJ61" i="28"/>
  <c r="AL61" i="28"/>
  <c r="AJ51" i="28"/>
  <c r="AL55" i="28"/>
  <c r="AJ55" i="28"/>
  <c r="AJ58" i="28"/>
  <c r="AL58" i="28"/>
  <c r="AJ49" i="28"/>
  <c r="AL49" i="28"/>
  <c r="AJ59" i="28"/>
  <c r="AJ62" i="28"/>
  <c r="AL62" i="28"/>
  <c r="AJ56" i="28"/>
  <c r="AE62" i="28"/>
  <c r="AD61" i="28"/>
  <c r="AN61" i="28" s="1"/>
  <c r="AL57" i="28"/>
  <c r="AH53" i="28"/>
  <c r="AI53" i="28" s="1"/>
  <c r="AJ53" i="28" s="1"/>
  <c r="AE50" i="28"/>
  <c r="AD49" i="28"/>
  <c r="AN49" i="28" s="1"/>
  <c r="AD62" i="28"/>
  <c r="AD50" i="28"/>
  <c r="AH56" i="28"/>
  <c r="AI56" i="28" s="1"/>
  <c r="AL56" i="28" s="1"/>
  <c r="AE53" i="28"/>
  <c r="AH59" i="28"/>
  <c r="AI59" i="28" s="1"/>
  <c r="AL59" i="28" s="1"/>
  <c r="AE56" i="28"/>
  <c r="AN56" i="28" s="1"/>
  <c r="AL51" i="28"/>
  <c r="AE58" i="28"/>
  <c r="AN58" i="28" s="1"/>
  <c r="AE40" i="24"/>
  <c r="AE37" i="24"/>
  <c r="AE34" i="24"/>
  <c r="AE47" i="24"/>
  <c r="AN47" i="24" s="1"/>
  <c r="AD40" i="24"/>
  <c r="AD37" i="24"/>
  <c r="AD34" i="24"/>
  <c r="AL40" i="24"/>
  <c r="AE35" i="24"/>
  <c r="AN35" i="24" s="1"/>
  <c r="AM32" i="24"/>
  <c r="AJ37" i="24"/>
  <c r="AN49" i="24"/>
  <c r="AH32" i="24"/>
  <c r="AI32" i="24" s="1"/>
  <c r="AJ32" i="24" s="1"/>
  <c r="AE29" i="24"/>
  <c r="AN29" i="24" s="1"/>
  <c r="AJ45" i="24"/>
  <c r="AD36" i="24"/>
  <c r="AN36" i="24" s="1"/>
  <c r="AH33" i="24"/>
  <c r="AI33" i="24" s="1"/>
  <c r="AJ33" i="24" s="1"/>
  <c r="AN43" i="24"/>
  <c r="AD39" i="24"/>
  <c r="AN39" i="24" s="1"/>
  <c r="AJ53" i="24"/>
  <c r="AL53" i="24"/>
  <c r="AJ43" i="24"/>
  <c r="AN60" i="24"/>
  <c r="AJ31" i="24"/>
  <c r="AL34" i="24"/>
  <c r="AJ34" i="24"/>
  <c r="AJ41" i="24"/>
  <c r="AL41" i="24"/>
  <c r="AL60" i="24"/>
  <c r="AJ56" i="24"/>
  <c r="AL56" i="24"/>
  <c r="AN51" i="24"/>
  <c r="AN48" i="24"/>
  <c r="AJ44" i="24"/>
  <c r="AL44" i="24"/>
  <c r="AN33" i="24"/>
  <c r="AJ29" i="24"/>
  <c r="AL29" i="24"/>
  <c r="AL64" i="24"/>
  <c r="AJ61" i="24"/>
  <c r="AJ54" i="24"/>
  <c r="AL54" i="24"/>
  <c r="AL32" i="24"/>
  <c r="AL58" i="24"/>
  <c r="AJ58" i="24"/>
  <c r="AL52" i="24"/>
  <c r="AJ49" i="24"/>
  <c r="AJ42" i="24"/>
  <c r="AL42" i="24"/>
  <c r="AL46" i="24"/>
  <c r="AJ46" i="24"/>
  <c r="AJ30" i="24"/>
  <c r="AL30" i="24"/>
  <c r="AL61" i="24"/>
  <c r="AE54" i="24"/>
  <c r="AN54" i="24" s="1"/>
  <c r="AD53" i="24"/>
  <c r="AN53" i="24" s="1"/>
  <c r="AL49" i="24"/>
  <c r="AE42" i="24"/>
  <c r="AD41" i="24"/>
  <c r="AN41" i="24" s="1"/>
  <c r="AL37" i="24"/>
  <c r="AE30" i="24"/>
  <c r="AD54" i="24"/>
  <c r="AD42" i="24"/>
  <c r="AD30" i="24"/>
  <c r="AH59" i="24"/>
  <c r="AI59" i="24" s="1"/>
  <c r="AL59" i="24" s="1"/>
  <c r="AE56" i="24"/>
  <c r="AN56" i="24" s="1"/>
  <c r="AH47" i="24"/>
  <c r="AI47" i="24" s="1"/>
  <c r="AL47" i="24" s="1"/>
  <c r="AE44" i="24"/>
  <c r="AN44" i="24" s="1"/>
  <c r="AH35" i="24"/>
  <c r="AI35" i="24" s="1"/>
  <c r="AL35" i="24" s="1"/>
  <c r="AE32" i="24"/>
  <c r="AH60" i="24"/>
  <c r="AI60" i="24" s="1"/>
  <c r="AJ60" i="24" s="1"/>
  <c r="AH48" i="24"/>
  <c r="AI48" i="24" s="1"/>
  <c r="AL48" i="24" s="1"/>
  <c r="AH36" i="24"/>
  <c r="AI36" i="24" s="1"/>
  <c r="AJ36" i="24" s="1"/>
  <c r="AH62" i="24"/>
  <c r="AI62" i="24" s="1"/>
  <c r="AJ62" i="24" s="1"/>
  <c r="AH50" i="24"/>
  <c r="AI50" i="24" s="1"/>
  <c r="AJ50" i="24" s="1"/>
  <c r="AH38" i="24"/>
  <c r="AI38" i="24" s="1"/>
  <c r="AJ38" i="24" s="1"/>
  <c r="AH63" i="24"/>
  <c r="AI63" i="24" s="1"/>
  <c r="AJ63" i="24" s="1"/>
  <c r="AL55" i="24"/>
  <c r="AH51" i="24"/>
  <c r="AI51" i="24" s="1"/>
  <c r="AJ51" i="24" s="1"/>
  <c r="AL43" i="24"/>
  <c r="AH39" i="24"/>
  <c r="AI39" i="24" s="1"/>
  <c r="AL39" i="24" s="1"/>
  <c r="AL31" i="24"/>
  <c r="AE62" i="24"/>
  <c r="AN62" i="24" s="1"/>
  <c r="AL57" i="24"/>
  <c r="AE50" i="24"/>
  <c r="AN50" i="24" s="1"/>
  <c r="AL45" i="24"/>
  <c r="AE38" i="24"/>
  <c r="AN38" i="24" s="1"/>
  <c r="AE42" i="23"/>
  <c r="AN42" i="23" s="1"/>
  <c r="AH32" i="23"/>
  <c r="AI32" i="23" s="1"/>
  <c r="AL32" i="23" s="1"/>
  <c r="AM30" i="23"/>
  <c r="AH39" i="23"/>
  <c r="AI39" i="23" s="1"/>
  <c r="AL39" i="23" s="1"/>
  <c r="AM37" i="23"/>
  <c r="AD32" i="23"/>
  <c r="AH42" i="23"/>
  <c r="AI42" i="23" s="1"/>
  <c r="AJ42" i="23" s="1"/>
  <c r="AH30" i="23"/>
  <c r="AI30" i="23" s="1"/>
  <c r="AL30" i="23" s="1"/>
  <c r="AH33" i="23"/>
  <c r="AI33" i="23" s="1"/>
  <c r="AJ33" i="23" s="1"/>
  <c r="AN36" i="23"/>
  <c r="AE30" i="23"/>
  <c r="AD38" i="23"/>
  <c r="AE33" i="23"/>
  <c r="AN33" i="23" s="1"/>
  <c r="AJ32" i="23"/>
  <c r="AD44" i="23"/>
  <c r="AN39" i="23"/>
  <c r="AM43" i="23"/>
  <c r="AE40" i="23"/>
  <c r="AH37" i="23"/>
  <c r="AI37" i="23" s="1"/>
  <c r="AJ37" i="23" s="1"/>
  <c r="AM31" i="23"/>
  <c r="AM44" i="23"/>
  <c r="AH43" i="23"/>
  <c r="AI43" i="23" s="1"/>
  <c r="AJ43" i="23" s="1"/>
  <c r="AE28" i="23"/>
  <c r="AM38" i="23"/>
  <c r="AM32" i="23"/>
  <c r="AH31" i="23"/>
  <c r="AI31" i="23" s="1"/>
  <c r="AJ31" i="23" s="1"/>
  <c r="AM41" i="23"/>
  <c r="AM35" i="23"/>
  <c r="AN34" i="23"/>
  <c r="AH44" i="23"/>
  <c r="AI44" i="23" s="1"/>
  <c r="AJ44" i="23" s="1"/>
  <c r="AM29" i="23"/>
  <c r="AL51" i="23"/>
  <c r="AJ29" i="23"/>
  <c r="AL29" i="23"/>
  <c r="AJ48" i="23"/>
  <c r="AJ54" i="23"/>
  <c r="AJ36" i="23"/>
  <c r="AJ52" i="23"/>
  <c r="AL52" i="23"/>
  <c r="AL46" i="23"/>
  <c r="AJ46" i="23"/>
  <c r="AJ40" i="23"/>
  <c r="AL40" i="23"/>
  <c r="AJ41" i="23"/>
  <c r="AL41" i="23"/>
  <c r="AN56" i="23"/>
  <c r="AJ49" i="23"/>
  <c r="AL49" i="23"/>
  <c r="AJ28" i="23"/>
  <c r="AL28" i="23"/>
  <c r="AJ55" i="23"/>
  <c r="AL55" i="23"/>
  <c r="AN50" i="23"/>
  <c r="AL45" i="23"/>
  <c r="AJ50" i="23"/>
  <c r="AJ53" i="23"/>
  <c r="AL53" i="23"/>
  <c r="AL47" i="23"/>
  <c r="AE53" i="23"/>
  <c r="AD52" i="23"/>
  <c r="AN52" i="23" s="1"/>
  <c r="AL48" i="23"/>
  <c r="AE41" i="23"/>
  <c r="AD40" i="23"/>
  <c r="AN40" i="23" s="1"/>
  <c r="AL36" i="23"/>
  <c r="AE29" i="23"/>
  <c r="AD28" i="23"/>
  <c r="AD53" i="23"/>
  <c r="AD41" i="23"/>
  <c r="AD29" i="23"/>
  <c r="AE55" i="23"/>
  <c r="AN55" i="23" s="1"/>
  <c r="AH46" i="23"/>
  <c r="AI46" i="23" s="1"/>
  <c r="AE43" i="23"/>
  <c r="AN43" i="23" s="1"/>
  <c r="AH34" i="23"/>
  <c r="AI34" i="23" s="1"/>
  <c r="AL34" i="23" s="1"/>
  <c r="AE31" i="23"/>
  <c r="AH47" i="23"/>
  <c r="AI47" i="23" s="1"/>
  <c r="AJ47" i="23" s="1"/>
  <c r="AH35" i="23"/>
  <c r="AI35" i="23" s="1"/>
  <c r="AL35" i="23" s="1"/>
  <c r="AL54" i="23"/>
  <c r="AH50" i="23"/>
  <c r="AI50" i="23" s="1"/>
  <c r="AL50" i="23" s="1"/>
  <c r="AE47" i="23"/>
  <c r="AN47" i="23" s="1"/>
  <c r="AH38" i="23"/>
  <c r="AI38" i="23" s="1"/>
  <c r="AL38" i="23" s="1"/>
  <c r="AE35" i="23"/>
  <c r="AE49" i="23"/>
  <c r="AN49" i="23" s="1"/>
  <c r="AE37" i="23"/>
  <c r="AM79" i="22"/>
  <c r="AN79" i="22" s="1"/>
  <c r="AM72" i="22"/>
  <c r="AH79" i="22"/>
  <c r="AI79" i="22" s="1"/>
  <c r="AL79" i="22" s="1"/>
  <c r="AN69" i="22"/>
  <c r="AH72" i="22"/>
  <c r="AI72" i="22" s="1"/>
  <c r="AJ72" i="22" s="1"/>
  <c r="AM73" i="22"/>
  <c r="AM70" i="22"/>
  <c r="AJ84" i="22"/>
  <c r="AL75" i="22"/>
  <c r="AJ70" i="22"/>
  <c r="AL70" i="22"/>
  <c r="AJ69" i="22"/>
  <c r="AL69" i="22"/>
  <c r="AJ81" i="22"/>
  <c r="AL81" i="22"/>
  <c r="AJ82" i="22"/>
  <c r="AL82" i="22"/>
  <c r="AL87" i="22"/>
  <c r="AJ87" i="22"/>
  <c r="AJ80" i="22"/>
  <c r="AL80" i="22"/>
  <c r="AE82" i="22"/>
  <c r="AE70" i="22"/>
  <c r="AE83" i="22"/>
  <c r="AD82" i="22"/>
  <c r="AE71" i="22"/>
  <c r="AD70" i="22"/>
  <c r="AE84" i="22"/>
  <c r="AN84" i="22" s="1"/>
  <c r="AD83" i="22"/>
  <c r="AE72" i="22"/>
  <c r="AD71" i="22"/>
  <c r="AH88" i="22"/>
  <c r="AI88" i="22" s="1"/>
  <c r="AL88" i="22" s="1"/>
  <c r="AE85" i="22"/>
  <c r="AN85" i="22" s="1"/>
  <c r="AH76" i="22"/>
  <c r="AI76" i="22" s="1"/>
  <c r="AL76" i="22" s="1"/>
  <c r="AE73" i="22"/>
  <c r="AH77" i="22"/>
  <c r="AI77" i="22" s="1"/>
  <c r="AL77" i="22" s="1"/>
  <c r="AL83" i="22"/>
  <c r="AE76" i="22"/>
  <c r="AL71" i="22"/>
  <c r="AL84" i="22"/>
  <c r="AE77" i="22"/>
  <c r="AN77" i="22" s="1"/>
  <c r="AL85" i="22"/>
  <c r="AE78" i="22"/>
  <c r="AN78" i="22" s="1"/>
  <c r="AL73" i="22"/>
  <c r="AJ86" i="20"/>
  <c r="AD112" i="20"/>
  <c r="AM119" i="20"/>
  <c r="AD115" i="20"/>
  <c r="AL109" i="20"/>
  <c r="AJ105" i="20"/>
  <c r="AE115" i="20"/>
  <c r="AD102" i="20"/>
  <c r="AN87" i="20"/>
  <c r="AL85" i="20"/>
  <c r="AN100" i="20"/>
  <c r="AH120" i="20"/>
  <c r="AI120" i="20" s="1"/>
  <c r="AL120" i="20" s="1"/>
  <c r="AM105" i="20"/>
  <c r="AD104" i="20"/>
  <c r="AN104" i="20" s="1"/>
  <c r="AH91" i="20"/>
  <c r="AI91" i="20" s="1"/>
  <c r="AJ91" i="20" s="1"/>
  <c r="AD90" i="20"/>
  <c r="AN90" i="20" s="1"/>
  <c r="AN85" i="20"/>
  <c r="AE117" i="20"/>
  <c r="AN117" i="20" s="1"/>
  <c r="AL100" i="20"/>
  <c r="AH97" i="20"/>
  <c r="AI97" i="20" s="1"/>
  <c r="AJ97" i="20" s="1"/>
  <c r="AJ93" i="20"/>
  <c r="AM115" i="20"/>
  <c r="AH98" i="20"/>
  <c r="AI98" i="20" s="1"/>
  <c r="AL98" i="20" s="1"/>
  <c r="AE88" i="20"/>
  <c r="AN88" i="20" s="1"/>
  <c r="AE120" i="20"/>
  <c r="AN120" i="20" s="1"/>
  <c r="AM118" i="20"/>
  <c r="AM108" i="20"/>
  <c r="AM102" i="20"/>
  <c r="AE91" i="20"/>
  <c r="AN91" i="20" s="1"/>
  <c r="AH84" i="20"/>
  <c r="AI84" i="20" s="1"/>
  <c r="AJ84" i="20" s="1"/>
  <c r="AD114" i="20"/>
  <c r="AN114" i="20" s="1"/>
  <c r="AE105" i="20"/>
  <c r="AD97" i="20"/>
  <c r="AN97" i="20" s="1"/>
  <c r="AM95" i="20"/>
  <c r="AM89" i="20"/>
  <c r="AM82" i="20"/>
  <c r="AL112" i="20"/>
  <c r="AJ117" i="20"/>
  <c r="AH108" i="20"/>
  <c r="AI108" i="20" s="1"/>
  <c r="AJ108" i="20" s="1"/>
  <c r="AD105" i="20"/>
  <c r="AD99" i="20"/>
  <c r="AN99" i="20" s="1"/>
  <c r="AE98" i="20"/>
  <c r="AN98" i="20" s="1"/>
  <c r="AD92" i="20"/>
  <c r="AN92" i="20" s="1"/>
  <c r="AN116" i="20"/>
  <c r="AE112" i="20"/>
  <c r="AM106" i="20"/>
  <c r="AL88" i="20"/>
  <c r="AJ132" i="20"/>
  <c r="AJ106" i="20"/>
  <c r="AL106" i="20"/>
  <c r="AJ103" i="20"/>
  <c r="AL122" i="20"/>
  <c r="AL110" i="20"/>
  <c r="AJ110" i="20"/>
  <c r="AJ126" i="20"/>
  <c r="AL117" i="20"/>
  <c r="AJ96" i="20"/>
  <c r="AJ83" i="20"/>
  <c r="AJ88" i="20"/>
  <c r="AJ81" i="20"/>
  <c r="AJ130" i="20"/>
  <c r="AL130" i="20"/>
  <c r="AL123" i="20"/>
  <c r="AJ123" i="20"/>
  <c r="AJ94" i="20"/>
  <c r="AL94" i="20"/>
  <c r="AJ133" i="20"/>
  <c r="AL133" i="20"/>
  <c r="AN128" i="20"/>
  <c r="AL105" i="20"/>
  <c r="AJ128" i="20"/>
  <c r="AJ112" i="20"/>
  <c r="AJ131" i="20"/>
  <c r="AJ118" i="20"/>
  <c r="AL118" i="20"/>
  <c r="AJ115" i="20"/>
  <c r="AJ125" i="20"/>
  <c r="AJ82" i="20"/>
  <c r="AL82" i="20"/>
  <c r="AE130" i="20"/>
  <c r="AH121" i="20"/>
  <c r="AI121" i="20" s="1"/>
  <c r="AJ121" i="20" s="1"/>
  <c r="AE118" i="20"/>
  <c r="AE106" i="20"/>
  <c r="AE94" i="20"/>
  <c r="AE82" i="20"/>
  <c r="AE131" i="20"/>
  <c r="AN131" i="20" s="1"/>
  <c r="AD130" i="20"/>
  <c r="AL126" i="20"/>
  <c r="AE119" i="20"/>
  <c r="AD118" i="20"/>
  <c r="AE107" i="20"/>
  <c r="AD106" i="20"/>
  <c r="AE95" i="20"/>
  <c r="AD94" i="20"/>
  <c r="AE83" i="20"/>
  <c r="AD82" i="20"/>
  <c r="AD119" i="20"/>
  <c r="AH111" i="20"/>
  <c r="AI111" i="20" s="1"/>
  <c r="AL111" i="20" s="1"/>
  <c r="AE108" i="20"/>
  <c r="AN108" i="20" s="1"/>
  <c r="AD107" i="20"/>
  <c r="AL103" i="20"/>
  <c r="AH99" i="20"/>
  <c r="AI99" i="20" s="1"/>
  <c r="AL99" i="20" s="1"/>
  <c r="AE96" i="20"/>
  <c r="AN96" i="20" s="1"/>
  <c r="AD95" i="20"/>
  <c r="AH87" i="20"/>
  <c r="AI87" i="20" s="1"/>
  <c r="AJ87" i="20" s="1"/>
  <c r="AE84" i="20"/>
  <c r="AN84" i="20" s="1"/>
  <c r="AD83" i="20"/>
  <c r="AE133" i="20"/>
  <c r="AN133" i="20" s="1"/>
  <c r="AE121" i="20"/>
  <c r="AN121" i="20" s="1"/>
  <c r="AH125" i="20"/>
  <c r="AI125" i="20" s="1"/>
  <c r="AL125" i="20" s="1"/>
  <c r="AH113" i="20"/>
  <c r="AI113" i="20" s="1"/>
  <c r="AJ113" i="20" s="1"/>
  <c r="AH101" i="20"/>
  <c r="AI101" i="20" s="1"/>
  <c r="AJ101" i="20" s="1"/>
  <c r="AH89" i="20"/>
  <c r="AI89" i="20" s="1"/>
  <c r="AJ89" i="20" s="1"/>
  <c r="AL81" i="20"/>
  <c r="AH126" i="20"/>
  <c r="AI126" i="20" s="1"/>
  <c r="AH114" i="20"/>
  <c r="AI114" i="20" s="1"/>
  <c r="AJ114" i="20" s="1"/>
  <c r="AH102" i="20"/>
  <c r="AI102" i="20" s="1"/>
  <c r="AL102" i="20" s="1"/>
  <c r="AH90" i="20"/>
  <c r="AI90" i="20" s="1"/>
  <c r="AL90" i="20" s="1"/>
  <c r="AL131" i="20"/>
  <c r="AL119" i="20"/>
  <c r="AL107" i="20"/>
  <c r="AL95" i="20"/>
  <c r="AL83" i="20"/>
  <c r="AL132" i="20"/>
  <c r="AH128" i="20"/>
  <c r="AI128" i="20" s="1"/>
  <c r="AL128" i="20" s="1"/>
  <c r="AE125" i="20"/>
  <c r="AN125" i="20" s="1"/>
  <c r="AH116" i="20"/>
  <c r="AI116" i="20" s="1"/>
  <c r="AL116" i="20" s="1"/>
  <c r="AE113" i="20"/>
  <c r="AN113" i="20" s="1"/>
  <c r="AL108" i="20"/>
  <c r="AH104" i="20"/>
  <c r="AI104" i="20" s="1"/>
  <c r="AJ104" i="20" s="1"/>
  <c r="AE101" i="20"/>
  <c r="AN101" i="20" s="1"/>
  <c r="AL96" i="20"/>
  <c r="AH92" i="20"/>
  <c r="AI92" i="20" s="1"/>
  <c r="AJ92" i="20" s="1"/>
  <c r="AE89" i="20"/>
  <c r="AJ29" i="14"/>
  <c r="AJ35" i="14"/>
  <c r="AD48" i="14"/>
  <c r="AN48" i="14" s="1"/>
  <c r="AM43" i="14"/>
  <c r="AN43" i="14" s="1"/>
  <c r="AD42" i="14"/>
  <c r="AN42" i="14" s="1"/>
  <c r="AE35" i="14"/>
  <c r="AN33" i="14"/>
  <c r="AE29" i="14"/>
  <c r="AL43" i="14"/>
  <c r="AM35" i="14"/>
  <c r="AM29" i="14"/>
  <c r="AH47" i="14"/>
  <c r="AI47" i="14" s="1"/>
  <c r="AH41" i="14"/>
  <c r="AI41" i="14" s="1"/>
  <c r="AJ41" i="14" s="1"/>
  <c r="AH34" i="14"/>
  <c r="AI34" i="14" s="1"/>
  <c r="AJ34" i="14" s="1"/>
  <c r="AH28" i="14"/>
  <c r="AI28" i="14" s="1"/>
  <c r="AJ28" i="14" s="1"/>
  <c r="AJ47" i="14"/>
  <c r="AM32" i="14"/>
  <c r="AH48" i="14"/>
  <c r="AI48" i="14" s="1"/>
  <c r="AJ48" i="14" s="1"/>
  <c r="AE47" i="14"/>
  <c r="AN47" i="14" s="1"/>
  <c r="AM45" i="14"/>
  <c r="AN45" i="14" s="1"/>
  <c r="AE41" i="14"/>
  <c r="AN41" i="14" s="1"/>
  <c r="AM36" i="14"/>
  <c r="AN36" i="14" s="1"/>
  <c r="AD28" i="14"/>
  <c r="AN28" i="14" s="1"/>
  <c r="AN49" i="14"/>
  <c r="AN40" i="14"/>
  <c r="AM30" i="14"/>
  <c r="AN30" i="14" s="1"/>
  <c r="AJ39" i="14"/>
  <c r="AJ58" i="14"/>
  <c r="AJ52" i="14"/>
  <c r="AL52" i="14"/>
  <c r="AJ37" i="14"/>
  <c r="AJ36" i="14"/>
  <c r="AL36" i="14"/>
  <c r="AJ40" i="14"/>
  <c r="AL40" i="14"/>
  <c r="AJ25" i="14"/>
  <c r="AN57" i="14"/>
  <c r="AJ50" i="14"/>
  <c r="AL50" i="14"/>
  <c r="AN56" i="14"/>
  <c r="AJ46" i="14"/>
  <c r="AL46" i="14"/>
  <c r="AL34" i="14"/>
  <c r="AJ38" i="14"/>
  <c r="AL38" i="14"/>
  <c r="AJ60" i="14"/>
  <c r="AL60" i="14"/>
  <c r="AN60" i="14"/>
  <c r="AJ26" i="14"/>
  <c r="AL26" i="14"/>
  <c r="AJ55" i="14"/>
  <c r="AE50" i="14"/>
  <c r="AJ43" i="14"/>
  <c r="AE38" i="14"/>
  <c r="AJ31" i="14"/>
  <c r="AE26" i="14"/>
  <c r="AH54" i="14"/>
  <c r="AI54" i="14" s="1"/>
  <c r="AJ54" i="14" s="1"/>
  <c r="AE51" i="14"/>
  <c r="AD50" i="14"/>
  <c r="AH42" i="14"/>
  <c r="AI42" i="14" s="1"/>
  <c r="AL42" i="14" s="1"/>
  <c r="AE39" i="14"/>
  <c r="AD38" i="14"/>
  <c r="AH30" i="14"/>
  <c r="AI30" i="14" s="1"/>
  <c r="AL30" i="14" s="1"/>
  <c r="AE27" i="14"/>
  <c r="AD26" i="14"/>
  <c r="AL59" i="14"/>
  <c r="AD51" i="14"/>
  <c r="AL47" i="14"/>
  <c r="AD39" i="14"/>
  <c r="AL35" i="14"/>
  <c r="AD27" i="14"/>
  <c r="AH56" i="14"/>
  <c r="AI56" i="14" s="1"/>
  <c r="AL56" i="14" s="1"/>
  <c r="AH44" i="14"/>
  <c r="AI44" i="14" s="1"/>
  <c r="AL44" i="14" s="1"/>
  <c r="AH32" i="14"/>
  <c r="AI32" i="14" s="1"/>
  <c r="AL32" i="14" s="1"/>
  <c r="AH57" i="14"/>
  <c r="AI57" i="14" s="1"/>
  <c r="AL57" i="14" s="1"/>
  <c r="AL49" i="14"/>
  <c r="AH45" i="14"/>
  <c r="AI45" i="14" s="1"/>
  <c r="AJ45" i="14" s="1"/>
  <c r="AL37" i="14"/>
  <c r="AH33" i="14"/>
  <c r="AI33" i="14" s="1"/>
  <c r="AJ33" i="14" s="1"/>
  <c r="AL25" i="14"/>
  <c r="AH58" i="14"/>
  <c r="AI58" i="14" s="1"/>
  <c r="AL58" i="14" s="1"/>
  <c r="AL51" i="14"/>
  <c r="AE44" i="14"/>
  <c r="AN44" i="14" s="1"/>
  <c r="AL39" i="14"/>
  <c r="AE32" i="14"/>
  <c r="AN32" i="14" s="1"/>
  <c r="AL27" i="14"/>
  <c r="AE58" i="14"/>
  <c r="AN58" i="14" s="1"/>
  <c r="AE46" i="14"/>
  <c r="AN46" i="14" s="1"/>
  <c r="AE34" i="14"/>
  <c r="AN34" i="14" s="1"/>
  <c r="AM26" i="13"/>
  <c r="AH26" i="13"/>
  <c r="AI26" i="13" s="1"/>
  <c r="AJ26" i="13" s="1"/>
  <c r="AN25" i="13"/>
  <c r="AE26" i="13"/>
  <c r="AJ27" i="13"/>
  <c r="AL27" i="13"/>
  <c r="AJ39" i="13"/>
  <c r="AL39" i="13"/>
  <c r="AJ25" i="13"/>
  <c r="AL31" i="13"/>
  <c r="AJ31" i="13"/>
  <c r="AJ28" i="13"/>
  <c r="AJ38" i="13"/>
  <c r="AL38" i="13"/>
  <c r="AJ35" i="13"/>
  <c r="AL35" i="13"/>
  <c r="AL33" i="13"/>
  <c r="AJ33" i="13"/>
  <c r="AJ29" i="13"/>
  <c r="AL29" i="13"/>
  <c r="AD36" i="13"/>
  <c r="AN36" i="13" s="1"/>
  <c r="AN34" i="13"/>
  <c r="AL32" i="13"/>
  <c r="AE39" i="13"/>
  <c r="AE27" i="13"/>
  <c r="AD39" i="13"/>
  <c r="AE29" i="13"/>
  <c r="AN29" i="13" s="1"/>
  <c r="AL37" i="13"/>
  <c r="AH33" i="13"/>
  <c r="AI33" i="13" s="1"/>
  <c r="AE30" i="13"/>
  <c r="AN30" i="13" s="1"/>
  <c r="AL25" i="13"/>
  <c r="AH36" i="13"/>
  <c r="AI36" i="13" s="1"/>
  <c r="AJ36" i="13" s="1"/>
  <c r="AE33" i="13"/>
  <c r="AN33" i="13" s="1"/>
  <c r="AL28" i="13"/>
  <c r="AD27" i="13"/>
  <c r="AM59" i="12"/>
  <c r="AM57" i="12"/>
  <c r="AN57" i="12" s="1"/>
  <c r="AE59" i="12"/>
  <c r="AJ60" i="12"/>
  <c r="AL60" i="12"/>
  <c r="AJ58" i="12"/>
  <c r="AL58" i="12"/>
  <c r="AJ61" i="12"/>
  <c r="AJ59" i="12"/>
  <c r="AL59" i="12"/>
  <c r="AE60" i="12"/>
  <c r="AD59" i="12"/>
  <c r="AE61" i="12"/>
  <c r="AN61" i="12" s="1"/>
  <c r="AD60" i="12"/>
  <c r="AL61" i="12"/>
  <c r="AL62" i="12"/>
  <c r="AJ57" i="12"/>
  <c r="AH56" i="12"/>
  <c r="AI56" i="12" s="1"/>
  <c r="AL56" i="12" s="1"/>
  <c r="AH54" i="12"/>
  <c r="AI54" i="12" s="1"/>
  <c r="AJ54" i="12" s="1"/>
  <c r="AL57" i="12"/>
  <c r="AD56" i="12"/>
  <c r="AN56" i="12" s="1"/>
  <c r="AM52" i="12"/>
  <c r="AN51" i="12"/>
  <c r="AH55" i="12"/>
  <c r="AI55" i="12" s="1"/>
  <c r="AJ55" i="12" s="1"/>
  <c r="AJ51" i="12"/>
  <c r="AL51" i="12"/>
  <c r="AJ52" i="12"/>
  <c r="AL52" i="12"/>
  <c r="AE52" i="12"/>
  <c r="AD52" i="12"/>
  <c r="AE54" i="12"/>
  <c r="AN54" i="12" s="1"/>
  <c r="AD53" i="12"/>
  <c r="AN53" i="12" s="1"/>
  <c r="AE55" i="12"/>
  <c r="AN55" i="12" s="1"/>
  <c r="AL53" i="12"/>
  <c r="AJ29" i="6"/>
  <c r="AL29" i="6"/>
  <c r="AJ25" i="6"/>
  <c r="AJ28" i="6"/>
  <c r="AL35" i="6"/>
  <c r="AJ35" i="6"/>
  <c r="AJ27" i="6"/>
  <c r="AL27" i="6"/>
  <c r="AL31" i="6"/>
  <c r="AJ31" i="6"/>
  <c r="AJ26" i="6"/>
  <c r="AL26" i="6"/>
  <c r="AJ33" i="6"/>
  <c r="AL33" i="6"/>
  <c r="AN34" i="6"/>
  <c r="AJ30" i="6"/>
  <c r="AE27" i="6"/>
  <c r="AD26" i="6"/>
  <c r="AN26" i="6" s="1"/>
  <c r="AD27" i="6"/>
  <c r="AH32" i="6"/>
  <c r="AI32" i="6" s="1"/>
  <c r="AE29" i="6"/>
  <c r="AN29" i="6" s="1"/>
  <c r="AL25" i="6"/>
  <c r="AE31" i="6"/>
  <c r="AN31" i="6" s="1"/>
  <c r="AH35" i="6"/>
  <c r="AI35" i="6" s="1"/>
  <c r="AE32" i="6"/>
  <c r="AN32" i="6" s="1"/>
  <c r="AL28" i="6"/>
  <c r="AE35" i="6"/>
  <c r="AN35" i="6" s="1"/>
  <c r="AL58" i="5"/>
  <c r="AN64" i="5"/>
  <c r="AL61" i="5"/>
  <c r="AN63" i="5"/>
  <c r="AM62" i="5"/>
  <c r="AH59" i="5"/>
  <c r="AI59" i="5" s="1"/>
  <c r="AL59" i="5" s="1"/>
  <c r="AD58" i="5"/>
  <c r="AN58" i="5" s="1"/>
  <c r="AH62" i="5"/>
  <c r="AI62" i="5" s="1"/>
  <c r="AJ62" i="5" s="1"/>
  <c r="AE59" i="5"/>
  <c r="AN59" i="5" s="1"/>
  <c r="AH56" i="5"/>
  <c r="AI56" i="5" s="1"/>
  <c r="AJ56" i="5" s="1"/>
  <c r="AJ63" i="5"/>
  <c r="AM57" i="5"/>
  <c r="AJ57" i="5"/>
  <c r="AJ64" i="5"/>
  <c r="AL64" i="5"/>
  <c r="AJ67" i="5"/>
  <c r="AL67" i="5"/>
  <c r="AJ65" i="5"/>
  <c r="AL65" i="5"/>
  <c r="AJ61" i="5"/>
  <c r="AJ55" i="5"/>
  <c r="AL55" i="5"/>
  <c r="AJ53" i="5"/>
  <c r="AL53" i="5"/>
  <c r="AJ79" i="5"/>
  <c r="AL79" i="5"/>
  <c r="AJ80" i="5"/>
  <c r="AJ77" i="5"/>
  <c r="AL77" i="5"/>
  <c r="AN69" i="5"/>
  <c r="AJ73" i="5"/>
  <c r="AJ66" i="5"/>
  <c r="AL66" i="5"/>
  <c r="AN81" i="5"/>
  <c r="AJ74" i="5"/>
  <c r="AL74" i="5"/>
  <c r="AJ78" i="5"/>
  <c r="AL78" i="5"/>
  <c r="AJ54" i="5"/>
  <c r="AL54" i="5"/>
  <c r="AE79" i="5"/>
  <c r="AD78" i="5"/>
  <c r="AN78" i="5" s="1"/>
  <c r="AE67" i="5"/>
  <c r="AD66" i="5"/>
  <c r="AN66" i="5" s="1"/>
  <c r="AE55" i="5"/>
  <c r="AD54" i="5"/>
  <c r="AN54" i="5" s="1"/>
  <c r="AH83" i="5"/>
  <c r="AI83" i="5" s="1"/>
  <c r="AL83" i="5" s="1"/>
  <c r="AE80" i="5"/>
  <c r="AN80" i="5" s="1"/>
  <c r="AD79" i="5"/>
  <c r="AN79" i="5" s="1"/>
  <c r="AH71" i="5"/>
  <c r="AI71" i="5" s="1"/>
  <c r="AL71" i="5" s="1"/>
  <c r="AE68" i="5"/>
  <c r="AN68" i="5" s="1"/>
  <c r="AD67" i="5"/>
  <c r="AN67" i="5" s="1"/>
  <c r="AL63" i="5"/>
  <c r="AE56" i="5"/>
  <c r="AN56" i="5" s="1"/>
  <c r="AD55" i="5"/>
  <c r="AH84" i="5"/>
  <c r="AI84" i="5" s="1"/>
  <c r="AJ84" i="5" s="1"/>
  <c r="AH72" i="5"/>
  <c r="AI72" i="5" s="1"/>
  <c r="AJ72" i="5" s="1"/>
  <c r="AH60" i="5"/>
  <c r="AI60" i="5" s="1"/>
  <c r="AL60" i="5" s="1"/>
  <c r="AE57" i="5"/>
  <c r="AN57" i="5" s="1"/>
  <c r="AE84" i="5"/>
  <c r="AN84" i="5" s="1"/>
  <c r="AH75" i="5"/>
  <c r="AI75" i="5" s="1"/>
  <c r="AE72" i="5"/>
  <c r="AN72" i="5" s="1"/>
  <c r="AE60" i="5"/>
  <c r="AN60" i="5" s="1"/>
  <c r="AL80" i="5"/>
  <c r="AL68" i="5"/>
  <c r="AE61" i="5"/>
  <c r="AN61" i="5" s="1"/>
  <c r="AL81" i="5"/>
  <c r="AE74" i="5"/>
  <c r="AN74" i="5" s="1"/>
  <c r="AL69" i="5"/>
  <c r="AE62" i="5"/>
  <c r="AL57" i="5"/>
  <c r="AE33" i="3"/>
  <c r="AM28" i="3"/>
  <c r="AN28" i="3" s="1"/>
  <c r="AM34" i="3"/>
  <c r="AD30" i="3"/>
  <c r="AH26" i="3"/>
  <c r="AI26" i="3" s="1"/>
  <c r="AJ26" i="3" s="1"/>
  <c r="AN24" i="3"/>
  <c r="AJ37" i="3"/>
  <c r="AL37" i="3"/>
  <c r="AJ35" i="3"/>
  <c r="AL35" i="3"/>
  <c r="AJ38" i="3"/>
  <c r="AL38" i="3"/>
  <c r="AJ36" i="3"/>
  <c r="AL36" i="3"/>
  <c r="AD37" i="3"/>
  <c r="AE36" i="3"/>
  <c r="AD36" i="3"/>
  <c r="AD38" i="3"/>
  <c r="AN38" i="3" s="1"/>
  <c r="AE37" i="3"/>
  <c r="AH34" i="3"/>
  <c r="AI34" i="3" s="1"/>
  <c r="AJ34" i="3" s="1"/>
  <c r="AD34" i="3"/>
  <c r="AE30" i="3"/>
  <c r="AH28" i="3"/>
  <c r="AI28" i="3" s="1"/>
  <c r="AJ28" i="3" s="1"/>
  <c r="AN33" i="3"/>
  <c r="AM32" i="3"/>
  <c r="AM29" i="3"/>
  <c r="AE27" i="3"/>
  <c r="AN27" i="3" s="1"/>
  <c r="AH32" i="3"/>
  <c r="AI32" i="3" s="1"/>
  <c r="AJ32" i="3" s="1"/>
  <c r="AM30" i="3"/>
  <c r="AH29" i="3"/>
  <c r="AI29" i="3" s="1"/>
  <c r="AL29" i="3" s="1"/>
  <c r="AD29" i="3"/>
  <c r="AH33" i="3"/>
  <c r="AI33" i="3" s="1"/>
  <c r="AL33" i="3" s="1"/>
  <c r="AJ27" i="3"/>
  <c r="AL27" i="3"/>
  <c r="AJ24" i="3"/>
  <c r="AL24" i="3"/>
  <c r="AJ25" i="3"/>
  <c r="AN26" i="3"/>
  <c r="AJ33" i="3"/>
  <c r="AJ30" i="3"/>
  <c r="AL30" i="3"/>
  <c r="AE25" i="3"/>
  <c r="AD25" i="3"/>
  <c r="AH31" i="3"/>
  <c r="AI31" i="3" s="1"/>
  <c r="AL31" i="3" s="1"/>
  <c r="AE28" i="3"/>
  <c r="AL25" i="3"/>
  <c r="AE31" i="3"/>
  <c r="AN31" i="3" s="1"/>
  <c r="AE32" i="3"/>
  <c r="AN76" i="22" l="1"/>
  <c r="AN86" i="22"/>
  <c r="AL78" i="22"/>
  <c r="AL74" i="22"/>
  <c r="AN74" i="22"/>
  <c r="AJ70" i="60"/>
  <c r="AN64" i="60"/>
  <c r="AN111" i="60"/>
  <c r="AL79" i="60"/>
  <c r="AJ69" i="60"/>
  <c r="AJ108" i="60"/>
  <c r="AN84" i="60"/>
  <c r="AL105" i="60"/>
  <c r="AL96" i="60"/>
  <c r="AL32" i="60"/>
  <c r="AJ45" i="59"/>
  <c r="AN45" i="59"/>
  <c r="AJ70" i="57"/>
  <c r="AL82" i="57"/>
  <c r="AJ79" i="57"/>
  <c r="AN74" i="57"/>
  <c r="AL42" i="55"/>
  <c r="AJ77" i="53"/>
  <c r="AJ63" i="53"/>
  <c r="AN63" i="53"/>
  <c r="AL29" i="51"/>
  <c r="AJ38" i="51"/>
  <c r="AN27" i="51"/>
  <c r="AN29" i="51"/>
  <c r="AJ50" i="51"/>
  <c r="AJ73" i="51"/>
  <c r="AN48" i="51"/>
  <c r="AN72" i="51"/>
  <c r="AN66" i="51"/>
  <c r="AL94" i="46"/>
  <c r="AL88" i="46"/>
  <c r="AL123" i="46"/>
  <c r="AL193" i="46"/>
  <c r="AL154" i="46"/>
  <c r="AN158" i="46"/>
  <c r="AL174" i="46"/>
  <c r="AN88" i="46"/>
  <c r="AN118" i="46"/>
  <c r="AJ40" i="45"/>
  <c r="AN33" i="45"/>
  <c r="AJ42" i="45"/>
  <c r="AL44" i="43"/>
  <c r="AL190" i="32"/>
  <c r="AL196" i="32"/>
  <c r="AN184" i="32"/>
  <c r="AN180" i="32"/>
  <c r="AN190" i="32"/>
  <c r="AL184" i="32"/>
  <c r="AL188" i="32"/>
  <c r="O16" i="68"/>
  <c r="N16" i="68"/>
  <c r="AN86" i="29"/>
  <c r="AL93" i="29"/>
  <c r="AN32" i="24"/>
  <c r="AJ39" i="24"/>
  <c r="AJ48" i="24"/>
  <c r="AN37" i="23"/>
  <c r="AN30" i="23"/>
  <c r="AN80" i="22"/>
  <c r="AN81" i="22"/>
  <c r="AL72" i="22"/>
  <c r="AJ79" i="22"/>
  <c r="AJ86" i="22"/>
  <c r="AJ76" i="22"/>
  <c r="AL84" i="20"/>
  <c r="AN82" i="20"/>
  <c r="AL91" i="20"/>
  <c r="AN102" i="20"/>
  <c r="AL121" i="20"/>
  <c r="AL87" i="20"/>
  <c r="AL45" i="14"/>
  <c r="AN39" i="14"/>
  <c r="AL28" i="14"/>
  <c r="AL41" i="14"/>
  <c r="AN35" i="14"/>
  <c r="AL26" i="13"/>
  <c r="AJ56" i="12"/>
  <c r="AL40" i="78"/>
  <c r="AJ9" i="78"/>
  <c r="AA65" i="78"/>
  <c r="AC65" i="78" s="1"/>
  <c r="AP65" i="78" s="1"/>
  <c r="AP11" i="78"/>
  <c r="AN16" i="78"/>
  <c r="Z22" i="78"/>
  <c r="AB22" i="78" s="1"/>
  <c r="AO22" i="78" s="1"/>
  <c r="AA22" i="78"/>
  <c r="AC22" i="78" s="1"/>
  <c r="AP22" i="78" s="1"/>
  <c r="AJ22" i="78"/>
  <c r="AN8" i="78"/>
  <c r="AP8" i="78" s="1"/>
  <c r="AN26" i="78"/>
  <c r="AN35" i="78"/>
  <c r="S16" i="68"/>
  <c r="AL59" i="78"/>
  <c r="AN12" i="78"/>
  <c r="K16" i="68"/>
  <c r="AL19" i="78"/>
  <c r="AL39" i="78"/>
  <c r="AL60" i="78"/>
  <c r="AA53" i="78"/>
  <c r="AC53" i="78" s="1"/>
  <c r="AP53" i="78" s="1"/>
  <c r="AL41" i="78"/>
  <c r="AL28" i="3"/>
  <c r="AL32" i="3"/>
  <c r="AN34" i="3"/>
  <c r="AN51" i="14"/>
  <c r="AN82" i="22"/>
  <c r="AN53" i="23"/>
  <c r="AN14" i="78"/>
  <c r="AN43" i="78"/>
  <c r="AN26" i="43"/>
  <c r="AN39" i="43"/>
  <c r="AN47" i="59"/>
  <c r="AN124" i="60"/>
  <c r="AN10" i="78"/>
  <c r="AP10" i="78" s="1"/>
  <c r="AN42" i="78"/>
  <c r="AN50" i="57"/>
  <c r="AN63" i="59"/>
  <c r="AN127" i="60"/>
  <c r="AN49" i="60"/>
  <c r="AN40" i="24"/>
  <c r="AN13" i="78"/>
  <c r="AN26" i="45"/>
  <c r="AN163" i="46"/>
  <c r="AN39" i="51"/>
  <c r="AN194" i="46"/>
  <c r="AN117" i="46"/>
  <c r="AN50" i="59"/>
  <c r="AN186" i="46"/>
  <c r="AN59" i="51"/>
  <c r="AN74" i="51"/>
  <c r="AN70" i="51"/>
  <c r="AN79" i="60"/>
  <c r="AN112" i="20"/>
  <c r="AN35" i="23"/>
  <c r="AN37" i="24"/>
  <c r="AN27" i="40"/>
  <c r="AN27" i="43"/>
  <c r="AN27" i="44"/>
  <c r="AN206" i="46"/>
  <c r="AN115" i="60"/>
  <c r="AN83" i="22"/>
  <c r="AN27" i="45"/>
  <c r="AN198" i="46"/>
  <c r="AN26" i="54"/>
  <c r="AN57" i="57"/>
  <c r="AN27" i="59"/>
  <c r="AN103" i="60"/>
  <c r="AN74" i="60"/>
  <c r="AN73" i="60"/>
  <c r="AN26" i="40"/>
  <c r="AN87" i="57"/>
  <c r="AJ27" i="60"/>
  <c r="AJ89" i="60"/>
  <c r="AJ100" i="60"/>
  <c r="AL86" i="60"/>
  <c r="AL104" i="60"/>
  <c r="AL31" i="60"/>
  <c r="AL80" i="60"/>
  <c r="AL35" i="60"/>
  <c r="AL83" i="60"/>
  <c r="AL77" i="60"/>
  <c r="AN77" i="60"/>
  <c r="AN108" i="60"/>
  <c r="AJ120" i="60"/>
  <c r="AL107" i="60"/>
  <c r="AN112" i="60"/>
  <c r="AN36" i="60"/>
  <c r="AL55" i="60"/>
  <c r="AJ87" i="60"/>
  <c r="AJ63" i="60"/>
  <c r="AL93" i="60"/>
  <c r="AJ98" i="60"/>
  <c r="AL98" i="60"/>
  <c r="AJ46" i="60"/>
  <c r="AL62" i="60"/>
  <c r="AL76" i="60"/>
  <c r="AL92" i="60"/>
  <c r="AJ111" i="60"/>
  <c r="AL111" i="60"/>
  <c r="AL99" i="60"/>
  <c r="AL33" i="60"/>
  <c r="AN51" i="60"/>
  <c r="AL84" i="60"/>
  <c r="AN63" i="60"/>
  <c r="AJ126" i="60"/>
  <c r="AJ58" i="60"/>
  <c r="AJ124" i="60"/>
  <c r="AL124" i="60"/>
  <c r="AL51" i="60"/>
  <c r="AN39" i="60"/>
  <c r="AL39" i="60"/>
  <c r="AL82" i="60"/>
  <c r="AN93" i="60"/>
  <c r="AL81" i="60"/>
  <c r="AL112" i="60"/>
  <c r="AL88" i="60"/>
  <c r="AJ123" i="60"/>
  <c r="AJ57" i="60"/>
  <c r="AJ45" i="60"/>
  <c r="AN81" i="60"/>
  <c r="AL52" i="59"/>
  <c r="AN51" i="59"/>
  <c r="AN46" i="59"/>
  <c r="AJ57" i="59"/>
  <c r="AL56" i="59"/>
  <c r="AJ32" i="59"/>
  <c r="AJ35" i="59"/>
  <c r="AJ31" i="59"/>
  <c r="AN38" i="59"/>
  <c r="AN39" i="59"/>
  <c r="AJ33" i="59"/>
  <c r="AJ69" i="59"/>
  <c r="AL68" i="59"/>
  <c r="AL44" i="59"/>
  <c r="AL50" i="57"/>
  <c r="AL60" i="57"/>
  <c r="AN66" i="57"/>
  <c r="AN63" i="57"/>
  <c r="AL81" i="57"/>
  <c r="AJ58" i="57"/>
  <c r="AL76" i="57"/>
  <c r="AL57" i="57"/>
  <c r="AN75" i="57"/>
  <c r="AL80" i="57"/>
  <c r="AJ69" i="57"/>
  <c r="AL64" i="57"/>
  <c r="AJ93" i="57"/>
  <c r="AL94" i="57"/>
  <c r="AL41" i="55"/>
  <c r="AL35" i="55"/>
  <c r="AL29" i="55"/>
  <c r="AL34" i="55"/>
  <c r="AN26" i="55"/>
  <c r="AJ30" i="55"/>
  <c r="AN38" i="55"/>
  <c r="AN50" i="55"/>
  <c r="AN27" i="54"/>
  <c r="AN39" i="54"/>
  <c r="AL79" i="53"/>
  <c r="AL72" i="53"/>
  <c r="AL76" i="53"/>
  <c r="AN57" i="53"/>
  <c r="AJ61" i="53"/>
  <c r="AL60" i="53"/>
  <c r="AL84" i="53"/>
  <c r="AN69" i="53"/>
  <c r="AJ78" i="53"/>
  <c r="AJ66" i="53"/>
  <c r="AJ87" i="53"/>
  <c r="AJ75" i="53"/>
  <c r="AL85" i="53"/>
  <c r="AN93" i="53"/>
  <c r="AL89" i="53"/>
  <c r="AN42" i="51"/>
  <c r="AJ43" i="51"/>
  <c r="AN56" i="51"/>
  <c r="AN57" i="51"/>
  <c r="AL65" i="51"/>
  <c r="AL61" i="51"/>
  <c r="AL77" i="51"/>
  <c r="AJ77" i="51"/>
  <c r="AN50" i="51"/>
  <c r="AL57" i="51"/>
  <c r="AN71" i="51"/>
  <c r="AJ55" i="51"/>
  <c r="AN78" i="51"/>
  <c r="AN68" i="51"/>
  <c r="AN51" i="51"/>
  <c r="AJ56" i="51"/>
  <c r="AL87" i="51"/>
  <c r="AJ44" i="51"/>
  <c r="AL85" i="51"/>
  <c r="AL68" i="51"/>
  <c r="AL47" i="51"/>
  <c r="AL67" i="51"/>
  <c r="AL35" i="51"/>
  <c r="AJ31" i="51"/>
  <c r="AJ88" i="51"/>
  <c r="AJ79" i="51"/>
  <c r="AL79" i="51"/>
  <c r="AN91" i="51"/>
  <c r="AL62" i="51"/>
  <c r="AL75" i="51"/>
  <c r="AJ32" i="51"/>
  <c r="AJ197" i="46"/>
  <c r="AN89" i="46"/>
  <c r="AN153" i="46"/>
  <c r="AN85" i="46"/>
  <c r="AL122" i="46"/>
  <c r="AN197" i="46"/>
  <c r="AN92" i="46"/>
  <c r="AL117" i="46"/>
  <c r="AJ173" i="46"/>
  <c r="AL177" i="46"/>
  <c r="AN187" i="46"/>
  <c r="AN135" i="46"/>
  <c r="AJ136" i="46"/>
  <c r="AL189" i="46"/>
  <c r="AL145" i="46"/>
  <c r="AN145" i="46"/>
  <c r="AN84" i="46"/>
  <c r="AJ146" i="46"/>
  <c r="AN95" i="46"/>
  <c r="AN107" i="46"/>
  <c r="AN96" i="46"/>
  <c r="AN174" i="46"/>
  <c r="AN134" i="46"/>
  <c r="AN164" i="46"/>
  <c r="AJ130" i="46"/>
  <c r="AJ164" i="46"/>
  <c r="AN147" i="46"/>
  <c r="AJ137" i="46"/>
  <c r="AN137" i="46"/>
  <c r="AJ183" i="46"/>
  <c r="AJ202" i="46"/>
  <c r="AJ121" i="46"/>
  <c r="AJ200" i="46"/>
  <c r="AL86" i="46"/>
  <c r="AN159" i="46"/>
  <c r="AL132" i="46"/>
  <c r="AL99" i="46"/>
  <c r="AL93" i="46"/>
  <c r="AJ184" i="46"/>
  <c r="AL153" i="46"/>
  <c r="AJ128" i="46"/>
  <c r="AL85" i="46"/>
  <c r="AL180" i="46"/>
  <c r="AN109" i="46"/>
  <c r="AN140" i="46"/>
  <c r="AJ179" i="46"/>
  <c r="AJ155" i="46"/>
  <c r="AN179" i="46"/>
  <c r="AN204" i="46"/>
  <c r="AN121" i="46"/>
  <c r="AN97" i="46"/>
  <c r="AJ115" i="46"/>
  <c r="AN171" i="46"/>
  <c r="AJ158" i="46"/>
  <c r="AN195" i="46"/>
  <c r="AN173" i="46"/>
  <c r="AN170" i="46"/>
  <c r="AL144" i="46"/>
  <c r="AL170" i="46"/>
  <c r="AJ188" i="46"/>
  <c r="AL106" i="46"/>
  <c r="AL101" i="46"/>
  <c r="AL104" i="46"/>
  <c r="AN128" i="46"/>
  <c r="AN167" i="46"/>
  <c r="AJ178" i="46"/>
  <c r="AL178" i="46"/>
  <c r="AJ175" i="46"/>
  <c r="AL116" i="46"/>
  <c r="AL151" i="46"/>
  <c r="AJ129" i="46"/>
  <c r="AN207" i="46"/>
  <c r="AL92" i="46"/>
  <c r="AL89" i="46"/>
  <c r="AJ114" i="46"/>
  <c r="AL143" i="46"/>
  <c r="AL133" i="46"/>
  <c r="AJ152" i="46"/>
  <c r="AJ176" i="46"/>
  <c r="AL176" i="46"/>
  <c r="AL125" i="46"/>
  <c r="AL159" i="46"/>
  <c r="AL134" i="46"/>
  <c r="AL171" i="46"/>
  <c r="AL97" i="46"/>
  <c r="AL105" i="46"/>
  <c r="AL163" i="46"/>
  <c r="AL191" i="46"/>
  <c r="AL203" i="46"/>
  <c r="AL113" i="46"/>
  <c r="AJ126" i="46"/>
  <c r="AL109" i="46"/>
  <c r="AL167" i="46"/>
  <c r="AJ141" i="46"/>
  <c r="AL147" i="46"/>
  <c r="AJ90" i="46"/>
  <c r="AJ102" i="46"/>
  <c r="AL120" i="46"/>
  <c r="AJ199" i="46"/>
  <c r="AL138" i="46"/>
  <c r="AL46" i="45"/>
  <c r="AL36" i="45"/>
  <c r="AL26" i="45"/>
  <c r="AJ28" i="45"/>
  <c r="AN45" i="45"/>
  <c r="AJ52" i="45"/>
  <c r="AJ45" i="45"/>
  <c r="AL34" i="45"/>
  <c r="AJ33" i="45"/>
  <c r="AL35" i="44"/>
  <c r="AJ31" i="44"/>
  <c r="AL36" i="43"/>
  <c r="AL29" i="43"/>
  <c r="AL35" i="43"/>
  <c r="AJ42" i="43"/>
  <c r="AJ45" i="43"/>
  <c r="AJ33" i="43"/>
  <c r="AN83" i="20"/>
  <c r="AN26" i="30"/>
  <c r="AN30" i="24"/>
  <c r="AN187" i="32"/>
  <c r="AN62" i="78"/>
  <c r="AN55" i="5"/>
  <c r="AN27" i="14"/>
  <c r="AN74" i="31"/>
  <c r="T16" i="68"/>
  <c r="AN38" i="14"/>
  <c r="AN52" i="28"/>
  <c r="AN36" i="3"/>
  <c r="AN72" i="22"/>
  <c r="AN5" i="78"/>
  <c r="AP5" i="78" s="1"/>
  <c r="AN20" i="78"/>
  <c r="AJ57" i="78"/>
  <c r="AN21" i="78"/>
  <c r="AP21" i="78" s="1"/>
  <c r="AN61" i="78"/>
  <c r="AN9" i="78"/>
  <c r="AL33" i="78"/>
  <c r="AN37" i="78"/>
  <c r="AL46" i="78"/>
  <c r="AN36" i="78"/>
  <c r="AN45" i="78"/>
  <c r="AN41" i="78"/>
  <c r="AP41" i="78" s="1"/>
  <c r="AL51" i="78"/>
  <c r="AL53" i="78"/>
  <c r="AL47" i="78"/>
  <c r="A16" i="78"/>
  <c r="AL45" i="78"/>
  <c r="AJ58" i="78"/>
  <c r="Z10" i="78"/>
  <c r="AB10" i="78" s="1"/>
  <c r="AO10" i="78" s="1"/>
  <c r="AN38" i="78"/>
  <c r="AL18" i="78"/>
  <c r="AJ28" i="78"/>
  <c r="AA29" i="78"/>
  <c r="AC29" i="78" s="1"/>
  <c r="AP29" i="78" s="1"/>
  <c r="AL5" i="78"/>
  <c r="Z8" i="78"/>
  <c r="AB8" i="78" s="1"/>
  <c r="AO8" i="78" s="1"/>
  <c r="AN50" i="78"/>
  <c r="AL6" i="78"/>
  <c r="AJ44" i="78"/>
  <c r="AJ31" i="78"/>
  <c r="Z41" i="78"/>
  <c r="AB41" i="78" s="1"/>
  <c r="AO41" i="78" s="1"/>
  <c r="AN58" i="78"/>
  <c r="AL29" i="78"/>
  <c r="AN15" i="78"/>
  <c r="AL17" i="78"/>
  <c r="AA12" i="78"/>
  <c r="AC12" i="78" s="1"/>
  <c r="AP12" i="78" s="1"/>
  <c r="Z12" i="78"/>
  <c r="AB12" i="78" s="1"/>
  <c r="AO12" i="78" s="1"/>
  <c r="Z7" i="78"/>
  <c r="AB7" i="78" s="1"/>
  <c r="AO7" i="78" s="1"/>
  <c r="AA7" i="78"/>
  <c r="AC7" i="78" s="1"/>
  <c r="AP7" i="78" s="1"/>
  <c r="Z5" i="78"/>
  <c r="AB5" i="78" s="1"/>
  <c r="AO5" i="78" s="1"/>
  <c r="Z67" i="78"/>
  <c r="AB67" i="78" s="1"/>
  <c r="AO67" i="78" s="1"/>
  <c r="AA67" i="78"/>
  <c r="AC67" i="78" s="1"/>
  <c r="AP67" i="78" s="1"/>
  <c r="Z39" i="78"/>
  <c r="AB39" i="78" s="1"/>
  <c r="AO39" i="78" s="1"/>
  <c r="AA39" i="78"/>
  <c r="AC39" i="78" s="1"/>
  <c r="AP39" i="78" s="1"/>
  <c r="Z72" i="78"/>
  <c r="AB72" i="78" s="1"/>
  <c r="AO72" i="78" s="1"/>
  <c r="AA72" i="78"/>
  <c r="AC72" i="78" s="1"/>
  <c r="AP72" i="78" s="1"/>
  <c r="AA57" i="78"/>
  <c r="AC57" i="78" s="1"/>
  <c r="AP57" i="78" s="1"/>
  <c r="Z57" i="78"/>
  <c r="AB57" i="78" s="1"/>
  <c r="AO57" i="78" s="1"/>
  <c r="AA68" i="78"/>
  <c r="AC68" i="78" s="1"/>
  <c r="AP68" i="78" s="1"/>
  <c r="Z68" i="78"/>
  <c r="AB68" i="78" s="1"/>
  <c r="AO68" i="78" s="1"/>
  <c r="Z28" i="78"/>
  <c r="AB28" i="78" s="1"/>
  <c r="AO28" i="78" s="1"/>
  <c r="AA28" i="78"/>
  <c r="AC28" i="78" s="1"/>
  <c r="AP28" i="78" s="1"/>
  <c r="Z43" i="78"/>
  <c r="AB43" i="78" s="1"/>
  <c r="AO43" i="78" s="1"/>
  <c r="AA43" i="78"/>
  <c r="AC43" i="78" s="1"/>
  <c r="AJ32" i="78"/>
  <c r="AJ67" i="78"/>
  <c r="Z36" i="78"/>
  <c r="AB36" i="78" s="1"/>
  <c r="AO36" i="78" s="1"/>
  <c r="AA36" i="78"/>
  <c r="AC36" i="78" s="1"/>
  <c r="Z23" i="78"/>
  <c r="AB23" i="78" s="1"/>
  <c r="AO23" i="78" s="1"/>
  <c r="Z37" i="78"/>
  <c r="AB37" i="78" s="1"/>
  <c r="AO37" i="78" s="1"/>
  <c r="AA37" i="78"/>
  <c r="AC37" i="78" s="1"/>
  <c r="AA44" i="78"/>
  <c r="AC44" i="78" s="1"/>
  <c r="AP44" i="78" s="1"/>
  <c r="Z44" i="78"/>
  <c r="AB44" i="78" s="1"/>
  <c r="AO44" i="78" s="1"/>
  <c r="Z54" i="78"/>
  <c r="AB54" i="78" s="1"/>
  <c r="AO54" i="78" s="1"/>
  <c r="AA54" i="78"/>
  <c r="AC54" i="78" s="1"/>
  <c r="AP54" i="78" s="1"/>
  <c r="Z71" i="78"/>
  <c r="AB71" i="78" s="1"/>
  <c r="AO71" i="78" s="1"/>
  <c r="AA71" i="78"/>
  <c r="AC71" i="78" s="1"/>
  <c r="AP71" i="78" s="1"/>
  <c r="Z40" i="78"/>
  <c r="AB40" i="78" s="1"/>
  <c r="AO40" i="78" s="1"/>
  <c r="AA40" i="78"/>
  <c r="AC40" i="78" s="1"/>
  <c r="AP40" i="78" s="1"/>
  <c r="Z51" i="78"/>
  <c r="AB51" i="78" s="1"/>
  <c r="AO51" i="78" s="1"/>
  <c r="AA51" i="78"/>
  <c r="AC51" i="78" s="1"/>
  <c r="AP51" i="78" s="1"/>
  <c r="AJ56" i="78"/>
  <c r="Z50" i="78"/>
  <c r="AB50" i="78" s="1"/>
  <c r="AO50" i="78" s="1"/>
  <c r="AA50" i="78"/>
  <c r="AC50" i="78" s="1"/>
  <c r="Z49" i="78"/>
  <c r="AB49" i="78" s="1"/>
  <c r="AO49" i="78" s="1"/>
  <c r="AA49" i="78"/>
  <c r="AC49" i="78" s="1"/>
  <c r="AP49" i="78" s="1"/>
  <c r="Z48" i="78"/>
  <c r="AB48" i="78" s="1"/>
  <c r="AO48" i="78" s="1"/>
  <c r="AA48" i="78"/>
  <c r="AC48" i="78" s="1"/>
  <c r="AP48" i="78" s="1"/>
  <c r="AA33" i="78"/>
  <c r="AC33" i="78" s="1"/>
  <c r="AP33" i="78" s="1"/>
  <c r="Z33" i="78"/>
  <c r="AB33" i="78" s="1"/>
  <c r="AO33" i="78" s="1"/>
  <c r="AA69" i="78"/>
  <c r="AC69" i="78" s="1"/>
  <c r="AP69" i="78" s="1"/>
  <c r="Z69" i="78"/>
  <c r="AB69" i="78" s="1"/>
  <c r="AO69" i="78" s="1"/>
  <c r="Z30" i="78"/>
  <c r="AB30" i="78" s="1"/>
  <c r="AO30" i="78" s="1"/>
  <c r="AA30" i="78"/>
  <c r="AC30" i="78" s="1"/>
  <c r="AP30" i="78" s="1"/>
  <c r="Z70" i="78"/>
  <c r="AB70" i="78" s="1"/>
  <c r="AO70" i="78" s="1"/>
  <c r="AA70" i="78"/>
  <c r="AC70" i="78" s="1"/>
  <c r="AP70" i="78" s="1"/>
  <c r="Z25" i="78"/>
  <c r="AB25" i="78" s="1"/>
  <c r="AO25" i="78" s="1"/>
  <c r="AA25" i="78"/>
  <c r="AC25" i="78" s="1"/>
  <c r="AP25" i="78" s="1"/>
  <c r="Z52" i="78"/>
  <c r="AB52" i="78" s="1"/>
  <c r="AO52" i="78" s="1"/>
  <c r="AA52" i="78"/>
  <c r="AC52" i="78" s="1"/>
  <c r="AP52" i="78" s="1"/>
  <c r="Z35" i="78"/>
  <c r="AB35" i="78" s="1"/>
  <c r="AO35" i="78" s="1"/>
  <c r="AA35" i="78"/>
  <c r="AC35" i="78" s="1"/>
  <c r="AP35" i="78" s="1"/>
  <c r="Z34" i="78"/>
  <c r="AB34" i="78" s="1"/>
  <c r="AO34" i="78" s="1"/>
  <c r="AA34" i="78"/>
  <c r="AC34" i="78" s="1"/>
  <c r="AP34" i="78" s="1"/>
  <c r="AJ55" i="78"/>
  <c r="Z63" i="78"/>
  <c r="AB63" i="78" s="1"/>
  <c r="AO63" i="78" s="1"/>
  <c r="AA63" i="78"/>
  <c r="AC63" i="78" s="1"/>
  <c r="AP63" i="78" s="1"/>
  <c r="Z61" i="78"/>
  <c r="AB61" i="78" s="1"/>
  <c r="AO61" i="78" s="1"/>
  <c r="AA61" i="78"/>
  <c r="AC61" i="78" s="1"/>
  <c r="Z55" i="78"/>
  <c r="AB55" i="78" s="1"/>
  <c r="AO55" i="78" s="1"/>
  <c r="AA55" i="78"/>
  <c r="AC55" i="78" s="1"/>
  <c r="AP55" i="78" s="1"/>
  <c r="AJ43" i="78"/>
  <c r="Z21" i="78"/>
  <c r="AB21" i="78" s="1"/>
  <c r="AO21" i="78" s="1"/>
  <c r="Z64" i="78"/>
  <c r="AB64" i="78" s="1"/>
  <c r="AO64" i="78" s="1"/>
  <c r="AA64" i="78"/>
  <c r="AC64" i="78" s="1"/>
  <c r="AP64" i="78" s="1"/>
  <c r="Z47" i="78"/>
  <c r="AB47" i="78" s="1"/>
  <c r="AO47" i="78" s="1"/>
  <c r="AA47" i="78"/>
  <c r="AC47" i="78" s="1"/>
  <c r="AP47" i="78" s="1"/>
  <c r="Z46" i="78"/>
  <c r="AB46" i="78" s="1"/>
  <c r="AO46" i="78" s="1"/>
  <c r="AA46" i="78"/>
  <c r="AC46" i="78" s="1"/>
  <c r="AP46" i="78" s="1"/>
  <c r="AA56" i="78"/>
  <c r="AC56" i="78" s="1"/>
  <c r="AP56" i="78" s="1"/>
  <c r="Z56" i="78"/>
  <c r="AB56" i="78" s="1"/>
  <c r="AO56" i="78" s="1"/>
  <c r="Z66" i="78"/>
  <c r="AB66" i="78" s="1"/>
  <c r="AO66" i="78" s="1"/>
  <c r="AA66" i="78"/>
  <c r="AC66" i="78" s="1"/>
  <c r="AP66" i="78" s="1"/>
  <c r="Z38" i="78"/>
  <c r="AB38" i="78" s="1"/>
  <c r="AO38" i="78" s="1"/>
  <c r="AA38" i="78"/>
  <c r="AC38" i="78" s="1"/>
  <c r="Z26" i="78"/>
  <c r="AB26" i="78" s="1"/>
  <c r="AO26" i="78" s="1"/>
  <c r="AA26" i="78"/>
  <c r="AC26" i="78" s="1"/>
  <c r="AP26" i="78" s="1"/>
  <c r="Z62" i="78"/>
  <c r="AB62" i="78" s="1"/>
  <c r="AO62" i="78" s="1"/>
  <c r="AA62" i="78"/>
  <c r="AC62" i="78" s="1"/>
  <c r="AP62" i="78" s="1"/>
  <c r="Z60" i="78"/>
  <c r="AB60" i="78" s="1"/>
  <c r="AO60" i="78" s="1"/>
  <c r="AA60" i="78"/>
  <c r="AC60" i="78" s="1"/>
  <c r="AP60" i="78" s="1"/>
  <c r="AA45" i="78"/>
  <c r="AC45" i="78" s="1"/>
  <c r="Z45" i="78"/>
  <c r="AB45" i="78" s="1"/>
  <c r="AO45" i="78" s="1"/>
  <c r="Z31" i="78"/>
  <c r="AB31" i="78" s="1"/>
  <c r="AO31" i="78" s="1"/>
  <c r="AA31" i="78"/>
  <c r="AC31" i="78" s="1"/>
  <c r="AP31" i="78" s="1"/>
  <c r="Z27" i="78"/>
  <c r="AB27" i="78" s="1"/>
  <c r="AO27" i="78" s="1"/>
  <c r="AA27" i="78"/>
  <c r="AC27" i="78" s="1"/>
  <c r="AP27" i="78" s="1"/>
  <c r="Z58" i="78"/>
  <c r="AB58" i="78" s="1"/>
  <c r="AO58" i="78" s="1"/>
  <c r="AA58" i="78"/>
  <c r="AC58" i="78" s="1"/>
  <c r="AA32" i="78"/>
  <c r="AC32" i="78" s="1"/>
  <c r="AP32" i="78" s="1"/>
  <c r="Z32" i="78"/>
  <c r="AB32" i="78" s="1"/>
  <c r="AO32" i="78" s="1"/>
  <c r="Z42" i="78"/>
  <c r="AB42" i="78" s="1"/>
  <c r="AO42" i="78" s="1"/>
  <c r="AA42" i="78"/>
  <c r="AC42" i="78" s="1"/>
  <c r="AP42" i="78" s="1"/>
  <c r="Z59" i="78"/>
  <c r="AB59" i="78" s="1"/>
  <c r="AO59" i="78" s="1"/>
  <c r="AA59" i="78"/>
  <c r="AC59" i="78" s="1"/>
  <c r="AP59" i="78" s="1"/>
  <c r="Z11" i="78"/>
  <c r="AB11" i="78" s="1"/>
  <c r="AO11" i="78" s="1"/>
  <c r="AP24" i="78"/>
  <c r="Z6" i="78"/>
  <c r="AB6" i="78" s="1"/>
  <c r="AO6" i="78" s="1"/>
  <c r="AP23" i="78"/>
  <c r="Z24" i="78"/>
  <c r="AB24" i="78" s="1"/>
  <c r="AO24" i="78" s="1"/>
  <c r="AN27" i="6"/>
  <c r="AN34" i="24"/>
  <c r="AA13" i="78"/>
  <c r="AC13" i="78" s="1"/>
  <c r="Z13" i="78"/>
  <c r="AB13" i="78" s="1"/>
  <c r="AO13" i="78" s="1"/>
  <c r="AN52" i="12"/>
  <c r="AN210" i="32"/>
  <c r="AN130" i="20"/>
  <c r="AA9" i="78"/>
  <c r="AC9" i="78" s="1"/>
  <c r="AP9" i="78" s="1"/>
  <c r="Z9" i="78"/>
  <c r="AB9" i="78" s="1"/>
  <c r="AO9" i="78" s="1"/>
  <c r="Z20" i="78"/>
  <c r="AB20" i="78" s="1"/>
  <c r="AO20" i="78" s="1"/>
  <c r="AA20" i="78"/>
  <c r="AC20" i="78" s="1"/>
  <c r="AP20" i="78" s="1"/>
  <c r="AN32" i="23"/>
  <c r="Z19" i="78"/>
  <c r="AB19" i="78" s="1"/>
  <c r="AO19" i="78" s="1"/>
  <c r="AA19" i="78"/>
  <c r="AC19" i="78" s="1"/>
  <c r="AP19" i="78" s="1"/>
  <c r="AN18" i="78"/>
  <c r="AN39" i="13"/>
  <c r="AN119" i="20"/>
  <c r="AN105" i="20"/>
  <c r="AN73" i="22"/>
  <c r="AN17" i="78"/>
  <c r="AL23" i="78"/>
  <c r="Z15" i="78"/>
  <c r="AB15" i="78" s="1"/>
  <c r="AO15" i="78" s="1"/>
  <c r="AA15" i="78"/>
  <c r="AC15" i="78" s="1"/>
  <c r="AA18" i="78"/>
  <c r="AC18" i="78" s="1"/>
  <c r="Z18" i="78"/>
  <c r="AB18" i="78" s="1"/>
  <c r="AO18" i="78" s="1"/>
  <c r="AJ24" i="78"/>
  <c r="AN6" i="78"/>
  <c r="AP6" i="78" s="1"/>
  <c r="AN115" i="20"/>
  <c r="AN62" i="28"/>
  <c r="AA17" i="78"/>
  <c r="AC17" i="78" s="1"/>
  <c r="Z17" i="78"/>
  <c r="AB17" i="78" s="1"/>
  <c r="AO17" i="78" s="1"/>
  <c r="AN85" i="31"/>
  <c r="AN37" i="3"/>
  <c r="AN26" i="13"/>
  <c r="AA14" i="78"/>
  <c r="AC14" i="78" s="1"/>
  <c r="AP14" i="78" s="1"/>
  <c r="Z14" i="78"/>
  <c r="AB14" i="78" s="1"/>
  <c r="AO14" i="78" s="1"/>
  <c r="Z16" i="78"/>
  <c r="AB16" i="78" s="1"/>
  <c r="AO16" i="78" s="1"/>
  <c r="AA16" i="78"/>
  <c r="AC16" i="78" s="1"/>
  <c r="AP16" i="78" s="1"/>
  <c r="AL183" i="32"/>
  <c r="AL195" i="32"/>
  <c r="AJ180" i="32"/>
  <c r="AL178" i="32"/>
  <c r="AL177" i="32"/>
  <c r="AL202" i="32"/>
  <c r="AL207" i="32"/>
  <c r="AL206" i="32"/>
  <c r="AL192" i="32"/>
  <c r="AN174" i="32"/>
  <c r="AL201" i="32"/>
  <c r="AN186" i="32"/>
  <c r="AL189" i="32"/>
  <c r="AJ204" i="32"/>
  <c r="AN198" i="32"/>
  <c r="AL70" i="31"/>
  <c r="AJ63" i="31"/>
  <c r="AL76" i="31"/>
  <c r="AN73" i="31"/>
  <c r="AL68" i="31"/>
  <c r="AJ64" i="31"/>
  <c r="AL67" i="31"/>
  <c r="AJ77" i="31"/>
  <c r="AL88" i="31"/>
  <c r="AN61" i="31"/>
  <c r="AL82" i="31"/>
  <c r="AL85" i="29"/>
  <c r="AL89" i="29"/>
  <c r="AL90" i="29"/>
  <c r="AL91" i="29"/>
  <c r="AL94" i="29"/>
  <c r="AN88" i="29"/>
  <c r="AL95" i="29"/>
  <c r="AN53" i="28"/>
  <c r="AL53" i="28"/>
  <c r="AN50" i="28"/>
  <c r="AJ52" i="28"/>
  <c r="AL33" i="24"/>
  <c r="AN42" i="24"/>
  <c r="AL36" i="24"/>
  <c r="AL62" i="24"/>
  <c r="AL51" i="24"/>
  <c r="AJ59" i="24"/>
  <c r="AL63" i="24"/>
  <c r="AL50" i="24"/>
  <c r="AJ47" i="24"/>
  <c r="AL38" i="24"/>
  <c r="AJ35" i="24"/>
  <c r="AJ30" i="23"/>
  <c r="AN44" i="23"/>
  <c r="AL42" i="23"/>
  <c r="AL33" i="23"/>
  <c r="AJ39" i="23"/>
  <c r="AN38" i="23"/>
  <c r="AN31" i="23"/>
  <c r="AN29" i="23"/>
  <c r="AL31" i="23"/>
  <c r="AN28" i="23"/>
  <c r="AL43" i="23"/>
  <c r="AL44" i="23"/>
  <c r="AL37" i="23"/>
  <c r="AN41" i="23"/>
  <c r="AJ35" i="23"/>
  <c r="AJ38" i="23"/>
  <c r="AJ34" i="23"/>
  <c r="AN70" i="22"/>
  <c r="AN71" i="22"/>
  <c r="AJ77" i="22"/>
  <c r="AJ88" i="22"/>
  <c r="AJ90" i="20"/>
  <c r="AJ102" i="20"/>
  <c r="AJ98" i="20"/>
  <c r="AJ120" i="20"/>
  <c r="AN94" i="20"/>
  <c r="AN106" i="20"/>
  <c r="AL92" i="20"/>
  <c r="AL97" i="20"/>
  <c r="AN118" i="20"/>
  <c r="AJ99" i="20"/>
  <c r="AL101" i="20"/>
  <c r="AL104" i="20"/>
  <c r="AJ116" i="20"/>
  <c r="AN89" i="20"/>
  <c r="AL113" i="20"/>
  <c r="AN107" i="20"/>
  <c r="AL114" i="20"/>
  <c r="AL89" i="20"/>
  <c r="AJ111" i="20"/>
  <c r="AN95" i="20"/>
  <c r="AJ42" i="14"/>
  <c r="AJ44" i="14"/>
  <c r="AL48" i="14"/>
  <c r="AL33" i="14"/>
  <c r="AN29" i="14"/>
  <c r="AN26" i="14"/>
  <c r="AJ56" i="14"/>
  <c r="AL54" i="14"/>
  <c r="AJ30" i="14"/>
  <c r="AJ57" i="14"/>
  <c r="AN50" i="14"/>
  <c r="AJ32" i="14"/>
  <c r="AN27" i="13"/>
  <c r="AL36" i="13"/>
  <c r="AL54" i="12"/>
  <c r="AN59" i="12"/>
  <c r="AN60" i="12"/>
  <c r="AL55" i="12"/>
  <c r="AJ32" i="6"/>
  <c r="AL32" i="6"/>
  <c r="AL56" i="5"/>
  <c r="AJ59" i="5"/>
  <c r="AL62" i="5"/>
  <c r="AJ60" i="5"/>
  <c r="AN62" i="5"/>
  <c r="AL72" i="5"/>
  <c r="AJ75" i="5"/>
  <c r="AL75" i="5"/>
  <c r="AJ71" i="5"/>
  <c r="AL84" i="5"/>
  <c r="AJ83" i="5"/>
  <c r="AL34" i="3"/>
  <c r="AL26" i="3"/>
  <c r="AN29" i="3"/>
  <c r="AN32" i="3"/>
  <c r="AN25" i="3"/>
  <c r="AJ29" i="3"/>
  <c r="AN30" i="3"/>
  <c r="AJ31" i="3"/>
  <c r="R16" i="68" l="1"/>
  <c r="Q16" i="68"/>
  <c r="D17" i="2"/>
  <c r="AP36" i="78"/>
  <c r="AP13" i="78"/>
  <c r="F16" i="68"/>
  <c r="AP43" i="78"/>
  <c r="AP61" i="78"/>
  <c r="E17" i="2"/>
  <c r="AP38" i="78"/>
  <c r="AP50" i="78"/>
  <c r="AP45" i="78"/>
  <c r="AP37" i="78"/>
  <c r="AP15" i="78"/>
  <c r="AP58" i="78"/>
  <c r="A24" i="78"/>
  <c r="AP18" i="78"/>
  <c r="AP17" i="78"/>
  <c r="A22" i="78"/>
  <c r="V16" i="68" l="1"/>
  <c r="U16" i="68"/>
  <c r="N117" i="77"/>
  <c r="O117" i="77" s="1"/>
  <c r="N116" i="77"/>
  <c r="O116" i="77" s="1"/>
  <c r="N115" i="77"/>
  <c r="O115" i="77" s="1"/>
  <c r="N114" i="77"/>
  <c r="O114" i="77" s="1"/>
  <c r="N113" i="77"/>
  <c r="O113" i="77" s="1"/>
  <c r="N112" i="77"/>
  <c r="O112" i="77" s="1"/>
  <c r="N111" i="77"/>
  <c r="O111" i="77" s="1"/>
  <c r="N110" i="77"/>
  <c r="O110" i="77" s="1"/>
  <c r="N109" i="77"/>
  <c r="O109" i="77" s="1"/>
  <c r="N108" i="77"/>
  <c r="O108" i="77" s="1"/>
  <c r="N107" i="77"/>
  <c r="O107" i="77" s="1"/>
  <c r="N106" i="77"/>
  <c r="O106" i="77" s="1"/>
  <c r="N105" i="77"/>
  <c r="O105" i="77" s="1"/>
  <c r="N104" i="77"/>
  <c r="O104" i="77" s="1"/>
  <c r="N103" i="77"/>
  <c r="O103" i="77" s="1"/>
  <c r="N102" i="77"/>
  <c r="O102" i="77" s="1"/>
  <c r="N101" i="77"/>
  <c r="O101" i="77" s="1"/>
  <c r="N100" i="77"/>
  <c r="O100" i="77" s="1"/>
  <c r="N99" i="77"/>
  <c r="O99" i="77" s="1"/>
  <c r="N98" i="77"/>
  <c r="O98" i="77" s="1"/>
  <c r="N97" i="77"/>
  <c r="O97" i="77" s="1"/>
  <c r="N96" i="77"/>
  <c r="O96" i="77" s="1"/>
  <c r="N95" i="77"/>
  <c r="O95" i="77" s="1"/>
  <c r="N94" i="77"/>
  <c r="O94" i="77" s="1"/>
  <c r="N93" i="77"/>
  <c r="O93" i="77" s="1"/>
  <c r="N92" i="77"/>
  <c r="O92" i="77" s="1"/>
  <c r="N91" i="77"/>
  <c r="O91" i="77" s="1"/>
  <c r="N90" i="77"/>
  <c r="O90" i="77" s="1"/>
  <c r="N89" i="77"/>
  <c r="O89" i="77" s="1"/>
  <c r="N88" i="77"/>
  <c r="O88" i="77" s="1"/>
  <c r="N87" i="77"/>
  <c r="O87" i="77" s="1"/>
  <c r="N86" i="77"/>
  <c r="O86" i="77" s="1"/>
  <c r="N85" i="77"/>
  <c r="O85" i="77" s="1"/>
  <c r="N84" i="77"/>
  <c r="O84" i="77" s="1"/>
  <c r="N83" i="77"/>
  <c r="O83" i="77" s="1"/>
  <c r="N82" i="77"/>
  <c r="O82" i="77" s="1"/>
  <c r="N81" i="77"/>
  <c r="O81" i="77" s="1"/>
  <c r="N80" i="77"/>
  <c r="O80" i="77" s="1"/>
  <c r="N79" i="77"/>
  <c r="O79" i="77" s="1"/>
  <c r="N78" i="77"/>
  <c r="O78" i="77" s="1"/>
  <c r="N77" i="77"/>
  <c r="O77" i="77" s="1"/>
  <c r="N76" i="77"/>
  <c r="O76" i="77" s="1"/>
  <c r="N75" i="77"/>
  <c r="O75" i="77" s="1"/>
  <c r="N74" i="77"/>
  <c r="O74" i="77" s="1"/>
  <c r="N73" i="77"/>
  <c r="O73" i="77" s="1"/>
  <c r="N72" i="77"/>
  <c r="O72" i="77" s="1"/>
  <c r="N71" i="77"/>
  <c r="O71" i="77" s="1"/>
  <c r="N70" i="77"/>
  <c r="O70" i="77" s="1"/>
  <c r="N69" i="77"/>
  <c r="O69" i="77" s="1"/>
  <c r="N68" i="77"/>
  <c r="O68" i="77" s="1"/>
  <c r="N67" i="77"/>
  <c r="O67" i="77" s="1"/>
  <c r="N66" i="77"/>
  <c r="O66" i="77" s="1"/>
  <c r="N65" i="77"/>
  <c r="O65" i="77" s="1"/>
  <c r="N64" i="77"/>
  <c r="O64" i="77" s="1"/>
  <c r="N63" i="77"/>
  <c r="O63" i="77" s="1"/>
  <c r="N62" i="77"/>
  <c r="O62" i="77" s="1"/>
  <c r="N61" i="77"/>
  <c r="O61" i="77" s="1"/>
  <c r="N60" i="77"/>
  <c r="O60" i="77" s="1"/>
  <c r="N59" i="77"/>
  <c r="O59" i="77" s="1"/>
  <c r="N58" i="77"/>
  <c r="O58" i="77" s="1"/>
  <c r="N57" i="77"/>
  <c r="O57" i="77" s="1"/>
  <c r="N56" i="77"/>
  <c r="O56" i="77" s="1"/>
  <c r="N55" i="77"/>
  <c r="O55" i="77" s="1"/>
  <c r="N54" i="77"/>
  <c r="O54" i="77" s="1"/>
  <c r="N53" i="77"/>
  <c r="O53" i="77" s="1"/>
  <c r="N52" i="77"/>
  <c r="O52" i="77" s="1"/>
  <c r="N51" i="77"/>
  <c r="O51" i="77" s="1"/>
  <c r="N50" i="77"/>
  <c r="O50" i="77" s="1"/>
  <c r="N49" i="77"/>
  <c r="O49" i="77" s="1"/>
  <c r="N48" i="77"/>
  <c r="O48" i="77" s="1"/>
  <c r="N47" i="77"/>
  <c r="O47" i="77" s="1"/>
  <c r="N46" i="77"/>
  <c r="O46" i="77" s="1"/>
  <c r="N45" i="77"/>
  <c r="O45" i="77" s="1"/>
  <c r="N44" i="77"/>
  <c r="O44" i="77" s="1"/>
  <c r="N43" i="77"/>
  <c r="O43" i="77" s="1"/>
  <c r="N42" i="77"/>
  <c r="O42" i="77" s="1"/>
  <c r="N41" i="77"/>
  <c r="O41" i="77" s="1"/>
  <c r="N40" i="77"/>
  <c r="O40" i="77" s="1"/>
  <c r="N39" i="77"/>
  <c r="O39" i="77" s="1"/>
  <c r="N38" i="77"/>
  <c r="O38" i="77" s="1"/>
  <c r="N37" i="77"/>
  <c r="O37" i="77" s="1"/>
  <c r="N36" i="77"/>
  <c r="O36" i="77" s="1"/>
  <c r="N35" i="77"/>
  <c r="O35" i="77" s="1"/>
  <c r="N34" i="77"/>
  <c r="O34" i="77" s="1"/>
  <c r="N33" i="77"/>
  <c r="O33" i="77" s="1"/>
  <c r="N32" i="77"/>
  <c r="O32" i="77" s="1"/>
  <c r="N31" i="77"/>
  <c r="O31" i="77" s="1"/>
  <c r="N30" i="77"/>
  <c r="O30" i="77" s="1"/>
  <c r="N29" i="77"/>
  <c r="O29" i="77" s="1"/>
  <c r="N28" i="77"/>
  <c r="O28" i="77" s="1"/>
  <c r="N27" i="77"/>
  <c r="O27" i="77" s="1"/>
  <c r="N26" i="77"/>
  <c r="O26" i="77" s="1"/>
  <c r="N25" i="77"/>
  <c r="O25" i="77" s="1"/>
  <c r="N24" i="77"/>
  <c r="O24" i="77" s="1"/>
  <c r="N23" i="77"/>
  <c r="O23" i="77" s="1"/>
  <c r="N22" i="77"/>
  <c r="O22" i="77" s="1"/>
  <c r="N21" i="77"/>
  <c r="O21" i="77" s="1"/>
  <c r="N20" i="77"/>
  <c r="O20" i="77" s="1"/>
  <c r="N19" i="77"/>
  <c r="O19" i="77" s="1"/>
  <c r="N18" i="77"/>
  <c r="O18" i="77" s="1"/>
  <c r="N17" i="77"/>
  <c r="O17" i="77" s="1"/>
  <c r="N16" i="77"/>
  <c r="O16" i="77" s="1"/>
  <c r="N15" i="77"/>
  <c r="O15" i="77" s="1"/>
  <c r="N14" i="77"/>
  <c r="O14" i="77" s="1"/>
  <c r="N13" i="77"/>
  <c r="O13" i="77" s="1"/>
  <c r="N12" i="77"/>
  <c r="O12" i="77" s="1"/>
  <c r="N11" i="77"/>
  <c r="O11" i="77" s="1"/>
  <c r="N10" i="77"/>
  <c r="O10" i="77" s="1"/>
  <c r="N9" i="77"/>
  <c r="O9" i="77" s="1"/>
  <c r="N8" i="77"/>
  <c r="O8" i="77" s="1"/>
  <c r="N7" i="77"/>
  <c r="O7" i="77" s="1"/>
  <c r="N6" i="77"/>
  <c r="O6" i="77" s="1"/>
  <c r="N5" i="77"/>
  <c r="O5" i="77" s="1"/>
  <c r="N4" i="77"/>
  <c r="O4" i="77" s="1"/>
  <c r="N3" i="77"/>
  <c r="O3" i="77" s="1"/>
  <c r="N2" i="77"/>
  <c r="O2" i="77" s="1"/>
  <c r="N124" i="76"/>
  <c r="O124" i="76" s="1"/>
  <c r="N123" i="76"/>
  <c r="O123" i="76" s="1"/>
  <c r="N122" i="76"/>
  <c r="O122" i="76" s="1"/>
  <c r="N121" i="76"/>
  <c r="O121" i="76" s="1"/>
  <c r="N120" i="76"/>
  <c r="O120" i="76" s="1"/>
  <c r="N119" i="76"/>
  <c r="O119" i="76" s="1"/>
  <c r="N118" i="76"/>
  <c r="O118" i="76" s="1"/>
  <c r="N117" i="76"/>
  <c r="O117" i="76" s="1"/>
  <c r="N116" i="76"/>
  <c r="O116" i="76" s="1"/>
  <c r="N115" i="76"/>
  <c r="O115" i="76" s="1"/>
  <c r="N114" i="76"/>
  <c r="O114" i="76" s="1"/>
  <c r="N113" i="76"/>
  <c r="O113" i="76" s="1"/>
  <c r="N112" i="76"/>
  <c r="O112" i="76" s="1"/>
  <c r="N111" i="76"/>
  <c r="O111" i="76" s="1"/>
  <c r="N110" i="76"/>
  <c r="O110" i="76" s="1"/>
  <c r="N109" i="76"/>
  <c r="O109" i="76" s="1"/>
  <c r="N108" i="76"/>
  <c r="O108" i="76" s="1"/>
  <c r="N107" i="76"/>
  <c r="O107" i="76" s="1"/>
  <c r="N106" i="76"/>
  <c r="O106" i="76" s="1"/>
  <c r="N105" i="76"/>
  <c r="O105" i="76" s="1"/>
  <c r="N104" i="76"/>
  <c r="O104" i="76" s="1"/>
  <c r="N103" i="76"/>
  <c r="O103" i="76" s="1"/>
  <c r="N102" i="76"/>
  <c r="O102" i="76" s="1"/>
  <c r="N101" i="76"/>
  <c r="O101" i="76" s="1"/>
  <c r="N100" i="76"/>
  <c r="O100" i="76" s="1"/>
  <c r="N99" i="76"/>
  <c r="O99" i="76" s="1"/>
  <c r="N98" i="76"/>
  <c r="O98" i="76" s="1"/>
  <c r="N97" i="76"/>
  <c r="O97" i="76" s="1"/>
  <c r="N96" i="76"/>
  <c r="O96" i="76" s="1"/>
  <c r="N95" i="76"/>
  <c r="O95" i="76" s="1"/>
  <c r="N94" i="76"/>
  <c r="O94" i="76" s="1"/>
  <c r="N93" i="76"/>
  <c r="O93" i="76" s="1"/>
  <c r="N92" i="76"/>
  <c r="O92" i="76" s="1"/>
  <c r="N91" i="76"/>
  <c r="O91" i="76" s="1"/>
  <c r="N90" i="76"/>
  <c r="O90" i="76" s="1"/>
  <c r="N89" i="76"/>
  <c r="O89" i="76" s="1"/>
  <c r="N88" i="76"/>
  <c r="O88" i="76" s="1"/>
  <c r="N87" i="76"/>
  <c r="O87" i="76" s="1"/>
  <c r="N86" i="76"/>
  <c r="O86" i="76" s="1"/>
  <c r="N85" i="76"/>
  <c r="O85" i="76" s="1"/>
  <c r="N84" i="76"/>
  <c r="O84" i="76" s="1"/>
  <c r="N83" i="76"/>
  <c r="O83" i="76" s="1"/>
  <c r="N82" i="76"/>
  <c r="O82" i="76" s="1"/>
  <c r="N81" i="76"/>
  <c r="O81" i="76" s="1"/>
  <c r="N80" i="76"/>
  <c r="O80" i="76" s="1"/>
  <c r="N79" i="76"/>
  <c r="O79" i="76" s="1"/>
  <c r="N78" i="76"/>
  <c r="O78" i="76" s="1"/>
  <c r="N77" i="76"/>
  <c r="O77" i="76" s="1"/>
  <c r="N76" i="76"/>
  <c r="O76" i="76" s="1"/>
  <c r="N75" i="76"/>
  <c r="O75" i="76" s="1"/>
  <c r="N74" i="76"/>
  <c r="O74" i="76" s="1"/>
  <c r="N73" i="76"/>
  <c r="O73" i="76" s="1"/>
  <c r="N72" i="76"/>
  <c r="O72" i="76" s="1"/>
  <c r="N71" i="76"/>
  <c r="O71" i="76" s="1"/>
  <c r="N70" i="76"/>
  <c r="O70" i="76" s="1"/>
  <c r="N69" i="76"/>
  <c r="O69" i="76" s="1"/>
  <c r="N68" i="76"/>
  <c r="O68" i="76" s="1"/>
  <c r="N67" i="76"/>
  <c r="O67" i="76" s="1"/>
  <c r="N66" i="76"/>
  <c r="O66" i="76" s="1"/>
  <c r="N65" i="76"/>
  <c r="O65" i="76" s="1"/>
  <c r="N64" i="76"/>
  <c r="O64" i="76" s="1"/>
  <c r="N63" i="76"/>
  <c r="O63" i="76" s="1"/>
  <c r="N62" i="76"/>
  <c r="O62" i="76" s="1"/>
  <c r="N61" i="76"/>
  <c r="O61" i="76" s="1"/>
  <c r="N60" i="76"/>
  <c r="O60" i="76" s="1"/>
  <c r="N59" i="76"/>
  <c r="O59" i="76" s="1"/>
  <c r="N58" i="76"/>
  <c r="O58" i="76" s="1"/>
  <c r="N57" i="76"/>
  <c r="O57" i="76" s="1"/>
  <c r="N56" i="76"/>
  <c r="O56" i="76" s="1"/>
  <c r="N55" i="76"/>
  <c r="O55" i="76" s="1"/>
  <c r="N54" i="76"/>
  <c r="O54" i="76" s="1"/>
  <c r="N53" i="76"/>
  <c r="O53" i="76" s="1"/>
  <c r="N52" i="76"/>
  <c r="O52" i="76" s="1"/>
  <c r="N51" i="76"/>
  <c r="O51" i="76" s="1"/>
  <c r="N50" i="76"/>
  <c r="O50" i="76" s="1"/>
  <c r="N49" i="76"/>
  <c r="O49" i="76" s="1"/>
  <c r="N48" i="76"/>
  <c r="O48" i="76" s="1"/>
  <c r="N47" i="76"/>
  <c r="O47" i="76" s="1"/>
  <c r="N46" i="76"/>
  <c r="O46" i="76" s="1"/>
  <c r="N45" i="76"/>
  <c r="O45" i="76" s="1"/>
  <c r="N44" i="76"/>
  <c r="O44" i="76" s="1"/>
  <c r="N43" i="76"/>
  <c r="O43" i="76" s="1"/>
  <c r="N42" i="76"/>
  <c r="O42" i="76" s="1"/>
  <c r="N41" i="76"/>
  <c r="O41" i="76" s="1"/>
  <c r="N40" i="76"/>
  <c r="O40" i="76" s="1"/>
  <c r="N39" i="76"/>
  <c r="O39" i="76" s="1"/>
  <c r="N38" i="76"/>
  <c r="O38" i="76" s="1"/>
  <c r="N37" i="76"/>
  <c r="O37" i="76" s="1"/>
  <c r="N36" i="76"/>
  <c r="O36" i="76" s="1"/>
  <c r="N35" i="76"/>
  <c r="O35" i="76" s="1"/>
  <c r="N34" i="76"/>
  <c r="O34" i="76" s="1"/>
  <c r="N33" i="76"/>
  <c r="O33" i="76" s="1"/>
  <c r="N32" i="76"/>
  <c r="O32" i="76" s="1"/>
  <c r="N31" i="76"/>
  <c r="O31" i="76" s="1"/>
  <c r="N30" i="76"/>
  <c r="O30" i="76" s="1"/>
  <c r="N29" i="76"/>
  <c r="O29" i="76" s="1"/>
  <c r="N28" i="76"/>
  <c r="O28" i="76" s="1"/>
  <c r="N27" i="76"/>
  <c r="O27" i="76" s="1"/>
  <c r="N26" i="76"/>
  <c r="O26" i="76" s="1"/>
  <c r="N25" i="76"/>
  <c r="O25" i="76" s="1"/>
  <c r="N24" i="76"/>
  <c r="O24" i="76" s="1"/>
  <c r="N23" i="76"/>
  <c r="O23" i="76" s="1"/>
  <c r="N22" i="76"/>
  <c r="O22" i="76" s="1"/>
  <c r="N21" i="76"/>
  <c r="O21" i="76" s="1"/>
  <c r="N20" i="76"/>
  <c r="O20" i="76" s="1"/>
  <c r="N19" i="76"/>
  <c r="O19" i="76" s="1"/>
  <c r="N18" i="76"/>
  <c r="O18" i="76" s="1"/>
  <c r="N17" i="76"/>
  <c r="O17" i="76" s="1"/>
  <c r="N16" i="76"/>
  <c r="O16" i="76" s="1"/>
  <c r="N15" i="76"/>
  <c r="O15" i="76" s="1"/>
  <c r="N14" i="76"/>
  <c r="O14" i="76" s="1"/>
  <c r="N13" i="76"/>
  <c r="O13" i="76" s="1"/>
  <c r="N12" i="76"/>
  <c r="O12" i="76" s="1"/>
  <c r="N11" i="76"/>
  <c r="O11" i="76" s="1"/>
  <c r="N10" i="76"/>
  <c r="O10" i="76" s="1"/>
  <c r="N9" i="76"/>
  <c r="O9" i="76" s="1"/>
  <c r="N8" i="76"/>
  <c r="O8" i="76" s="1"/>
  <c r="N7" i="76"/>
  <c r="O7" i="76" s="1"/>
  <c r="N6" i="76"/>
  <c r="O6" i="76" s="1"/>
  <c r="N5" i="76"/>
  <c r="O5" i="76" s="1"/>
  <c r="N4" i="76"/>
  <c r="O4" i="76" s="1"/>
  <c r="N3" i="76"/>
  <c r="O3" i="76" s="1"/>
  <c r="N2" i="76"/>
  <c r="O2" i="76" s="1"/>
  <c r="G17" i="2" l="1"/>
  <c r="F17" i="2"/>
  <c r="A6" i="27"/>
  <c r="AM24" i="64" l="1"/>
  <c r="AL24" i="64"/>
  <c r="AK24" i="64"/>
  <c r="AJ24" i="64"/>
  <c r="AI24" i="64"/>
  <c r="AH24" i="64"/>
  <c r="AG24" i="64"/>
  <c r="AF24" i="64"/>
  <c r="AE24" i="64"/>
  <c r="AD24" i="64"/>
  <c r="AN24" i="64" s="1"/>
  <c r="Y24" i="64"/>
  <c r="W24" i="64"/>
  <c r="V24" i="64"/>
  <c r="U24" i="64"/>
  <c r="T24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M22" i="64"/>
  <c r="AL22" i="64"/>
  <c r="AK22" i="64"/>
  <c r="AJ22" i="64"/>
  <c r="AI22" i="64"/>
  <c r="AH22" i="64"/>
  <c r="AG22" i="64"/>
  <c r="AF22" i="64"/>
  <c r="AE22" i="64"/>
  <c r="AD22" i="64"/>
  <c r="AN22" i="64" s="1"/>
  <c r="Y22" i="64"/>
  <c r="W22" i="64"/>
  <c r="V22" i="64"/>
  <c r="U22" i="64"/>
  <c r="T22" i="64"/>
  <c r="AM21" i="64"/>
  <c r="AL21" i="64"/>
  <c r="AK21" i="64"/>
  <c r="AJ21" i="64"/>
  <c r="AI21" i="64"/>
  <c r="AH21" i="64"/>
  <c r="AG21" i="64"/>
  <c r="AF21" i="64"/>
  <c r="AE21" i="64"/>
  <c r="AD21" i="64"/>
  <c r="AN21" i="64" s="1"/>
  <c r="Y21" i="64"/>
  <c r="W21" i="64"/>
  <c r="V21" i="64"/>
  <c r="U21" i="64"/>
  <c r="T21" i="64"/>
  <c r="AM20" i="64"/>
  <c r="AL20" i="64"/>
  <c r="AK20" i="64"/>
  <c r="AJ20" i="64"/>
  <c r="AI20" i="64"/>
  <c r="AH20" i="64"/>
  <c r="AG20" i="64"/>
  <c r="AF20" i="64"/>
  <c r="AE20" i="64"/>
  <c r="AD20" i="64"/>
  <c r="AN20" i="64" s="1"/>
  <c r="Y20" i="64"/>
  <c r="W20" i="64"/>
  <c r="V20" i="64"/>
  <c r="U20" i="64"/>
  <c r="T20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M18" i="64"/>
  <c r="AL18" i="64"/>
  <c r="AK18" i="64"/>
  <c r="AJ18" i="64"/>
  <c r="AI18" i="64"/>
  <c r="AH18" i="64"/>
  <c r="AG18" i="64"/>
  <c r="AF18" i="64"/>
  <c r="AE18" i="64"/>
  <c r="AD18" i="64"/>
  <c r="AN18" i="64" s="1"/>
  <c r="Y18" i="64"/>
  <c r="W18" i="64"/>
  <c r="V18" i="64"/>
  <c r="U18" i="64"/>
  <c r="T18" i="64"/>
  <c r="AM17" i="64"/>
  <c r="AL17" i="64"/>
  <c r="AK17" i="64"/>
  <c r="AJ17" i="64"/>
  <c r="AI17" i="64"/>
  <c r="AH17" i="64"/>
  <c r="AG17" i="64"/>
  <c r="AF17" i="64"/>
  <c r="AE17" i="64"/>
  <c r="AD17" i="64"/>
  <c r="AN17" i="64" s="1"/>
  <c r="Y17" i="64"/>
  <c r="W17" i="64"/>
  <c r="V17" i="64"/>
  <c r="U17" i="64"/>
  <c r="T17" i="64"/>
  <c r="AM16" i="64"/>
  <c r="AL16" i="64"/>
  <c r="AK16" i="64"/>
  <c r="AJ16" i="64"/>
  <c r="AI16" i="64"/>
  <c r="AH16" i="64"/>
  <c r="AG16" i="64"/>
  <c r="AF16" i="64"/>
  <c r="AE16" i="64"/>
  <c r="AD16" i="64"/>
  <c r="AN16" i="64" s="1"/>
  <c r="Y16" i="64"/>
  <c r="W16" i="64"/>
  <c r="V16" i="64"/>
  <c r="U16" i="64"/>
  <c r="T16" i="64"/>
  <c r="A16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M10" i="64"/>
  <c r="AL10" i="64"/>
  <c r="AK10" i="64"/>
  <c r="AJ10" i="64"/>
  <c r="AI10" i="64"/>
  <c r="AH10" i="64"/>
  <c r="AG10" i="64"/>
  <c r="AF10" i="64"/>
  <c r="AE10" i="64"/>
  <c r="AD10" i="64"/>
  <c r="AN10" i="64" s="1"/>
  <c r="Y10" i="64"/>
  <c r="W10" i="64"/>
  <c r="V10" i="64"/>
  <c r="U10" i="64"/>
  <c r="T10" i="64"/>
  <c r="A10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M8" i="64"/>
  <c r="AL8" i="64"/>
  <c r="AK8" i="64"/>
  <c r="AJ8" i="64"/>
  <c r="AI8" i="64"/>
  <c r="AH8" i="64"/>
  <c r="AG8" i="64"/>
  <c r="AF8" i="64"/>
  <c r="AD8" i="64"/>
  <c r="AN8" i="64" s="1"/>
  <c r="Y8" i="64"/>
  <c r="W8" i="64"/>
  <c r="V8" i="64"/>
  <c r="U8" i="64"/>
  <c r="T8" i="64"/>
  <c r="AM7" i="64"/>
  <c r="AL7" i="64"/>
  <c r="AK7" i="64"/>
  <c r="AJ7" i="64"/>
  <c r="AI7" i="64"/>
  <c r="AH7" i="64"/>
  <c r="AG7" i="64"/>
  <c r="AF7" i="64"/>
  <c r="AD7" i="64"/>
  <c r="AN7" i="64" s="1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M5" i="64"/>
  <c r="AL5" i="64"/>
  <c r="AK5" i="64"/>
  <c r="AJ5" i="64"/>
  <c r="AI5" i="64"/>
  <c r="AH5" i="64"/>
  <c r="AG5" i="64"/>
  <c r="AF5" i="64"/>
  <c r="AD5" i="64"/>
  <c r="AN5" i="64" s="1"/>
  <c r="Y5" i="64"/>
  <c r="W5" i="64"/>
  <c r="V5" i="64"/>
  <c r="U5" i="64"/>
  <c r="T5" i="64"/>
  <c r="F1" i="64"/>
  <c r="AM24" i="63"/>
  <c r="AL24" i="63"/>
  <c r="AK24" i="63"/>
  <c r="AJ24" i="63"/>
  <c r="AI24" i="63"/>
  <c r="AH24" i="63"/>
  <c r="AG24" i="63"/>
  <c r="AF24" i="63"/>
  <c r="AE24" i="63"/>
  <c r="AD24" i="63"/>
  <c r="Y24" i="63"/>
  <c r="V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T22" i="63"/>
  <c r="AM21" i="63"/>
  <c r="AL21" i="63"/>
  <c r="AK21" i="63"/>
  <c r="AJ21" i="63"/>
  <c r="AI21" i="63"/>
  <c r="AH21" i="63"/>
  <c r="AG21" i="63"/>
  <c r="AF21" i="63"/>
  <c r="AE21" i="63"/>
  <c r="AD21" i="63"/>
  <c r="Y21" i="63"/>
  <c r="V21" i="63"/>
  <c r="T21" i="63"/>
  <c r="AM20" i="63"/>
  <c r="AL20" i="63"/>
  <c r="AK20" i="63"/>
  <c r="AJ20" i="63"/>
  <c r="AI20" i="63"/>
  <c r="AH20" i="63"/>
  <c r="AG20" i="63"/>
  <c r="AF20" i="63"/>
  <c r="AE20" i="63"/>
  <c r="AD20" i="63"/>
  <c r="Y20" i="63"/>
  <c r="V20" i="63"/>
  <c r="T20" i="63"/>
  <c r="AM19" i="63"/>
  <c r="AL19" i="63"/>
  <c r="AK19" i="63"/>
  <c r="AJ19" i="63"/>
  <c r="AI19" i="63"/>
  <c r="AH19" i="63"/>
  <c r="AG19" i="63"/>
  <c r="AF19" i="63"/>
  <c r="AE19" i="63"/>
  <c r="AD19" i="63"/>
  <c r="AN19" i="63" s="1"/>
  <c r="Y19" i="63"/>
  <c r="W19" i="63"/>
  <c r="V19" i="63"/>
  <c r="U19" i="63"/>
  <c r="T19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T18" i="63"/>
  <c r="AM17" i="63"/>
  <c r="AL17" i="63"/>
  <c r="AK17" i="63"/>
  <c r="AJ17" i="63"/>
  <c r="AI17" i="63"/>
  <c r="AH17" i="63"/>
  <c r="AG17" i="63"/>
  <c r="AF17" i="63"/>
  <c r="AE17" i="63"/>
  <c r="AD17" i="63"/>
  <c r="AN17" i="63" s="1"/>
  <c r="Y17" i="63"/>
  <c r="V17" i="63"/>
  <c r="T17" i="63"/>
  <c r="AM16" i="63"/>
  <c r="AL16" i="63"/>
  <c r="AK16" i="63"/>
  <c r="AJ16" i="63"/>
  <c r="AI16" i="63"/>
  <c r="AH16" i="63"/>
  <c r="AG16" i="63"/>
  <c r="AF16" i="63"/>
  <c r="AE16" i="63"/>
  <c r="AD16" i="63"/>
  <c r="Y16" i="63"/>
  <c r="V16" i="63"/>
  <c r="U16" i="63"/>
  <c r="T16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T14" i="63"/>
  <c r="AM13" i="63"/>
  <c r="AL13" i="63"/>
  <c r="AK13" i="63"/>
  <c r="AJ13" i="63"/>
  <c r="AI13" i="63"/>
  <c r="AH13" i="63"/>
  <c r="AG13" i="63"/>
  <c r="AF13" i="63"/>
  <c r="AE13" i="63"/>
  <c r="AD13" i="63"/>
  <c r="AN13" i="63" s="1"/>
  <c r="Y13" i="63"/>
  <c r="V13" i="63"/>
  <c r="T13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T11" i="63"/>
  <c r="AM10" i="63"/>
  <c r="AL10" i="63"/>
  <c r="AK10" i="63"/>
  <c r="AJ10" i="63"/>
  <c r="AI10" i="63"/>
  <c r="AH10" i="63"/>
  <c r="AG10" i="63"/>
  <c r="AF10" i="63"/>
  <c r="AE10" i="63"/>
  <c r="AD10" i="63"/>
  <c r="Y10" i="63"/>
  <c r="V10" i="63"/>
  <c r="T10" i="63"/>
  <c r="A10" i="63"/>
  <c r="AM9" i="63"/>
  <c r="AL9" i="63"/>
  <c r="AK9" i="63"/>
  <c r="AJ9" i="63"/>
  <c r="AI9" i="63"/>
  <c r="AH9" i="63"/>
  <c r="AG9" i="63"/>
  <c r="AF9" i="63"/>
  <c r="AE9" i="63"/>
  <c r="AD9" i="63"/>
  <c r="AN9" i="63" s="1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M7" i="63"/>
  <c r="AK7" i="63"/>
  <c r="AH7" i="63"/>
  <c r="AI7" i="63" s="1"/>
  <c r="AF7" i="63"/>
  <c r="AG7" i="63" s="1"/>
  <c r="AD7" i="63"/>
  <c r="AN7" i="63" s="1"/>
  <c r="Y7" i="63"/>
  <c r="W7" i="63"/>
  <c r="V7" i="63"/>
  <c r="T7" i="63"/>
  <c r="AM6" i="63"/>
  <c r="AK6" i="63"/>
  <c r="AH6" i="63"/>
  <c r="AI6" i="63" s="1"/>
  <c r="AG6" i="63"/>
  <c r="AL6" i="63" s="1"/>
  <c r="AF6" i="63"/>
  <c r="AD6" i="63"/>
  <c r="Y6" i="63"/>
  <c r="A14" i="63" s="1"/>
  <c r="V6" i="63"/>
  <c r="U6" i="63"/>
  <c r="T6" i="63"/>
  <c r="A6" i="63"/>
  <c r="AM5" i="63"/>
  <c r="AL5" i="63"/>
  <c r="AK5" i="63"/>
  <c r="AJ5" i="63"/>
  <c r="AI5" i="63"/>
  <c r="AH5" i="63"/>
  <c r="AG5" i="63"/>
  <c r="AF5" i="63"/>
  <c r="AD5" i="63"/>
  <c r="AN5" i="63" s="1"/>
  <c r="Y5" i="63"/>
  <c r="V5" i="63"/>
  <c r="U5" i="63"/>
  <c r="A16" i="63" s="1"/>
  <c r="T5" i="63"/>
  <c r="F1" i="63"/>
  <c r="AM24" i="62"/>
  <c r="AL24" i="62"/>
  <c r="AK24" i="62"/>
  <c r="AJ24" i="62"/>
  <c r="AI24" i="62"/>
  <c r="AH24" i="62"/>
  <c r="AG24" i="62"/>
  <c r="AF24" i="62"/>
  <c r="AE24" i="62"/>
  <c r="AD24" i="62"/>
  <c r="Y24" i="62"/>
  <c r="V24" i="62"/>
  <c r="T24" i="62"/>
  <c r="AM23" i="62"/>
  <c r="AL23" i="62"/>
  <c r="AK23" i="62"/>
  <c r="AJ23" i="62"/>
  <c r="AI23" i="62"/>
  <c r="AH23" i="62"/>
  <c r="AG23" i="62"/>
  <c r="AF23" i="62"/>
  <c r="AE23" i="62"/>
  <c r="AD23" i="62"/>
  <c r="Y23" i="62"/>
  <c r="V23" i="62"/>
  <c r="T23" i="62"/>
  <c r="AM22" i="62"/>
  <c r="AL22" i="62"/>
  <c r="AK22" i="62"/>
  <c r="AJ22" i="62"/>
  <c r="AI22" i="62"/>
  <c r="AH22" i="62"/>
  <c r="AG22" i="62"/>
  <c r="AF22" i="62"/>
  <c r="AE22" i="62"/>
  <c r="AD22" i="62"/>
  <c r="Y22" i="62"/>
  <c r="V22" i="62"/>
  <c r="T22" i="62"/>
  <c r="AM21" i="62"/>
  <c r="AL21" i="62"/>
  <c r="AK21" i="62"/>
  <c r="AJ21" i="62"/>
  <c r="AI21" i="62"/>
  <c r="AH21" i="62"/>
  <c r="AG21" i="62"/>
  <c r="AF21" i="62"/>
  <c r="AE21" i="62"/>
  <c r="AD21" i="62"/>
  <c r="Y21" i="62"/>
  <c r="V21" i="62"/>
  <c r="T21" i="62"/>
  <c r="AM20" i="62"/>
  <c r="AL20" i="62"/>
  <c r="AK20" i="62"/>
  <c r="AJ20" i="62"/>
  <c r="AI20" i="62"/>
  <c r="AH20" i="62"/>
  <c r="AG20" i="62"/>
  <c r="AF20" i="62"/>
  <c r="AE20" i="62"/>
  <c r="AD20" i="62"/>
  <c r="Y20" i="62"/>
  <c r="V20" i="62"/>
  <c r="T20" i="62"/>
  <c r="AM19" i="62"/>
  <c r="AL19" i="62"/>
  <c r="AK19" i="62"/>
  <c r="AJ19" i="62"/>
  <c r="AI19" i="62"/>
  <c r="AH19" i="62"/>
  <c r="AG19" i="62"/>
  <c r="AF19" i="62"/>
  <c r="AE19" i="62"/>
  <c r="AD19" i="62"/>
  <c r="Y19" i="62"/>
  <c r="V19" i="62"/>
  <c r="T19" i="62"/>
  <c r="AM18" i="62"/>
  <c r="AL18" i="62"/>
  <c r="AK18" i="62"/>
  <c r="AJ18" i="62"/>
  <c r="AI18" i="62"/>
  <c r="AH18" i="62"/>
  <c r="AG18" i="62"/>
  <c r="AF18" i="62"/>
  <c r="AE18" i="62"/>
  <c r="AD18" i="62"/>
  <c r="Y18" i="62"/>
  <c r="V18" i="62"/>
  <c r="T18" i="62"/>
  <c r="AM17" i="62"/>
  <c r="AL17" i="62"/>
  <c r="AK17" i="62"/>
  <c r="AJ17" i="62"/>
  <c r="AI17" i="62"/>
  <c r="AH17" i="62"/>
  <c r="AG17" i="62"/>
  <c r="AF17" i="62"/>
  <c r="AE17" i="62"/>
  <c r="AD17" i="62"/>
  <c r="Y17" i="62"/>
  <c r="V17" i="62"/>
  <c r="T17" i="62"/>
  <c r="AM16" i="62"/>
  <c r="AL16" i="62"/>
  <c r="AK16" i="62"/>
  <c r="AJ16" i="62"/>
  <c r="AI16" i="62"/>
  <c r="AH16" i="62"/>
  <c r="AG16" i="62"/>
  <c r="AF16" i="62"/>
  <c r="AE16" i="62"/>
  <c r="AD16" i="62"/>
  <c r="Y16" i="62"/>
  <c r="V16" i="62"/>
  <c r="T16" i="62"/>
  <c r="AM15" i="62"/>
  <c r="AL15" i="62"/>
  <c r="AK15" i="62"/>
  <c r="AJ15" i="62"/>
  <c r="AI15" i="62"/>
  <c r="AH15" i="62"/>
  <c r="AG15" i="62"/>
  <c r="AF15" i="62"/>
  <c r="AE15" i="62"/>
  <c r="AD15" i="62"/>
  <c r="Y15" i="62"/>
  <c r="V15" i="62"/>
  <c r="T15" i="62"/>
  <c r="AM14" i="62"/>
  <c r="AL14" i="62"/>
  <c r="AK14" i="62"/>
  <c r="AJ14" i="62"/>
  <c r="AI14" i="62"/>
  <c r="AH14" i="62"/>
  <c r="AG14" i="62"/>
  <c r="AF14" i="62"/>
  <c r="AE14" i="62"/>
  <c r="AD14" i="62"/>
  <c r="Y14" i="62"/>
  <c r="V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V13" i="62"/>
  <c r="T13" i="62"/>
  <c r="AM12" i="62"/>
  <c r="AL12" i="62"/>
  <c r="AK12" i="62"/>
  <c r="AJ12" i="62"/>
  <c r="AI12" i="62"/>
  <c r="AH12" i="62"/>
  <c r="AG12" i="62"/>
  <c r="AF12" i="62"/>
  <c r="AE12" i="62"/>
  <c r="AD12" i="62"/>
  <c r="Y12" i="62"/>
  <c r="V12" i="62"/>
  <c r="T12" i="62"/>
  <c r="A12" i="62"/>
  <c r="AM11" i="62"/>
  <c r="AL11" i="62"/>
  <c r="AK11" i="62"/>
  <c r="AJ11" i="62"/>
  <c r="AI11" i="62"/>
  <c r="AH11" i="62"/>
  <c r="AG11" i="62"/>
  <c r="AF11" i="62"/>
  <c r="AE11" i="62"/>
  <c r="AD11" i="62"/>
  <c r="Y11" i="62"/>
  <c r="V11" i="62"/>
  <c r="T11" i="62"/>
  <c r="AM10" i="62"/>
  <c r="AL10" i="62"/>
  <c r="AK10" i="62"/>
  <c r="AJ10" i="62"/>
  <c r="AI10" i="62"/>
  <c r="AH10" i="62"/>
  <c r="AG10" i="62"/>
  <c r="AF10" i="62"/>
  <c r="AE10" i="62"/>
  <c r="AD10" i="62"/>
  <c r="Y10" i="62"/>
  <c r="V10" i="62"/>
  <c r="T10" i="62"/>
  <c r="A10" i="62"/>
  <c r="W23" i="62" s="1"/>
  <c r="AM9" i="62"/>
  <c r="AL9" i="62"/>
  <c r="AK9" i="62"/>
  <c r="AJ9" i="62"/>
  <c r="AI9" i="62"/>
  <c r="AH9" i="62"/>
  <c r="AG9" i="62"/>
  <c r="AF9" i="62"/>
  <c r="AE9" i="62"/>
  <c r="AD9" i="62"/>
  <c r="AN9" i="62" s="1"/>
  <c r="Y9" i="62"/>
  <c r="W9" i="62"/>
  <c r="V9" i="62"/>
  <c r="U9" i="62"/>
  <c r="T9" i="62"/>
  <c r="AM8" i="62"/>
  <c r="AK8" i="62"/>
  <c r="AF8" i="62"/>
  <c r="AG8" i="62" s="1"/>
  <c r="Y8" i="62"/>
  <c r="W8" i="62"/>
  <c r="V8" i="62"/>
  <c r="T8" i="62"/>
  <c r="AH8" i="62" s="1"/>
  <c r="AI8" i="62" s="1"/>
  <c r="A20" i="62"/>
  <c r="O38" i="67" s="1"/>
  <c r="AM7" i="62"/>
  <c r="AK7" i="62"/>
  <c r="AF7" i="62"/>
  <c r="AG7" i="62" s="1"/>
  <c r="Y7" i="62"/>
  <c r="V7" i="62"/>
  <c r="T7" i="62"/>
  <c r="AH7" i="62" s="1"/>
  <c r="AI7" i="62" s="1"/>
  <c r="AK6" i="62"/>
  <c r="AF6" i="62"/>
  <c r="AG6" i="62" s="1"/>
  <c r="Y6" i="62"/>
  <c r="V6" i="62"/>
  <c r="T6" i="62"/>
  <c r="AD6" i="62" s="1"/>
  <c r="AM5" i="62"/>
  <c r="AL5" i="62"/>
  <c r="AK5" i="62"/>
  <c r="AJ5" i="62"/>
  <c r="AI5" i="62"/>
  <c r="AH5" i="62"/>
  <c r="AG5" i="62"/>
  <c r="AF5" i="62"/>
  <c r="AD5" i="62"/>
  <c r="AN5" i="62" s="1"/>
  <c r="Y5" i="62"/>
  <c r="W5" i="62"/>
  <c r="V5" i="62"/>
  <c r="U5" i="62"/>
  <c r="T5" i="62"/>
  <c r="F1" i="62"/>
  <c r="AM24" i="61"/>
  <c r="AL24" i="61"/>
  <c r="AK24" i="61"/>
  <c r="AJ24" i="61"/>
  <c r="AI24" i="61"/>
  <c r="AH24" i="61"/>
  <c r="AG24" i="61"/>
  <c r="AF24" i="61"/>
  <c r="AE24" i="61"/>
  <c r="AD24" i="61"/>
  <c r="Y24" i="61"/>
  <c r="V24" i="61"/>
  <c r="U24" i="61"/>
  <c r="T24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T23" i="61"/>
  <c r="AM22" i="61"/>
  <c r="AL22" i="61"/>
  <c r="AK22" i="61"/>
  <c r="AJ22" i="61"/>
  <c r="AI22" i="61"/>
  <c r="AH22" i="61"/>
  <c r="AG22" i="61"/>
  <c r="AF22" i="61"/>
  <c r="AE22" i="61"/>
  <c r="AD22" i="61"/>
  <c r="Y22" i="61"/>
  <c r="V22" i="61"/>
  <c r="T22" i="61"/>
  <c r="AM21" i="61"/>
  <c r="AL21" i="61"/>
  <c r="AK21" i="61"/>
  <c r="AJ21" i="61"/>
  <c r="AI21" i="61"/>
  <c r="AH21" i="61"/>
  <c r="AG21" i="61"/>
  <c r="AF21" i="61"/>
  <c r="AE21" i="61"/>
  <c r="AD21" i="61"/>
  <c r="Y21" i="61"/>
  <c r="V21" i="61"/>
  <c r="T21" i="61"/>
  <c r="AM20" i="61"/>
  <c r="AL20" i="61"/>
  <c r="AK20" i="61"/>
  <c r="AJ20" i="61"/>
  <c r="AI20" i="61"/>
  <c r="AH20" i="61"/>
  <c r="AG20" i="61"/>
  <c r="AF20" i="61"/>
  <c r="AE20" i="61"/>
  <c r="AD20" i="61"/>
  <c r="Y20" i="61"/>
  <c r="V20" i="61"/>
  <c r="U20" i="61"/>
  <c r="T20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T19" i="61"/>
  <c r="AM18" i="61"/>
  <c r="AL18" i="61"/>
  <c r="AK18" i="61"/>
  <c r="AJ18" i="61"/>
  <c r="AI18" i="61"/>
  <c r="AH18" i="61"/>
  <c r="AG18" i="61"/>
  <c r="AF18" i="61"/>
  <c r="AE18" i="61"/>
  <c r="AD18" i="61"/>
  <c r="Y18" i="61"/>
  <c r="V18" i="61"/>
  <c r="T18" i="61"/>
  <c r="AM17" i="61"/>
  <c r="AL17" i="61"/>
  <c r="AK17" i="61"/>
  <c r="AJ17" i="61"/>
  <c r="AI17" i="61"/>
  <c r="AH17" i="61"/>
  <c r="AG17" i="61"/>
  <c r="AF17" i="61"/>
  <c r="AE17" i="61"/>
  <c r="AD17" i="61"/>
  <c r="Y17" i="61"/>
  <c r="V17" i="61"/>
  <c r="T17" i="61"/>
  <c r="AM16" i="61"/>
  <c r="AL16" i="61"/>
  <c r="AK16" i="61"/>
  <c r="AJ16" i="61"/>
  <c r="AI16" i="61"/>
  <c r="AH16" i="61"/>
  <c r="AG16" i="61"/>
  <c r="AF16" i="61"/>
  <c r="AE16" i="61"/>
  <c r="AD16" i="61"/>
  <c r="Y16" i="61"/>
  <c r="V16" i="61"/>
  <c r="U16" i="61"/>
  <c r="T16" i="61"/>
  <c r="AM15" i="61"/>
  <c r="AL15" i="61"/>
  <c r="AK15" i="61"/>
  <c r="AJ15" i="61"/>
  <c r="AI15" i="61"/>
  <c r="AH15" i="61"/>
  <c r="AG15" i="61"/>
  <c r="AF15" i="61"/>
  <c r="AE15" i="61"/>
  <c r="AN15" i="61" s="1"/>
  <c r="AD15" i="61"/>
  <c r="Y15" i="61"/>
  <c r="V15" i="61"/>
  <c r="T15" i="61"/>
  <c r="AM14" i="61"/>
  <c r="AL14" i="61"/>
  <c r="AK14" i="61"/>
  <c r="AJ14" i="61"/>
  <c r="AI14" i="61"/>
  <c r="AH14" i="61"/>
  <c r="AG14" i="61"/>
  <c r="AF14" i="61"/>
  <c r="AE14" i="61"/>
  <c r="AD14" i="61"/>
  <c r="Y14" i="61"/>
  <c r="V14" i="61"/>
  <c r="T14" i="61"/>
  <c r="AM13" i="61"/>
  <c r="AL13" i="61"/>
  <c r="AK13" i="61"/>
  <c r="AJ13" i="61"/>
  <c r="AI13" i="61"/>
  <c r="AH13" i="61"/>
  <c r="AG13" i="61"/>
  <c r="AF13" i="61"/>
  <c r="AE13" i="61"/>
  <c r="AD13" i="61"/>
  <c r="Y13" i="61"/>
  <c r="V13" i="61"/>
  <c r="T13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T12" i="61"/>
  <c r="A12" i="61"/>
  <c r="AM11" i="61"/>
  <c r="AL11" i="61"/>
  <c r="AK11" i="61"/>
  <c r="AJ11" i="61"/>
  <c r="AI11" i="61"/>
  <c r="AH11" i="61"/>
  <c r="AG11" i="61"/>
  <c r="AF11" i="61"/>
  <c r="AE11" i="61"/>
  <c r="AD11" i="61"/>
  <c r="AN11" i="61" s="1"/>
  <c r="Y11" i="61"/>
  <c r="W11" i="61"/>
  <c r="V11" i="61"/>
  <c r="T11" i="61"/>
  <c r="AM10" i="61"/>
  <c r="AL10" i="61"/>
  <c r="AK10" i="61"/>
  <c r="AJ10" i="61"/>
  <c r="AI10" i="61"/>
  <c r="AH10" i="61"/>
  <c r="AG10" i="61"/>
  <c r="AF10" i="61"/>
  <c r="AE10" i="61"/>
  <c r="AD10" i="61"/>
  <c r="Y10" i="61"/>
  <c r="V10" i="61"/>
  <c r="T10" i="61"/>
  <c r="A10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M8" i="61"/>
  <c r="AL8" i="61"/>
  <c r="AK8" i="61"/>
  <c r="AJ8" i="61"/>
  <c r="AI8" i="61"/>
  <c r="AH8" i="61"/>
  <c r="AG8" i="61"/>
  <c r="AF8" i="61"/>
  <c r="AD8" i="61"/>
  <c r="AN8" i="61" s="1"/>
  <c r="Y8" i="61"/>
  <c r="W8" i="61"/>
  <c r="V8" i="61"/>
  <c r="T8" i="61"/>
  <c r="AM7" i="61"/>
  <c r="AL7" i="61"/>
  <c r="AK7" i="61"/>
  <c r="AJ7" i="61"/>
  <c r="AI7" i="61"/>
  <c r="AH7" i="61"/>
  <c r="AG7" i="61"/>
  <c r="AF7" i="61"/>
  <c r="AD7" i="61"/>
  <c r="AN7" i="61" s="1"/>
  <c r="Y7" i="61"/>
  <c r="V7" i="61"/>
  <c r="T7" i="61"/>
  <c r="AM6" i="61"/>
  <c r="AK6" i="61"/>
  <c r="AH6" i="61"/>
  <c r="AI6" i="61" s="1"/>
  <c r="AG6" i="61"/>
  <c r="AL6" i="61" s="1"/>
  <c r="AF6" i="61"/>
  <c r="AD6" i="61"/>
  <c r="Y6" i="61"/>
  <c r="A14" i="61" s="1"/>
  <c r="V6" i="61"/>
  <c r="U6" i="61"/>
  <c r="T6" i="61"/>
  <c r="A6" i="61"/>
  <c r="AM5" i="61"/>
  <c r="AL5" i="61"/>
  <c r="AK5" i="61"/>
  <c r="AJ5" i="61"/>
  <c r="AI5" i="61"/>
  <c r="AH5" i="61"/>
  <c r="AG5" i="61"/>
  <c r="AF5" i="61"/>
  <c r="AD5" i="61"/>
  <c r="AN5" i="61" s="1"/>
  <c r="Y5" i="61"/>
  <c r="V5" i="61"/>
  <c r="U5" i="61"/>
  <c r="A16" i="61" s="1"/>
  <c r="T5" i="61"/>
  <c r="F1" i="61"/>
  <c r="AM24" i="60"/>
  <c r="AK24" i="60"/>
  <c r="AF24" i="60"/>
  <c r="AG24" i="60" s="1"/>
  <c r="Y24" i="60"/>
  <c r="V24" i="60"/>
  <c r="T24" i="60"/>
  <c r="AH24" i="60" s="1"/>
  <c r="AI24" i="60" s="1"/>
  <c r="AM23" i="60"/>
  <c r="AK23" i="60"/>
  <c r="AH23" i="60"/>
  <c r="AI23" i="60" s="1"/>
  <c r="AF23" i="60"/>
  <c r="AG23" i="60" s="1"/>
  <c r="AE23" i="60"/>
  <c r="Y23" i="60"/>
  <c r="V23" i="60"/>
  <c r="T23" i="60"/>
  <c r="AD23" i="60" s="1"/>
  <c r="AM22" i="60"/>
  <c r="AK22" i="60"/>
  <c r="AF22" i="60"/>
  <c r="AG22" i="60" s="1"/>
  <c r="Y22" i="60"/>
  <c r="V22" i="60"/>
  <c r="T22" i="60"/>
  <c r="AE22" i="60" s="1"/>
  <c r="AM21" i="60"/>
  <c r="AK21" i="60"/>
  <c r="AF21" i="60"/>
  <c r="AG21" i="60" s="1"/>
  <c r="Y21" i="60"/>
  <c r="V21" i="60"/>
  <c r="T21" i="60"/>
  <c r="AE21" i="60" s="1"/>
  <c r="AM20" i="60"/>
  <c r="AK20" i="60"/>
  <c r="AF20" i="60"/>
  <c r="AG20" i="60" s="1"/>
  <c r="Y20" i="60"/>
  <c r="V20" i="60"/>
  <c r="T20" i="60"/>
  <c r="AH20" i="60" s="1"/>
  <c r="AI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AJ18" i="60" s="1"/>
  <c r="Y18" i="60"/>
  <c r="V18" i="60"/>
  <c r="T18" i="60"/>
  <c r="AH18" i="60" s="1"/>
  <c r="AI18" i="60" s="1"/>
  <c r="AM17" i="60"/>
  <c r="AK17" i="60"/>
  <c r="AF17" i="60"/>
  <c r="AG17" i="60" s="1"/>
  <c r="AD17" i="60"/>
  <c r="Y17" i="60"/>
  <c r="V17" i="60"/>
  <c r="T17" i="60"/>
  <c r="AH17" i="60" s="1"/>
  <c r="AI17" i="60" s="1"/>
  <c r="AM16" i="60"/>
  <c r="AK16" i="60"/>
  <c r="AF16" i="60"/>
  <c r="AG16" i="60" s="1"/>
  <c r="AD16" i="60"/>
  <c r="Y16" i="60"/>
  <c r="V16" i="60"/>
  <c r="T16" i="60"/>
  <c r="AH16" i="60" s="1"/>
  <c r="AI16" i="60" s="1"/>
  <c r="AM15" i="60"/>
  <c r="AK15" i="60"/>
  <c r="AH15" i="60"/>
  <c r="AI15" i="60" s="1"/>
  <c r="AF15" i="60"/>
  <c r="AG15" i="60" s="1"/>
  <c r="Y15" i="60"/>
  <c r="V15" i="60"/>
  <c r="T15" i="60"/>
  <c r="AE15" i="60" s="1"/>
  <c r="AM14" i="60"/>
  <c r="AK14" i="60"/>
  <c r="AF14" i="60"/>
  <c r="AG14" i="60" s="1"/>
  <c r="Y14" i="60"/>
  <c r="V14" i="60"/>
  <c r="T14" i="60"/>
  <c r="AE14" i="60" s="1"/>
  <c r="AM13" i="60"/>
  <c r="AK13" i="60"/>
  <c r="AG13" i="60"/>
  <c r="AF13" i="60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F11" i="60"/>
  <c r="AG11" i="60" s="1"/>
  <c r="Y11" i="60"/>
  <c r="V11" i="60"/>
  <c r="T11" i="60"/>
  <c r="AH11" i="60" s="1"/>
  <c r="AI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L8" i="60"/>
  <c r="AK8" i="60"/>
  <c r="AJ8" i="60"/>
  <c r="AI8" i="60"/>
  <c r="AH8" i="60"/>
  <c r="AG8" i="60"/>
  <c r="AF8" i="60"/>
  <c r="AD8" i="60"/>
  <c r="AN8" i="60" s="1"/>
  <c r="Y8" i="60"/>
  <c r="V8" i="60"/>
  <c r="T8" i="60"/>
  <c r="AM7" i="60"/>
  <c r="AL7" i="60"/>
  <c r="AK7" i="60"/>
  <c r="AJ7" i="60"/>
  <c r="AI7" i="60"/>
  <c r="AH7" i="60"/>
  <c r="AG7" i="60"/>
  <c r="AF7" i="60"/>
  <c r="AD7" i="60"/>
  <c r="AN7" i="60" s="1"/>
  <c r="Y7" i="60"/>
  <c r="V7" i="60"/>
  <c r="T7" i="60"/>
  <c r="AM6" i="60"/>
  <c r="AL6" i="60"/>
  <c r="AK6" i="60"/>
  <c r="AJ6" i="60"/>
  <c r="AI6" i="60"/>
  <c r="AH6" i="60"/>
  <c r="AG6" i="60"/>
  <c r="AF6" i="60"/>
  <c r="AD6" i="60"/>
  <c r="AN6" i="60" s="1"/>
  <c r="Y6" i="60"/>
  <c r="V6" i="60"/>
  <c r="U6" i="60"/>
  <c r="T6" i="60"/>
  <c r="AM5" i="60"/>
  <c r="AL5" i="60"/>
  <c r="AK5" i="60"/>
  <c r="AJ5" i="60"/>
  <c r="AI5" i="60"/>
  <c r="AH5" i="60"/>
  <c r="AG5" i="60"/>
  <c r="AF5" i="60"/>
  <c r="AD5" i="60"/>
  <c r="AN5" i="60" s="1"/>
  <c r="Y5" i="60"/>
  <c r="V5" i="60"/>
  <c r="T5" i="60"/>
  <c r="F1" i="60"/>
  <c r="AK24" i="59"/>
  <c r="AF24" i="59"/>
  <c r="AG24" i="59" s="1"/>
  <c r="Y24" i="59"/>
  <c r="V24" i="59"/>
  <c r="T24" i="59"/>
  <c r="AE24" i="59" s="1"/>
  <c r="AK23" i="59"/>
  <c r="AH23" i="59"/>
  <c r="AI23" i="59" s="1"/>
  <c r="AF23" i="59"/>
  <c r="AG23" i="59" s="1"/>
  <c r="Y23" i="59"/>
  <c r="V23" i="59"/>
  <c r="T23" i="59"/>
  <c r="AE23" i="59" s="1"/>
  <c r="AK22" i="59"/>
  <c r="AF22" i="59"/>
  <c r="AG22" i="59" s="1"/>
  <c r="Y22" i="59"/>
  <c r="V22" i="59"/>
  <c r="T22" i="59"/>
  <c r="AH22" i="59" s="1"/>
  <c r="AI22" i="59" s="1"/>
  <c r="AM21" i="59"/>
  <c r="AK21" i="59"/>
  <c r="AF21" i="59"/>
  <c r="AG21" i="59" s="1"/>
  <c r="Y21" i="59"/>
  <c r="V21" i="59"/>
  <c r="T21" i="59"/>
  <c r="AH21" i="59" s="1"/>
  <c r="AI21" i="59" s="1"/>
  <c r="AK20" i="59"/>
  <c r="AF20" i="59"/>
  <c r="AG20" i="59" s="1"/>
  <c r="Y20" i="59"/>
  <c r="V20" i="59"/>
  <c r="T20" i="59"/>
  <c r="AH20" i="59" s="1"/>
  <c r="AI20" i="59" s="1"/>
  <c r="AM19" i="59"/>
  <c r="AK19" i="59"/>
  <c r="AF19" i="59"/>
  <c r="AG19" i="59" s="1"/>
  <c r="Y19" i="59"/>
  <c r="V19" i="59"/>
  <c r="T19" i="59"/>
  <c r="AH19" i="59" s="1"/>
  <c r="AI19" i="59" s="1"/>
  <c r="AK18" i="59"/>
  <c r="AF18" i="59"/>
  <c r="AG18" i="59" s="1"/>
  <c r="AD18" i="59"/>
  <c r="Y18" i="59"/>
  <c r="V18" i="59"/>
  <c r="T18" i="59"/>
  <c r="AM18" i="59" s="1"/>
  <c r="AM17" i="59"/>
  <c r="AK17" i="59"/>
  <c r="AF17" i="59"/>
  <c r="AG17" i="59" s="1"/>
  <c r="Y17" i="59"/>
  <c r="V17" i="59"/>
  <c r="T17" i="59"/>
  <c r="AE17" i="59" s="1"/>
  <c r="AK16" i="59"/>
  <c r="AH16" i="59"/>
  <c r="AI16" i="59" s="1"/>
  <c r="AF16" i="59"/>
  <c r="AG16" i="59" s="1"/>
  <c r="Y16" i="59"/>
  <c r="V16" i="59"/>
  <c r="T16" i="59"/>
  <c r="AE16" i="59" s="1"/>
  <c r="AM15" i="59"/>
  <c r="AK15" i="59"/>
  <c r="AF15" i="59"/>
  <c r="AG15" i="59" s="1"/>
  <c r="Y15" i="59"/>
  <c r="V15" i="59"/>
  <c r="T15" i="59"/>
  <c r="AH15" i="59" s="1"/>
  <c r="AI15" i="59" s="1"/>
  <c r="AM14" i="59"/>
  <c r="AK14" i="59"/>
  <c r="AF14" i="59"/>
  <c r="AG14" i="59" s="1"/>
  <c r="Y14" i="59"/>
  <c r="V14" i="59"/>
  <c r="T14" i="59"/>
  <c r="AH14" i="59" s="1"/>
  <c r="AI14" i="59" s="1"/>
  <c r="AM13" i="59"/>
  <c r="AL13" i="59"/>
  <c r="AK13" i="59"/>
  <c r="AJ13" i="59"/>
  <c r="AI13" i="59"/>
  <c r="AH13" i="59"/>
  <c r="AG13" i="59"/>
  <c r="AF13" i="59"/>
  <c r="AE13" i="59"/>
  <c r="AD13" i="59"/>
  <c r="Y13" i="59"/>
  <c r="V13" i="59"/>
  <c r="T13" i="59"/>
  <c r="AM12" i="59"/>
  <c r="AL12" i="59"/>
  <c r="AK12" i="59"/>
  <c r="AJ12" i="59"/>
  <c r="AI12" i="59"/>
  <c r="AH12" i="59"/>
  <c r="AG12" i="59"/>
  <c r="AF12" i="59"/>
  <c r="AE12" i="59"/>
  <c r="AD12" i="59"/>
  <c r="Y12" i="59"/>
  <c r="V12" i="59"/>
  <c r="T12" i="59"/>
  <c r="A12" i="59"/>
  <c r="AM11" i="59"/>
  <c r="AL11" i="59"/>
  <c r="AK11" i="59"/>
  <c r="AJ11" i="59"/>
  <c r="AI11" i="59"/>
  <c r="AH11" i="59"/>
  <c r="AG11" i="59"/>
  <c r="AF11" i="59"/>
  <c r="AE11" i="59"/>
  <c r="AD11" i="59"/>
  <c r="AN11" i="59" s="1"/>
  <c r="Y11" i="59"/>
  <c r="V11" i="59"/>
  <c r="T11" i="59"/>
  <c r="AM10" i="59"/>
  <c r="AL10" i="59"/>
  <c r="AK10" i="59"/>
  <c r="AJ10" i="59"/>
  <c r="AI10" i="59"/>
  <c r="AH10" i="59"/>
  <c r="AG10" i="59"/>
  <c r="AF10" i="59"/>
  <c r="AE10" i="59"/>
  <c r="AD10" i="59"/>
  <c r="Y10" i="59"/>
  <c r="V10" i="59"/>
  <c r="T10" i="59"/>
  <c r="A10" i="59"/>
  <c r="AM9" i="59"/>
  <c r="AL9" i="59"/>
  <c r="AK9" i="59"/>
  <c r="AJ9" i="59"/>
  <c r="AI9" i="59"/>
  <c r="AH9" i="59"/>
  <c r="AG9" i="59"/>
  <c r="AF9" i="59"/>
  <c r="AE9" i="59"/>
  <c r="AD9" i="59"/>
  <c r="Y9" i="59"/>
  <c r="V9" i="59"/>
  <c r="T9" i="59"/>
  <c r="AM8" i="59"/>
  <c r="AL8" i="59"/>
  <c r="AK8" i="59"/>
  <c r="AJ8" i="59"/>
  <c r="AI8" i="59"/>
  <c r="AH8" i="59"/>
  <c r="AG8" i="59"/>
  <c r="AF8" i="59"/>
  <c r="AD8" i="59"/>
  <c r="AN8" i="59" s="1"/>
  <c r="Y8" i="59"/>
  <c r="V8" i="59"/>
  <c r="T8" i="59"/>
  <c r="AM7" i="59"/>
  <c r="AL7" i="59"/>
  <c r="AK7" i="59"/>
  <c r="AJ7" i="59"/>
  <c r="AI7" i="59"/>
  <c r="AH7" i="59"/>
  <c r="AG7" i="59"/>
  <c r="AF7" i="59"/>
  <c r="AD7" i="59"/>
  <c r="AN7" i="59" s="1"/>
  <c r="Y7" i="59"/>
  <c r="V7" i="59"/>
  <c r="T7" i="59"/>
  <c r="AM6" i="59"/>
  <c r="AL6" i="59"/>
  <c r="AK6" i="59"/>
  <c r="AJ6" i="59"/>
  <c r="AI6" i="59"/>
  <c r="AH6" i="59"/>
  <c r="AG6" i="59"/>
  <c r="AF6" i="59"/>
  <c r="AD6" i="59"/>
  <c r="AN6" i="59" s="1"/>
  <c r="Y6" i="59"/>
  <c r="V6" i="59"/>
  <c r="T6" i="59"/>
  <c r="A6" i="59"/>
  <c r="AM5" i="59"/>
  <c r="AL5" i="59"/>
  <c r="AK5" i="59"/>
  <c r="AJ5" i="59"/>
  <c r="AI5" i="59"/>
  <c r="AH5" i="59"/>
  <c r="AG5" i="59"/>
  <c r="AF5" i="59"/>
  <c r="AD5" i="59"/>
  <c r="AN5" i="59" s="1"/>
  <c r="Y5" i="59"/>
  <c r="V5" i="59"/>
  <c r="T5" i="59"/>
  <c r="F1" i="59"/>
  <c r="AM24" i="58"/>
  <c r="AL24" i="58"/>
  <c r="AK24" i="58"/>
  <c r="AJ24" i="58"/>
  <c r="AI24" i="58"/>
  <c r="AH24" i="58"/>
  <c r="AG24" i="58"/>
  <c r="AF24" i="58"/>
  <c r="AE24" i="58"/>
  <c r="AD24" i="58"/>
  <c r="AN24" i="58" s="1"/>
  <c r="Y24" i="58"/>
  <c r="V24" i="58"/>
  <c r="T24" i="58"/>
  <c r="AM23" i="58"/>
  <c r="AL23" i="58"/>
  <c r="AK23" i="58"/>
  <c r="AJ23" i="58"/>
  <c r="AI23" i="58"/>
  <c r="AH23" i="58"/>
  <c r="AG23" i="58"/>
  <c r="AF23" i="58"/>
  <c r="AE23" i="58"/>
  <c r="AD23" i="58"/>
  <c r="Y23" i="58"/>
  <c r="V23" i="58"/>
  <c r="T23" i="58"/>
  <c r="AM22" i="58"/>
  <c r="AL22" i="58"/>
  <c r="AK22" i="58"/>
  <c r="AJ22" i="58"/>
  <c r="AI22" i="58"/>
  <c r="AH22" i="58"/>
  <c r="AG22" i="58"/>
  <c r="AF22" i="58"/>
  <c r="AE22" i="58"/>
  <c r="AD22" i="58"/>
  <c r="Y22" i="58"/>
  <c r="V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V21" i="58"/>
  <c r="T21" i="58"/>
  <c r="AM20" i="58"/>
  <c r="AL20" i="58"/>
  <c r="AK20" i="58"/>
  <c r="AJ20" i="58"/>
  <c r="AI20" i="58"/>
  <c r="AH20" i="58"/>
  <c r="AG20" i="58"/>
  <c r="AF20" i="58"/>
  <c r="AE20" i="58"/>
  <c r="AD20" i="58"/>
  <c r="Y20" i="58"/>
  <c r="V20" i="58"/>
  <c r="T20" i="58"/>
  <c r="AM19" i="58"/>
  <c r="AL19" i="58"/>
  <c r="AK19" i="58"/>
  <c r="AJ19" i="58"/>
  <c r="AI19" i="58"/>
  <c r="AH19" i="58"/>
  <c r="AG19" i="58"/>
  <c r="AF19" i="58"/>
  <c r="AE19" i="58"/>
  <c r="AD19" i="58"/>
  <c r="Y19" i="58"/>
  <c r="V19" i="58"/>
  <c r="T19" i="58"/>
  <c r="AM18" i="58"/>
  <c r="AL18" i="58"/>
  <c r="AK18" i="58"/>
  <c r="AJ18" i="58"/>
  <c r="AI18" i="58"/>
  <c r="AH18" i="58"/>
  <c r="AG18" i="58"/>
  <c r="AF18" i="58"/>
  <c r="AE18" i="58"/>
  <c r="AD18" i="58"/>
  <c r="Y18" i="58"/>
  <c r="V18" i="58"/>
  <c r="T18" i="58"/>
  <c r="AM17" i="58"/>
  <c r="AL17" i="58"/>
  <c r="AK17" i="58"/>
  <c r="AJ17" i="58"/>
  <c r="AI17" i="58"/>
  <c r="AH17" i="58"/>
  <c r="AG17" i="58"/>
  <c r="AF17" i="58"/>
  <c r="AE17" i="58"/>
  <c r="AD17" i="58"/>
  <c r="Y17" i="58"/>
  <c r="V17" i="58"/>
  <c r="T17" i="58"/>
  <c r="AM16" i="58"/>
  <c r="AL16" i="58"/>
  <c r="AK16" i="58"/>
  <c r="AJ16" i="58"/>
  <c r="AI16" i="58"/>
  <c r="AH16" i="58"/>
  <c r="AG16" i="58"/>
  <c r="AF16" i="58"/>
  <c r="AE16" i="58"/>
  <c r="AD16" i="58"/>
  <c r="Y16" i="58"/>
  <c r="V16" i="58"/>
  <c r="T16" i="58"/>
  <c r="AM15" i="58"/>
  <c r="AL15" i="58"/>
  <c r="AK15" i="58"/>
  <c r="AJ15" i="58"/>
  <c r="AI15" i="58"/>
  <c r="AH15" i="58"/>
  <c r="AG15" i="58"/>
  <c r="AF15" i="58"/>
  <c r="AE15" i="58"/>
  <c r="AD15" i="58"/>
  <c r="Y15" i="58"/>
  <c r="V15" i="58"/>
  <c r="T15" i="58"/>
  <c r="AM14" i="58"/>
  <c r="AK14" i="58"/>
  <c r="AF14" i="58"/>
  <c r="AG14" i="58" s="1"/>
  <c r="Y14" i="58"/>
  <c r="V14" i="58"/>
  <c r="T14" i="58"/>
  <c r="AH14" i="58" s="1"/>
  <c r="AI14" i="58" s="1"/>
  <c r="AK13" i="58"/>
  <c r="AF13" i="58"/>
  <c r="AG13" i="58" s="1"/>
  <c r="Y13" i="58"/>
  <c r="V13" i="58"/>
  <c r="T13" i="58"/>
  <c r="AD13" i="58" s="1"/>
  <c r="AM12" i="58"/>
  <c r="AK12" i="58"/>
  <c r="AF12" i="58"/>
  <c r="AG12" i="58" s="1"/>
  <c r="Y12" i="58"/>
  <c r="V12" i="58"/>
  <c r="T12" i="58"/>
  <c r="AH12" i="58" s="1"/>
  <c r="AI12" i="58" s="1"/>
  <c r="A12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E10" i="58" s="1"/>
  <c r="A10" i="58"/>
  <c r="W12" i="58" s="1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T9" i="58"/>
  <c r="AM8" i="58"/>
  <c r="AL8" i="58"/>
  <c r="AK8" i="58"/>
  <c r="AJ8" i="58"/>
  <c r="AI8" i="58"/>
  <c r="AH8" i="58"/>
  <c r="AG8" i="58"/>
  <c r="AF8" i="58"/>
  <c r="AD8" i="58"/>
  <c r="AN8" i="58" s="1"/>
  <c r="Y8" i="58"/>
  <c r="V8" i="58"/>
  <c r="T8" i="58"/>
  <c r="AM7" i="58"/>
  <c r="AL7" i="58"/>
  <c r="AK7" i="58"/>
  <c r="AJ7" i="58"/>
  <c r="AI7" i="58"/>
  <c r="AH7" i="58"/>
  <c r="AG7" i="58"/>
  <c r="AF7" i="58"/>
  <c r="AD7" i="58"/>
  <c r="AN7" i="58" s="1"/>
  <c r="Y7" i="58"/>
  <c r="V7" i="58"/>
  <c r="T7" i="58"/>
  <c r="AM6" i="58"/>
  <c r="AL6" i="58"/>
  <c r="AK6" i="58"/>
  <c r="AJ6" i="58"/>
  <c r="AI6" i="58"/>
  <c r="AH6" i="58"/>
  <c r="AG6" i="58"/>
  <c r="AF6" i="58"/>
  <c r="AD6" i="58"/>
  <c r="AN6" i="58" s="1"/>
  <c r="Y6" i="58"/>
  <c r="V6" i="58"/>
  <c r="T6" i="58"/>
  <c r="A6" i="58"/>
  <c r="AM5" i="58"/>
  <c r="AL5" i="58"/>
  <c r="AK5" i="58"/>
  <c r="AJ5" i="58"/>
  <c r="AI5" i="58"/>
  <c r="AH5" i="58"/>
  <c r="AG5" i="58"/>
  <c r="AF5" i="58"/>
  <c r="AD5" i="58"/>
  <c r="AN5" i="58" s="1"/>
  <c r="Y5" i="58"/>
  <c r="V5" i="58"/>
  <c r="T5" i="58"/>
  <c r="F1" i="58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H46" i="57" s="1"/>
  <c r="AI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H44" i="57" s="1"/>
  <c r="AI44" i="57" s="1"/>
  <c r="AK43" i="57"/>
  <c r="AF43" i="57"/>
  <c r="AG43" i="57" s="1"/>
  <c r="Y43" i="57"/>
  <c r="V43" i="57"/>
  <c r="T43" i="57"/>
  <c r="AD43" i="57" s="1"/>
  <c r="AM42" i="57"/>
  <c r="AK42" i="57"/>
  <c r="AF42" i="57"/>
  <c r="AG42" i="57" s="1"/>
  <c r="Y42" i="57"/>
  <c r="V42" i="57"/>
  <c r="T42" i="57"/>
  <c r="AE42" i="57" s="1"/>
  <c r="AM41" i="57"/>
  <c r="AK41" i="57"/>
  <c r="AH41" i="57"/>
  <c r="AI41" i="57" s="1"/>
  <c r="AG41" i="57"/>
  <c r="AF41" i="57"/>
  <c r="AD41" i="57"/>
  <c r="Y41" i="57"/>
  <c r="V41" i="57"/>
  <c r="T41" i="57"/>
  <c r="AE41" i="57" s="1"/>
  <c r="AM40" i="57"/>
  <c r="AK40" i="57"/>
  <c r="AF40" i="57"/>
  <c r="AG40" i="57" s="1"/>
  <c r="Y40" i="57"/>
  <c r="V40" i="57"/>
  <c r="T40" i="57"/>
  <c r="AH40" i="57" s="1"/>
  <c r="AI40" i="57" s="1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E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H36" i="57" s="1"/>
  <c r="AI36" i="57" s="1"/>
  <c r="AM35" i="57"/>
  <c r="AL35" i="57"/>
  <c r="AK35" i="57"/>
  <c r="AJ35" i="57"/>
  <c r="AI35" i="57"/>
  <c r="AH35" i="57"/>
  <c r="AG35" i="57"/>
  <c r="AF35" i="57"/>
  <c r="AE35" i="57"/>
  <c r="AD35" i="57"/>
  <c r="Y35" i="57"/>
  <c r="V35" i="57"/>
  <c r="T35" i="57"/>
  <c r="AM34" i="57"/>
  <c r="AL34" i="57"/>
  <c r="AK34" i="57"/>
  <c r="AJ34" i="57"/>
  <c r="AI34" i="57"/>
  <c r="AH34" i="57"/>
  <c r="AG34" i="57"/>
  <c r="AF34" i="57"/>
  <c r="AE34" i="57"/>
  <c r="AD34" i="57"/>
  <c r="Y34" i="57"/>
  <c r="V34" i="57"/>
  <c r="T34" i="57"/>
  <c r="AM33" i="57"/>
  <c r="AL33" i="57"/>
  <c r="AK33" i="57"/>
  <c r="AJ33" i="57"/>
  <c r="AI33" i="57"/>
  <c r="AH33" i="57"/>
  <c r="AG33" i="57"/>
  <c r="AF33" i="57"/>
  <c r="AE33" i="57"/>
  <c r="AD33" i="57"/>
  <c r="AN33" i="57" s="1"/>
  <c r="Y33" i="57"/>
  <c r="V33" i="57"/>
  <c r="T33" i="57"/>
  <c r="AM32" i="57"/>
  <c r="AL32" i="57"/>
  <c r="AK32" i="57"/>
  <c r="AJ32" i="57"/>
  <c r="AI32" i="57"/>
  <c r="AH32" i="57"/>
  <c r="AG32" i="57"/>
  <c r="AF32" i="57"/>
  <c r="AE32" i="57"/>
  <c r="AD32" i="57"/>
  <c r="AN32" i="57" s="1"/>
  <c r="Y32" i="57"/>
  <c r="V32" i="57"/>
  <c r="T32" i="57"/>
  <c r="AM31" i="57"/>
  <c r="AL31" i="57"/>
  <c r="AK31" i="57"/>
  <c r="AJ31" i="57"/>
  <c r="AI31" i="57"/>
  <c r="AH31" i="57"/>
  <c r="AG31" i="57"/>
  <c r="AF31" i="57"/>
  <c r="AE31" i="57"/>
  <c r="AD31" i="57"/>
  <c r="Y31" i="57"/>
  <c r="V31" i="57"/>
  <c r="T31" i="57"/>
  <c r="AM30" i="57"/>
  <c r="AL30" i="57"/>
  <c r="AK30" i="57"/>
  <c r="AJ30" i="57"/>
  <c r="AI30" i="57"/>
  <c r="AH30" i="57"/>
  <c r="AG30" i="57"/>
  <c r="AF30" i="57"/>
  <c r="AE30" i="57"/>
  <c r="AD30" i="57"/>
  <c r="Y30" i="57"/>
  <c r="V30" i="57"/>
  <c r="T30" i="57"/>
  <c r="AM29" i="57"/>
  <c r="AL29" i="57"/>
  <c r="AK29" i="57"/>
  <c r="AJ29" i="57"/>
  <c r="AI29" i="57"/>
  <c r="AH29" i="57"/>
  <c r="AG29" i="57"/>
  <c r="AF29" i="57"/>
  <c r="AE29" i="57"/>
  <c r="AD29" i="57"/>
  <c r="Y29" i="57"/>
  <c r="V29" i="57"/>
  <c r="T29" i="57"/>
  <c r="AM28" i="57"/>
  <c r="AL28" i="57"/>
  <c r="AK28" i="57"/>
  <c r="AJ28" i="57"/>
  <c r="AI28" i="57"/>
  <c r="AH28" i="57"/>
  <c r="AG28" i="57"/>
  <c r="AF28" i="57"/>
  <c r="AE28" i="57"/>
  <c r="AD28" i="57"/>
  <c r="Y28" i="57"/>
  <c r="V28" i="57"/>
  <c r="T28" i="57"/>
  <c r="AM27" i="57"/>
  <c r="AL27" i="57"/>
  <c r="AK27" i="57"/>
  <c r="AJ27" i="57"/>
  <c r="AI27" i="57"/>
  <c r="AH27" i="57"/>
  <c r="AG27" i="57"/>
  <c r="AF27" i="57"/>
  <c r="AE27" i="57"/>
  <c r="AD27" i="57"/>
  <c r="Y27" i="57"/>
  <c r="V27" i="57"/>
  <c r="T27" i="57"/>
  <c r="AM26" i="57"/>
  <c r="AL26" i="57"/>
  <c r="AK26" i="57"/>
  <c r="AJ26" i="57"/>
  <c r="AI26" i="57"/>
  <c r="AH26" i="57"/>
  <c r="AG26" i="57"/>
  <c r="AF26" i="57"/>
  <c r="AE26" i="57"/>
  <c r="AD26" i="57"/>
  <c r="Y26" i="57"/>
  <c r="V26" i="57"/>
  <c r="T26" i="57"/>
  <c r="AM25" i="57"/>
  <c r="AL25" i="57"/>
  <c r="AK25" i="57"/>
  <c r="AJ25" i="57"/>
  <c r="AI25" i="57"/>
  <c r="AH25" i="57"/>
  <c r="AG25" i="57"/>
  <c r="AF25" i="57"/>
  <c r="AE25" i="57"/>
  <c r="AD25" i="57"/>
  <c r="Y25" i="57"/>
  <c r="V25" i="57"/>
  <c r="T25" i="57"/>
  <c r="AM24" i="57"/>
  <c r="AL24" i="57"/>
  <c r="AK24" i="57"/>
  <c r="AJ24" i="57"/>
  <c r="AI24" i="57"/>
  <c r="AH24" i="57"/>
  <c r="AG24" i="57"/>
  <c r="AF24" i="57"/>
  <c r="AE24" i="57"/>
  <c r="AD24" i="57"/>
  <c r="AN24" i="57" s="1"/>
  <c r="Y24" i="57"/>
  <c r="V24" i="57"/>
  <c r="T24" i="57"/>
  <c r="AM23" i="57"/>
  <c r="AL23" i="57"/>
  <c r="AK23" i="57"/>
  <c r="AJ23" i="57"/>
  <c r="AI23" i="57"/>
  <c r="AH23" i="57"/>
  <c r="AG23" i="57"/>
  <c r="AF23" i="57"/>
  <c r="AE23" i="57"/>
  <c r="AD23" i="57"/>
  <c r="Y23" i="57"/>
  <c r="V23" i="57"/>
  <c r="T23" i="57"/>
  <c r="AM22" i="57"/>
  <c r="AL22" i="57"/>
  <c r="AK22" i="57"/>
  <c r="AJ22" i="57"/>
  <c r="AI22" i="57"/>
  <c r="AH22" i="57"/>
  <c r="AG22" i="57"/>
  <c r="AF22" i="57"/>
  <c r="AE22" i="57"/>
  <c r="AD22" i="57"/>
  <c r="Y22" i="57"/>
  <c r="V22" i="57"/>
  <c r="T22" i="57"/>
  <c r="AM21" i="57"/>
  <c r="AL21" i="57"/>
  <c r="AK21" i="57"/>
  <c r="AJ21" i="57"/>
  <c r="AI21" i="57"/>
  <c r="AH21" i="57"/>
  <c r="AG21" i="57"/>
  <c r="AF21" i="57"/>
  <c r="AE21" i="57"/>
  <c r="AD21" i="57"/>
  <c r="AN21" i="57" s="1"/>
  <c r="Y21" i="57"/>
  <c r="V21" i="57"/>
  <c r="T21" i="57"/>
  <c r="AM20" i="57"/>
  <c r="AL20" i="57"/>
  <c r="AK20" i="57"/>
  <c r="AJ20" i="57"/>
  <c r="AI20" i="57"/>
  <c r="AH20" i="57"/>
  <c r="AG20" i="57"/>
  <c r="AF20" i="57"/>
  <c r="AE20" i="57"/>
  <c r="AD20" i="57"/>
  <c r="AN20" i="57" s="1"/>
  <c r="Y20" i="57"/>
  <c r="V20" i="57"/>
  <c r="T20" i="57"/>
  <c r="AM19" i="57"/>
  <c r="AL19" i="57"/>
  <c r="AK19" i="57"/>
  <c r="AJ19" i="57"/>
  <c r="AI19" i="57"/>
  <c r="AH19" i="57"/>
  <c r="AG19" i="57"/>
  <c r="AF19" i="57"/>
  <c r="AE19" i="57"/>
  <c r="AD19" i="57"/>
  <c r="Y19" i="57"/>
  <c r="V19" i="57"/>
  <c r="T19" i="57"/>
  <c r="AM18" i="57"/>
  <c r="AL18" i="57"/>
  <c r="AK18" i="57"/>
  <c r="AJ18" i="57"/>
  <c r="AI18" i="57"/>
  <c r="AH18" i="57"/>
  <c r="AG18" i="57"/>
  <c r="AF18" i="57"/>
  <c r="AE18" i="57"/>
  <c r="AD18" i="57"/>
  <c r="Y18" i="57"/>
  <c r="V18" i="57"/>
  <c r="T18" i="57"/>
  <c r="AM17" i="57"/>
  <c r="AL17" i="57"/>
  <c r="AK17" i="57"/>
  <c r="AJ17" i="57"/>
  <c r="AI17" i="57"/>
  <c r="AH17" i="57"/>
  <c r="AG17" i="57"/>
  <c r="AF17" i="57"/>
  <c r="AE17" i="57"/>
  <c r="AD17" i="57"/>
  <c r="Y17" i="57"/>
  <c r="V17" i="57"/>
  <c r="T17" i="57"/>
  <c r="AM16" i="57"/>
  <c r="AL16" i="57"/>
  <c r="AK16" i="57"/>
  <c r="AJ16" i="57"/>
  <c r="AI16" i="57"/>
  <c r="AH16" i="57"/>
  <c r="AG16" i="57"/>
  <c r="AF16" i="57"/>
  <c r="AE16" i="57"/>
  <c r="AD16" i="57"/>
  <c r="Y16" i="57"/>
  <c r="V16" i="57"/>
  <c r="T16" i="57"/>
  <c r="AM15" i="57"/>
  <c r="AL15" i="57"/>
  <c r="AK15" i="57"/>
  <c r="AJ15" i="57"/>
  <c r="AI15" i="57"/>
  <c r="AH15" i="57"/>
  <c r="AG15" i="57"/>
  <c r="AF15" i="57"/>
  <c r="AE15" i="57"/>
  <c r="AD15" i="57"/>
  <c r="Y15" i="57"/>
  <c r="V15" i="57"/>
  <c r="T15" i="57"/>
  <c r="AM14" i="57"/>
  <c r="AL14" i="57"/>
  <c r="AK14" i="57"/>
  <c r="AJ14" i="57"/>
  <c r="AI14" i="57"/>
  <c r="AH14" i="57"/>
  <c r="AG14" i="57"/>
  <c r="AF14" i="57"/>
  <c r="AE14" i="57"/>
  <c r="AD14" i="57"/>
  <c r="Y14" i="57"/>
  <c r="V14" i="57"/>
  <c r="T14" i="57"/>
  <c r="AM13" i="57"/>
  <c r="AL13" i="57"/>
  <c r="AK13" i="57"/>
  <c r="AJ13" i="57"/>
  <c r="AI13" i="57"/>
  <c r="AH13" i="57"/>
  <c r="AG13" i="57"/>
  <c r="AF13" i="57"/>
  <c r="AE13" i="57"/>
  <c r="AD13" i="57"/>
  <c r="Y13" i="57"/>
  <c r="V13" i="57"/>
  <c r="T13" i="57"/>
  <c r="AM12" i="57"/>
  <c r="AL12" i="57"/>
  <c r="AK12" i="57"/>
  <c r="AJ12" i="57"/>
  <c r="AI12" i="57"/>
  <c r="AH12" i="57"/>
  <c r="AG12" i="57"/>
  <c r="AF12" i="57"/>
  <c r="AE12" i="57"/>
  <c r="AD12" i="57"/>
  <c r="AN12" i="57" s="1"/>
  <c r="Y12" i="57"/>
  <c r="V12" i="57"/>
  <c r="T12" i="57"/>
  <c r="A12" i="57"/>
  <c r="AM11" i="57"/>
  <c r="AL11" i="57"/>
  <c r="AK11" i="57"/>
  <c r="AJ11" i="57"/>
  <c r="AI11" i="57"/>
  <c r="AH11" i="57"/>
  <c r="AG11" i="57"/>
  <c r="AF11" i="57"/>
  <c r="AE11" i="57"/>
  <c r="AD11" i="57"/>
  <c r="Y11" i="57"/>
  <c r="V11" i="57"/>
  <c r="T11" i="57"/>
  <c r="AM10" i="57"/>
  <c r="AL10" i="57"/>
  <c r="AK10" i="57"/>
  <c r="AJ10" i="57"/>
  <c r="AI10" i="57"/>
  <c r="AH10" i="57"/>
  <c r="AG10" i="57"/>
  <c r="AF10" i="57"/>
  <c r="AE10" i="57"/>
  <c r="AD10" i="57"/>
  <c r="Y10" i="57"/>
  <c r="V10" i="57"/>
  <c r="T10" i="57"/>
  <c r="A10" i="57"/>
  <c r="AM9" i="57"/>
  <c r="AL9" i="57"/>
  <c r="AK9" i="57"/>
  <c r="AJ9" i="57"/>
  <c r="AI9" i="57"/>
  <c r="AH9" i="57"/>
  <c r="AG9" i="57"/>
  <c r="AF9" i="57"/>
  <c r="AE9" i="57"/>
  <c r="AD9" i="57"/>
  <c r="AN9" i="57" s="1"/>
  <c r="Y9" i="57"/>
  <c r="W9" i="57"/>
  <c r="V9" i="57"/>
  <c r="T9" i="57"/>
  <c r="AM8" i="57"/>
  <c r="AL8" i="57"/>
  <c r="AK8" i="57"/>
  <c r="AJ8" i="57"/>
  <c r="AI8" i="57"/>
  <c r="AH8" i="57"/>
  <c r="AG8" i="57"/>
  <c r="AF8" i="57"/>
  <c r="AD8" i="57"/>
  <c r="AN8" i="57" s="1"/>
  <c r="Y8" i="57"/>
  <c r="V8" i="57"/>
  <c r="T8" i="57"/>
  <c r="AM7" i="57"/>
  <c r="AL7" i="57"/>
  <c r="AK7" i="57"/>
  <c r="AJ7" i="57"/>
  <c r="AI7" i="57"/>
  <c r="AH7" i="57"/>
  <c r="AG7" i="57"/>
  <c r="AF7" i="57"/>
  <c r="AD7" i="57"/>
  <c r="AN7" i="57" s="1"/>
  <c r="Y7" i="57"/>
  <c r="V7" i="57"/>
  <c r="T7" i="57"/>
  <c r="AM6" i="57"/>
  <c r="AL6" i="57"/>
  <c r="AK6" i="57"/>
  <c r="AJ6" i="57"/>
  <c r="AI6" i="57"/>
  <c r="AH6" i="57"/>
  <c r="AG6" i="57"/>
  <c r="AF6" i="57"/>
  <c r="AD6" i="57"/>
  <c r="AN6" i="57" s="1"/>
  <c r="Y6" i="57"/>
  <c r="V6" i="57"/>
  <c r="T6" i="57"/>
  <c r="A6" i="57"/>
  <c r="AM5" i="57"/>
  <c r="AL5" i="57"/>
  <c r="AK5" i="57"/>
  <c r="AJ5" i="57"/>
  <c r="AI5" i="57"/>
  <c r="AH5" i="57"/>
  <c r="AG5" i="57"/>
  <c r="AF5" i="57"/>
  <c r="AD5" i="57"/>
  <c r="AN5" i="57" s="1"/>
  <c r="Y5" i="57"/>
  <c r="V5" i="57"/>
  <c r="T5" i="57"/>
  <c r="F1" i="57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M21" i="56"/>
  <c r="AL21" i="56"/>
  <c r="AK21" i="56"/>
  <c r="AJ21" i="56"/>
  <c r="AI21" i="56"/>
  <c r="AH21" i="56"/>
  <c r="AG21" i="56"/>
  <c r="AF21" i="56"/>
  <c r="AE21" i="56"/>
  <c r="AD21" i="56"/>
  <c r="AN21" i="56" s="1"/>
  <c r="Y21" i="56"/>
  <c r="W21" i="56"/>
  <c r="V21" i="56"/>
  <c r="U21" i="56"/>
  <c r="T21" i="56"/>
  <c r="AM20" i="56"/>
  <c r="AL20" i="56"/>
  <c r="AK20" i="56"/>
  <c r="AJ20" i="56"/>
  <c r="AI20" i="56"/>
  <c r="AH20" i="56"/>
  <c r="AG20" i="56"/>
  <c r="AF20" i="56"/>
  <c r="AE20" i="56"/>
  <c r="AD20" i="56"/>
  <c r="AN20" i="56" s="1"/>
  <c r="Y20" i="56"/>
  <c r="W20" i="56"/>
  <c r="V20" i="56"/>
  <c r="U20" i="56"/>
  <c r="T20" i="56"/>
  <c r="AM19" i="56"/>
  <c r="AL19" i="56"/>
  <c r="AK19" i="56"/>
  <c r="AJ19" i="56"/>
  <c r="AI19" i="56"/>
  <c r="AH19" i="56"/>
  <c r="AG19" i="56"/>
  <c r="AF19" i="56"/>
  <c r="AE19" i="56"/>
  <c r="AD19" i="56"/>
  <c r="AN19" i="56" s="1"/>
  <c r="Y19" i="56"/>
  <c r="W19" i="56"/>
  <c r="V19" i="56"/>
  <c r="U19" i="56"/>
  <c r="T19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M17" i="56"/>
  <c r="AL17" i="56"/>
  <c r="AK17" i="56"/>
  <c r="AJ17" i="56"/>
  <c r="AI17" i="56"/>
  <c r="AH17" i="56"/>
  <c r="AG17" i="56"/>
  <c r="AF17" i="56"/>
  <c r="AE17" i="56"/>
  <c r="AD17" i="56"/>
  <c r="AN17" i="56" s="1"/>
  <c r="Y17" i="56"/>
  <c r="W17" i="56"/>
  <c r="V17" i="56"/>
  <c r="U17" i="56"/>
  <c r="T17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M8" i="56"/>
  <c r="AL8" i="56"/>
  <c r="AK8" i="56"/>
  <c r="AJ8" i="56"/>
  <c r="AI8" i="56"/>
  <c r="AH8" i="56"/>
  <c r="AG8" i="56"/>
  <c r="AF8" i="56"/>
  <c r="AD8" i="56"/>
  <c r="AN8" i="56" s="1"/>
  <c r="Y8" i="56"/>
  <c r="W8" i="56"/>
  <c r="V8" i="56"/>
  <c r="U8" i="56"/>
  <c r="T8" i="56"/>
  <c r="AM7" i="56"/>
  <c r="AL7" i="56"/>
  <c r="AK7" i="56"/>
  <c r="AJ7" i="56"/>
  <c r="AI7" i="56"/>
  <c r="AH7" i="56"/>
  <c r="AG7" i="56"/>
  <c r="AF7" i="56"/>
  <c r="AD7" i="56"/>
  <c r="AN7" i="56" s="1"/>
  <c r="Y7" i="56"/>
  <c r="W7" i="56"/>
  <c r="V7" i="56"/>
  <c r="U7" i="56"/>
  <c r="T7" i="56"/>
  <c r="AM6" i="56"/>
  <c r="AL6" i="56"/>
  <c r="AK6" i="56"/>
  <c r="AJ6" i="56"/>
  <c r="AI6" i="56"/>
  <c r="AH6" i="56"/>
  <c r="AG6" i="56"/>
  <c r="AF6" i="56"/>
  <c r="AD6" i="56"/>
  <c r="AN6" i="56" s="1"/>
  <c r="Y6" i="56"/>
  <c r="W6" i="56"/>
  <c r="V6" i="56"/>
  <c r="U6" i="56"/>
  <c r="T6" i="56"/>
  <c r="A6" i="56"/>
  <c r="AM5" i="56"/>
  <c r="AL5" i="56"/>
  <c r="AK5" i="56"/>
  <c r="AJ5" i="56"/>
  <c r="AI5" i="56"/>
  <c r="AH5" i="56"/>
  <c r="AG5" i="56"/>
  <c r="AF5" i="56"/>
  <c r="AD5" i="56"/>
  <c r="AN5" i="56" s="1"/>
  <c r="Y5" i="56"/>
  <c r="W5" i="56"/>
  <c r="V5" i="56"/>
  <c r="U5" i="56"/>
  <c r="T5" i="56"/>
  <c r="F1" i="56"/>
  <c r="AK24" i="55"/>
  <c r="AF24" i="55"/>
  <c r="AG24" i="55" s="1"/>
  <c r="Y24" i="55"/>
  <c r="V24" i="55"/>
  <c r="T24" i="55"/>
  <c r="AM24" i="55" s="1"/>
  <c r="AK23" i="55"/>
  <c r="AF23" i="55"/>
  <c r="AG23" i="55" s="1"/>
  <c r="Y23" i="55"/>
  <c r="V23" i="55"/>
  <c r="T23" i="55"/>
  <c r="AM23" i="55" s="1"/>
  <c r="AK22" i="55"/>
  <c r="AF22" i="55"/>
  <c r="AG22" i="55" s="1"/>
  <c r="Y22" i="55"/>
  <c r="V22" i="55"/>
  <c r="T22" i="55"/>
  <c r="AD22" i="55" s="1"/>
  <c r="AM21" i="55"/>
  <c r="AK21" i="55"/>
  <c r="AF21" i="55"/>
  <c r="AG21" i="55" s="1"/>
  <c r="Y21" i="55"/>
  <c r="V21" i="55"/>
  <c r="T21" i="55"/>
  <c r="AE21" i="55" s="1"/>
  <c r="AK20" i="55"/>
  <c r="AH20" i="55"/>
  <c r="AI20" i="55" s="1"/>
  <c r="AF20" i="55"/>
  <c r="AG20" i="55" s="1"/>
  <c r="Y20" i="55"/>
  <c r="V20" i="55"/>
  <c r="T20" i="55"/>
  <c r="AM20" i="55" s="1"/>
  <c r="AM19" i="55"/>
  <c r="AK19" i="55"/>
  <c r="AF19" i="55"/>
  <c r="AG19" i="55" s="1"/>
  <c r="AE19" i="55"/>
  <c r="Y19" i="55"/>
  <c r="V19" i="55"/>
  <c r="T19" i="55"/>
  <c r="AH19" i="55" s="1"/>
  <c r="AI19" i="55" s="1"/>
  <c r="AM18" i="55"/>
  <c r="AK18" i="55"/>
  <c r="AF18" i="55"/>
  <c r="AG18" i="55" s="1"/>
  <c r="Y18" i="55"/>
  <c r="V18" i="55"/>
  <c r="T18" i="55"/>
  <c r="AD18" i="55" s="1"/>
  <c r="AM17" i="55"/>
  <c r="AK17" i="55"/>
  <c r="AF17" i="55"/>
  <c r="AG17" i="55" s="1"/>
  <c r="Y17" i="55"/>
  <c r="V17" i="55"/>
  <c r="T17" i="55"/>
  <c r="AH17" i="55" s="1"/>
  <c r="AI17" i="55" s="1"/>
  <c r="AK16" i="55"/>
  <c r="AF16" i="55"/>
  <c r="AG16" i="55" s="1"/>
  <c r="Y16" i="55"/>
  <c r="V16" i="55"/>
  <c r="T16" i="55"/>
  <c r="AH16" i="55" s="1"/>
  <c r="AI16" i="55" s="1"/>
  <c r="AM15" i="55"/>
  <c r="AK15" i="55"/>
  <c r="AF15" i="55"/>
  <c r="AG15" i="55" s="1"/>
  <c r="Y15" i="55"/>
  <c r="V15" i="55"/>
  <c r="T15" i="55"/>
  <c r="AH15" i="55" s="1"/>
  <c r="AI15" i="55" s="1"/>
  <c r="AM14" i="55"/>
  <c r="AK14" i="55"/>
  <c r="AF14" i="55"/>
  <c r="AG14" i="55" s="1"/>
  <c r="Y14" i="55"/>
  <c r="V14" i="55"/>
  <c r="T14" i="55"/>
  <c r="AH14" i="55" s="1"/>
  <c r="AI14" i="55" s="1"/>
  <c r="AK13" i="55"/>
  <c r="AF13" i="55"/>
  <c r="AG13" i="55" s="1"/>
  <c r="Y13" i="55"/>
  <c r="V13" i="55"/>
  <c r="T13" i="55"/>
  <c r="AE13" i="55" s="1"/>
  <c r="AM12" i="55"/>
  <c r="AK12" i="55"/>
  <c r="AF12" i="55"/>
  <c r="AG12" i="55" s="1"/>
  <c r="Y12" i="55"/>
  <c r="V12" i="55"/>
  <c r="T12" i="55"/>
  <c r="AE12" i="55" s="1"/>
  <c r="A12" i="55"/>
  <c r="AM11" i="55"/>
  <c r="AK11" i="55"/>
  <c r="AF11" i="55"/>
  <c r="AG11" i="55" s="1"/>
  <c r="Y11" i="55"/>
  <c r="V11" i="55"/>
  <c r="T11" i="55"/>
  <c r="AE11" i="55" s="1"/>
  <c r="AK10" i="55"/>
  <c r="AF10" i="55"/>
  <c r="AG10" i="55" s="1"/>
  <c r="Y10" i="55"/>
  <c r="V10" i="55"/>
  <c r="T10" i="55"/>
  <c r="AH10" i="55" s="1"/>
  <c r="AI10" i="55" s="1"/>
  <c r="A10" i="55"/>
  <c r="W13" i="55" s="1"/>
  <c r="AK9" i="55"/>
  <c r="AF9" i="55"/>
  <c r="AG9" i="55" s="1"/>
  <c r="Y9" i="55"/>
  <c r="V9" i="55"/>
  <c r="T9" i="55"/>
  <c r="AH9" i="55" s="1"/>
  <c r="AI9" i="55" s="1"/>
  <c r="AM8" i="55"/>
  <c r="AL8" i="55"/>
  <c r="AK8" i="55"/>
  <c r="AJ8" i="55"/>
  <c r="AI8" i="55"/>
  <c r="AH8" i="55"/>
  <c r="AG8" i="55"/>
  <c r="AF8" i="55"/>
  <c r="AD8" i="55"/>
  <c r="AN8" i="55" s="1"/>
  <c r="Y8" i="55"/>
  <c r="V8" i="55"/>
  <c r="T8" i="55"/>
  <c r="AM7" i="55"/>
  <c r="AL7" i="55"/>
  <c r="AK7" i="55"/>
  <c r="AJ7" i="55"/>
  <c r="AI7" i="55"/>
  <c r="AH7" i="55"/>
  <c r="AG7" i="55"/>
  <c r="AF7" i="55"/>
  <c r="AD7" i="55"/>
  <c r="AN7" i="55" s="1"/>
  <c r="Y7" i="55"/>
  <c r="V7" i="55"/>
  <c r="T7" i="55"/>
  <c r="AM6" i="55"/>
  <c r="AL6" i="55"/>
  <c r="AK6" i="55"/>
  <c r="AJ6" i="55"/>
  <c r="AI6" i="55"/>
  <c r="AH6" i="55"/>
  <c r="AG6" i="55"/>
  <c r="AF6" i="55"/>
  <c r="AD6" i="55"/>
  <c r="AN6" i="55" s="1"/>
  <c r="Y6" i="55"/>
  <c r="V6" i="55"/>
  <c r="T6" i="55"/>
  <c r="A6" i="55"/>
  <c r="AM5" i="55"/>
  <c r="AL5" i="55"/>
  <c r="AK5" i="55"/>
  <c r="AJ5" i="55"/>
  <c r="AI5" i="55"/>
  <c r="AH5" i="55"/>
  <c r="AG5" i="55"/>
  <c r="AF5" i="55"/>
  <c r="AD5" i="55"/>
  <c r="AN5" i="55" s="1"/>
  <c r="Y5" i="55"/>
  <c r="V5" i="55"/>
  <c r="T5" i="55"/>
  <c r="F1" i="55"/>
  <c r="AM24" i="54"/>
  <c r="AK24" i="54"/>
  <c r="AF24" i="54"/>
  <c r="AG24" i="54" s="1"/>
  <c r="Y24" i="54"/>
  <c r="V24" i="54"/>
  <c r="T24" i="54"/>
  <c r="AD24" i="54" s="1"/>
  <c r="AM23" i="54"/>
  <c r="AK23" i="54"/>
  <c r="AF23" i="54"/>
  <c r="AG23" i="54" s="1"/>
  <c r="Y23" i="54"/>
  <c r="V23" i="54"/>
  <c r="T23" i="54"/>
  <c r="AE23" i="54" s="1"/>
  <c r="AM22" i="54"/>
  <c r="AK22" i="54"/>
  <c r="AF22" i="54"/>
  <c r="AG22" i="54" s="1"/>
  <c r="Y22" i="54"/>
  <c r="V22" i="54"/>
  <c r="T22" i="54"/>
  <c r="AE22" i="54" s="1"/>
  <c r="AK21" i="54"/>
  <c r="AF21" i="54"/>
  <c r="AG21" i="54" s="1"/>
  <c r="Y21" i="54"/>
  <c r="V21" i="54"/>
  <c r="T21" i="54"/>
  <c r="AH21" i="54" s="1"/>
  <c r="AI21" i="54" s="1"/>
  <c r="AM20" i="54"/>
  <c r="AK20" i="54"/>
  <c r="AF20" i="54"/>
  <c r="AG20" i="54" s="1"/>
  <c r="Y20" i="54"/>
  <c r="V20" i="54"/>
  <c r="T20" i="54"/>
  <c r="AH20" i="54" s="1"/>
  <c r="AI20" i="54" s="1"/>
  <c r="AM19" i="54"/>
  <c r="AK19" i="54"/>
  <c r="AF19" i="54"/>
  <c r="AG19" i="54" s="1"/>
  <c r="AD19" i="54"/>
  <c r="Y19" i="54"/>
  <c r="V19" i="54"/>
  <c r="T19" i="54"/>
  <c r="AH19" i="54" s="1"/>
  <c r="AI19" i="54" s="1"/>
  <c r="AM18" i="54"/>
  <c r="AK18" i="54"/>
  <c r="AH18" i="54"/>
  <c r="AI18" i="54" s="1"/>
  <c r="AF18" i="54"/>
  <c r="AG18" i="54" s="1"/>
  <c r="AE18" i="54"/>
  <c r="Y18" i="54"/>
  <c r="V18" i="54"/>
  <c r="T18" i="54"/>
  <c r="AD18" i="54" s="1"/>
  <c r="AM17" i="54"/>
  <c r="AK17" i="54"/>
  <c r="AI17" i="54"/>
  <c r="AH17" i="54"/>
  <c r="AF17" i="54"/>
  <c r="AG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L16" i="54" s="1"/>
  <c r="AE16" i="54"/>
  <c r="AD16" i="54"/>
  <c r="Y16" i="54"/>
  <c r="V16" i="54"/>
  <c r="T16" i="54"/>
  <c r="AM15" i="54"/>
  <c r="AK15" i="54"/>
  <c r="AF15" i="54"/>
  <c r="AG15" i="54" s="1"/>
  <c r="Y15" i="54"/>
  <c r="V15" i="54"/>
  <c r="T15" i="54"/>
  <c r="AD15" i="54" s="1"/>
  <c r="AM14" i="54"/>
  <c r="AK14" i="54"/>
  <c r="AG14" i="54"/>
  <c r="AF14" i="54"/>
  <c r="Y14" i="54"/>
  <c r="V14" i="54"/>
  <c r="T14" i="54"/>
  <c r="AE14" i="54" s="1"/>
  <c r="AM13" i="54"/>
  <c r="AK13" i="54"/>
  <c r="AF13" i="54"/>
  <c r="AG13" i="54" s="1"/>
  <c r="Y13" i="54"/>
  <c r="V13" i="54"/>
  <c r="T13" i="54"/>
  <c r="AH13" i="54" s="1"/>
  <c r="AI13" i="54" s="1"/>
  <c r="AM12" i="54"/>
  <c r="AK12" i="54"/>
  <c r="AF12" i="54"/>
  <c r="AG12" i="54" s="1"/>
  <c r="Y12" i="54"/>
  <c r="V12" i="54"/>
  <c r="T12" i="54"/>
  <c r="AH12" i="54" s="1"/>
  <c r="AI12" i="54" s="1"/>
  <c r="A12" i="54"/>
  <c r="AM11" i="54"/>
  <c r="AK11" i="54"/>
  <c r="AF11" i="54"/>
  <c r="AG11" i="54" s="1"/>
  <c r="Y11" i="54"/>
  <c r="V11" i="54"/>
  <c r="T11" i="54"/>
  <c r="AH11" i="54" s="1"/>
  <c r="AI11" i="54" s="1"/>
  <c r="AK10" i="54"/>
  <c r="AF10" i="54"/>
  <c r="AG10" i="54" s="1"/>
  <c r="Y10" i="54"/>
  <c r="V10" i="54"/>
  <c r="T10" i="54"/>
  <c r="AM10" i="54" s="1"/>
  <c r="A10" i="54"/>
  <c r="U15" i="54" s="1"/>
  <c r="AM9" i="54"/>
  <c r="AK9" i="54"/>
  <c r="AH9" i="54"/>
  <c r="AI9" i="54" s="1"/>
  <c r="AF9" i="54"/>
  <c r="AG9" i="54" s="1"/>
  <c r="Y9" i="54"/>
  <c r="V9" i="54"/>
  <c r="T9" i="54"/>
  <c r="AE9" i="54" s="1"/>
  <c r="AK8" i="54"/>
  <c r="AF8" i="54"/>
  <c r="AG8" i="54" s="1"/>
  <c r="AD8" i="54"/>
  <c r="Y8" i="54"/>
  <c r="V8" i="54"/>
  <c r="T8" i="54"/>
  <c r="AH8" i="54" s="1"/>
  <c r="AI8" i="54" s="1"/>
  <c r="AM7" i="54"/>
  <c r="AL7" i="54"/>
  <c r="AK7" i="54"/>
  <c r="AJ7" i="54"/>
  <c r="AI7" i="54"/>
  <c r="AH7" i="54"/>
  <c r="AG7" i="54"/>
  <c r="AF7" i="54"/>
  <c r="AD7" i="54"/>
  <c r="AN7" i="54" s="1"/>
  <c r="Y7" i="54"/>
  <c r="V7" i="54"/>
  <c r="T7" i="54"/>
  <c r="AM6" i="54"/>
  <c r="AL6" i="54"/>
  <c r="AK6" i="54"/>
  <c r="AJ6" i="54"/>
  <c r="AI6" i="54"/>
  <c r="AH6" i="54"/>
  <c r="AG6" i="54"/>
  <c r="AF6" i="54"/>
  <c r="AD6" i="54"/>
  <c r="AN6" i="54" s="1"/>
  <c r="Y6" i="54"/>
  <c r="V6" i="54"/>
  <c r="T6" i="54"/>
  <c r="A6" i="54"/>
  <c r="AM5" i="54"/>
  <c r="AL5" i="54"/>
  <c r="AK5" i="54"/>
  <c r="AJ5" i="54"/>
  <c r="AI5" i="54"/>
  <c r="AH5" i="54"/>
  <c r="AG5" i="54"/>
  <c r="AF5" i="54"/>
  <c r="AD5" i="54"/>
  <c r="AN5" i="54" s="1"/>
  <c r="Y5" i="54"/>
  <c r="V5" i="54"/>
  <c r="T5" i="54"/>
  <c r="F1" i="54"/>
  <c r="AM24" i="73"/>
  <c r="AL24" i="73"/>
  <c r="AK24" i="73"/>
  <c r="AJ24" i="73"/>
  <c r="AI24" i="73"/>
  <c r="AH24" i="73"/>
  <c r="AG24" i="73"/>
  <c r="AF24" i="73"/>
  <c r="AE24" i="73"/>
  <c r="AD24" i="73"/>
  <c r="Y24" i="73"/>
  <c r="V24" i="73"/>
  <c r="T24" i="73"/>
  <c r="AM23" i="73"/>
  <c r="AL23" i="73"/>
  <c r="AK23" i="73"/>
  <c r="AJ23" i="73"/>
  <c r="AI23" i="73"/>
  <c r="AH23" i="73"/>
  <c r="AG23" i="73"/>
  <c r="AF23" i="73"/>
  <c r="AE23" i="73"/>
  <c r="AD23" i="73"/>
  <c r="Y23" i="73"/>
  <c r="V23" i="73"/>
  <c r="T23" i="73"/>
  <c r="AM22" i="73"/>
  <c r="AL22" i="73"/>
  <c r="AK22" i="73"/>
  <c r="AJ22" i="73"/>
  <c r="AI22" i="73"/>
  <c r="AH22" i="73"/>
  <c r="AG22" i="73"/>
  <c r="AF22" i="73"/>
  <c r="AE22" i="73"/>
  <c r="AD22" i="73"/>
  <c r="Y22" i="73"/>
  <c r="V22" i="73"/>
  <c r="T22" i="73"/>
  <c r="AM21" i="73"/>
  <c r="AL21" i="73"/>
  <c r="AK21" i="73"/>
  <c r="AJ21" i="73"/>
  <c r="AI21" i="73"/>
  <c r="AH21" i="73"/>
  <c r="AG21" i="73"/>
  <c r="AF21" i="73"/>
  <c r="AE21" i="73"/>
  <c r="AD21" i="73"/>
  <c r="Y21" i="73"/>
  <c r="V21" i="73"/>
  <c r="T21" i="73"/>
  <c r="AM20" i="73"/>
  <c r="AL20" i="73"/>
  <c r="AK20" i="73"/>
  <c r="AJ20" i="73"/>
  <c r="AI20" i="73"/>
  <c r="AH20" i="73"/>
  <c r="AG20" i="73"/>
  <c r="AF20" i="73"/>
  <c r="AE20" i="73"/>
  <c r="AD20" i="73"/>
  <c r="Y20" i="73"/>
  <c r="V20" i="73"/>
  <c r="T20" i="73"/>
  <c r="AM19" i="73"/>
  <c r="AL19" i="73"/>
  <c r="AK19" i="73"/>
  <c r="AJ19" i="73"/>
  <c r="AI19" i="73"/>
  <c r="AH19" i="73"/>
  <c r="AG19" i="73"/>
  <c r="AF19" i="73"/>
  <c r="AE19" i="73"/>
  <c r="AD19" i="73"/>
  <c r="AN19" i="73" s="1"/>
  <c r="Y19" i="73"/>
  <c r="V19" i="73"/>
  <c r="T19" i="73"/>
  <c r="AM18" i="73"/>
  <c r="AL18" i="73"/>
  <c r="AK18" i="73"/>
  <c r="AJ18" i="73"/>
  <c r="AI18" i="73"/>
  <c r="AH18" i="73"/>
  <c r="AG18" i="73"/>
  <c r="AF18" i="73"/>
  <c r="AE18" i="73"/>
  <c r="AD18" i="73"/>
  <c r="Y18" i="73"/>
  <c r="V18" i="73"/>
  <c r="T18" i="73"/>
  <c r="AM17" i="73"/>
  <c r="AL17" i="73"/>
  <c r="AK17" i="73"/>
  <c r="AJ17" i="73"/>
  <c r="AI17" i="73"/>
  <c r="AH17" i="73"/>
  <c r="AG17" i="73"/>
  <c r="AF17" i="73"/>
  <c r="AE17" i="73"/>
  <c r="AD17" i="73"/>
  <c r="AN17" i="73" s="1"/>
  <c r="Y17" i="73"/>
  <c r="V17" i="73"/>
  <c r="T17" i="73"/>
  <c r="AM16" i="73"/>
  <c r="AL16" i="73"/>
  <c r="AK16" i="73"/>
  <c r="AJ16" i="73"/>
  <c r="AI16" i="73"/>
  <c r="AH16" i="73"/>
  <c r="AG16" i="73"/>
  <c r="AF16" i="73"/>
  <c r="AE16" i="73"/>
  <c r="AD16" i="73"/>
  <c r="Y16" i="73"/>
  <c r="V16" i="73"/>
  <c r="T16" i="73"/>
  <c r="AM15" i="73"/>
  <c r="AL15" i="73"/>
  <c r="AK15" i="73"/>
  <c r="AJ15" i="73"/>
  <c r="AI15" i="73"/>
  <c r="AH15" i="73"/>
  <c r="AG15" i="73"/>
  <c r="AF15" i="73"/>
  <c r="AE15" i="73"/>
  <c r="AN15" i="73" s="1"/>
  <c r="AD15" i="73"/>
  <c r="Y15" i="73"/>
  <c r="V15" i="73"/>
  <c r="T15" i="73"/>
  <c r="AM14" i="73"/>
  <c r="AL14" i="73"/>
  <c r="AK14" i="73"/>
  <c r="AJ14" i="73"/>
  <c r="AI14" i="73"/>
  <c r="AH14" i="73"/>
  <c r="AG14" i="73"/>
  <c r="AF14" i="73"/>
  <c r="AE14" i="73"/>
  <c r="AN14" i="73" s="1"/>
  <c r="AD14" i="73"/>
  <c r="Y14" i="73"/>
  <c r="V14" i="73"/>
  <c r="T14" i="73"/>
  <c r="AM13" i="73"/>
  <c r="AL13" i="73"/>
  <c r="AK13" i="73"/>
  <c r="AJ13" i="73"/>
  <c r="AI13" i="73"/>
  <c r="AH13" i="73"/>
  <c r="AG13" i="73"/>
  <c r="AF13" i="73"/>
  <c r="AE13" i="73"/>
  <c r="AD13" i="73"/>
  <c r="Y13" i="73"/>
  <c r="V13" i="73"/>
  <c r="T13" i="73"/>
  <c r="AM12" i="73"/>
  <c r="AL12" i="73"/>
  <c r="AK12" i="73"/>
  <c r="AJ12" i="73"/>
  <c r="AI12" i="73"/>
  <c r="AH12" i="73"/>
  <c r="AG12" i="73"/>
  <c r="AF12" i="73"/>
  <c r="AE12" i="73"/>
  <c r="AD12" i="73"/>
  <c r="AN12" i="73" s="1"/>
  <c r="Y12" i="73"/>
  <c r="V12" i="73"/>
  <c r="T12" i="73"/>
  <c r="A12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T11" i="73"/>
  <c r="AM10" i="73"/>
  <c r="AL10" i="73"/>
  <c r="AK10" i="73"/>
  <c r="AJ10" i="73"/>
  <c r="AI10" i="73"/>
  <c r="AH10" i="73"/>
  <c r="AG10" i="73"/>
  <c r="AF10" i="73"/>
  <c r="AE10" i="73"/>
  <c r="AD10" i="73"/>
  <c r="AN10" i="73" s="1"/>
  <c r="Y10" i="73"/>
  <c r="V10" i="73"/>
  <c r="T10" i="73"/>
  <c r="A10" i="73"/>
  <c r="AM9" i="73"/>
  <c r="S25" i="67" s="1"/>
  <c r="AK9" i="73"/>
  <c r="AF9" i="73"/>
  <c r="AG9" i="73" s="1"/>
  <c r="Y9" i="73"/>
  <c r="V9" i="73"/>
  <c r="T9" i="73"/>
  <c r="AH9" i="73" s="1"/>
  <c r="AI9" i="73" s="1"/>
  <c r="AM8" i="73"/>
  <c r="AK8" i="73"/>
  <c r="AF8" i="73"/>
  <c r="AG8" i="73" s="1"/>
  <c r="Y8" i="73"/>
  <c r="V8" i="73"/>
  <c r="T8" i="73"/>
  <c r="AH8" i="73" s="1"/>
  <c r="AI8" i="73" s="1"/>
  <c r="AM7" i="73"/>
  <c r="AK7" i="73"/>
  <c r="AF7" i="73"/>
  <c r="AG7" i="73" s="1"/>
  <c r="Y7" i="73"/>
  <c r="V7" i="73"/>
  <c r="T7" i="73"/>
  <c r="AH7" i="73" s="1"/>
  <c r="AI7" i="73" s="1"/>
  <c r="AM6" i="73"/>
  <c r="AK6" i="73"/>
  <c r="AI6" i="73"/>
  <c r="AH6" i="73"/>
  <c r="AG6" i="73"/>
  <c r="AF6" i="73"/>
  <c r="Y6" i="73"/>
  <c r="A14" i="73" s="1"/>
  <c r="V6" i="73"/>
  <c r="T6" i="73"/>
  <c r="AD6" i="73" s="1"/>
  <c r="A6" i="73"/>
  <c r="AM5" i="73"/>
  <c r="AL5" i="73"/>
  <c r="AK5" i="73"/>
  <c r="AJ5" i="73"/>
  <c r="AI5" i="73"/>
  <c r="AH5" i="73"/>
  <c r="AG5" i="73"/>
  <c r="AF5" i="73"/>
  <c r="AD5" i="73"/>
  <c r="AN5" i="73" s="1"/>
  <c r="Y5" i="73"/>
  <c r="V5" i="73"/>
  <c r="T5" i="73"/>
  <c r="F1" i="73"/>
  <c r="AM24" i="71"/>
  <c r="AL24" i="71"/>
  <c r="AK24" i="71"/>
  <c r="AJ24" i="71"/>
  <c r="AI24" i="71"/>
  <c r="AH24" i="71"/>
  <c r="AG24" i="71"/>
  <c r="AF24" i="71"/>
  <c r="AE24" i="71"/>
  <c r="AD24" i="71"/>
  <c r="AN24" i="71" s="1"/>
  <c r="Y24" i="71"/>
  <c r="W24" i="71"/>
  <c r="V24" i="71"/>
  <c r="U24" i="71"/>
  <c r="T24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M20" i="71"/>
  <c r="AL20" i="71"/>
  <c r="AK20" i="71"/>
  <c r="AJ20" i="71"/>
  <c r="AI20" i="71"/>
  <c r="AH20" i="71"/>
  <c r="AG20" i="71"/>
  <c r="AF20" i="71"/>
  <c r="AE20" i="71"/>
  <c r="AN20" i="71" s="1"/>
  <c r="AD20" i="71"/>
  <c r="Y20" i="71"/>
  <c r="W20" i="71"/>
  <c r="V20" i="71"/>
  <c r="U20" i="71"/>
  <c r="T20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M17" i="71"/>
  <c r="AL17" i="71"/>
  <c r="AK17" i="71"/>
  <c r="AJ17" i="71"/>
  <c r="AI17" i="71"/>
  <c r="AH17" i="71"/>
  <c r="AG17" i="71"/>
  <c r="AF17" i="71"/>
  <c r="AE17" i="71"/>
  <c r="AD17" i="71"/>
  <c r="AN17" i="71" s="1"/>
  <c r="Y17" i="71"/>
  <c r="W17" i="71"/>
  <c r="V17" i="71"/>
  <c r="U17" i="71"/>
  <c r="T17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M13" i="71"/>
  <c r="AL13" i="71"/>
  <c r="AK13" i="71"/>
  <c r="AJ13" i="71"/>
  <c r="AI13" i="71"/>
  <c r="AH13" i="71"/>
  <c r="AG13" i="71"/>
  <c r="AF13" i="71"/>
  <c r="AE13" i="71"/>
  <c r="AD13" i="71"/>
  <c r="AN13" i="71" s="1"/>
  <c r="Y13" i="71"/>
  <c r="W13" i="71"/>
  <c r="V13" i="71"/>
  <c r="U13" i="71"/>
  <c r="T13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M10" i="71"/>
  <c r="AL10" i="71"/>
  <c r="AK10" i="71"/>
  <c r="AJ10" i="71"/>
  <c r="AI10" i="71"/>
  <c r="AH10" i="71"/>
  <c r="AG10" i="71"/>
  <c r="AF10" i="71"/>
  <c r="AE10" i="71"/>
  <c r="AD10" i="71"/>
  <c r="AN10" i="71" s="1"/>
  <c r="Y10" i="71"/>
  <c r="W10" i="71"/>
  <c r="V10" i="71"/>
  <c r="U10" i="71"/>
  <c r="T10" i="71"/>
  <c r="A10" i="71"/>
  <c r="AM9" i="71"/>
  <c r="AL9" i="71"/>
  <c r="AK9" i="71"/>
  <c r="AJ9" i="71"/>
  <c r="AI9" i="71"/>
  <c r="AH9" i="71"/>
  <c r="AG9" i="71"/>
  <c r="AF9" i="71"/>
  <c r="AE9" i="71"/>
  <c r="AD9" i="71"/>
  <c r="AN9" i="71" s="1"/>
  <c r="Y9" i="71"/>
  <c r="W9" i="71"/>
  <c r="V9" i="71"/>
  <c r="U9" i="71"/>
  <c r="T9" i="71"/>
  <c r="AM8" i="71"/>
  <c r="AL8" i="71"/>
  <c r="AK8" i="71"/>
  <c r="AJ8" i="71"/>
  <c r="AI8" i="71"/>
  <c r="AH8" i="71"/>
  <c r="AG8" i="71"/>
  <c r="AF8" i="71"/>
  <c r="AD8" i="71"/>
  <c r="AN8" i="71" s="1"/>
  <c r="Y8" i="71"/>
  <c r="W8" i="71"/>
  <c r="V8" i="71"/>
  <c r="U8" i="71"/>
  <c r="T8" i="71"/>
  <c r="AM7" i="71"/>
  <c r="AL7" i="71"/>
  <c r="AK7" i="71"/>
  <c r="AJ7" i="71"/>
  <c r="AI7" i="71"/>
  <c r="AH7" i="71"/>
  <c r="AG7" i="71"/>
  <c r="AF7" i="71"/>
  <c r="AD7" i="71"/>
  <c r="AN7" i="71" s="1"/>
  <c r="Y7" i="71"/>
  <c r="W7" i="71"/>
  <c r="V7" i="71"/>
  <c r="U7" i="71"/>
  <c r="T7" i="71"/>
  <c r="AM6" i="71"/>
  <c r="AL6" i="71"/>
  <c r="AK6" i="71"/>
  <c r="AJ6" i="71"/>
  <c r="AI6" i="71"/>
  <c r="AH6" i="71"/>
  <c r="AG6" i="71"/>
  <c r="AF6" i="71"/>
  <c r="AD6" i="71"/>
  <c r="AN6" i="71" s="1"/>
  <c r="Y6" i="71"/>
  <c r="W6" i="71"/>
  <c r="V6" i="71"/>
  <c r="U6" i="71"/>
  <c r="T6" i="71"/>
  <c r="A6" i="71"/>
  <c r="AM5" i="71"/>
  <c r="AL5" i="71"/>
  <c r="AK5" i="71"/>
  <c r="AJ5" i="71"/>
  <c r="AI5" i="71"/>
  <c r="AH5" i="71"/>
  <c r="AG5" i="71"/>
  <c r="AF5" i="71"/>
  <c r="AD5" i="71"/>
  <c r="AN5" i="71" s="1"/>
  <c r="Y5" i="71"/>
  <c r="W5" i="71"/>
  <c r="V5" i="71"/>
  <c r="U5" i="71"/>
  <c r="T5" i="71"/>
  <c r="F1" i="71"/>
  <c r="AM55" i="53"/>
  <c r="AK55" i="53"/>
  <c r="AF55" i="53"/>
  <c r="AG55" i="53" s="1"/>
  <c r="Y55" i="53"/>
  <c r="V55" i="53"/>
  <c r="T55" i="53"/>
  <c r="AH55" i="53" s="1"/>
  <c r="AI55" i="53" s="1"/>
  <c r="AK54" i="53"/>
  <c r="AF54" i="53"/>
  <c r="AG54" i="53" s="1"/>
  <c r="Y54" i="53"/>
  <c r="V54" i="53"/>
  <c r="T54" i="53"/>
  <c r="AH54" i="53" s="1"/>
  <c r="AI54" i="53" s="1"/>
  <c r="AM53" i="53"/>
  <c r="AK53" i="53"/>
  <c r="AF53" i="53"/>
  <c r="AG53" i="53" s="1"/>
  <c r="Y53" i="53"/>
  <c r="V53" i="53"/>
  <c r="T53" i="53"/>
  <c r="AH53" i="53" s="1"/>
  <c r="AI53" i="53" s="1"/>
  <c r="AK52" i="53"/>
  <c r="AF52" i="53"/>
  <c r="AG52" i="53" s="1"/>
  <c r="Y52" i="53"/>
  <c r="V52" i="53"/>
  <c r="T52" i="53"/>
  <c r="AE52" i="53" s="1"/>
  <c r="AM51" i="53"/>
  <c r="AK51" i="53"/>
  <c r="AF51" i="53"/>
  <c r="AG51" i="53" s="1"/>
  <c r="Y51" i="53"/>
  <c r="V51" i="53"/>
  <c r="T51" i="53"/>
  <c r="AE51" i="53" s="1"/>
  <c r="AK50" i="53"/>
  <c r="AF50" i="53"/>
  <c r="AG50" i="53" s="1"/>
  <c r="Y50" i="53"/>
  <c r="V50" i="53"/>
  <c r="T50" i="53"/>
  <c r="AE50" i="53" s="1"/>
  <c r="AK49" i="53"/>
  <c r="AF49" i="53"/>
  <c r="AG49" i="53" s="1"/>
  <c r="Y49" i="53"/>
  <c r="V49" i="53"/>
  <c r="T49" i="53"/>
  <c r="AH49" i="53" s="1"/>
  <c r="AI49" i="53" s="1"/>
  <c r="AM48" i="53"/>
  <c r="AK48" i="53"/>
  <c r="AF48" i="53"/>
  <c r="AG48" i="53" s="1"/>
  <c r="Y48" i="53"/>
  <c r="V48" i="53"/>
  <c r="T48" i="53"/>
  <c r="AH48" i="53" s="1"/>
  <c r="AI48" i="53" s="1"/>
  <c r="AM47" i="53"/>
  <c r="AK47" i="53"/>
  <c r="AF47" i="53"/>
  <c r="AG47" i="53" s="1"/>
  <c r="AE47" i="53"/>
  <c r="Y47" i="53"/>
  <c r="V47" i="53"/>
  <c r="T47" i="53"/>
  <c r="AH47" i="53" s="1"/>
  <c r="AI47" i="53" s="1"/>
  <c r="AM46" i="53"/>
  <c r="AK46" i="53"/>
  <c r="AF46" i="53"/>
  <c r="AG46" i="53" s="1"/>
  <c r="Y46" i="53"/>
  <c r="V46" i="53"/>
  <c r="T46" i="53"/>
  <c r="AE46" i="53" s="1"/>
  <c r="AM45" i="53"/>
  <c r="AK45" i="53"/>
  <c r="AF45" i="53"/>
  <c r="AG45" i="53" s="1"/>
  <c r="AD45" i="53"/>
  <c r="Y45" i="53"/>
  <c r="V45" i="53"/>
  <c r="T45" i="53"/>
  <c r="AH45" i="53" s="1"/>
  <c r="AI45" i="53" s="1"/>
  <c r="AK44" i="53"/>
  <c r="AF44" i="53"/>
  <c r="AG44" i="53" s="1"/>
  <c r="Y44" i="53"/>
  <c r="V44" i="53"/>
  <c r="T44" i="53"/>
  <c r="AE44" i="53" s="1"/>
  <c r="AK43" i="53"/>
  <c r="AF43" i="53"/>
  <c r="AG43" i="53" s="1"/>
  <c r="AL43" i="53" s="1"/>
  <c r="Y43" i="53"/>
  <c r="V43" i="53"/>
  <c r="T43" i="53"/>
  <c r="AH43" i="53" s="1"/>
  <c r="AI43" i="53" s="1"/>
  <c r="AK42" i="53"/>
  <c r="AF42" i="53"/>
  <c r="AG42" i="53" s="1"/>
  <c r="Y42" i="53"/>
  <c r="V42" i="53"/>
  <c r="T42" i="53"/>
  <c r="AM42" i="53" s="1"/>
  <c r="AK41" i="53"/>
  <c r="AF41" i="53"/>
  <c r="AG41" i="53" s="1"/>
  <c r="Y41" i="53"/>
  <c r="V41" i="53"/>
  <c r="T41" i="53"/>
  <c r="AM41" i="53" s="1"/>
  <c r="AM40" i="53"/>
  <c r="AK40" i="53"/>
  <c r="AF40" i="53"/>
  <c r="AG40" i="53" s="1"/>
  <c r="Y40" i="53"/>
  <c r="V40" i="53"/>
  <c r="T40" i="53"/>
  <c r="AH40" i="53" s="1"/>
  <c r="AI40" i="53" s="1"/>
  <c r="AM39" i="53"/>
  <c r="AK39" i="53"/>
  <c r="AF39" i="53"/>
  <c r="AG39" i="53" s="1"/>
  <c r="Y39" i="53"/>
  <c r="V39" i="53"/>
  <c r="T39" i="53"/>
  <c r="AD39" i="53" s="1"/>
  <c r="AM38" i="53"/>
  <c r="AK38" i="53"/>
  <c r="AF38" i="53"/>
  <c r="AG38" i="53" s="1"/>
  <c r="Y38" i="53"/>
  <c r="V38" i="53"/>
  <c r="T38" i="53"/>
  <c r="AE38" i="53" s="1"/>
  <c r="AK37" i="53"/>
  <c r="AG37" i="53"/>
  <c r="AF37" i="53"/>
  <c r="Y37" i="53"/>
  <c r="V37" i="53"/>
  <c r="T37" i="53"/>
  <c r="AH37" i="53" s="1"/>
  <c r="AI37" i="53" s="1"/>
  <c r="AM36" i="53"/>
  <c r="AK36" i="53"/>
  <c r="AF36" i="53"/>
  <c r="AG36" i="53" s="1"/>
  <c r="Y36" i="53"/>
  <c r="V36" i="53"/>
  <c r="T36" i="53"/>
  <c r="AD36" i="53" s="1"/>
  <c r="AM35" i="53"/>
  <c r="AK35" i="53"/>
  <c r="AF35" i="53"/>
  <c r="AG35" i="53" s="1"/>
  <c r="Y35" i="53"/>
  <c r="V35" i="53"/>
  <c r="T35" i="53"/>
  <c r="AE35" i="53" s="1"/>
  <c r="AM34" i="53"/>
  <c r="AK34" i="53"/>
  <c r="AF34" i="53"/>
  <c r="AG34" i="53" s="1"/>
  <c r="Y34" i="53"/>
  <c r="V34" i="53"/>
  <c r="T34" i="53"/>
  <c r="AH34" i="53" s="1"/>
  <c r="AI34" i="53" s="1"/>
  <c r="AM33" i="53"/>
  <c r="AK33" i="53"/>
  <c r="AF33" i="53"/>
  <c r="AG33" i="53" s="1"/>
  <c r="AE33" i="53"/>
  <c r="Y33" i="53"/>
  <c r="V33" i="53"/>
  <c r="T33" i="53"/>
  <c r="AD33" i="53" s="1"/>
  <c r="AK32" i="53"/>
  <c r="AH32" i="53"/>
  <c r="AI32" i="53" s="1"/>
  <c r="AF32" i="53"/>
  <c r="AG32" i="53" s="1"/>
  <c r="Y32" i="53"/>
  <c r="V32" i="53"/>
  <c r="T32" i="53"/>
  <c r="AD32" i="53" s="1"/>
  <c r="AK31" i="53"/>
  <c r="AF31" i="53"/>
  <c r="AG31" i="53" s="1"/>
  <c r="Y31" i="53"/>
  <c r="V31" i="53"/>
  <c r="T31" i="53"/>
  <c r="AE31" i="53" s="1"/>
  <c r="AK30" i="53"/>
  <c r="AF30" i="53"/>
  <c r="AG30" i="53" s="1"/>
  <c r="AL30" i="53" s="1"/>
  <c r="Y30" i="53"/>
  <c r="V30" i="53"/>
  <c r="T30" i="53"/>
  <c r="AH30" i="53" s="1"/>
  <c r="AI30" i="53" s="1"/>
  <c r="AM29" i="53"/>
  <c r="AL29" i="53"/>
  <c r="AK29" i="53"/>
  <c r="AJ29" i="53"/>
  <c r="AI29" i="53"/>
  <c r="AH29" i="53"/>
  <c r="AG29" i="53"/>
  <c r="AF29" i="53"/>
  <c r="AE29" i="53"/>
  <c r="AD29" i="53"/>
  <c r="AN29" i="53" s="1"/>
  <c r="Y29" i="53"/>
  <c r="V29" i="53"/>
  <c r="T29" i="53"/>
  <c r="AM28" i="53"/>
  <c r="AL28" i="53"/>
  <c r="AK28" i="53"/>
  <c r="AJ28" i="53"/>
  <c r="AI28" i="53"/>
  <c r="AH28" i="53"/>
  <c r="AG28" i="53"/>
  <c r="AF28" i="53"/>
  <c r="AE28" i="53"/>
  <c r="AD28" i="53"/>
  <c r="Y28" i="53"/>
  <c r="V28" i="53"/>
  <c r="T28" i="53"/>
  <c r="AM27" i="53"/>
  <c r="AL27" i="53"/>
  <c r="AK27" i="53"/>
  <c r="AJ27" i="53"/>
  <c r="AI27" i="53"/>
  <c r="AH27" i="53"/>
  <c r="AG27" i="53"/>
  <c r="AF27" i="53"/>
  <c r="AE27" i="53"/>
  <c r="AD27" i="53"/>
  <c r="Y27" i="53"/>
  <c r="V27" i="53"/>
  <c r="T27" i="53"/>
  <c r="AM26" i="53"/>
  <c r="AL26" i="53"/>
  <c r="AK26" i="53"/>
  <c r="AJ26" i="53"/>
  <c r="AI26" i="53"/>
  <c r="AH26" i="53"/>
  <c r="AG26" i="53"/>
  <c r="AF26" i="53"/>
  <c r="AE26" i="53"/>
  <c r="AD26" i="53"/>
  <c r="Y26" i="53"/>
  <c r="V26" i="53"/>
  <c r="T26" i="53"/>
  <c r="AM25" i="53"/>
  <c r="AL25" i="53"/>
  <c r="AK25" i="53"/>
  <c r="AJ25" i="53"/>
  <c r="AI25" i="53"/>
  <c r="AH25" i="53"/>
  <c r="AG25" i="53"/>
  <c r="AF25" i="53"/>
  <c r="AE25" i="53"/>
  <c r="AD25" i="53"/>
  <c r="Y25" i="53"/>
  <c r="V25" i="53"/>
  <c r="T25" i="53"/>
  <c r="AM24" i="53"/>
  <c r="AL24" i="53"/>
  <c r="AK24" i="53"/>
  <c r="AJ24" i="53"/>
  <c r="AI24" i="53"/>
  <c r="AH24" i="53"/>
  <c r="AG24" i="53"/>
  <c r="AF24" i="53"/>
  <c r="AE24" i="53"/>
  <c r="AD24" i="53"/>
  <c r="Y24" i="53"/>
  <c r="V24" i="53"/>
  <c r="T24" i="53"/>
  <c r="AM23" i="53"/>
  <c r="AL23" i="53"/>
  <c r="AK23" i="53"/>
  <c r="AJ23" i="53"/>
  <c r="AI23" i="53"/>
  <c r="AH23" i="53"/>
  <c r="AG23" i="53"/>
  <c r="AF23" i="53"/>
  <c r="AE23" i="53"/>
  <c r="AD23" i="53"/>
  <c r="Y23" i="53"/>
  <c r="V23" i="53"/>
  <c r="T23" i="53"/>
  <c r="AM22" i="53"/>
  <c r="AL22" i="53"/>
  <c r="AK22" i="53"/>
  <c r="AJ22" i="53"/>
  <c r="AI22" i="53"/>
  <c r="AH22" i="53"/>
  <c r="AG22" i="53"/>
  <c r="AF22" i="53"/>
  <c r="AE22" i="53"/>
  <c r="AD22" i="53"/>
  <c r="Y22" i="53"/>
  <c r="V22" i="53"/>
  <c r="T22" i="53"/>
  <c r="AM21" i="53"/>
  <c r="AL21" i="53"/>
  <c r="AK21" i="53"/>
  <c r="AJ21" i="53"/>
  <c r="AI21" i="53"/>
  <c r="AH21" i="53"/>
  <c r="AG21" i="53"/>
  <c r="AF21" i="53"/>
  <c r="AE21" i="53"/>
  <c r="AD21" i="53"/>
  <c r="Y21" i="53"/>
  <c r="V21" i="53"/>
  <c r="T21" i="53"/>
  <c r="AM20" i="53"/>
  <c r="AL20" i="53"/>
  <c r="AK20" i="53"/>
  <c r="AJ20" i="53"/>
  <c r="AI20" i="53"/>
  <c r="AH20" i="53"/>
  <c r="AG20" i="53"/>
  <c r="AF20" i="53"/>
  <c r="AE20" i="53"/>
  <c r="AD20" i="53"/>
  <c r="Y20" i="53"/>
  <c r="V20" i="53"/>
  <c r="T20" i="53"/>
  <c r="AM19" i="53"/>
  <c r="AL19" i="53"/>
  <c r="AK19" i="53"/>
  <c r="AJ19" i="53"/>
  <c r="AI19" i="53"/>
  <c r="AH19" i="53"/>
  <c r="AG19" i="53"/>
  <c r="AF19" i="53"/>
  <c r="AE19" i="53"/>
  <c r="AD19" i="53"/>
  <c r="Y19" i="53"/>
  <c r="V19" i="53"/>
  <c r="T19" i="53"/>
  <c r="AM18" i="53"/>
  <c r="AL18" i="53"/>
  <c r="AK18" i="53"/>
  <c r="AJ18" i="53"/>
  <c r="AI18" i="53"/>
  <c r="AH18" i="53"/>
  <c r="AG18" i="53"/>
  <c r="AF18" i="53"/>
  <c r="AE18" i="53"/>
  <c r="AD18" i="53"/>
  <c r="Y18" i="53"/>
  <c r="V18" i="53"/>
  <c r="T18" i="53"/>
  <c r="AM17" i="53"/>
  <c r="AL17" i="53"/>
  <c r="AK17" i="53"/>
  <c r="AJ17" i="53"/>
  <c r="AI17" i="53"/>
  <c r="AH17" i="53"/>
  <c r="AG17" i="53"/>
  <c r="AF17" i="53"/>
  <c r="AE17" i="53"/>
  <c r="AD17" i="53"/>
  <c r="AN17" i="53" s="1"/>
  <c r="Y17" i="53"/>
  <c r="V17" i="53"/>
  <c r="T17" i="53"/>
  <c r="AM16" i="53"/>
  <c r="AL16" i="53"/>
  <c r="AK16" i="53"/>
  <c r="AJ16" i="53"/>
  <c r="AI16" i="53"/>
  <c r="AH16" i="53"/>
  <c r="AG16" i="53"/>
  <c r="AF16" i="53"/>
  <c r="AE16" i="53"/>
  <c r="AD16" i="53"/>
  <c r="Y16" i="53"/>
  <c r="V16" i="53"/>
  <c r="T16" i="53"/>
  <c r="AM15" i="53"/>
  <c r="AL15" i="53"/>
  <c r="AK15" i="53"/>
  <c r="AJ15" i="53"/>
  <c r="AI15" i="53"/>
  <c r="AH15" i="53"/>
  <c r="AG15" i="53"/>
  <c r="AF15" i="53"/>
  <c r="AE15" i="53"/>
  <c r="AN15" i="53" s="1"/>
  <c r="AD15" i="53"/>
  <c r="Y15" i="53"/>
  <c r="V15" i="53"/>
  <c r="T15" i="53"/>
  <c r="AM14" i="53"/>
  <c r="AL14" i="53"/>
  <c r="AK14" i="53"/>
  <c r="AJ14" i="53"/>
  <c r="AI14" i="53"/>
  <c r="AH14" i="53"/>
  <c r="AG14" i="53"/>
  <c r="AF14" i="53"/>
  <c r="AE14" i="53"/>
  <c r="AN14" i="53" s="1"/>
  <c r="AD14" i="53"/>
  <c r="Y14" i="53"/>
  <c r="V14" i="53"/>
  <c r="T14" i="53"/>
  <c r="AM13" i="53"/>
  <c r="AL13" i="53"/>
  <c r="AK13" i="53"/>
  <c r="AJ13" i="53"/>
  <c r="AI13" i="53"/>
  <c r="AH13" i="53"/>
  <c r="AG13" i="53"/>
  <c r="AF13" i="53"/>
  <c r="AE13" i="53"/>
  <c r="AD13" i="53"/>
  <c r="Y13" i="53"/>
  <c r="V13" i="53"/>
  <c r="T13" i="53"/>
  <c r="AM12" i="53"/>
  <c r="AL12" i="53"/>
  <c r="AK12" i="53"/>
  <c r="AJ12" i="53"/>
  <c r="AI12" i="53"/>
  <c r="AH12" i="53"/>
  <c r="AG12" i="53"/>
  <c r="AF12" i="53"/>
  <c r="AE12" i="53"/>
  <c r="AD12" i="53"/>
  <c r="Y12" i="53"/>
  <c r="V12" i="53"/>
  <c r="T12" i="53"/>
  <c r="A12" i="53"/>
  <c r="AM11" i="53"/>
  <c r="AL11" i="53"/>
  <c r="AK11" i="53"/>
  <c r="AJ11" i="53"/>
  <c r="AI11" i="53"/>
  <c r="AH11" i="53"/>
  <c r="AG11" i="53"/>
  <c r="AF11" i="53"/>
  <c r="AE11" i="53"/>
  <c r="AD11" i="53"/>
  <c r="Y11" i="53"/>
  <c r="V11" i="53"/>
  <c r="T11" i="53"/>
  <c r="AM10" i="53"/>
  <c r="AL10" i="53"/>
  <c r="AK10" i="53"/>
  <c r="AJ10" i="53"/>
  <c r="AI10" i="53"/>
  <c r="AH10" i="53"/>
  <c r="AG10" i="53"/>
  <c r="AF10" i="53"/>
  <c r="AE10" i="53"/>
  <c r="AD10" i="53"/>
  <c r="Y10" i="53"/>
  <c r="V10" i="53"/>
  <c r="T10" i="53"/>
  <c r="A10" i="53"/>
  <c r="AM9" i="53"/>
  <c r="AL9" i="53"/>
  <c r="AK9" i="53"/>
  <c r="AJ9" i="53"/>
  <c r="AI9" i="53"/>
  <c r="AH9" i="53"/>
  <c r="AG9" i="53"/>
  <c r="AF9" i="53"/>
  <c r="AE9" i="53"/>
  <c r="AD9" i="53"/>
  <c r="Y9" i="53"/>
  <c r="V9" i="53"/>
  <c r="T9" i="53"/>
  <c r="AM8" i="53"/>
  <c r="AL8" i="53"/>
  <c r="AK8" i="53"/>
  <c r="AJ8" i="53"/>
  <c r="AI8" i="53"/>
  <c r="AH8" i="53"/>
  <c r="AG8" i="53"/>
  <c r="AF8" i="53"/>
  <c r="AD8" i="53"/>
  <c r="AN8" i="53" s="1"/>
  <c r="Y8" i="53"/>
  <c r="V8" i="53"/>
  <c r="T8" i="53"/>
  <c r="AM7" i="53"/>
  <c r="AL7" i="53"/>
  <c r="AK7" i="53"/>
  <c r="AJ7" i="53"/>
  <c r="AI7" i="53"/>
  <c r="AH7" i="53"/>
  <c r="AG7" i="53"/>
  <c r="AF7" i="53"/>
  <c r="AD7" i="53"/>
  <c r="AN7" i="53" s="1"/>
  <c r="Y7" i="53"/>
  <c r="V7" i="53"/>
  <c r="T7" i="53"/>
  <c r="AM6" i="53"/>
  <c r="AL6" i="53"/>
  <c r="AK6" i="53"/>
  <c r="AJ6" i="53"/>
  <c r="AI6" i="53"/>
  <c r="AH6" i="53"/>
  <c r="AG6" i="53"/>
  <c r="AF6" i="53"/>
  <c r="AD6" i="53"/>
  <c r="AN6" i="53" s="1"/>
  <c r="Y6" i="53"/>
  <c r="V6" i="53"/>
  <c r="T6" i="53"/>
  <c r="A6" i="53"/>
  <c r="AM5" i="53"/>
  <c r="AL5" i="53"/>
  <c r="AK5" i="53"/>
  <c r="AJ5" i="53"/>
  <c r="AI5" i="53"/>
  <c r="AH5" i="53"/>
  <c r="AG5" i="53"/>
  <c r="AF5" i="53"/>
  <c r="AD5" i="53"/>
  <c r="AN5" i="53" s="1"/>
  <c r="Y5" i="53"/>
  <c r="V5" i="53"/>
  <c r="T5" i="53"/>
  <c r="F1" i="53"/>
  <c r="AM24" i="52"/>
  <c r="AL24" i="52"/>
  <c r="AK24" i="52"/>
  <c r="AJ24" i="52"/>
  <c r="AI24" i="52"/>
  <c r="AH24" i="52"/>
  <c r="AG24" i="52"/>
  <c r="AF24" i="52"/>
  <c r="AE24" i="52"/>
  <c r="AD24" i="52"/>
  <c r="Y24" i="52"/>
  <c r="V24" i="52"/>
  <c r="T24" i="52"/>
  <c r="AM23" i="52"/>
  <c r="AL23" i="52"/>
  <c r="AK23" i="52"/>
  <c r="AJ23" i="52"/>
  <c r="AI23" i="52"/>
  <c r="AH23" i="52"/>
  <c r="AG23" i="52"/>
  <c r="AF23" i="52"/>
  <c r="AE23" i="52"/>
  <c r="AD23" i="52"/>
  <c r="Y23" i="52"/>
  <c r="V23" i="52"/>
  <c r="T23" i="52"/>
  <c r="AM22" i="52"/>
  <c r="AL22" i="52"/>
  <c r="AK22" i="52"/>
  <c r="AJ22" i="52"/>
  <c r="AI22" i="52"/>
  <c r="AH22" i="52"/>
  <c r="AG22" i="52"/>
  <c r="AF22" i="52"/>
  <c r="AE22" i="52"/>
  <c r="AD22" i="52"/>
  <c r="AN22" i="52" s="1"/>
  <c r="Y22" i="52"/>
  <c r="V22" i="52"/>
  <c r="T22" i="52"/>
  <c r="AM21" i="52"/>
  <c r="AL21" i="52"/>
  <c r="AK21" i="52"/>
  <c r="AJ21" i="52"/>
  <c r="AI21" i="52"/>
  <c r="AH21" i="52"/>
  <c r="AG21" i="52"/>
  <c r="AF21" i="52"/>
  <c r="AE21" i="52"/>
  <c r="AD21" i="52"/>
  <c r="Y21" i="52"/>
  <c r="V21" i="52"/>
  <c r="T21" i="52"/>
  <c r="AM20" i="52"/>
  <c r="AK20" i="52"/>
  <c r="AF20" i="52"/>
  <c r="AG20" i="52" s="1"/>
  <c r="Y20" i="52"/>
  <c r="V20" i="52"/>
  <c r="T20" i="52"/>
  <c r="AH20" i="52" s="1"/>
  <c r="AI20" i="52" s="1"/>
  <c r="AM19" i="52"/>
  <c r="AK19" i="52"/>
  <c r="AF19" i="52"/>
  <c r="AG19" i="52" s="1"/>
  <c r="Y19" i="52"/>
  <c r="V19" i="52"/>
  <c r="T19" i="52"/>
  <c r="AH19" i="52" s="1"/>
  <c r="AI19" i="52" s="1"/>
  <c r="AM18" i="52"/>
  <c r="AK18" i="52"/>
  <c r="AF18" i="52"/>
  <c r="AG18" i="52" s="1"/>
  <c r="AE18" i="52"/>
  <c r="Y18" i="52"/>
  <c r="V18" i="52"/>
  <c r="T18" i="52"/>
  <c r="AD18" i="52" s="1"/>
  <c r="AK17" i="52"/>
  <c r="AF17" i="52"/>
  <c r="AG17" i="52" s="1"/>
  <c r="Y17" i="52"/>
  <c r="V17" i="52"/>
  <c r="T17" i="52"/>
  <c r="AH17" i="52" s="1"/>
  <c r="AI17" i="52" s="1"/>
  <c r="AK16" i="52"/>
  <c r="AF16" i="52"/>
  <c r="AG16" i="52" s="1"/>
  <c r="Y16" i="52"/>
  <c r="V16" i="52"/>
  <c r="T16" i="52"/>
  <c r="AH16" i="52" s="1"/>
  <c r="AI16" i="52" s="1"/>
  <c r="AM15" i="52"/>
  <c r="AK15" i="52"/>
  <c r="AF15" i="52"/>
  <c r="AG15" i="52" s="1"/>
  <c r="Y15" i="52"/>
  <c r="V15" i="52"/>
  <c r="T15" i="52"/>
  <c r="AH15" i="52" s="1"/>
  <c r="AI15" i="52" s="1"/>
  <c r="AK14" i="52"/>
  <c r="AF14" i="52"/>
  <c r="AG14" i="52" s="1"/>
  <c r="Y14" i="52"/>
  <c r="V14" i="52"/>
  <c r="T14" i="52"/>
  <c r="AE14" i="52" s="1"/>
  <c r="AK13" i="52"/>
  <c r="AF13" i="52"/>
  <c r="AG13" i="52" s="1"/>
  <c r="Y13" i="52"/>
  <c r="V13" i="52"/>
  <c r="T13" i="52"/>
  <c r="AH13" i="52" s="1"/>
  <c r="AI13" i="52" s="1"/>
  <c r="AM12" i="52"/>
  <c r="AK12" i="52"/>
  <c r="AF12" i="52"/>
  <c r="AG12" i="52" s="1"/>
  <c r="Y12" i="52"/>
  <c r="V12" i="52"/>
  <c r="T12" i="52"/>
  <c r="AH12" i="52" s="1"/>
  <c r="AI12" i="52" s="1"/>
  <c r="A12" i="52"/>
  <c r="AK11" i="52"/>
  <c r="AF11" i="52"/>
  <c r="AG11" i="52" s="1"/>
  <c r="Y11" i="52"/>
  <c r="V11" i="52"/>
  <c r="T11" i="52"/>
  <c r="AD11" i="52" s="1"/>
  <c r="AM10" i="52"/>
  <c r="AK10" i="52"/>
  <c r="AF10" i="52"/>
  <c r="AG10" i="52" s="1"/>
  <c r="Y10" i="52"/>
  <c r="V10" i="52"/>
  <c r="T10" i="52"/>
  <c r="AH10" i="52" s="1"/>
  <c r="AI10" i="52" s="1"/>
  <c r="A10" i="52"/>
  <c r="W9" i="52" s="1"/>
  <c r="AK9" i="52"/>
  <c r="AF9" i="52"/>
  <c r="AG9" i="52" s="1"/>
  <c r="AD9" i="52"/>
  <c r="Y9" i="52"/>
  <c r="V9" i="52"/>
  <c r="T9" i="52"/>
  <c r="AE9" i="52" s="1"/>
  <c r="AM8" i="52"/>
  <c r="AL8" i="52"/>
  <c r="AK8" i="52"/>
  <c r="AJ8" i="52"/>
  <c r="AI8" i="52"/>
  <c r="AH8" i="52"/>
  <c r="AG8" i="52"/>
  <c r="AF8" i="52"/>
  <c r="AD8" i="52"/>
  <c r="AN8" i="52" s="1"/>
  <c r="Y8" i="52"/>
  <c r="V8" i="52"/>
  <c r="T8" i="52"/>
  <c r="AM7" i="52"/>
  <c r="AL7" i="52"/>
  <c r="AK7" i="52"/>
  <c r="AJ7" i="52"/>
  <c r="AI7" i="52"/>
  <c r="AH7" i="52"/>
  <c r="AG7" i="52"/>
  <c r="AF7" i="52"/>
  <c r="AD7" i="52"/>
  <c r="AN7" i="52" s="1"/>
  <c r="Y7" i="52"/>
  <c r="V7" i="52"/>
  <c r="T7" i="52"/>
  <c r="AM6" i="52"/>
  <c r="AL6" i="52"/>
  <c r="AK6" i="52"/>
  <c r="AJ6" i="52"/>
  <c r="AI6" i="52"/>
  <c r="AH6" i="52"/>
  <c r="AG6" i="52"/>
  <c r="AF6" i="52"/>
  <c r="AD6" i="52"/>
  <c r="AN6" i="52" s="1"/>
  <c r="Y6" i="52"/>
  <c r="V6" i="52"/>
  <c r="T6" i="52"/>
  <c r="A6" i="52"/>
  <c r="AM5" i="52"/>
  <c r="AL5" i="52"/>
  <c r="AK5" i="52"/>
  <c r="AJ5" i="52"/>
  <c r="AI5" i="52"/>
  <c r="AH5" i="52"/>
  <c r="AG5" i="52"/>
  <c r="AF5" i="52"/>
  <c r="AD5" i="52"/>
  <c r="AN5" i="52" s="1"/>
  <c r="Y5" i="52"/>
  <c r="V5" i="52"/>
  <c r="T5" i="52"/>
  <c r="F1" i="52"/>
  <c r="AK24" i="51"/>
  <c r="AF24" i="51"/>
  <c r="AG24" i="51" s="1"/>
  <c r="Y24" i="51"/>
  <c r="V24" i="51"/>
  <c r="T24" i="51"/>
  <c r="AH24" i="51" s="1"/>
  <c r="AI24" i="51" s="1"/>
  <c r="AK23" i="51"/>
  <c r="AF23" i="51"/>
  <c r="AG23" i="51" s="1"/>
  <c r="Y23" i="51"/>
  <c r="V23" i="51"/>
  <c r="T23" i="51"/>
  <c r="AH23" i="51" s="1"/>
  <c r="AI23" i="51" s="1"/>
  <c r="AK22" i="51"/>
  <c r="AF22" i="51"/>
  <c r="AG22" i="51" s="1"/>
  <c r="Y22" i="51"/>
  <c r="V22" i="51"/>
  <c r="T22" i="51"/>
  <c r="AD22" i="51" s="1"/>
  <c r="AK21" i="51"/>
  <c r="AF21" i="51"/>
  <c r="AG21" i="51" s="1"/>
  <c r="Y21" i="51"/>
  <c r="V21" i="51"/>
  <c r="T21" i="51"/>
  <c r="AE21" i="51" s="1"/>
  <c r="AK20" i="51"/>
  <c r="AF20" i="51"/>
  <c r="AG20" i="51" s="1"/>
  <c r="Y20" i="51"/>
  <c r="V20" i="51"/>
  <c r="T20" i="51"/>
  <c r="AE20" i="51" s="1"/>
  <c r="AK19" i="51"/>
  <c r="AF19" i="51"/>
  <c r="AG19" i="51" s="1"/>
  <c r="Y19" i="51"/>
  <c r="V19" i="51"/>
  <c r="T19" i="51"/>
  <c r="AH19" i="51" s="1"/>
  <c r="AI19" i="51" s="1"/>
  <c r="AM18" i="51"/>
  <c r="AK18" i="51"/>
  <c r="AF18" i="51"/>
  <c r="AG18" i="51" s="1"/>
  <c r="Y18" i="51"/>
  <c r="V18" i="51"/>
  <c r="T18" i="51"/>
  <c r="AH18" i="51" s="1"/>
  <c r="AI18" i="51" s="1"/>
  <c r="AK17" i="51"/>
  <c r="AF17" i="51"/>
  <c r="AG17" i="51" s="1"/>
  <c r="Y17" i="51"/>
  <c r="V17" i="51"/>
  <c r="T17" i="51"/>
  <c r="AH17" i="51" s="1"/>
  <c r="AI17" i="51" s="1"/>
  <c r="AM16" i="51"/>
  <c r="AK16" i="51"/>
  <c r="AH16" i="51"/>
  <c r="AI16" i="51" s="1"/>
  <c r="AF16" i="51"/>
  <c r="AG16" i="51" s="1"/>
  <c r="Y16" i="51"/>
  <c r="V16" i="51"/>
  <c r="T16" i="51"/>
  <c r="AE16" i="51" s="1"/>
  <c r="AM15" i="51"/>
  <c r="AL15" i="51"/>
  <c r="AK15" i="51"/>
  <c r="AJ15" i="51"/>
  <c r="AI15" i="51"/>
  <c r="AH15" i="51"/>
  <c r="AG15" i="51"/>
  <c r="AF15" i="51"/>
  <c r="AE15" i="51"/>
  <c r="AD15" i="51"/>
  <c r="Y15" i="51"/>
  <c r="V15" i="51"/>
  <c r="T15" i="51"/>
  <c r="AM14" i="51"/>
  <c r="AL14" i="51"/>
  <c r="AK14" i="51"/>
  <c r="AJ14" i="51"/>
  <c r="AI14" i="51"/>
  <c r="AH14" i="51"/>
  <c r="AG14" i="51"/>
  <c r="AF14" i="51"/>
  <c r="AE14" i="51"/>
  <c r="AD14" i="51"/>
  <c r="Y14" i="51"/>
  <c r="V14" i="51"/>
  <c r="T14" i="51"/>
  <c r="AM13" i="51"/>
  <c r="AL13" i="51"/>
  <c r="AK13" i="51"/>
  <c r="AJ13" i="51"/>
  <c r="AI13" i="51"/>
  <c r="AH13" i="51"/>
  <c r="AG13" i="51"/>
  <c r="AF13" i="51"/>
  <c r="AE13" i="51"/>
  <c r="AD13" i="51"/>
  <c r="Y13" i="51"/>
  <c r="V13" i="51"/>
  <c r="T13" i="51"/>
  <c r="AM12" i="51"/>
  <c r="AL12" i="51"/>
  <c r="AK12" i="51"/>
  <c r="AJ12" i="51"/>
  <c r="AI12" i="51"/>
  <c r="AH12" i="51"/>
  <c r="AG12" i="51"/>
  <c r="AF12" i="51"/>
  <c r="AE12" i="51"/>
  <c r="AD12" i="51"/>
  <c r="AN12" i="51" s="1"/>
  <c r="Y12" i="51"/>
  <c r="V12" i="51"/>
  <c r="T12" i="51"/>
  <c r="A12" i="51"/>
  <c r="AM11" i="51"/>
  <c r="AL11" i="51"/>
  <c r="AK11" i="51"/>
  <c r="AJ11" i="51"/>
  <c r="AI11" i="51"/>
  <c r="AH11" i="51"/>
  <c r="AG11" i="51"/>
  <c r="AF11" i="51"/>
  <c r="AE11" i="51"/>
  <c r="AD11" i="51"/>
  <c r="AN11" i="51" s="1"/>
  <c r="Y11" i="51"/>
  <c r="V11" i="51"/>
  <c r="T11" i="51"/>
  <c r="AM10" i="51"/>
  <c r="AL10" i="51"/>
  <c r="AK10" i="51"/>
  <c r="AJ10" i="51"/>
  <c r="AI10" i="51"/>
  <c r="AH10" i="51"/>
  <c r="AG10" i="51"/>
  <c r="AF10" i="51"/>
  <c r="AE10" i="51"/>
  <c r="AD10" i="51"/>
  <c r="Y10" i="51"/>
  <c r="V10" i="51"/>
  <c r="T10" i="51"/>
  <c r="A10" i="51"/>
  <c r="AM9" i="51"/>
  <c r="AL9" i="51"/>
  <c r="AK9" i="51"/>
  <c r="AJ9" i="51"/>
  <c r="AI9" i="51"/>
  <c r="AH9" i="51"/>
  <c r="AG9" i="51"/>
  <c r="AF9" i="51"/>
  <c r="AE9" i="51"/>
  <c r="AD9" i="51"/>
  <c r="Y9" i="51"/>
  <c r="V9" i="51"/>
  <c r="T9" i="51"/>
  <c r="AM8" i="51"/>
  <c r="AL8" i="51"/>
  <c r="AK8" i="51"/>
  <c r="AJ8" i="51"/>
  <c r="AI8" i="51"/>
  <c r="AH8" i="51"/>
  <c r="AG8" i="51"/>
  <c r="AF8" i="51"/>
  <c r="AD8" i="51"/>
  <c r="AN8" i="51" s="1"/>
  <c r="Y8" i="51"/>
  <c r="V8" i="51"/>
  <c r="T8" i="51"/>
  <c r="AM7" i="51"/>
  <c r="AL7" i="51"/>
  <c r="AK7" i="51"/>
  <c r="AJ7" i="51"/>
  <c r="AI7" i="51"/>
  <c r="AH7" i="51"/>
  <c r="AG7" i="51"/>
  <c r="AF7" i="51"/>
  <c r="AD7" i="51"/>
  <c r="AN7" i="51" s="1"/>
  <c r="Y7" i="51"/>
  <c r="V7" i="51"/>
  <c r="T7" i="51"/>
  <c r="AM6" i="51"/>
  <c r="AL6" i="51"/>
  <c r="AK6" i="51"/>
  <c r="AJ6" i="51"/>
  <c r="AI6" i="51"/>
  <c r="AH6" i="51"/>
  <c r="AG6" i="51"/>
  <c r="AF6" i="51"/>
  <c r="AD6" i="51"/>
  <c r="AN6" i="51" s="1"/>
  <c r="Y6" i="51"/>
  <c r="V6" i="51"/>
  <c r="T6" i="51"/>
  <c r="A6" i="51"/>
  <c r="AM5" i="51"/>
  <c r="AL5" i="51"/>
  <c r="AK5" i="51"/>
  <c r="AJ5" i="51"/>
  <c r="AI5" i="51"/>
  <c r="AH5" i="51"/>
  <c r="AG5" i="51"/>
  <c r="AF5" i="51"/>
  <c r="AD5" i="51"/>
  <c r="AN5" i="51" s="1"/>
  <c r="Y5" i="51"/>
  <c r="V5" i="51"/>
  <c r="T5" i="51"/>
  <c r="F1" i="51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M23" i="50"/>
  <c r="AL23" i="50"/>
  <c r="AK23" i="50"/>
  <c r="AJ23" i="50"/>
  <c r="AI23" i="50"/>
  <c r="AH23" i="50"/>
  <c r="AG23" i="50"/>
  <c r="AF23" i="50"/>
  <c r="AE23" i="50"/>
  <c r="AD23" i="50"/>
  <c r="AN23" i="50" s="1"/>
  <c r="Y23" i="50"/>
  <c r="W23" i="50"/>
  <c r="V23" i="50"/>
  <c r="U23" i="50"/>
  <c r="T23" i="50"/>
  <c r="AM22" i="50"/>
  <c r="AL22" i="50"/>
  <c r="AK22" i="50"/>
  <c r="AJ22" i="50"/>
  <c r="AI22" i="50"/>
  <c r="AH22" i="50"/>
  <c r="AG22" i="50"/>
  <c r="AF22" i="50"/>
  <c r="AE22" i="50"/>
  <c r="AD22" i="50"/>
  <c r="AN22" i="50" s="1"/>
  <c r="Y22" i="50"/>
  <c r="W22" i="50"/>
  <c r="V22" i="50"/>
  <c r="U22" i="50"/>
  <c r="T22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M19" i="50"/>
  <c r="AL19" i="50"/>
  <c r="AK19" i="50"/>
  <c r="AJ19" i="50"/>
  <c r="AI19" i="50"/>
  <c r="AH19" i="50"/>
  <c r="AG19" i="50"/>
  <c r="AF19" i="50"/>
  <c r="AE19" i="50"/>
  <c r="AD19" i="50"/>
  <c r="AN19" i="50" s="1"/>
  <c r="Y19" i="50"/>
  <c r="W19" i="50"/>
  <c r="V19" i="50"/>
  <c r="U19" i="50"/>
  <c r="T19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M13" i="50"/>
  <c r="AL13" i="50"/>
  <c r="AK13" i="50"/>
  <c r="AJ13" i="50"/>
  <c r="AI13" i="50"/>
  <c r="AH13" i="50"/>
  <c r="AG13" i="50"/>
  <c r="AF13" i="50"/>
  <c r="AE13" i="50"/>
  <c r="AD13" i="50"/>
  <c r="AN13" i="50" s="1"/>
  <c r="Y13" i="50"/>
  <c r="W13" i="50"/>
  <c r="V13" i="50"/>
  <c r="U13" i="50"/>
  <c r="T13" i="50"/>
  <c r="AM12" i="50"/>
  <c r="AL12" i="50"/>
  <c r="AK12" i="50"/>
  <c r="AJ12" i="50"/>
  <c r="AI12" i="50"/>
  <c r="AH12" i="50"/>
  <c r="AG12" i="50"/>
  <c r="AF12" i="50"/>
  <c r="AE12" i="50"/>
  <c r="AD12" i="50"/>
  <c r="AN12" i="50" s="1"/>
  <c r="Y12" i="50"/>
  <c r="W12" i="50"/>
  <c r="V12" i="50"/>
  <c r="U12" i="50"/>
  <c r="T12" i="50"/>
  <c r="A12" i="50"/>
  <c r="AM11" i="50"/>
  <c r="AL11" i="50"/>
  <c r="AK11" i="50"/>
  <c r="AJ11" i="50"/>
  <c r="AI11" i="50"/>
  <c r="AH11" i="50"/>
  <c r="AG11" i="50"/>
  <c r="AF11" i="50"/>
  <c r="AE11" i="50"/>
  <c r="AD11" i="50"/>
  <c r="AN11" i="50" s="1"/>
  <c r="Y11" i="50"/>
  <c r="W11" i="50"/>
  <c r="V11" i="50"/>
  <c r="U11" i="50"/>
  <c r="T11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M8" i="50"/>
  <c r="AL8" i="50"/>
  <c r="AK8" i="50"/>
  <c r="AJ8" i="50"/>
  <c r="AI8" i="50"/>
  <c r="AH8" i="50"/>
  <c r="AG8" i="50"/>
  <c r="AF8" i="50"/>
  <c r="AD8" i="50"/>
  <c r="AN8" i="50" s="1"/>
  <c r="Y8" i="50"/>
  <c r="W8" i="50"/>
  <c r="V8" i="50"/>
  <c r="U8" i="50"/>
  <c r="T8" i="50"/>
  <c r="A8" i="50"/>
  <c r="AM7" i="50"/>
  <c r="AL7" i="50"/>
  <c r="AK7" i="50"/>
  <c r="AJ7" i="50"/>
  <c r="AI7" i="50"/>
  <c r="AH7" i="50"/>
  <c r="AG7" i="50"/>
  <c r="AF7" i="50"/>
  <c r="AD7" i="50"/>
  <c r="AN7" i="50" s="1"/>
  <c r="Y7" i="50"/>
  <c r="W7" i="50"/>
  <c r="V7" i="50"/>
  <c r="U7" i="50"/>
  <c r="T7" i="50"/>
  <c r="AM6" i="50"/>
  <c r="AL6" i="50"/>
  <c r="AK6" i="50"/>
  <c r="AJ6" i="50"/>
  <c r="AI6" i="50"/>
  <c r="AH6" i="50"/>
  <c r="AG6" i="50"/>
  <c r="AF6" i="50"/>
  <c r="AD6" i="50"/>
  <c r="AN6" i="50" s="1"/>
  <c r="Y6" i="50"/>
  <c r="W6" i="50"/>
  <c r="V6" i="50"/>
  <c r="U6" i="50"/>
  <c r="T6" i="50"/>
  <c r="A6" i="50"/>
  <c r="AM5" i="50"/>
  <c r="AL5" i="50"/>
  <c r="AK5" i="50"/>
  <c r="AJ5" i="50"/>
  <c r="AI5" i="50"/>
  <c r="AH5" i="50"/>
  <c r="AG5" i="50"/>
  <c r="AF5" i="50"/>
  <c r="AD5" i="50"/>
  <c r="AN5" i="50" s="1"/>
  <c r="Y5" i="50"/>
  <c r="W5" i="50"/>
  <c r="V5" i="50"/>
  <c r="U5" i="50"/>
  <c r="T5" i="50"/>
  <c r="F1" i="50"/>
  <c r="AM24" i="49"/>
  <c r="AL24" i="49"/>
  <c r="AK24" i="49"/>
  <c r="AJ24" i="49"/>
  <c r="AI24" i="49"/>
  <c r="AH24" i="49"/>
  <c r="AG24" i="49"/>
  <c r="AF24" i="49"/>
  <c r="AE24" i="49"/>
  <c r="AD24" i="49"/>
  <c r="Y24" i="49"/>
  <c r="V24" i="49"/>
  <c r="T24" i="49"/>
  <c r="AM23" i="49"/>
  <c r="AL23" i="49"/>
  <c r="AK23" i="49"/>
  <c r="AJ23" i="49"/>
  <c r="AI23" i="49"/>
  <c r="AH23" i="49"/>
  <c r="AG23" i="49"/>
  <c r="AF23" i="49"/>
  <c r="AE23" i="49"/>
  <c r="AD23" i="49"/>
  <c r="Y23" i="49"/>
  <c r="V23" i="49"/>
  <c r="T23" i="49"/>
  <c r="AM22" i="49"/>
  <c r="AL22" i="49"/>
  <c r="AK22" i="49"/>
  <c r="AJ22" i="49"/>
  <c r="AI22" i="49"/>
  <c r="AH22" i="49"/>
  <c r="AG22" i="49"/>
  <c r="AF22" i="49"/>
  <c r="AE22" i="49"/>
  <c r="AD22" i="49"/>
  <c r="Y22" i="49"/>
  <c r="V22" i="49"/>
  <c r="T22" i="49"/>
  <c r="AM21" i="49"/>
  <c r="AL21" i="49"/>
  <c r="AK21" i="49"/>
  <c r="AJ21" i="49"/>
  <c r="AI21" i="49"/>
  <c r="AH21" i="49"/>
  <c r="AG21" i="49"/>
  <c r="AF21" i="49"/>
  <c r="AE21" i="49"/>
  <c r="AD21" i="49"/>
  <c r="AN21" i="49" s="1"/>
  <c r="Y21" i="49"/>
  <c r="V21" i="49"/>
  <c r="T21" i="49"/>
  <c r="AM20" i="49"/>
  <c r="AL20" i="49"/>
  <c r="AK20" i="49"/>
  <c r="AJ20" i="49"/>
  <c r="AI20" i="49"/>
  <c r="AH20" i="49"/>
  <c r="AG20" i="49"/>
  <c r="AF20" i="49"/>
  <c r="AE20" i="49"/>
  <c r="AD20" i="49"/>
  <c r="Y20" i="49"/>
  <c r="V20" i="49"/>
  <c r="T20" i="49"/>
  <c r="AM19" i="49"/>
  <c r="AL19" i="49"/>
  <c r="AK19" i="49"/>
  <c r="AJ19" i="49"/>
  <c r="AI19" i="49"/>
  <c r="AH19" i="49"/>
  <c r="AG19" i="49"/>
  <c r="AF19" i="49"/>
  <c r="AE19" i="49"/>
  <c r="AD19" i="49"/>
  <c r="Y19" i="49"/>
  <c r="V19" i="49"/>
  <c r="T19" i="49"/>
  <c r="AM18" i="49"/>
  <c r="AL18" i="49"/>
  <c r="AK18" i="49"/>
  <c r="AJ18" i="49"/>
  <c r="AI18" i="49"/>
  <c r="AH18" i="49"/>
  <c r="AG18" i="49"/>
  <c r="AF18" i="49"/>
  <c r="AE18" i="49"/>
  <c r="AD18" i="49"/>
  <c r="Y18" i="49"/>
  <c r="V18" i="49"/>
  <c r="T18" i="49"/>
  <c r="AM17" i="49"/>
  <c r="AL17" i="49"/>
  <c r="AK17" i="49"/>
  <c r="AJ17" i="49"/>
  <c r="AI17" i="49"/>
  <c r="AH17" i="49"/>
  <c r="AG17" i="49"/>
  <c r="AF17" i="49"/>
  <c r="AE17" i="49"/>
  <c r="AD17" i="49"/>
  <c r="AN17" i="49" s="1"/>
  <c r="Y17" i="49"/>
  <c r="V17" i="49"/>
  <c r="T17" i="49"/>
  <c r="AM16" i="49"/>
  <c r="AL16" i="49"/>
  <c r="AK16" i="49"/>
  <c r="AJ16" i="49"/>
  <c r="AI16" i="49"/>
  <c r="AH16" i="49"/>
  <c r="AG16" i="49"/>
  <c r="AF16" i="49"/>
  <c r="AE16" i="49"/>
  <c r="AD16" i="49"/>
  <c r="Y16" i="49"/>
  <c r="V16" i="49"/>
  <c r="T16" i="49"/>
  <c r="AM15" i="49"/>
  <c r="AL15" i="49"/>
  <c r="AK15" i="49"/>
  <c r="AJ15" i="49"/>
  <c r="AI15" i="49"/>
  <c r="AH15" i="49"/>
  <c r="AG15" i="49"/>
  <c r="AF15" i="49"/>
  <c r="AE15" i="49"/>
  <c r="AD15" i="49"/>
  <c r="Y15" i="49"/>
  <c r="V15" i="49"/>
  <c r="T15" i="49"/>
  <c r="AM14" i="49"/>
  <c r="AL14" i="49"/>
  <c r="AK14" i="49"/>
  <c r="AJ14" i="49"/>
  <c r="AI14" i="49"/>
  <c r="AH14" i="49"/>
  <c r="AG14" i="49"/>
  <c r="AF14" i="49"/>
  <c r="AE14" i="49"/>
  <c r="AD14" i="49"/>
  <c r="Y14" i="49"/>
  <c r="V14" i="49"/>
  <c r="T14" i="49"/>
  <c r="AM13" i="49"/>
  <c r="AL13" i="49"/>
  <c r="AK13" i="49"/>
  <c r="AJ13" i="49"/>
  <c r="AI13" i="49"/>
  <c r="AH13" i="49"/>
  <c r="AG13" i="49"/>
  <c r="AF13" i="49"/>
  <c r="AE13" i="49"/>
  <c r="AD13" i="49"/>
  <c r="Y13" i="49"/>
  <c r="V13" i="49"/>
  <c r="T13" i="49"/>
  <c r="AM12" i="49"/>
  <c r="AL12" i="49"/>
  <c r="AK12" i="49"/>
  <c r="AJ12" i="49"/>
  <c r="AI12" i="49"/>
  <c r="AH12" i="49"/>
  <c r="AG12" i="49"/>
  <c r="AF12" i="49"/>
  <c r="AE12" i="49"/>
  <c r="AD12" i="49"/>
  <c r="Y12" i="49"/>
  <c r="V12" i="49"/>
  <c r="T12" i="49"/>
  <c r="A12" i="49"/>
  <c r="AM11" i="49"/>
  <c r="AL11" i="49"/>
  <c r="AK11" i="49"/>
  <c r="AJ11" i="49"/>
  <c r="AI11" i="49"/>
  <c r="AH11" i="49"/>
  <c r="AG11" i="49"/>
  <c r="AF11" i="49"/>
  <c r="AE11" i="49"/>
  <c r="AD11" i="49"/>
  <c r="Y11" i="49"/>
  <c r="V11" i="49"/>
  <c r="T11" i="49"/>
  <c r="AK10" i="49"/>
  <c r="AF10" i="49"/>
  <c r="AG10" i="49" s="1"/>
  <c r="Y10" i="49"/>
  <c r="V10" i="49"/>
  <c r="T10" i="49"/>
  <c r="AD10" i="49" s="1"/>
  <c r="A10" i="49"/>
  <c r="U18" i="49" s="1"/>
  <c r="AK9" i="49"/>
  <c r="AF9" i="49"/>
  <c r="AG9" i="49" s="1"/>
  <c r="AL9" i="49" s="1"/>
  <c r="Y9" i="49"/>
  <c r="V9" i="49"/>
  <c r="T9" i="49"/>
  <c r="AH9" i="49" s="1"/>
  <c r="AI9" i="49" s="1"/>
  <c r="AM8" i="49"/>
  <c r="AK8" i="49"/>
  <c r="AH8" i="49"/>
  <c r="AI8" i="49" s="1"/>
  <c r="AF8" i="49"/>
  <c r="AG8" i="49" s="1"/>
  <c r="Y8" i="49"/>
  <c r="V8" i="49"/>
  <c r="AD8" i="49"/>
  <c r="AM7" i="49"/>
  <c r="AK7" i="49"/>
  <c r="AF7" i="49"/>
  <c r="AG7" i="49" s="1"/>
  <c r="Y7" i="49"/>
  <c r="A14" i="49" s="1"/>
  <c r="V7" i="49"/>
  <c r="AM6" i="49"/>
  <c r="AL6" i="49"/>
  <c r="AK6" i="49"/>
  <c r="AJ6" i="49"/>
  <c r="AI6" i="49"/>
  <c r="AH6" i="49"/>
  <c r="AG6" i="49"/>
  <c r="AF6" i="49"/>
  <c r="AD6" i="49"/>
  <c r="AN6" i="49" s="1"/>
  <c r="Y6" i="49"/>
  <c r="V6" i="49"/>
  <c r="T6" i="49"/>
  <c r="A6" i="49"/>
  <c r="AM5" i="49"/>
  <c r="AL5" i="49"/>
  <c r="AK5" i="49"/>
  <c r="AJ5" i="49"/>
  <c r="AI5" i="49"/>
  <c r="AH5" i="49"/>
  <c r="AG5" i="49"/>
  <c r="AF5" i="49"/>
  <c r="AD5" i="49"/>
  <c r="AN5" i="49" s="1"/>
  <c r="Y5" i="49"/>
  <c r="V5" i="49"/>
  <c r="T5" i="49"/>
  <c r="F1" i="49"/>
  <c r="AM67" i="75"/>
  <c r="AL67" i="75"/>
  <c r="AK67" i="75"/>
  <c r="AJ67" i="75"/>
  <c r="AI67" i="75"/>
  <c r="AH67" i="75"/>
  <c r="AG67" i="75"/>
  <c r="AF67" i="75"/>
  <c r="AE67" i="75"/>
  <c r="AD67" i="75"/>
  <c r="Y67" i="75"/>
  <c r="V67" i="75"/>
  <c r="T67" i="75"/>
  <c r="AM66" i="75"/>
  <c r="AL66" i="75"/>
  <c r="AK66" i="75"/>
  <c r="AJ66" i="75"/>
  <c r="AI66" i="75"/>
  <c r="AH66" i="75"/>
  <c r="AG66" i="75"/>
  <c r="AF66" i="75"/>
  <c r="AE66" i="75"/>
  <c r="AD66" i="75"/>
  <c r="Y66" i="75"/>
  <c r="V66" i="75"/>
  <c r="T66" i="75"/>
  <c r="AM65" i="75"/>
  <c r="AL65" i="75"/>
  <c r="AK65" i="75"/>
  <c r="AJ65" i="75"/>
  <c r="AI65" i="75"/>
  <c r="AH65" i="75"/>
  <c r="AG65" i="75"/>
  <c r="AF65" i="75"/>
  <c r="AE65" i="75"/>
  <c r="AD65" i="75"/>
  <c r="Y65" i="75"/>
  <c r="V65" i="75"/>
  <c r="T65" i="75"/>
  <c r="AM64" i="75"/>
  <c r="AL64" i="75"/>
  <c r="AK64" i="75"/>
  <c r="AJ64" i="75"/>
  <c r="AI64" i="75"/>
  <c r="AH64" i="75"/>
  <c r="AG64" i="75"/>
  <c r="AF64" i="75"/>
  <c r="AE64" i="75"/>
  <c r="AD64" i="75"/>
  <c r="Y64" i="75"/>
  <c r="V64" i="75"/>
  <c r="T64" i="75"/>
  <c r="AM63" i="75"/>
  <c r="AL63" i="75"/>
  <c r="AK63" i="75"/>
  <c r="AJ63" i="75"/>
  <c r="AI63" i="75"/>
  <c r="AH63" i="75"/>
  <c r="AG63" i="75"/>
  <c r="AF63" i="75"/>
  <c r="AE63" i="75"/>
  <c r="AD63" i="75"/>
  <c r="Y63" i="75"/>
  <c r="V63" i="75"/>
  <c r="T63" i="75"/>
  <c r="AM62" i="75"/>
  <c r="AL62" i="75"/>
  <c r="AK62" i="75"/>
  <c r="AJ62" i="75"/>
  <c r="AI62" i="75"/>
  <c r="AH62" i="75"/>
  <c r="AG62" i="75"/>
  <c r="AF62" i="75"/>
  <c r="AE62" i="75"/>
  <c r="AD62" i="75"/>
  <c r="AN62" i="75" s="1"/>
  <c r="Y62" i="75"/>
  <c r="V62" i="75"/>
  <c r="T62" i="75"/>
  <c r="AM61" i="75"/>
  <c r="AL61" i="75"/>
  <c r="AK61" i="75"/>
  <c r="AJ61" i="75"/>
  <c r="AI61" i="75"/>
  <c r="AH61" i="75"/>
  <c r="AG61" i="75"/>
  <c r="AF61" i="75"/>
  <c r="AE61" i="75"/>
  <c r="AD61" i="75"/>
  <c r="Y61" i="75"/>
  <c r="V61" i="75"/>
  <c r="T61" i="75"/>
  <c r="AM60" i="75"/>
  <c r="AL60" i="75"/>
  <c r="AK60" i="75"/>
  <c r="AJ60" i="75"/>
  <c r="AI60" i="75"/>
  <c r="AH60" i="75"/>
  <c r="AG60" i="75"/>
  <c r="AF60" i="75"/>
  <c r="AE60" i="75"/>
  <c r="AD60" i="75"/>
  <c r="Y60" i="75"/>
  <c r="V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T59" i="75"/>
  <c r="AM58" i="75"/>
  <c r="AL58" i="75"/>
  <c r="AK58" i="75"/>
  <c r="AJ58" i="75"/>
  <c r="AI58" i="75"/>
  <c r="AH58" i="75"/>
  <c r="AG58" i="75"/>
  <c r="AF58" i="75"/>
  <c r="AE58" i="75"/>
  <c r="AD58" i="75"/>
  <c r="Y58" i="75"/>
  <c r="V58" i="75"/>
  <c r="T58" i="75"/>
  <c r="AM57" i="75"/>
  <c r="AL57" i="75"/>
  <c r="AK57" i="75"/>
  <c r="AJ57" i="75"/>
  <c r="AI57" i="75"/>
  <c r="AH57" i="75"/>
  <c r="AG57" i="75"/>
  <c r="AF57" i="75"/>
  <c r="AE57" i="75"/>
  <c r="AD57" i="75"/>
  <c r="Y57" i="75"/>
  <c r="V57" i="75"/>
  <c r="T57" i="75"/>
  <c r="AM56" i="75"/>
  <c r="AL56" i="75"/>
  <c r="AK56" i="75"/>
  <c r="AJ56" i="75"/>
  <c r="AI56" i="75"/>
  <c r="AH56" i="75"/>
  <c r="AG56" i="75"/>
  <c r="AF56" i="75"/>
  <c r="AE56" i="75"/>
  <c r="AD56" i="75"/>
  <c r="Y56" i="75"/>
  <c r="V56" i="75"/>
  <c r="T56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T55" i="75"/>
  <c r="AM54" i="75"/>
  <c r="AL54" i="75"/>
  <c r="AK54" i="75"/>
  <c r="AJ54" i="75"/>
  <c r="AI54" i="75"/>
  <c r="AH54" i="75"/>
  <c r="AG54" i="75"/>
  <c r="AF54" i="75"/>
  <c r="AE54" i="75"/>
  <c r="AD54" i="75"/>
  <c r="Y54" i="75"/>
  <c r="V54" i="75"/>
  <c r="T54" i="75"/>
  <c r="AM53" i="75"/>
  <c r="AL53" i="75"/>
  <c r="AK53" i="75"/>
  <c r="AJ53" i="75"/>
  <c r="AI53" i="75"/>
  <c r="AH53" i="75"/>
  <c r="AG53" i="75"/>
  <c r="AF53" i="75"/>
  <c r="AE53" i="75"/>
  <c r="AD53" i="75"/>
  <c r="AN53" i="75" s="1"/>
  <c r="Y53" i="75"/>
  <c r="V53" i="75"/>
  <c r="T53" i="75"/>
  <c r="AM52" i="75"/>
  <c r="AL52" i="75"/>
  <c r="AK52" i="75"/>
  <c r="AJ52" i="75"/>
  <c r="AI52" i="75"/>
  <c r="AH52" i="75"/>
  <c r="AG52" i="75"/>
  <c r="AF52" i="75"/>
  <c r="AE52" i="75"/>
  <c r="AD52" i="75"/>
  <c r="Y52" i="75"/>
  <c r="V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T51" i="75"/>
  <c r="AM50" i="75"/>
  <c r="AL50" i="75"/>
  <c r="AK50" i="75"/>
  <c r="AJ50" i="75"/>
  <c r="AI50" i="75"/>
  <c r="AH50" i="75"/>
  <c r="AG50" i="75"/>
  <c r="AF50" i="75"/>
  <c r="AE50" i="75"/>
  <c r="AN50" i="75" s="1"/>
  <c r="AD50" i="75"/>
  <c r="Y50" i="75"/>
  <c r="V50" i="75"/>
  <c r="T50" i="75"/>
  <c r="AM49" i="75"/>
  <c r="AL49" i="75"/>
  <c r="AK49" i="75"/>
  <c r="AJ49" i="75"/>
  <c r="AI49" i="75"/>
  <c r="AH49" i="75"/>
  <c r="AG49" i="75"/>
  <c r="AF49" i="75"/>
  <c r="AE49" i="75"/>
  <c r="AD49" i="75"/>
  <c r="Y49" i="75"/>
  <c r="V49" i="75"/>
  <c r="T49" i="75"/>
  <c r="AM48" i="75"/>
  <c r="AL48" i="75"/>
  <c r="AK48" i="75"/>
  <c r="AJ48" i="75"/>
  <c r="AI48" i="75"/>
  <c r="AH48" i="75"/>
  <c r="AG48" i="75"/>
  <c r="AF48" i="75"/>
  <c r="AE48" i="75"/>
  <c r="AD48" i="75"/>
  <c r="Y48" i="75"/>
  <c r="V48" i="75"/>
  <c r="T48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T47" i="75"/>
  <c r="AM46" i="75"/>
  <c r="AL46" i="75"/>
  <c r="AK46" i="75"/>
  <c r="AJ46" i="75"/>
  <c r="AI46" i="75"/>
  <c r="AH46" i="75"/>
  <c r="AG46" i="75"/>
  <c r="AF46" i="75"/>
  <c r="AE46" i="75"/>
  <c r="AD46" i="75"/>
  <c r="Y46" i="75"/>
  <c r="V46" i="75"/>
  <c r="T46" i="75"/>
  <c r="AM45" i="75"/>
  <c r="AL45" i="75"/>
  <c r="AK45" i="75"/>
  <c r="AJ45" i="75"/>
  <c r="AI45" i="75"/>
  <c r="AH45" i="75"/>
  <c r="AG45" i="75"/>
  <c r="AF45" i="75"/>
  <c r="AE45" i="75"/>
  <c r="AD45" i="75"/>
  <c r="Y45" i="75"/>
  <c r="V45" i="75"/>
  <c r="T45" i="75"/>
  <c r="AM44" i="75"/>
  <c r="AL44" i="75"/>
  <c r="AK44" i="75"/>
  <c r="AJ44" i="75"/>
  <c r="AI44" i="75"/>
  <c r="AH44" i="75"/>
  <c r="AG44" i="75"/>
  <c r="AF44" i="75"/>
  <c r="AE44" i="75"/>
  <c r="AD44" i="75"/>
  <c r="Y44" i="75"/>
  <c r="V44" i="75"/>
  <c r="T44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T43" i="75"/>
  <c r="AM42" i="75"/>
  <c r="AL42" i="75"/>
  <c r="AK42" i="75"/>
  <c r="AJ42" i="75"/>
  <c r="AI42" i="75"/>
  <c r="AH42" i="75"/>
  <c r="AG42" i="75"/>
  <c r="AF42" i="75"/>
  <c r="AE42" i="75"/>
  <c r="AD42" i="75"/>
  <c r="Y42" i="75"/>
  <c r="V42" i="75"/>
  <c r="T42" i="75"/>
  <c r="AM41" i="75"/>
  <c r="AL41" i="75"/>
  <c r="AK41" i="75"/>
  <c r="AJ41" i="75"/>
  <c r="AI41" i="75"/>
  <c r="AH41" i="75"/>
  <c r="AG41" i="75"/>
  <c r="AF41" i="75"/>
  <c r="AE41" i="75"/>
  <c r="AD41" i="75"/>
  <c r="Y41" i="75"/>
  <c r="V41" i="75"/>
  <c r="T41" i="75"/>
  <c r="AM40" i="75"/>
  <c r="AL40" i="75"/>
  <c r="AK40" i="75"/>
  <c r="AJ40" i="75"/>
  <c r="AI40" i="75"/>
  <c r="AH40" i="75"/>
  <c r="AG40" i="75"/>
  <c r="AF40" i="75"/>
  <c r="AE40" i="75"/>
  <c r="AD40" i="75"/>
  <c r="Y40" i="75"/>
  <c r="V40" i="75"/>
  <c r="T40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T39" i="75"/>
  <c r="AM38" i="75"/>
  <c r="AL38" i="75"/>
  <c r="AK38" i="75"/>
  <c r="AJ38" i="75"/>
  <c r="AI38" i="75"/>
  <c r="AH38" i="75"/>
  <c r="AG38" i="75"/>
  <c r="AF38" i="75"/>
  <c r="AE38" i="75"/>
  <c r="AD38" i="75"/>
  <c r="Y38" i="75"/>
  <c r="V38" i="75"/>
  <c r="T38" i="75"/>
  <c r="AM37" i="75"/>
  <c r="AL37" i="75"/>
  <c r="AK37" i="75"/>
  <c r="AJ37" i="75"/>
  <c r="AI37" i="75"/>
  <c r="AH37" i="75"/>
  <c r="AG37" i="75"/>
  <c r="AF37" i="75"/>
  <c r="AE37" i="75"/>
  <c r="AD37" i="75"/>
  <c r="Y37" i="75"/>
  <c r="V37" i="75"/>
  <c r="T37" i="75"/>
  <c r="AM36" i="75"/>
  <c r="AL36" i="75"/>
  <c r="AK36" i="75"/>
  <c r="AJ36" i="75"/>
  <c r="AI36" i="75"/>
  <c r="AH36" i="75"/>
  <c r="AG36" i="75"/>
  <c r="AF36" i="75"/>
  <c r="AE36" i="75"/>
  <c r="AD36" i="75"/>
  <c r="Y36" i="75"/>
  <c r="V36" i="75"/>
  <c r="T36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T35" i="75"/>
  <c r="AM34" i="75"/>
  <c r="AL34" i="75"/>
  <c r="AK34" i="75"/>
  <c r="AJ34" i="75"/>
  <c r="AI34" i="75"/>
  <c r="AH34" i="75"/>
  <c r="AG34" i="75"/>
  <c r="AF34" i="75"/>
  <c r="AE34" i="75"/>
  <c r="AD34" i="75"/>
  <c r="Y34" i="75"/>
  <c r="V34" i="75"/>
  <c r="T34" i="75"/>
  <c r="AM33" i="75"/>
  <c r="AL33" i="75"/>
  <c r="AK33" i="75"/>
  <c r="AJ33" i="75"/>
  <c r="AI33" i="75"/>
  <c r="AH33" i="75"/>
  <c r="AG33" i="75"/>
  <c r="AF33" i="75"/>
  <c r="AE33" i="75"/>
  <c r="AD33" i="75"/>
  <c r="Y33" i="75"/>
  <c r="V33" i="75"/>
  <c r="T33" i="75"/>
  <c r="AM32" i="75"/>
  <c r="AL32" i="75"/>
  <c r="AK32" i="75"/>
  <c r="AJ32" i="75"/>
  <c r="AI32" i="75"/>
  <c r="AH32" i="75"/>
  <c r="AG32" i="75"/>
  <c r="AF32" i="75"/>
  <c r="AE32" i="75"/>
  <c r="AD32" i="75"/>
  <c r="AN32" i="75" s="1"/>
  <c r="Y32" i="75"/>
  <c r="V32" i="75"/>
  <c r="T32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T31" i="75"/>
  <c r="AM30" i="75"/>
  <c r="AL30" i="75"/>
  <c r="AK30" i="75"/>
  <c r="AJ30" i="75"/>
  <c r="AI30" i="75"/>
  <c r="AH30" i="75"/>
  <c r="AG30" i="75"/>
  <c r="AF30" i="75"/>
  <c r="AE30" i="75"/>
  <c r="AD30" i="75"/>
  <c r="Y30" i="75"/>
  <c r="V30" i="75"/>
  <c r="T30" i="75"/>
  <c r="AM29" i="75"/>
  <c r="AL29" i="75"/>
  <c r="AK29" i="75"/>
  <c r="AJ29" i="75"/>
  <c r="AI29" i="75"/>
  <c r="AH29" i="75"/>
  <c r="AG29" i="75"/>
  <c r="AF29" i="75"/>
  <c r="AE29" i="75"/>
  <c r="AD29" i="75"/>
  <c r="Y29" i="75"/>
  <c r="V29" i="75"/>
  <c r="T29" i="75"/>
  <c r="AM28" i="75"/>
  <c r="AL28" i="75"/>
  <c r="AK28" i="75"/>
  <c r="AJ28" i="75"/>
  <c r="AI28" i="75"/>
  <c r="AH28" i="75"/>
  <c r="AG28" i="75"/>
  <c r="AF28" i="75"/>
  <c r="AE28" i="75"/>
  <c r="AD28" i="75"/>
  <c r="Y28" i="75"/>
  <c r="V28" i="75"/>
  <c r="T28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T27" i="75"/>
  <c r="AM26" i="75"/>
  <c r="AL26" i="75"/>
  <c r="AK26" i="75"/>
  <c r="AJ26" i="75"/>
  <c r="AI26" i="75"/>
  <c r="AH26" i="75"/>
  <c r="AG26" i="75"/>
  <c r="AF26" i="75"/>
  <c r="AE26" i="75"/>
  <c r="AD26" i="75"/>
  <c r="Y26" i="75"/>
  <c r="V26" i="75"/>
  <c r="T26" i="75"/>
  <c r="AM25" i="75"/>
  <c r="AL25" i="75"/>
  <c r="AK25" i="75"/>
  <c r="AJ25" i="75"/>
  <c r="AI25" i="75"/>
  <c r="AH25" i="75"/>
  <c r="AG25" i="75"/>
  <c r="AF25" i="75"/>
  <c r="AE25" i="75"/>
  <c r="AD25" i="75"/>
  <c r="Y25" i="75"/>
  <c r="V25" i="75"/>
  <c r="T25" i="75"/>
  <c r="AM24" i="75"/>
  <c r="AL24" i="75"/>
  <c r="AK24" i="75"/>
  <c r="AJ24" i="75"/>
  <c r="AI24" i="75"/>
  <c r="AH24" i="75"/>
  <c r="AG24" i="75"/>
  <c r="AF24" i="75"/>
  <c r="AE24" i="75"/>
  <c r="AD24" i="75"/>
  <c r="AN24" i="75" s="1"/>
  <c r="Y24" i="75"/>
  <c r="V24" i="75"/>
  <c r="T24" i="75"/>
  <c r="AM23" i="75"/>
  <c r="AL23" i="75"/>
  <c r="AK23" i="75"/>
  <c r="AJ23" i="75"/>
  <c r="AI23" i="75"/>
  <c r="AH23" i="75"/>
  <c r="AG23" i="75"/>
  <c r="AF23" i="75"/>
  <c r="AE23" i="75"/>
  <c r="AN23" i="75" s="1"/>
  <c r="AD23" i="75"/>
  <c r="Y23" i="75"/>
  <c r="W23" i="75"/>
  <c r="V23" i="75"/>
  <c r="T23" i="75"/>
  <c r="AM22" i="75"/>
  <c r="AL22" i="75"/>
  <c r="AK22" i="75"/>
  <c r="AJ22" i="75"/>
  <c r="AI22" i="75"/>
  <c r="AH22" i="75"/>
  <c r="AG22" i="75"/>
  <c r="AF22" i="75"/>
  <c r="AE22" i="75"/>
  <c r="AD22" i="75"/>
  <c r="Y22" i="75"/>
  <c r="V22" i="75"/>
  <c r="T22" i="75"/>
  <c r="AM21" i="75"/>
  <c r="AL21" i="75"/>
  <c r="AK21" i="75"/>
  <c r="AJ21" i="75"/>
  <c r="AI21" i="75"/>
  <c r="AH21" i="75"/>
  <c r="AG21" i="75"/>
  <c r="AF21" i="75"/>
  <c r="AE21" i="75"/>
  <c r="AD21" i="75"/>
  <c r="Y21" i="75"/>
  <c r="V21" i="75"/>
  <c r="T21" i="75"/>
  <c r="AM20" i="75"/>
  <c r="AL20" i="75"/>
  <c r="AK20" i="75"/>
  <c r="AJ20" i="75"/>
  <c r="AI20" i="75"/>
  <c r="AH20" i="75"/>
  <c r="AG20" i="75"/>
  <c r="AF20" i="75"/>
  <c r="AE20" i="75"/>
  <c r="AD20" i="75"/>
  <c r="AN20" i="75" s="1"/>
  <c r="Y20" i="75"/>
  <c r="V20" i="75"/>
  <c r="T20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T19" i="75"/>
  <c r="AM18" i="75"/>
  <c r="AL18" i="75"/>
  <c r="AK18" i="75"/>
  <c r="AJ18" i="75"/>
  <c r="AI18" i="75"/>
  <c r="AH18" i="75"/>
  <c r="AG18" i="75"/>
  <c r="AF18" i="75"/>
  <c r="AE18" i="75"/>
  <c r="AD18" i="75"/>
  <c r="Y18" i="75"/>
  <c r="V18" i="75"/>
  <c r="T18" i="75"/>
  <c r="AM17" i="75"/>
  <c r="AL17" i="75"/>
  <c r="AK17" i="75"/>
  <c r="AJ17" i="75"/>
  <c r="AI17" i="75"/>
  <c r="AH17" i="75"/>
  <c r="AG17" i="75"/>
  <c r="AF17" i="75"/>
  <c r="AE17" i="75"/>
  <c r="AD17" i="75"/>
  <c r="AN17" i="75" s="1"/>
  <c r="Y17" i="75"/>
  <c r="V17" i="75"/>
  <c r="T17" i="75"/>
  <c r="AM16" i="75"/>
  <c r="AL16" i="75"/>
  <c r="AK16" i="75"/>
  <c r="AJ16" i="75"/>
  <c r="AI16" i="75"/>
  <c r="AH16" i="75"/>
  <c r="AG16" i="75"/>
  <c r="AF16" i="75"/>
  <c r="AE16" i="75"/>
  <c r="AD16" i="75"/>
  <c r="Y16" i="75"/>
  <c r="V16" i="75"/>
  <c r="T16" i="75"/>
  <c r="AM15" i="75"/>
  <c r="AL15" i="75"/>
  <c r="AK15" i="75"/>
  <c r="AJ15" i="75"/>
  <c r="AI15" i="75"/>
  <c r="AH15" i="75"/>
  <c r="AG15" i="75"/>
  <c r="AF15" i="75"/>
  <c r="AE15" i="75"/>
  <c r="AD15" i="75"/>
  <c r="Y15" i="75"/>
  <c r="V15" i="75"/>
  <c r="T15" i="75"/>
  <c r="AM14" i="75"/>
  <c r="AL14" i="75"/>
  <c r="AK14" i="75"/>
  <c r="AJ14" i="75"/>
  <c r="AI14" i="75"/>
  <c r="AH14" i="75"/>
  <c r="AG14" i="75"/>
  <c r="AF14" i="75"/>
  <c r="AE14" i="75"/>
  <c r="AD14" i="75"/>
  <c r="Y14" i="75"/>
  <c r="V14" i="75"/>
  <c r="T14" i="75"/>
  <c r="AM13" i="75"/>
  <c r="AL13" i="75"/>
  <c r="AK13" i="75"/>
  <c r="AJ13" i="75"/>
  <c r="AI13" i="75"/>
  <c r="AH13" i="75"/>
  <c r="AG13" i="75"/>
  <c r="AF13" i="75"/>
  <c r="AE13" i="75"/>
  <c r="AD13" i="75"/>
  <c r="AN13" i="75" s="1"/>
  <c r="Y13" i="75"/>
  <c r="V13" i="75"/>
  <c r="T13" i="75"/>
  <c r="AM12" i="75"/>
  <c r="AL12" i="75"/>
  <c r="AK12" i="75"/>
  <c r="AJ12" i="75"/>
  <c r="AI12" i="75"/>
  <c r="AH12" i="75"/>
  <c r="AG12" i="75"/>
  <c r="AF12" i="75"/>
  <c r="AE12" i="75"/>
  <c r="AD12" i="75"/>
  <c r="Y12" i="75"/>
  <c r="V12" i="75"/>
  <c r="T12" i="75"/>
  <c r="A12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T11" i="75"/>
  <c r="AM10" i="75"/>
  <c r="AL10" i="75"/>
  <c r="AK10" i="75"/>
  <c r="AJ10" i="75"/>
  <c r="AI10" i="75"/>
  <c r="AH10" i="75"/>
  <c r="AG10" i="75"/>
  <c r="AF10" i="75"/>
  <c r="AE10" i="75"/>
  <c r="AD10" i="75"/>
  <c r="Y10" i="75"/>
  <c r="V10" i="75"/>
  <c r="T10" i="75"/>
  <c r="A10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M8" i="75"/>
  <c r="AL8" i="75"/>
  <c r="AK8" i="75"/>
  <c r="AJ8" i="75"/>
  <c r="AI8" i="75"/>
  <c r="AH8" i="75"/>
  <c r="AG8" i="75"/>
  <c r="AF8" i="75"/>
  <c r="AD8" i="75"/>
  <c r="AN8" i="75" s="1"/>
  <c r="Y8" i="75"/>
  <c r="W8" i="75"/>
  <c r="V8" i="75"/>
  <c r="T8" i="75"/>
  <c r="AM7" i="75"/>
  <c r="AL7" i="75"/>
  <c r="AK7" i="75"/>
  <c r="AJ7" i="75"/>
  <c r="AI7" i="75"/>
  <c r="AH7" i="75"/>
  <c r="AG7" i="75"/>
  <c r="AF7" i="75"/>
  <c r="AD7" i="75"/>
  <c r="AN7" i="75" s="1"/>
  <c r="Y7" i="75"/>
  <c r="V7" i="75"/>
  <c r="T7" i="75"/>
  <c r="AM6" i="75"/>
  <c r="AK6" i="75"/>
  <c r="AG6" i="75"/>
  <c r="AL6" i="75" s="1"/>
  <c r="AF6" i="75"/>
  <c r="AD6" i="75"/>
  <c r="Y6" i="75"/>
  <c r="A14" i="75" s="1"/>
  <c r="V6" i="75"/>
  <c r="U6" i="75"/>
  <c r="T6" i="75"/>
  <c r="AH6" i="75" s="1"/>
  <c r="AI6" i="75" s="1"/>
  <c r="A6" i="75"/>
  <c r="AM5" i="75"/>
  <c r="AL5" i="75"/>
  <c r="AK5" i="75"/>
  <c r="AJ5" i="75"/>
  <c r="AI5" i="75"/>
  <c r="AH5" i="75"/>
  <c r="AG5" i="75"/>
  <c r="AF5" i="75"/>
  <c r="AD5" i="75"/>
  <c r="AN5" i="75" s="1"/>
  <c r="Y5" i="75"/>
  <c r="W5" i="75"/>
  <c r="V5" i="75"/>
  <c r="U5" i="75"/>
  <c r="A16" i="75" s="1"/>
  <c r="T5" i="75"/>
  <c r="F1" i="75"/>
  <c r="AM67" i="47"/>
  <c r="AL67" i="47"/>
  <c r="AK67" i="47"/>
  <c r="AJ67" i="47"/>
  <c r="AI67" i="47"/>
  <c r="AH67" i="47"/>
  <c r="AG67" i="47"/>
  <c r="AF67" i="47"/>
  <c r="AE67" i="47"/>
  <c r="AD67" i="47"/>
  <c r="Y67" i="47"/>
  <c r="V67" i="47"/>
  <c r="T67" i="47"/>
  <c r="AM66" i="47"/>
  <c r="AL66" i="47"/>
  <c r="AK66" i="47"/>
  <c r="AJ66" i="47"/>
  <c r="AI66" i="47"/>
  <c r="AH66" i="47"/>
  <c r="AG66" i="47"/>
  <c r="AF66" i="47"/>
  <c r="AE66" i="47"/>
  <c r="AD66" i="47"/>
  <c r="Y66" i="47"/>
  <c r="V66" i="47"/>
  <c r="T66" i="47"/>
  <c r="AM65" i="47"/>
  <c r="AL65" i="47"/>
  <c r="AK65" i="47"/>
  <c r="AJ65" i="47"/>
  <c r="AI65" i="47"/>
  <c r="AH65" i="47"/>
  <c r="AG65" i="47"/>
  <c r="AF65" i="47"/>
  <c r="AE65" i="47"/>
  <c r="AD65" i="47"/>
  <c r="Y65" i="47"/>
  <c r="V65" i="47"/>
  <c r="T65" i="47"/>
  <c r="AM64" i="47"/>
  <c r="AL64" i="47"/>
  <c r="AK64" i="47"/>
  <c r="AJ64" i="47"/>
  <c r="AI64" i="47"/>
  <c r="AH64" i="47"/>
  <c r="AG64" i="47"/>
  <c r="AF64" i="47"/>
  <c r="AE64" i="47"/>
  <c r="AD64" i="47"/>
  <c r="AN64" i="47" s="1"/>
  <c r="Y64" i="47"/>
  <c r="V64" i="47"/>
  <c r="T64" i="47"/>
  <c r="AM63" i="47"/>
  <c r="AL63" i="47"/>
  <c r="AK63" i="47"/>
  <c r="AJ63" i="47"/>
  <c r="AI63" i="47"/>
  <c r="AH63" i="47"/>
  <c r="AG63" i="47"/>
  <c r="AF63" i="47"/>
  <c r="AE63" i="47"/>
  <c r="AD63" i="47"/>
  <c r="Y63" i="47"/>
  <c r="V63" i="47"/>
  <c r="T63" i="47"/>
  <c r="AM62" i="47"/>
  <c r="AL62" i="47"/>
  <c r="AK62" i="47"/>
  <c r="AJ62" i="47"/>
  <c r="AI62" i="47"/>
  <c r="AH62" i="47"/>
  <c r="AG62" i="47"/>
  <c r="AF62" i="47"/>
  <c r="AE62" i="47"/>
  <c r="AD62" i="47"/>
  <c r="Y62" i="47"/>
  <c r="V62" i="47"/>
  <c r="T62" i="47"/>
  <c r="AM61" i="47"/>
  <c r="AL61" i="47"/>
  <c r="AK61" i="47"/>
  <c r="AJ61" i="47"/>
  <c r="AI61" i="47"/>
  <c r="AH61" i="47"/>
  <c r="AG61" i="47"/>
  <c r="AF61" i="47"/>
  <c r="AE61" i="47"/>
  <c r="AD61" i="47"/>
  <c r="Y61" i="47"/>
  <c r="V61" i="47"/>
  <c r="T61" i="47"/>
  <c r="AM60" i="47"/>
  <c r="AL60" i="47"/>
  <c r="AK60" i="47"/>
  <c r="AJ60" i="47"/>
  <c r="AI60" i="47"/>
  <c r="AH60" i="47"/>
  <c r="AG60" i="47"/>
  <c r="AF60" i="47"/>
  <c r="AE60" i="47"/>
  <c r="AN60" i="47" s="1"/>
  <c r="AD60" i="47"/>
  <c r="Y60" i="47"/>
  <c r="V60" i="47"/>
  <c r="T60" i="47"/>
  <c r="AM59" i="47"/>
  <c r="AL59" i="47"/>
  <c r="AK59" i="47"/>
  <c r="AJ59" i="47"/>
  <c r="AI59" i="47"/>
  <c r="AH59" i="47"/>
  <c r="AG59" i="47"/>
  <c r="AF59" i="47"/>
  <c r="AE59" i="47"/>
  <c r="AD59" i="47"/>
  <c r="Y59" i="47"/>
  <c r="V59" i="47"/>
  <c r="T59" i="47"/>
  <c r="AM58" i="47"/>
  <c r="AL58" i="47"/>
  <c r="AK58" i="47"/>
  <c r="AJ58" i="47"/>
  <c r="AI58" i="47"/>
  <c r="AH58" i="47"/>
  <c r="AG58" i="47"/>
  <c r="AF58" i="47"/>
  <c r="AE58" i="47"/>
  <c r="AD58" i="47"/>
  <c r="Y58" i="47"/>
  <c r="V58" i="47"/>
  <c r="T58" i="47"/>
  <c r="AM57" i="47"/>
  <c r="AL57" i="47"/>
  <c r="AK57" i="47"/>
  <c r="AJ57" i="47"/>
  <c r="AI57" i="47"/>
  <c r="AH57" i="47"/>
  <c r="AG57" i="47"/>
  <c r="AF57" i="47"/>
  <c r="AE57" i="47"/>
  <c r="AN57" i="47" s="1"/>
  <c r="AD57" i="47"/>
  <c r="Y57" i="47"/>
  <c r="V57" i="47"/>
  <c r="T57" i="47"/>
  <c r="AM56" i="47"/>
  <c r="AL56" i="47"/>
  <c r="AK56" i="47"/>
  <c r="AJ56" i="47"/>
  <c r="AI56" i="47"/>
  <c r="AH56" i="47"/>
  <c r="AG56" i="47"/>
  <c r="AF56" i="47"/>
  <c r="AE56" i="47"/>
  <c r="AD56" i="47"/>
  <c r="Y56" i="47"/>
  <c r="V56" i="47"/>
  <c r="T56" i="47"/>
  <c r="AM55" i="47"/>
  <c r="AL55" i="47"/>
  <c r="AK55" i="47"/>
  <c r="AJ55" i="47"/>
  <c r="AI55" i="47"/>
  <c r="AH55" i="47"/>
  <c r="AG55" i="47"/>
  <c r="AF55" i="47"/>
  <c r="AE55" i="47"/>
  <c r="AD55" i="47"/>
  <c r="Y55" i="47"/>
  <c r="V55" i="47"/>
  <c r="T55" i="47"/>
  <c r="AM54" i="47"/>
  <c r="AL54" i="47"/>
  <c r="AK54" i="47"/>
  <c r="AJ54" i="47"/>
  <c r="AI54" i="47"/>
  <c r="AH54" i="47"/>
  <c r="AG54" i="47"/>
  <c r="AF54" i="47"/>
  <c r="AE54" i="47"/>
  <c r="AD54" i="47"/>
  <c r="Y54" i="47"/>
  <c r="V54" i="47"/>
  <c r="T54" i="47"/>
  <c r="AM53" i="47"/>
  <c r="AL53" i="47"/>
  <c r="AK53" i="47"/>
  <c r="AJ53" i="47"/>
  <c r="AI53" i="47"/>
  <c r="AH53" i="47"/>
  <c r="AG53" i="47"/>
  <c r="AF53" i="47"/>
  <c r="AE53" i="47"/>
  <c r="AD53" i="47"/>
  <c r="Y53" i="47"/>
  <c r="V53" i="47"/>
  <c r="T53" i="47"/>
  <c r="AM52" i="47"/>
  <c r="AL52" i="47"/>
  <c r="AK52" i="47"/>
  <c r="AJ52" i="47"/>
  <c r="AI52" i="47"/>
  <c r="AH52" i="47"/>
  <c r="AG52" i="47"/>
  <c r="AF52" i="47"/>
  <c r="AE52" i="47"/>
  <c r="AD52" i="47"/>
  <c r="Y52" i="47"/>
  <c r="V52" i="47"/>
  <c r="T52" i="47"/>
  <c r="AM51" i="47"/>
  <c r="AL51" i="47"/>
  <c r="AK51" i="47"/>
  <c r="AJ51" i="47"/>
  <c r="AI51" i="47"/>
  <c r="AH51" i="47"/>
  <c r="AG51" i="47"/>
  <c r="AF51" i="47"/>
  <c r="AE51" i="47"/>
  <c r="AN51" i="47" s="1"/>
  <c r="AD51" i="47"/>
  <c r="Y51" i="47"/>
  <c r="V51" i="47"/>
  <c r="T51" i="47"/>
  <c r="AM50" i="47"/>
  <c r="AL50" i="47"/>
  <c r="AK50" i="47"/>
  <c r="AJ50" i="47"/>
  <c r="AI50" i="47"/>
  <c r="AH50" i="47"/>
  <c r="AG50" i="47"/>
  <c r="AF50" i="47"/>
  <c r="AE50" i="47"/>
  <c r="AD50" i="47"/>
  <c r="AN50" i="47" s="1"/>
  <c r="Y50" i="47"/>
  <c r="V50" i="47"/>
  <c r="T50" i="47"/>
  <c r="AM49" i="47"/>
  <c r="AL49" i="47"/>
  <c r="AK49" i="47"/>
  <c r="AJ49" i="47"/>
  <c r="AI49" i="47"/>
  <c r="AH49" i="47"/>
  <c r="AG49" i="47"/>
  <c r="AF49" i="47"/>
  <c r="AE49" i="47"/>
  <c r="AD49" i="47"/>
  <c r="Y49" i="47"/>
  <c r="V49" i="47"/>
  <c r="T49" i="47"/>
  <c r="AM48" i="47"/>
  <c r="AL48" i="47"/>
  <c r="AK48" i="47"/>
  <c r="AJ48" i="47"/>
  <c r="AI48" i="47"/>
  <c r="AH48" i="47"/>
  <c r="AG48" i="47"/>
  <c r="AF48" i="47"/>
  <c r="AE48" i="47"/>
  <c r="AN48" i="47" s="1"/>
  <c r="AD48" i="47"/>
  <c r="Y48" i="47"/>
  <c r="V48" i="47"/>
  <c r="T48" i="47"/>
  <c r="AM47" i="47"/>
  <c r="AL47" i="47"/>
  <c r="AK47" i="47"/>
  <c r="AJ47" i="47"/>
  <c r="AI47" i="47"/>
  <c r="AH47" i="47"/>
  <c r="AG47" i="47"/>
  <c r="AF47" i="47"/>
  <c r="AE47" i="47"/>
  <c r="AD47" i="47"/>
  <c r="Y47" i="47"/>
  <c r="V47" i="47"/>
  <c r="T47" i="47"/>
  <c r="AM46" i="47"/>
  <c r="AL46" i="47"/>
  <c r="AK46" i="47"/>
  <c r="AJ46" i="47"/>
  <c r="AI46" i="47"/>
  <c r="AH46" i="47"/>
  <c r="AG46" i="47"/>
  <c r="AF46" i="47"/>
  <c r="AE46" i="47"/>
  <c r="AD46" i="47"/>
  <c r="Y46" i="47"/>
  <c r="V46" i="47"/>
  <c r="T46" i="47"/>
  <c r="AM45" i="47"/>
  <c r="AL45" i="47"/>
  <c r="AK45" i="47"/>
  <c r="AJ45" i="47"/>
  <c r="AI45" i="47"/>
  <c r="AH45" i="47"/>
  <c r="AG45" i="47"/>
  <c r="AF45" i="47"/>
  <c r="AE45" i="47"/>
  <c r="AD45" i="47"/>
  <c r="Y45" i="47"/>
  <c r="V45" i="47"/>
  <c r="T45" i="47"/>
  <c r="AM44" i="47"/>
  <c r="AL44" i="47"/>
  <c r="AK44" i="47"/>
  <c r="AJ44" i="47"/>
  <c r="AI44" i="47"/>
  <c r="AH44" i="47"/>
  <c r="AG44" i="47"/>
  <c r="AF44" i="47"/>
  <c r="AE44" i="47"/>
  <c r="AD44" i="47"/>
  <c r="Y44" i="47"/>
  <c r="V44" i="47"/>
  <c r="T44" i="47"/>
  <c r="AM43" i="47"/>
  <c r="AL43" i="47"/>
  <c r="AK43" i="47"/>
  <c r="AJ43" i="47"/>
  <c r="AI43" i="47"/>
  <c r="AH43" i="47"/>
  <c r="AG43" i="47"/>
  <c r="AF43" i="47"/>
  <c r="AE43" i="47"/>
  <c r="AD43" i="47"/>
  <c r="Y43" i="47"/>
  <c r="V43" i="47"/>
  <c r="T43" i="47"/>
  <c r="AM42" i="47"/>
  <c r="AL42" i="47"/>
  <c r="AK42" i="47"/>
  <c r="AJ42" i="47"/>
  <c r="AI42" i="47"/>
  <c r="AH42" i="47"/>
  <c r="AG42" i="47"/>
  <c r="AF42" i="47"/>
  <c r="AE42" i="47"/>
  <c r="AD42" i="47"/>
  <c r="Y42" i="47"/>
  <c r="V42" i="47"/>
  <c r="T42" i="47"/>
  <c r="AM41" i="47"/>
  <c r="AL41" i="47"/>
  <c r="AK41" i="47"/>
  <c r="AJ41" i="47"/>
  <c r="AI41" i="47"/>
  <c r="AH41" i="47"/>
  <c r="AG41" i="47"/>
  <c r="AF41" i="47"/>
  <c r="AE41" i="47"/>
  <c r="AD41" i="47"/>
  <c r="AN41" i="47" s="1"/>
  <c r="Y41" i="47"/>
  <c r="V41" i="47"/>
  <c r="T41" i="47"/>
  <c r="AM40" i="47"/>
  <c r="AL40" i="47"/>
  <c r="AK40" i="47"/>
  <c r="AJ40" i="47"/>
  <c r="AI40" i="47"/>
  <c r="AH40" i="47"/>
  <c r="AG40" i="47"/>
  <c r="AF40" i="47"/>
  <c r="AE40" i="47"/>
  <c r="AD40" i="47"/>
  <c r="AN40" i="47" s="1"/>
  <c r="Y40" i="47"/>
  <c r="V40" i="47"/>
  <c r="T40" i="47"/>
  <c r="AM39" i="47"/>
  <c r="AL39" i="47"/>
  <c r="AK39" i="47"/>
  <c r="AJ39" i="47"/>
  <c r="AI39" i="47"/>
  <c r="AH39" i="47"/>
  <c r="AG39" i="47"/>
  <c r="AF39" i="47"/>
  <c r="AE39" i="47"/>
  <c r="AD39" i="47"/>
  <c r="Y39" i="47"/>
  <c r="V39" i="47"/>
  <c r="T39" i="47"/>
  <c r="AM38" i="47"/>
  <c r="AL38" i="47"/>
  <c r="AK38" i="47"/>
  <c r="AJ38" i="47"/>
  <c r="AI38" i="47"/>
  <c r="AH38" i="47"/>
  <c r="AG38" i="47"/>
  <c r="AF38" i="47"/>
  <c r="AE38" i="47"/>
  <c r="AD38" i="47"/>
  <c r="AN38" i="47" s="1"/>
  <c r="Y38" i="47"/>
  <c r="V38" i="47"/>
  <c r="T38" i="47"/>
  <c r="AM37" i="47"/>
  <c r="AL37" i="47"/>
  <c r="AK37" i="47"/>
  <c r="AJ37" i="47"/>
  <c r="AI37" i="47"/>
  <c r="AH37" i="47"/>
  <c r="AG37" i="47"/>
  <c r="AF37" i="47"/>
  <c r="AE37" i="47"/>
  <c r="AD37" i="47"/>
  <c r="Y37" i="47"/>
  <c r="V37" i="47"/>
  <c r="T37" i="47"/>
  <c r="AM36" i="47"/>
  <c r="AL36" i="47"/>
  <c r="AK36" i="47"/>
  <c r="AJ36" i="47"/>
  <c r="AI36" i="47"/>
  <c r="AH36" i="47"/>
  <c r="AG36" i="47"/>
  <c r="AF36" i="47"/>
  <c r="AE36" i="47"/>
  <c r="AD36" i="47"/>
  <c r="AN36" i="47" s="1"/>
  <c r="Y36" i="47"/>
  <c r="V36" i="47"/>
  <c r="T36" i="47"/>
  <c r="AM35" i="47"/>
  <c r="AL35" i="47"/>
  <c r="AK35" i="47"/>
  <c r="AJ35" i="47"/>
  <c r="AI35" i="47"/>
  <c r="AH35" i="47"/>
  <c r="AG35" i="47"/>
  <c r="AF35" i="47"/>
  <c r="AE35" i="47"/>
  <c r="AD35" i="47"/>
  <c r="Y35" i="47"/>
  <c r="V35" i="47"/>
  <c r="T35" i="47"/>
  <c r="AM34" i="47"/>
  <c r="AL34" i="47"/>
  <c r="AK34" i="47"/>
  <c r="AJ34" i="47"/>
  <c r="AI34" i="47"/>
  <c r="AH34" i="47"/>
  <c r="AG34" i="47"/>
  <c r="AF34" i="47"/>
  <c r="AE34" i="47"/>
  <c r="AD34" i="47"/>
  <c r="Y34" i="47"/>
  <c r="V34" i="47"/>
  <c r="T34" i="47"/>
  <c r="AM33" i="47"/>
  <c r="AL33" i="47"/>
  <c r="AK33" i="47"/>
  <c r="AJ33" i="47"/>
  <c r="AI33" i="47"/>
  <c r="AH33" i="47"/>
  <c r="AG33" i="47"/>
  <c r="AF33" i="47"/>
  <c r="AE33" i="47"/>
  <c r="AD33" i="47"/>
  <c r="Y33" i="47"/>
  <c r="V33" i="47"/>
  <c r="T33" i="47"/>
  <c r="AM32" i="47"/>
  <c r="AL32" i="47"/>
  <c r="AK32" i="47"/>
  <c r="AJ32" i="47"/>
  <c r="AI32" i="47"/>
  <c r="AH32" i="47"/>
  <c r="AG32" i="47"/>
  <c r="AF32" i="47"/>
  <c r="AE32" i="47"/>
  <c r="AD32" i="47"/>
  <c r="AN32" i="47" s="1"/>
  <c r="Y32" i="47"/>
  <c r="V32" i="47"/>
  <c r="T32" i="47"/>
  <c r="AM31" i="47"/>
  <c r="AL31" i="47"/>
  <c r="AK31" i="47"/>
  <c r="AJ31" i="47"/>
  <c r="AI31" i="47"/>
  <c r="AH31" i="47"/>
  <c r="AG31" i="47"/>
  <c r="AF31" i="47"/>
  <c r="AE31" i="47"/>
  <c r="AD31" i="47"/>
  <c r="Y31" i="47"/>
  <c r="V31" i="47"/>
  <c r="T31" i="47"/>
  <c r="AM30" i="47"/>
  <c r="AL30" i="47"/>
  <c r="AK30" i="47"/>
  <c r="AJ30" i="47"/>
  <c r="AI30" i="47"/>
  <c r="AH30" i="47"/>
  <c r="AG30" i="47"/>
  <c r="AF30" i="47"/>
  <c r="AE30" i="47"/>
  <c r="AD30" i="47"/>
  <c r="Y30" i="47"/>
  <c r="V30" i="47"/>
  <c r="T30" i="47"/>
  <c r="AM29" i="47"/>
  <c r="AL29" i="47"/>
  <c r="AK29" i="47"/>
  <c r="AJ29" i="47"/>
  <c r="AI29" i="47"/>
  <c r="AH29" i="47"/>
  <c r="AG29" i="47"/>
  <c r="AF29" i="47"/>
  <c r="AE29" i="47"/>
  <c r="AD29" i="47"/>
  <c r="AN29" i="47" s="1"/>
  <c r="Y29" i="47"/>
  <c r="V29" i="47"/>
  <c r="T29" i="47"/>
  <c r="AM28" i="47"/>
  <c r="AL28" i="47"/>
  <c r="AK28" i="47"/>
  <c r="AJ28" i="47"/>
  <c r="AI28" i="47"/>
  <c r="AH28" i="47"/>
  <c r="AG28" i="47"/>
  <c r="AF28" i="47"/>
  <c r="AE28" i="47"/>
  <c r="AD28" i="47"/>
  <c r="AN28" i="47" s="1"/>
  <c r="Y28" i="47"/>
  <c r="V28" i="47"/>
  <c r="T28" i="47"/>
  <c r="AM27" i="47"/>
  <c r="AL27" i="47"/>
  <c r="AK27" i="47"/>
  <c r="AJ27" i="47"/>
  <c r="AI27" i="47"/>
  <c r="AH27" i="47"/>
  <c r="AG27" i="47"/>
  <c r="AF27" i="47"/>
  <c r="AE27" i="47"/>
  <c r="AD27" i="47"/>
  <c r="Y27" i="47"/>
  <c r="V27" i="47"/>
  <c r="T27" i="47"/>
  <c r="AM26" i="47"/>
  <c r="AL26" i="47"/>
  <c r="AK26" i="47"/>
  <c r="AJ26" i="47"/>
  <c r="AI26" i="47"/>
  <c r="AH26" i="47"/>
  <c r="AG26" i="47"/>
  <c r="AF26" i="47"/>
  <c r="AE26" i="47"/>
  <c r="AD26" i="47"/>
  <c r="AN26" i="47" s="1"/>
  <c r="Y26" i="47"/>
  <c r="V26" i="47"/>
  <c r="T26" i="47"/>
  <c r="AM25" i="47"/>
  <c r="AL25" i="47"/>
  <c r="AK25" i="47"/>
  <c r="AJ25" i="47"/>
  <c r="AI25" i="47"/>
  <c r="AH25" i="47"/>
  <c r="AG25" i="47"/>
  <c r="AF25" i="47"/>
  <c r="AE25" i="47"/>
  <c r="AD25" i="47"/>
  <c r="Y25" i="47"/>
  <c r="V25" i="47"/>
  <c r="T25" i="47"/>
  <c r="AM24" i="47"/>
  <c r="AL24" i="47"/>
  <c r="AK24" i="47"/>
  <c r="AJ24" i="47"/>
  <c r="AI24" i="47"/>
  <c r="AH24" i="47"/>
  <c r="AG24" i="47"/>
  <c r="AF24" i="47"/>
  <c r="AE24" i="47"/>
  <c r="AD24" i="47"/>
  <c r="Y24" i="47"/>
  <c r="V24" i="47"/>
  <c r="T24" i="47"/>
  <c r="AM23" i="47"/>
  <c r="AL23" i="47"/>
  <c r="AK23" i="47"/>
  <c r="AJ23" i="47"/>
  <c r="AI23" i="47"/>
  <c r="AH23" i="47"/>
  <c r="AG23" i="47"/>
  <c r="AF23" i="47"/>
  <c r="AE23" i="47"/>
  <c r="AD23" i="47"/>
  <c r="AN23" i="47" s="1"/>
  <c r="Y23" i="47"/>
  <c r="V23" i="47"/>
  <c r="T23" i="47"/>
  <c r="AM22" i="47"/>
  <c r="AL22" i="47"/>
  <c r="AK22" i="47"/>
  <c r="AJ22" i="47"/>
  <c r="AI22" i="47"/>
  <c r="AH22" i="47"/>
  <c r="AG22" i="47"/>
  <c r="AF22" i="47"/>
  <c r="AE22" i="47"/>
  <c r="AD22" i="47"/>
  <c r="AN22" i="47" s="1"/>
  <c r="Y22" i="47"/>
  <c r="V22" i="47"/>
  <c r="T22" i="47"/>
  <c r="AM21" i="47"/>
  <c r="AL21" i="47"/>
  <c r="AK21" i="47"/>
  <c r="AJ21" i="47"/>
  <c r="AI21" i="47"/>
  <c r="AH21" i="47"/>
  <c r="AG21" i="47"/>
  <c r="AF21" i="47"/>
  <c r="AE21" i="47"/>
  <c r="AD21" i="47"/>
  <c r="Y21" i="47"/>
  <c r="V21" i="47"/>
  <c r="T21" i="47"/>
  <c r="AM20" i="47"/>
  <c r="AL20" i="47"/>
  <c r="AK20" i="47"/>
  <c r="AJ20" i="47"/>
  <c r="AI20" i="47"/>
  <c r="AH20" i="47"/>
  <c r="AG20" i="47"/>
  <c r="AF20" i="47"/>
  <c r="AE20" i="47"/>
  <c r="AD20" i="47"/>
  <c r="AN20" i="47" s="1"/>
  <c r="Y20" i="47"/>
  <c r="V20" i="47"/>
  <c r="T20" i="47"/>
  <c r="AM19" i="47"/>
  <c r="AL19" i="47"/>
  <c r="AK19" i="47"/>
  <c r="AJ19" i="47"/>
  <c r="AI19" i="47"/>
  <c r="AH19" i="47"/>
  <c r="AG19" i="47"/>
  <c r="AF19" i="47"/>
  <c r="AE19" i="47"/>
  <c r="AD19" i="47"/>
  <c r="Y19" i="47"/>
  <c r="V19" i="47"/>
  <c r="T19" i="47"/>
  <c r="AM18" i="47"/>
  <c r="AL18" i="47"/>
  <c r="AK18" i="47"/>
  <c r="AJ18" i="47"/>
  <c r="AI18" i="47"/>
  <c r="AH18" i="47"/>
  <c r="AG18" i="47"/>
  <c r="AF18" i="47"/>
  <c r="AE18" i="47"/>
  <c r="AD18" i="47"/>
  <c r="Y18" i="47"/>
  <c r="V18" i="47"/>
  <c r="T18" i="47"/>
  <c r="AM17" i="47"/>
  <c r="AL17" i="47"/>
  <c r="AK17" i="47"/>
  <c r="AJ17" i="47"/>
  <c r="AI17" i="47"/>
  <c r="AH17" i="47"/>
  <c r="AG17" i="47"/>
  <c r="AF17" i="47"/>
  <c r="AE17" i="47"/>
  <c r="AD17" i="47"/>
  <c r="AN17" i="47" s="1"/>
  <c r="Y17" i="47"/>
  <c r="V17" i="47"/>
  <c r="T17" i="47"/>
  <c r="AM16" i="47"/>
  <c r="AL16" i="47"/>
  <c r="AK16" i="47"/>
  <c r="AJ16" i="47"/>
  <c r="AI16" i="47"/>
  <c r="AH16" i="47"/>
  <c r="AG16" i="47"/>
  <c r="AF16" i="47"/>
  <c r="AE16" i="47"/>
  <c r="AD16" i="47"/>
  <c r="AN16" i="47" s="1"/>
  <c r="Y16" i="47"/>
  <c r="V16" i="47"/>
  <c r="T16" i="47"/>
  <c r="AM15" i="47"/>
  <c r="AL15" i="47"/>
  <c r="AK15" i="47"/>
  <c r="AJ15" i="47"/>
  <c r="AI15" i="47"/>
  <c r="AH15" i="47"/>
  <c r="AG15" i="47"/>
  <c r="AF15" i="47"/>
  <c r="AE15" i="47"/>
  <c r="AN15" i="47" s="1"/>
  <c r="AD15" i="47"/>
  <c r="Y15" i="47"/>
  <c r="V15" i="47"/>
  <c r="T15" i="47"/>
  <c r="AM14" i="47"/>
  <c r="AL14" i="47"/>
  <c r="AK14" i="47"/>
  <c r="AJ14" i="47"/>
  <c r="AI14" i="47"/>
  <c r="AH14" i="47"/>
  <c r="AG14" i="47"/>
  <c r="AF14" i="47"/>
  <c r="AE14" i="47"/>
  <c r="AN14" i="47" s="1"/>
  <c r="AD14" i="47"/>
  <c r="Y14" i="47"/>
  <c r="V14" i="47"/>
  <c r="T14" i="47"/>
  <c r="AM13" i="47"/>
  <c r="AL13" i="47"/>
  <c r="AK13" i="47"/>
  <c r="AJ13" i="47"/>
  <c r="AI13" i="47"/>
  <c r="AH13" i="47"/>
  <c r="AG13" i="47"/>
  <c r="AF13" i="47"/>
  <c r="AE13" i="47"/>
  <c r="AD13" i="47"/>
  <c r="AN13" i="47" s="1"/>
  <c r="Y13" i="47"/>
  <c r="V13" i="47"/>
  <c r="T13" i="47"/>
  <c r="AM12" i="47"/>
  <c r="AL12" i="47"/>
  <c r="AK12" i="47"/>
  <c r="AJ12" i="47"/>
  <c r="AI12" i="47"/>
  <c r="AH12" i="47"/>
  <c r="AG12" i="47"/>
  <c r="AF12" i="47"/>
  <c r="AE12" i="47"/>
  <c r="AD12" i="47"/>
  <c r="Y12" i="47"/>
  <c r="V12" i="47"/>
  <c r="T12" i="47"/>
  <c r="A12" i="47"/>
  <c r="AM11" i="47"/>
  <c r="AL11" i="47"/>
  <c r="AK11" i="47"/>
  <c r="AJ11" i="47"/>
  <c r="AI11" i="47"/>
  <c r="AH11" i="47"/>
  <c r="AG11" i="47"/>
  <c r="AF11" i="47"/>
  <c r="AE11" i="47"/>
  <c r="AD11" i="47"/>
  <c r="Y11" i="47"/>
  <c r="V11" i="47"/>
  <c r="T11" i="47"/>
  <c r="AM10" i="47"/>
  <c r="AL10" i="47"/>
  <c r="AK10" i="47"/>
  <c r="AJ10" i="47"/>
  <c r="AI10" i="47"/>
  <c r="AH10" i="47"/>
  <c r="AG10" i="47"/>
  <c r="AF10" i="47"/>
  <c r="AE10" i="47"/>
  <c r="AD10" i="47"/>
  <c r="Y10" i="47"/>
  <c r="V10" i="47"/>
  <c r="T10" i="47"/>
  <c r="A10" i="47"/>
  <c r="W11" i="47" s="1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T9" i="47"/>
  <c r="AK8" i="47"/>
  <c r="AF8" i="47"/>
  <c r="AG8" i="47" s="1"/>
  <c r="Y8" i="47"/>
  <c r="V8" i="47"/>
  <c r="T8" i="47"/>
  <c r="AH8" i="47" s="1"/>
  <c r="AI8" i="47" s="1"/>
  <c r="AK7" i="47"/>
  <c r="AF7" i="47"/>
  <c r="AG7" i="47" s="1"/>
  <c r="Y7" i="47"/>
  <c r="V7" i="47"/>
  <c r="T7" i="47"/>
  <c r="AD7" i="47" s="1"/>
  <c r="AM6" i="47"/>
  <c r="AL6" i="47"/>
  <c r="AK6" i="47"/>
  <c r="AJ6" i="47"/>
  <c r="AI6" i="47"/>
  <c r="AH6" i="47"/>
  <c r="AG6" i="47"/>
  <c r="AF6" i="47"/>
  <c r="AD6" i="47"/>
  <c r="AN6" i="47" s="1"/>
  <c r="Y6" i="47"/>
  <c r="V6" i="47"/>
  <c r="T6" i="47"/>
  <c r="A6" i="47"/>
  <c r="AM5" i="47"/>
  <c r="AK5" i="47"/>
  <c r="AH5" i="47"/>
  <c r="AI5" i="47" s="1"/>
  <c r="AF5" i="47"/>
  <c r="AG5" i="47" s="1"/>
  <c r="AD5" i="47"/>
  <c r="Y5" i="47"/>
  <c r="V5" i="47"/>
  <c r="T5" i="47"/>
  <c r="F1" i="47"/>
  <c r="AK82" i="46"/>
  <c r="AF82" i="46"/>
  <c r="AG82" i="46" s="1"/>
  <c r="Y82" i="46"/>
  <c r="V82" i="46"/>
  <c r="T82" i="46"/>
  <c r="AH82" i="46" s="1"/>
  <c r="AI82" i="46" s="1"/>
  <c r="AM81" i="46"/>
  <c r="AK81" i="46"/>
  <c r="AF81" i="46"/>
  <c r="AG81" i="46" s="1"/>
  <c r="Y81" i="46"/>
  <c r="V81" i="46"/>
  <c r="T81" i="46"/>
  <c r="AH81" i="46" s="1"/>
  <c r="AI81" i="46" s="1"/>
  <c r="AK80" i="46"/>
  <c r="AF80" i="46"/>
  <c r="AG80" i="46" s="1"/>
  <c r="Y80" i="46"/>
  <c r="V80" i="46"/>
  <c r="T80" i="46"/>
  <c r="AH80" i="46" s="1"/>
  <c r="AI80" i="46" s="1"/>
  <c r="AK79" i="46"/>
  <c r="AF79" i="46"/>
  <c r="AG79" i="46" s="1"/>
  <c r="Y79" i="46"/>
  <c r="V79" i="46"/>
  <c r="T79" i="46"/>
  <c r="AM79" i="46" s="1"/>
  <c r="AK78" i="46"/>
  <c r="AF78" i="46"/>
  <c r="AG78" i="46" s="1"/>
  <c r="Y78" i="46"/>
  <c r="V78" i="46"/>
  <c r="T78" i="46"/>
  <c r="AM78" i="46" s="1"/>
  <c r="AM77" i="46"/>
  <c r="AK77" i="46"/>
  <c r="AF77" i="46"/>
  <c r="AG77" i="46" s="1"/>
  <c r="Y77" i="46"/>
  <c r="V77" i="46"/>
  <c r="T77" i="46"/>
  <c r="AE77" i="46" s="1"/>
  <c r="AK76" i="46"/>
  <c r="AF76" i="46"/>
  <c r="AG76" i="46" s="1"/>
  <c r="Y76" i="46"/>
  <c r="V76" i="46"/>
  <c r="T76" i="46"/>
  <c r="AH76" i="46" s="1"/>
  <c r="AI76" i="46" s="1"/>
  <c r="AM75" i="46"/>
  <c r="AK75" i="46"/>
  <c r="AF75" i="46"/>
  <c r="AG75" i="46" s="1"/>
  <c r="Y75" i="46"/>
  <c r="V75" i="46"/>
  <c r="T75" i="46"/>
  <c r="AD75" i="46" s="1"/>
  <c r="AM74" i="46"/>
  <c r="AK74" i="46"/>
  <c r="AF74" i="46"/>
  <c r="AG74" i="46" s="1"/>
  <c r="Y74" i="46"/>
  <c r="V74" i="46"/>
  <c r="T74" i="46"/>
  <c r="AH74" i="46" s="1"/>
  <c r="AI74" i="46" s="1"/>
  <c r="AM73" i="46"/>
  <c r="AK73" i="46"/>
  <c r="AF73" i="46"/>
  <c r="AG73" i="46" s="1"/>
  <c r="Y73" i="46"/>
  <c r="V73" i="46"/>
  <c r="T73" i="46"/>
  <c r="AH73" i="46" s="1"/>
  <c r="AI73" i="46" s="1"/>
  <c r="AK72" i="46"/>
  <c r="AF72" i="46"/>
  <c r="AG72" i="46" s="1"/>
  <c r="Y72" i="46"/>
  <c r="V72" i="46"/>
  <c r="T72" i="46"/>
  <c r="AD72" i="46" s="1"/>
  <c r="AM71" i="46"/>
  <c r="AK71" i="46"/>
  <c r="AF71" i="46"/>
  <c r="AG71" i="46" s="1"/>
  <c r="Y71" i="46"/>
  <c r="V71" i="46"/>
  <c r="T71" i="46"/>
  <c r="AH71" i="46" s="1"/>
  <c r="AI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H69" i="46" s="1"/>
  <c r="AI69" i="46" s="1"/>
  <c r="AK68" i="46"/>
  <c r="AF68" i="46"/>
  <c r="AG68" i="46" s="1"/>
  <c r="Y68" i="46"/>
  <c r="V68" i="46"/>
  <c r="T68" i="46"/>
  <c r="AD68" i="46" s="1"/>
  <c r="AK67" i="46"/>
  <c r="AF67" i="46"/>
  <c r="AG67" i="46" s="1"/>
  <c r="Y67" i="46"/>
  <c r="V67" i="46"/>
  <c r="T67" i="46"/>
  <c r="AE67" i="46" s="1"/>
  <c r="AK66" i="46"/>
  <c r="AF66" i="46"/>
  <c r="AG66" i="46" s="1"/>
  <c r="Y66" i="46"/>
  <c r="V66" i="46"/>
  <c r="T66" i="46"/>
  <c r="AM66" i="46" s="1"/>
  <c r="AK65" i="46"/>
  <c r="AF65" i="46"/>
  <c r="AG65" i="46" s="1"/>
  <c r="Y65" i="46"/>
  <c r="V65" i="46"/>
  <c r="T65" i="46"/>
  <c r="AH65" i="46" s="1"/>
  <c r="AI65" i="46" s="1"/>
  <c r="AK64" i="46"/>
  <c r="AF64" i="46"/>
  <c r="AG64" i="46" s="1"/>
  <c r="Y64" i="46"/>
  <c r="V64" i="46"/>
  <c r="T64" i="46"/>
  <c r="AD64" i="46" s="1"/>
  <c r="AK63" i="46"/>
  <c r="AF63" i="46"/>
  <c r="AG63" i="46" s="1"/>
  <c r="Y63" i="46"/>
  <c r="V63" i="46"/>
  <c r="T63" i="46"/>
  <c r="AH63" i="46" s="1"/>
  <c r="AI63" i="46" s="1"/>
  <c r="AM62" i="46"/>
  <c r="AK62" i="46"/>
  <c r="AF62" i="46"/>
  <c r="AG62" i="46" s="1"/>
  <c r="Y62" i="46"/>
  <c r="V62" i="46"/>
  <c r="T62" i="46"/>
  <c r="AH62" i="46" s="1"/>
  <c r="AI62" i="46" s="1"/>
  <c r="AM61" i="46"/>
  <c r="AK61" i="46"/>
  <c r="AF61" i="46"/>
  <c r="AG61" i="46" s="1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H60" i="46" s="1"/>
  <c r="AI60" i="46" s="1"/>
  <c r="AM59" i="46"/>
  <c r="AK59" i="46"/>
  <c r="AF59" i="46"/>
  <c r="AG59" i="46" s="1"/>
  <c r="Y59" i="46"/>
  <c r="V59" i="46"/>
  <c r="T59" i="46"/>
  <c r="AH59" i="46" s="1"/>
  <c r="AI59" i="46" s="1"/>
  <c r="AM58" i="46"/>
  <c r="AK58" i="46"/>
  <c r="AF58" i="46"/>
  <c r="AG58" i="46" s="1"/>
  <c r="Y58" i="46"/>
  <c r="V58" i="46"/>
  <c r="T58" i="46"/>
  <c r="AD58" i="46" s="1"/>
  <c r="AM57" i="46"/>
  <c r="AK57" i="46"/>
  <c r="AF57" i="46"/>
  <c r="AG57" i="46" s="1"/>
  <c r="Y57" i="46"/>
  <c r="V57" i="46"/>
  <c r="T57" i="46"/>
  <c r="AH57" i="46" s="1"/>
  <c r="AI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Y55" i="46"/>
  <c r="V55" i="46"/>
  <c r="T55" i="46"/>
  <c r="AH55" i="46" s="1"/>
  <c r="AI55" i="46" s="1"/>
  <c r="AM54" i="46"/>
  <c r="AK54" i="46"/>
  <c r="AF54" i="46"/>
  <c r="AG54" i="46" s="1"/>
  <c r="Y54" i="46"/>
  <c r="V54" i="46"/>
  <c r="T54" i="46"/>
  <c r="AH54" i="46" s="1"/>
  <c r="AI54" i="46" s="1"/>
  <c r="AM53" i="46"/>
  <c r="AK53" i="46"/>
  <c r="AF53" i="46"/>
  <c r="AG53" i="46" s="1"/>
  <c r="Y53" i="46"/>
  <c r="V53" i="46"/>
  <c r="T53" i="46"/>
  <c r="AE53" i="46" s="1"/>
  <c r="AM52" i="46"/>
  <c r="AK52" i="46"/>
  <c r="AF52" i="46"/>
  <c r="AG52" i="46" s="1"/>
  <c r="Y52" i="46"/>
  <c r="V52" i="46"/>
  <c r="T52" i="46"/>
  <c r="AH52" i="46" s="1"/>
  <c r="AI52" i="46" s="1"/>
  <c r="AM51" i="46"/>
  <c r="AK51" i="46"/>
  <c r="AF51" i="46"/>
  <c r="AG51" i="46" s="1"/>
  <c r="Y51" i="46"/>
  <c r="V51" i="46"/>
  <c r="T51" i="46"/>
  <c r="AH51" i="46" s="1"/>
  <c r="AI51" i="46" s="1"/>
  <c r="AM50" i="46"/>
  <c r="AK50" i="46"/>
  <c r="AF50" i="46"/>
  <c r="AG50" i="46" s="1"/>
  <c r="Y50" i="46"/>
  <c r="V50" i="46"/>
  <c r="T50" i="46"/>
  <c r="AH50" i="46" s="1"/>
  <c r="AI50" i="46" s="1"/>
  <c r="AK49" i="46"/>
  <c r="AF49" i="46"/>
  <c r="AG49" i="46" s="1"/>
  <c r="Y49" i="46"/>
  <c r="V49" i="46"/>
  <c r="T49" i="46"/>
  <c r="AD49" i="46" s="1"/>
  <c r="AK48" i="46"/>
  <c r="AF48" i="46"/>
  <c r="AG48" i="46" s="1"/>
  <c r="Y48" i="46"/>
  <c r="V48" i="46"/>
  <c r="T48" i="46"/>
  <c r="AE48" i="46" s="1"/>
  <c r="AK47" i="46"/>
  <c r="AF47" i="46"/>
  <c r="AG47" i="46" s="1"/>
  <c r="Y47" i="46"/>
  <c r="V47" i="46"/>
  <c r="T47" i="46"/>
  <c r="AH47" i="46" s="1"/>
  <c r="AI47" i="46" s="1"/>
  <c r="AM46" i="46"/>
  <c r="AK46" i="46"/>
  <c r="AF46" i="46"/>
  <c r="AG46" i="46" s="1"/>
  <c r="Y46" i="46"/>
  <c r="V46" i="46"/>
  <c r="T46" i="46"/>
  <c r="AH46" i="46" s="1"/>
  <c r="AI46" i="46" s="1"/>
  <c r="AM45" i="46"/>
  <c r="AK45" i="46"/>
  <c r="AF45" i="46"/>
  <c r="AG45" i="46" s="1"/>
  <c r="AE45" i="46"/>
  <c r="Y45" i="46"/>
  <c r="V45" i="46"/>
  <c r="T45" i="46"/>
  <c r="AH45" i="46" s="1"/>
  <c r="AI45" i="46" s="1"/>
  <c r="AM44" i="46"/>
  <c r="AL44" i="46"/>
  <c r="AK44" i="46"/>
  <c r="AJ44" i="46"/>
  <c r="AI44" i="46"/>
  <c r="AH44" i="46"/>
  <c r="AG44" i="46"/>
  <c r="AF44" i="46"/>
  <c r="AE44" i="46"/>
  <c r="AD44" i="46"/>
  <c r="Y44" i="46"/>
  <c r="V44" i="46"/>
  <c r="T44" i="46"/>
  <c r="AM43" i="46"/>
  <c r="AL43" i="46"/>
  <c r="AK43" i="46"/>
  <c r="AJ43" i="46"/>
  <c r="AI43" i="46"/>
  <c r="AH43" i="46"/>
  <c r="AG43" i="46"/>
  <c r="AF43" i="46"/>
  <c r="AE43" i="46"/>
  <c r="AD43" i="46"/>
  <c r="Y43" i="46"/>
  <c r="V43" i="46"/>
  <c r="T43" i="46"/>
  <c r="AM42" i="46"/>
  <c r="AL42" i="46"/>
  <c r="AK42" i="46"/>
  <c r="AJ42" i="46"/>
  <c r="AI42" i="46"/>
  <c r="AH42" i="46"/>
  <c r="AG42" i="46"/>
  <c r="AF42" i="46"/>
  <c r="AE42" i="46"/>
  <c r="AD42" i="46"/>
  <c r="Y42" i="46"/>
  <c r="V42" i="46"/>
  <c r="T42" i="46"/>
  <c r="AM41" i="46"/>
  <c r="AL41" i="46"/>
  <c r="AK41" i="46"/>
  <c r="AJ41" i="46"/>
  <c r="AI41" i="46"/>
  <c r="AH41" i="46"/>
  <c r="AG41" i="46"/>
  <c r="AF41" i="46"/>
  <c r="AE41" i="46"/>
  <c r="AD41" i="46"/>
  <c r="AN41" i="46" s="1"/>
  <c r="Y41" i="46"/>
  <c r="V41" i="46"/>
  <c r="T41" i="46"/>
  <c r="AM40" i="46"/>
  <c r="AL40" i="46"/>
  <c r="AK40" i="46"/>
  <c r="AJ40" i="46"/>
  <c r="AI40" i="46"/>
  <c r="AH40" i="46"/>
  <c r="AG40" i="46"/>
  <c r="AF40" i="46"/>
  <c r="AE40" i="46"/>
  <c r="AD40" i="46"/>
  <c r="Y40" i="46"/>
  <c r="V40" i="46"/>
  <c r="T40" i="46"/>
  <c r="AM39" i="46"/>
  <c r="AL39" i="46"/>
  <c r="AK39" i="46"/>
  <c r="AJ39" i="46"/>
  <c r="AI39" i="46"/>
  <c r="AH39" i="46"/>
  <c r="AG39" i="46"/>
  <c r="AF39" i="46"/>
  <c r="AE39" i="46"/>
  <c r="AD39" i="46"/>
  <c r="Y39" i="46"/>
  <c r="V39" i="46"/>
  <c r="T39" i="46"/>
  <c r="AM38" i="46"/>
  <c r="AL38" i="46"/>
  <c r="AK38" i="46"/>
  <c r="AJ38" i="46"/>
  <c r="AI38" i="46"/>
  <c r="AH38" i="46"/>
  <c r="AG38" i="46"/>
  <c r="AF38" i="46"/>
  <c r="AE38" i="46"/>
  <c r="AD38" i="46"/>
  <c r="Y38" i="46"/>
  <c r="V38" i="46"/>
  <c r="T38" i="46"/>
  <c r="AM37" i="46"/>
  <c r="AL37" i="46"/>
  <c r="AK37" i="46"/>
  <c r="AJ37" i="46"/>
  <c r="AI37" i="46"/>
  <c r="AH37" i="46"/>
  <c r="AG37" i="46"/>
  <c r="AF37" i="46"/>
  <c r="AE37" i="46"/>
  <c r="AD37" i="46"/>
  <c r="Y37" i="46"/>
  <c r="V37" i="46"/>
  <c r="T37" i="46"/>
  <c r="AM36" i="46"/>
  <c r="AL36" i="46"/>
  <c r="AK36" i="46"/>
  <c r="AJ36" i="46"/>
  <c r="AI36" i="46"/>
  <c r="AH36" i="46"/>
  <c r="AG36" i="46"/>
  <c r="AF36" i="46"/>
  <c r="AE36" i="46"/>
  <c r="AD36" i="46"/>
  <c r="Y36" i="46"/>
  <c r="V36" i="46"/>
  <c r="T36" i="46"/>
  <c r="AM35" i="46"/>
  <c r="AL35" i="46"/>
  <c r="AK35" i="46"/>
  <c r="AJ35" i="46"/>
  <c r="AI35" i="46"/>
  <c r="AH35" i="46"/>
  <c r="AG35" i="46"/>
  <c r="AF35" i="46"/>
  <c r="AE35" i="46"/>
  <c r="AD35" i="46"/>
  <c r="Y35" i="46"/>
  <c r="V35" i="46"/>
  <c r="T35" i="46"/>
  <c r="AM34" i="46"/>
  <c r="AL34" i="46"/>
  <c r="AK34" i="46"/>
  <c r="AJ34" i="46"/>
  <c r="AI34" i="46"/>
  <c r="AH34" i="46"/>
  <c r="AG34" i="46"/>
  <c r="AF34" i="46"/>
  <c r="AE34" i="46"/>
  <c r="AD34" i="46"/>
  <c r="Y34" i="46"/>
  <c r="V34" i="46"/>
  <c r="T34" i="46"/>
  <c r="AM33" i="46"/>
  <c r="AL33" i="46"/>
  <c r="AK33" i="46"/>
  <c r="AJ33" i="46"/>
  <c r="AI33" i="46"/>
  <c r="AH33" i="46"/>
  <c r="AG33" i="46"/>
  <c r="AF33" i="46"/>
  <c r="AE33" i="46"/>
  <c r="AD33" i="46"/>
  <c r="AN33" i="46" s="1"/>
  <c r="Y33" i="46"/>
  <c r="V33" i="46"/>
  <c r="T33" i="46"/>
  <c r="AM32" i="46"/>
  <c r="AL32" i="46"/>
  <c r="AK32" i="46"/>
  <c r="AJ32" i="46"/>
  <c r="AI32" i="46"/>
  <c r="AH32" i="46"/>
  <c r="AG32" i="46"/>
  <c r="AF32" i="46"/>
  <c r="AE32" i="46"/>
  <c r="AD32" i="46"/>
  <c r="Y32" i="46"/>
  <c r="V32" i="46"/>
  <c r="T32" i="46"/>
  <c r="AM31" i="46"/>
  <c r="AL31" i="46"/>
  <c r="AK31" i="46"/>
  <c r="AJ31" i="46"/>
  <c r="AI31" i="46"/>
  <c r="AH31" i="46"/>
  <c r="AG31" i="46"/>
  <c r="AF31" i="46"/>
  <c r="AE31" i="46"/>
  <c r="AD31" i="46"/>
  <c r="Y31" i="46"/>
  <c r="V31" i="46"/>
  <c r="T31" i="46"/>
  <c r="AM30" i="46"/>
  <c r="AL30" i="46"/>
  <c r="AK30" i="46"/>
  <c r="AJ30" i="46"/>
  <c r="AI30" i="46"/>
  <c r="AH30" i="46"/>
  <c r="AG30" i="46"/>
  <c r="AF30" i="46"/>
  <c r="AE30" i="46"/>
  <c r="AD30" i="46"/>
  <c r="AN30" i="46" s="1"/>
  <c r="Y30" i="46"/>
  <c r="V30" i="46"/>
  <c r="T30" i="46"/>
  <c r="AM29" i="46"/>
  <c r="AL29" i="46"/>
  <c r="AK29" i="46"/>
  <c r="AJ29" i="46"/>
  <c r="AI29" i="46"/>
  <c r="AH29" i="46"/>
  <c r="AG29" i="46"/>
  <c r="AF29" i="46"/>
  <c r="AE29" i="46"/>
  <c r="AD29" i="46"/>
  <c r="Y29" i="46"/>
  <c r="V29" i="46"/>
  <c r="T29" i="46"/>
  <c r="AM28" i="46"/>
  <c r="AL28" i="46"/>
  <c r="AK28" i="46"/>
  <c r="AJ28" i="46"/>
  <c r="AI28" i="46"/>
  <c r="AH28" i="46"/>
  <c r="AG28" i="46"/>
  <c r="AF28" i="46"/>
  <c r="AE28" i="46"/>
  <c r="AD28" i="46"/>
  <c r="Y28" i="46"/>
  <c r="V28" i="46"/>
  <c r="T28" i="46"/>
  <c r="AM27" i="46"/>
  <c r="AL27" i="46"/>
  <c r="AK27" i="46"/>
  <c r="AJ27" i="46"/>
  <c r="AI27" i="46"/>
  <c r="AH27" i="46"/>
  <c r="AG27" i="46"/>
  <c r="AF27" i="46"/>
  <c r="AE27" i="46"/>
  <c r="AD27" i="46"/>
  <c r="Y27" i="46"/>
  <c r="V27" i="46"/>
  <c r="T27" i="46"/>
  <c r="AM26" i="46"/>
  <c r="AL26" i="46"/>
  <c r="AK26" i="46"/>
  <c r="AJ26" i="46"/>
  <c r="AI26" i="46"/>
  <c r="AH26" i="46"/>
  <c r="AG26" i="46"/>
  <c r="AF26" i="46"/>
  <c r="AE26" i="46"/>
  <c r="AD26" i="46"/>
  <c r="Y26" i="46"/>
  <c r="V26" i="46"/>
  <c r="T26" i="46"/>
  <c r="AM25" i="46"/>
  <c r="AL25" i="46"/>
  <c r="AK25" i="46"/>
  <c r="AJ25" i="46"/>
  <c r="AI25" i="46"/>
  <c r="AH25" i="46"/>
  <c r="AG25" i="46"/>
  <c r="AF25" i="46"/>
  <c r="AE25" i="46"/>
  <c r="AD25" i="46"/>
  <c r="Y25" i="46"/>
  <c r="V25" i="46"/>
  <c r="T25" i="46"/>
  <c r="AM24" i="46"/>
  <c r="AL24" i="46"/>
  <c r="AK24" i="46"/>
  <c r="AJ24" i="46"/>
  <c r="AI24" i="46"/>
  <c r="AH24" i="46"/>
  <c r="AG24" i="46"/>
  <c r="AF24" i="46"/>
  <c r="AE24" i="46"/>
  <c r="AD24" i="46"/>
  <c r="Y24" i="46"/>
  <c r="V24" i="46"/>
  <c r="T24" i="46"/>
  <c r="AM23" i="46"/>
  <c r="AL23" i="46"/>
  <c r="AK23" i="46"/>
  <c r="AJ23" i="46"/>
  <c r="AI23" i="46"/>
  <c r="AH23" i="46"/>
  <c r="AG23" i="46"/>
  <c r="AF23" i="46"/>
  <c r="AE23" i="46"/>
  <c r="AD23" i="46"/>
  <c r="Y23" i="46"/>
  <c r="V23" i="46"/>
  <c r="T23" i="46"/>
  <c r="AM22" i="46"/>
  <c r="AL22" i="46"/>
  <c r="AK22" i="46"/>
  <c r="AJ22" i="46"/>
  <c r="AI22" i="46"/>
  <c r="AH22" i="46"/>
  <c r="AG22" i="46"/>
  <c r="AF22" i="46"/>
  <c r="AE22" i="46"/>
  <c r="AD22" i="46"/>
  <c r="Y22" i="46"/>
  <c r="V22" i="46"/>
  <c r="T22" i="46"/>
  <c r="AM21" i="46"/>
  <c r="AL21" i="46"/>
  <c r="AK21" i="46"/>
  <c r="AJ21" i="46"/>
  <c r="AI21" i="46"/>
  <c r="AH21" i="46"/>
  <c r="AG21" i="46"/>
  <c r="AF21" i="46"/>
  <c r="AE21" i="46"/>
  <c r="AD21" i="46"/>
  <c r="AN21" i="46" s="1"/>
  <c r="Y21" i="46"/>
  <c r="V21" i="46"/>
  <c r="T21" i="46"/>
  <c r="AM20" i="46"/>
  <c r="AL20" i="46"/>
  <c r="AK20" i="46"/>
  <c r="AJ20" i="46"/>
  <c r="AI20" i="46"/>
  <c r="AH20" i="46"/>
  <c r="AG20" i="46"/>
  <c r="AF20" i="46"/>
  <c r="AE20" i="46"/>
  <c r="AD20" i="46"/>
  <c r="Y20" i="46"/>
  <c r="V20" i="46"/>
  <c r="T20" i="46"/>
  <c r="AM19" i="46"/>
  <c r="AL19" i="46"/>
  <c r="AK19" i="46"/>
  <c r="AJ19" i="46"/>
  <c r="AI19" i="46"/>
  <c r="AH19" i="46"/>
  <c r="AG19" i="46"/>
  <c r="AF19" i="46"/>
  <c r="AE19" i="46"/>
  <c r="AD19" i="46"/>
  <c r="Y19" i="46"/>
  <c r="V19" i="46"/>
  <c r="T19" i="46"/>
  <c r="AM18" i="46"/>
  <c r="AL18" i="46"/>
  <c r="AK18" i="46"/>
  <c r="AJ18" i="46"/>
  <c r="AI18" i="46"/>
  <c r="AH18" i="46"/>
  <c r="AG18" i="46"/>
  <c r="AF18" i="46"/>
  <c r="AE18" i="46"/>
  <c r="AD18" i="46"/>
  <c r="Y18" i="46"/>
  <c r="V18" i="46"/>
  <c r="T18" i="46"/>
  <c r="AM17" i="46"/>
  <c r="AL17" i="46"/>
  <c r="AK17" i="46"/>
  <c r="AJ17" i="46"/>
  <c r="AI17" i="46"/>
  <c r="AH17" i="46"/>
  <c r="AG17" i="46"/>
  <c r="AF17" i="46"/>
  <c r="AE17" i="46"/>
  <c r="AD17" i="46"/>
  <c r="Y17" i="46"/>
  <c r="V17" i="46"/>
  <c r="T17" i="46"/>
  <c r="AM16" i="46"/>
  <c r="AL16" i="46"/>
  <c r="AK16" i="46"/>
  <c r="AJ16" i="46"/>
  <c r="AI16" i="46"/>
  <c r="AH16" i="46"/>
  <c r="AG16" i="46"/>
  <c r="AF16" i="46"/>
  <c r="AE16" i="46"/>
  <c r="AD16" i="46"/>
  <c r="Y16" i="46"/>
  <c r="V16" i="46"/>
  <c r="T16" i="46"/>
  <c r="AM15" i="46"/>
  <c r="AL15" i="46"/>
  <c r="AK15" i="46"/>
  <c r="AJ15" i="46"/>
  <c r="AI15" i="46"/>
  <c r="AH15" i="46"/>
  <c r="AG15" i="46"/>
  <c r="AF15" i="46"/>
  <c r="AE15" i="46"/>
  <c r="AN15" i="46" s="1"/>
  <c r="AD15" i="46"/>
  <c r="Y15" i="46"/>
  <c r="V15" i="46"/>
  <c r="T15" i="46"/>
  <c r="AM14" i="46"/>
  <c r="AL14" i="46"/>
  <c r="AK14" i="46"/>
  <c r="AJ14" i="46"/>
  <c r="AI14" i="46"/>
  <c r="AH14" i="46"/>
  <c r="AG14" i="46"/>
  <c r="AF14" i="46"/>
  <c r="AE14" i="46"/>
  <c r="AD14" i="46"/>
  <c r="Y14" i="46"/>
  <c r="V14" i="46"/>
  <c r="T14" i="46"/>
  <c r="AM13" i="46"/>
  <c r="AL13" i="46"/>
  <c r="AK13" i="46"/>
  <c r="AJ13" i="46"/>
  <c r="AI13" i="46"/>
  <c r="AH13" i="46"/>
  <c r="AG13" i="46"/>
  <c r="AF13" i="46"/>
  <c r="AE13" i="46"/>
  <c r="AD13" i="46"/>
  <c r="Y13" i="46"/>
  <c r="V13" i="46"/>
  <c r="T13" i="46"/>
  <c r="AM12" i="46"/>
  <c r="AL12" i="46"/>
  <c r="AK12" i="46"/>
  <c r="AJ12" i="46"/>
  <c r="AI12" i="46"/>
  <c r="AH12" i="46"/>
  <c r="AG12" i="46"/>
  <c r="AF12" i="46"/>
  <c r="AE12" i="46"/>
  <c r="AD12" i="46"/>
  <c r="Y12" i="46"/>
  <c r="V12" i="46"/>
  <c r="T12" i="46"/>
  <c r="A12" i="46"/>
  <c r="AM11" i="46"/>
  <c r="AL11" i="46"/>
  <c r="AK11" i="46"/>
  <c r="AJ11" i="46"/>
  <c r="AI11" i="46"/>
  <c r="AH11" i="46"/>
  <c r="AG11" i="46"/>
  <c r="AF11" i="46"/>
  <c r="AE11" i="46"/>
  <c r="AD11" i="46"/>
  <c r="Y11" i="46"/>
  <c r="V11" i="46"/>
  <c r="T11" i="46"/>
  <c r="AM10" i="46"/>
  <c r="AL10" i="46"/>
  <c r="AK10" i="46"/>
  <c r="AJ10" i="46"/>
  <c r="AI10" i="46"/>
  <c r="AH10" i="46"/>
  <c r="AG10" i="46"/>
  <c r="AF10" i="46"/>
  <c r="AE10" i="46"/>
  <c r="AD10" i="46"/>
  <c r="AN10" i="46" s="1"/>
  <c r="Y10" i="46"/>
  <c r="V10" i="46"/>
  <c r="T10" i="46"/>
  <c r="A10" i="46"/>
  <c r="AM9" i="46"/>
  <c r="AL9" i="46"/>
  <c r="AK9" i="46"/>
  <c r="AJ9" i="46"/>
  <c r="AI9" i="46"/>
  <c r="AH9" i="46"/>
  <c r="AG9" i="46"/>
  <c r="AF9" i="46"/>
  <c r="AE9" i="46"/>
  <c r="AD9" i="46"/>
  <c r="AN9" i="46" s="1"/>
  <c r="Y9" i="46"/>
  <c r="W9" i="46"/>
  <c r="V9" i="46"/>
  <c r="T9" i="46"/>
  <c r="AM8" i="46"/>
  <c r="AL8" i="46"/>
  <c r="AK8" i="46"/>
  <c r="AJ8" i="46"/>
  <c r="AI8" i="46"/>
  <c r="AH8" i="46"/>
  <c r="AG8" i="46"/>
  <c r="AF8" i="46"/>
  <c r="AD8" i="46"/>
  <c r="AN8" i="46" s="1"/>
  <c r="Y8" i="46"/>
  <c r="V8" i="46"/>
  <c r="T8" i="46"/>
  <c r="AM7" i="46"/>
  <c r="AL7" i="46"/>
  <c r="AK7" i="46"/>
  <c r="AJ7" i="46"/>
  <c r="AI7" i="46"/>
  <c r="AH7" i="46"/>
  <c r="AG7" i="46"/>
  <c r="AF7" i="46"/>
  <c r="AD7" i="46"/>
  <c r="AN7" i="46" s="1"/>
  <c r="Y7" i="46"/>
  <c r="V7" i="46"/>
  <c r="T7" i="46"/>
  <c r="AM6" i="46"/>
  <c r="AL6" i="46"/>
  <c r="AK6" i="46"/>
  <c r="AJ6" i="46"/>
  <c r="AI6" i="46"/>
  <c r="AH6" i="46"/>
  <c r="AG6" i="46"/>
  <c r="AF6" i="46"/>
  <c r="AD6" i="46"/>
  <c r="AN6" i="46" s="1"/>
  <c r="Y6" i="46"/>
  <c r="V6" i="46"/>
  <c r="T6" i="46"/>
  <c r="A6" i="46"/>
  <c r="AM5" i="46"/>
  <c r="AL5" i="46"/>
  <c r="AK5" i="46"/>
  <c r="AJ5" i="46"/>
  <c r="AI5" i="46"/>
  <c r="AH5" i="46"/>
  <c r="AG5" i="46"/>
  <c r="AF5" i="46"/>
  <c r="AD5" i="46"/>
  <c r="AN5" i="46" s="1"/>
  <c r="Y5" i="46"/>
  <c r="V5" i="46"/>
  <c r="T5" i="46"/>
  <c r="F1" i="46"/>
  <c r="AM24" i="45"/>
  <c r="AK24" i="45"/>
  <c r="AF24" i="45"/>
  <c r="AG24" i="45" s="1"/>
  <c r="Y24" i="45"/>
  <c r="V24" i="45"/>
  <c r="T24" i="45"/>
  <c r="AH24" i="45" s="1"/>
  <c r="AI24" i="45" s="1"/>
  <c r="AM23" i="45"/>
  <c r="AK23" i="45"/>
  <c r="AF23" i="45"/>
  <c r="AG23" i="45" s="1"/>
  <c r="Y23" i="45"/>
  <c r="V23" i="45"/>
  <c r="T23" i="45"/>
  <c r="AH23" i="45" s="1"/>
  <c r="AI23" i="45" s="1"/>
  <c r="AK22" i="45"/>
  <c r="AF22" i="45"/>
  <c r="AG22" i="45" s="1"/>
  <c r="Y22" i="45"/>
  <c r="V22" i="45"/>
  <c r="T22" i="45"/>
  <c r="AH22" i="45" s="1"/>
  <c r="AI22" i="45" s="1"/>
  <c r="AK21" i="45"/>
  <c r="AF21" i="45"/>
  <c r="AG21" i="45" s="1"/>
  <c r="Y21" i="45"/>
  <c r="V21" i="45"/>
  <c r="T21" i="45"/>
  <c r="AH21" i="45" s="1"/>
  <c r="AI21" i="45" s="1"/>
  <c r="AK20" i="45"/>
  <c r="AF20" i="45"/>
  <c r="AG20" i="45" s="1"/>
  <c r="Y20" i="45"/>
  <c r="V20" i="45"/>
  <c r="T20" i="45"/>
  <c r="AM20" i="45" s="1"/>
  <c r="AK19" i="45"/>
  <c r="AF19" i="45"/>
  <c r="AG19" i="45" s="1"/>
  <c r="Y19" i="45"/>
  <c r="V19" i="45"/>
  <c r="T19" i="45"/>
  <c r="AH19" i="45" s="1"/>
  <c r="AI19" i="45" s="1"/>
  <c r="AM18" i="45"/>
  <c r="AL18" i="45"/>
  <c r="AK18" i="45"/>
  <c r="AJ18" i="45"/>
  <c r="AI18" i="45"/>
  <c r="AH18" i="45"/>
  <c r="AG18" i="45"/>
  <c r="AF18" i="45"/>
  <c r="AE18" i="45"/>
  <c r="AD18" i="45"/>
  <c r="Y18" i="45"/>
  <c r="V18" i="45"/>
  <c r="T18" i="45"/>
  <c r="AM17" i="45"/>
  <c r="AL17" i="45"/>
  <c r="AK17" i="45"/>
  <c r="AJ17" i="45"/>
  <c r="AI17" i="45"/>
  <c r="AH17" i="45"/>
  <c r="AG17" i="45"/>
  <c r="AF17" i="45"/>
  <c r="AE17" i="45"/>
  <c r="AD17" i="45"/>
  <c r="Y17" i="45"/>
  <c r="V17" i="45"/>
  <c r="T17" i="45"/>
  <c r="AM16" i="45"/>
  <c r="AL16" i="45"/>
  <c r="AK16" i="45"/>
  <c r="AJ16" i="45"/>
  <c r="AI16" i="45"/>
  <c r="AH16" i="45"/>
  <c r="AG16" i="45"/>
  <c r="AF16" i="45"/>
  <c r="AE16" i="45"/>
  <c r="AD16" i="45"/>
  <c r="Y16" i="45"/>
  <c r="V16" i="45"/>
  <c r="T16" i="45"/>
  <c r="AM15" i="45"/>
  <c r="AL15" i="45"/>
  <c r="AK15" i="45"/>
  <c r="AJ15" i="45"/>
  <c r="AI15" i="45"/>
  <c r="AH15" i="45"/>
  <c r="AG15" i="45"/>
  <c r="AF15" i="45"/>
  <c r="AE15" i="45"/>
  <c r="AD15" i="45"/>
  <c r="Y15" i="45"/>
  <c r="V15" i="45"/>
  <c r="T15" i="45"/>
  <c r="AM14" i="45"/>
  <c r="AL14" i="45"/>
  <c r="AK14" i="45"/>
  <c r="AJ14" i="45"/>
  <c r="AI14" i="45"/>
  <c r="AH14" i="45"/>
  <c r="AG14" i="45"/>
  <c r="AF14" i="45"/>
  <c r="AE14" i="45"/>
  <c r="AD14" i="45"/>
  <c r="Y14" i="45"/>
  <c r="V14" i="45"/>
  <c r="T14" i="45"/>
  <c r="A14" i="45"/>
  <c r="AM13" i="45"/>
  <c r="AL13" i="45"/>
  <c r="AK13" i="45"/>
  <c r="AJ13" i="45"/>
  <c r="AI13" i="45"/>
  <c r="AH13" i="45"/>
  <c r="AG13" i="45"/>
  <c r="AF13" i="45"/>
  <c r="AE13" i="45"/>
  <c r="AD13" i="45"/>
  <c r="Y13" i="45"/>
  <c r="V13" i="45"/>
  <c r="T13" i="45"/>
  <c r="AM12" i="45"/>
  <c r="AL12" i="45"/>
  <c r="AK12" i="45"/>
  <c r="AJ12" i="45"/>
  <c r="AI12" i="45"/>
  <c r="AH12" i="45"/>
  <c r="AG12" i="45"/>
  <c r="AF12" i="45"/>
  <c r="AE12" i="45"/>
  <c r="AD12" i="45"/>
  <c r="Y12" i="45"/>
  <c r="V12" i="45"/>
  <c r="T12" i="45"/>
  <c r="A12" i="45"/>
  <c r="AM11" i="45"/>
  <c r="AL11" i="45"/>
  <c r="AK11" i="45"/>
  <c r="AJ11" i="45"/>
  <c r="AI11" i="45"/>
  <c r="AH11" i="45"/>
  <c r="AG11" i="45"/>
  <c r="AF11" i="45"/>
  <c r="AE11" i="45"/>
  <c r="AD11" i="45"/>
  <c r="Y11" i="45"/>
  <c r="V11" i="45"/>
  <c r="T11" i="45"/>
  <c r="AM10" i="45"/>
  <c r="AL10" i="45"/>
  <c r="AK10" i="45"/>
  <c r="AJ10" i="45"/>
  <c r="AI10" i="45"/>
  <c r="AH10" i="45"/>
  <c r="AG10" i="45"/>
  <c r="AF10" i="45"/>
  <c r="AE10" i="45"/>
  <c r="AD10" i="45"/>
  <c r="Y10" i="45"/>
  <c r="V10" i="45"/>
  <c r="T10" i="45"/>
  <c r="A10" i="45"/>
  <c r="U14" i="45" s="1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T9" i="45"/>
  <c r="AM8" i="45"/>
  <c r="AL8" i="45"/>
  <c r="AK8" i="45"/>
  <c r="AJ8" i="45"/>
  <c r="AI8" i="45"/>
  <c r="AH8" i="45"/>
  <c r="AG8" i="45"/>
  <c r="AF8" i="45"/>
  <c r="AD8" i="45"/>
  <c r="AN8" i="45" s="1"/>
  <c r="Y8" i="45"/>
  <c r="V8" i="45"/>
  <c r="T8" i="45"/>
  <c r="AM7" i="45"/>
  <c r="AL7" i="45"/>
  <c r="AK7" i="45"/>
  <c r="AJ7" i="45"/>
  <c r="AI7" i="45"/>
  <c r="AH7" i="45"/>
  <c r="AG7" i="45"/>
  <c r="AF7" i="45"/>
  <c r="AD7" i="45"/>
  <c r="AN7" i="45" s="1"/>
  <c r="Y7" i="45"/>
  <c r="V7" i="45"/>
  <c r="T7" i="45"/>
  <c r="AM6" i="45"/>
  <c r="AL6" i="45"/>
  <c r="AK6" i="45"/>
  <c r="AJ6" i="45"/>
  <c r="AI6" i="45"/>
  <c r="AH6" i="45"/>
  <c r="AG6" i="45"/>
  <c r="AF6" i="45"/>
  <c r="AD6" i="45"/>
  <c r="AN6" i="45" s="1"/>
  <c r="Y6" i="45"/>
  <c r="V6" i="45"/>
  <c r="T6" i="45"/>
  <c r="A6" i="45"/>
  <c r="AM5" i="45"/>
  <c r="AL5" i="45"/>
  <c r="AK5" i="45"/>
  <c r="AJ5" i="45"/>
  <c r="AI5" i="45"/>
  <c r="AH5" i="45"/>
  <c r="AG5" i="45"/>
  <c r="AF5" i="45"/>
  <c r="AD5" i="45"/>
  <c r="AN5" i="45" s="1"/>
  <c r="Y5" i="45"/>
  <c r="V5" i="45"/>
  <c r="T5" i="45"/>
  <c r="F1" i="45"/>
  <c r="AM24" i="44"/>
  <c r="AK24" i="44"/>
  <c r="AF24" i="44"/>
  <c r="AG24" i="44" s="1"/>
  <c r="Y24" i="44"/>
  <c r="V24" i="44"/>
  <c r="T24" i="44"/>
  <c r="AH24" i="44" s="1"/>
  <c r="AI24" i="44" s="1"/>
  <c r="AM23" i="44"/>
  <c r="AK23" i="44"/>
  <c r="AF23" i="44"/>
  <c r="AG23" i="44" s="1"/>
  <c r="Y23" i="44"/>
  <c r="V23" i="44"/>
  <c r="T23" i="44"/>
  <c r="AE23" i="44" s="1"/>
  <c r="AK22" i="44"/>
  <c r="AF22" i="44"/>
  <c r="AG22" i="44" s="1"/>
  <c r="Y22" i="44"/>
  <c r="V22" i="44"/>
  <c r="T22" i="44"/>
  <c r="AM22" i="44" s="1"/>
  <c r="AK21" i="44"/>
  <c r="AF21" i="44"/>
  <c r="AG21" i="44" s="1"/>
  <c r="Y21" i="44"/>
  <c r="V21" i="44"/>
  <c r="T21" i="44"/>
  <c r="AM21" i="44" s="1"/>
  <c r="AM20" i="44"/>
  <c r="AK20" i="44"/>
  <c r="AF20" i="44"/>
  <c r="AG20" i="44" s="1"/>
  <c r="Y20" i="44"/>
  <c r="V20" i="44"/>
  <c r="T20" i="44"/>
  <c r="AD20" i="44" s="1"/>
  <c r="AK19" i="44"/>
  <c r="AF19" i="44"/>
  <c r="AG19" i="44" s="1"/>
  <c r="Y19" i="44"/>
  <c r="V19" i="44"/>
  <c r="T19" i="44"/>
  <c r="AD19" i="44" s="1"/>
  <c r="AK18" i="44"/>
  <c r="AG18" i="44"/>
  <c r="AF18" i="44"/>
  <c r="Y18" i="44"/>
  <c r="V18" i="44"/>
  <c r="T18" i="44"/>
  <c r="AH18" i="44" s="1"/>
  <c r="AI18" i="44" s="1"/>
  <c r="AK17" i="44"/>
  <c r="AF17" i="44"/>
  <c r="AG17" i="44" s="1"/>
  <c r="AE17" i="44"/>
  <c r="Y17" i="44"/>
  <c r="V17" i="44"/>
  <c r="T17" i="44"/>
  <c r="AD17" i="44" s="1"/>
  <c r="AK16" i="44"/>
  <c r="AF16" i="44"/>
  <c r="AG16" i="44" s="1"/>
  <c r="Y16" i="44"/>
  <c r="V16" i="44"/>
  <c r="T16" i="44"/>
  <c r="AH16" i="44" s="1"/>
  <c r="AI16" i="44" s="1"/>
  <c r="AK15" i="44"/>
  <c r="AF15" i="44"/>
  <c r="AG15" i="44" s="1"/>
  <c r="Y15" i="44"/>
  <c r="V15" i="44"/>
  <c r="T15" i="44"/>
  <c r="AH15" i="44" s="1"/>
  <c r="AI15" i="44" s="1"/>
  <c r="AM14" i="44"/>
  <c r="AK14" i="44"/>
  <c r="AF14" i="44"/>
  <c r="AG14" i="44" s="1"/>
  <c r="Y14" i="44"/>
  <c r="V14" i="44"/>
  <c r="T14" i="44"/>
  <c r="AH14" i="44" s="1"/>
  <c r="AI14" i="44" s="1"/>
  <c r="AM13" i="44"/>
  <c r="AL13" i="44"/>
  <c r="AK13" i="44"/>
  <c r="AJ13" i="44"/>
  <c r="AI13" i="44"/>
  <c r="AH13" i="44"/>
  <c r="AG13" i="44"/>
  <c r="AF13" i="44"/>
  <c r="AE13" i="44"/>
  <c r="AD13" i="44"/>
  <c r="Y13" i="44"/>
  <c r="V13" i="44"/>
  <c r="T13" i="44"/>
  <c r="AM12" i="44"/>
  <c r="AL12" i="44"/>
  <c r="AK12" i="44"/>
  <c r="AJ12" i="44"/>
  <c r="AI12" i="44"/>
  <c r="AH12" i="44"/>
  <c r="AG12" i="44"/>
  <c r="AF12" i="44"/>
  <c r="AE12" i="44"/>
  <c r="AD12" i="44"/>
  <c r="Y12" i="44"/>
  <c r="V12" i="44"/>
  <c r="T12" i="44"/>
  <c r="A12" i="44"/>
  <c r="AM11" i="44"/>
  <c r="AL11" i="44"/>
  <c r="AK11" i="44"/>
  <c r="AJ11" i="44"/>
  <c r="AI11" i="44"/>
  <c r="AH11" i="44"/>
  <c r="AG11" i="44"/>
  <c r="AF11" i="44"/>
  <c r="AE11" i="44"/>
  <c r="AD11" i="44"/>
  <c r="Y11" i="44"/>
  <c r="V11" i="44"/>
  <c r="T11" i="44"/>
  <c r="AM10" i="44"/>
  <c r="AL10" i="44"/>
  <c r="AK10" i="44"/>
  <c r="AJ10" i="44"/>
  <c r="AI10" i="44"/>
  <c r="AH10" i="44"/>
  <c r="AG10" i="44"/>
  <c r="AF10" i="44"/>
  <c r="AE10" i="44"/>
  <c r="AD10" i="44"/>
  <c r="Y10" i="44"/>
  <c r="V10" i="44"/>
  <c r="T10" i="44"/>
  <c r="A10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T9" i="44"/>
  <c r="AM8" i="44"/>
  <c r="AL8" i="44"/>
  <c r="AK8" i="44"/>
  <c r="AJ8" i="44"/>
  <c r="AI8" i="44"/>
  <c r="AH8" i="44"/>
  <c r="AG8" i="44"/>
  <c r="AF8" i="44"/>
  <c r="AD8" i="44"/>
  <c r="AN8" i="44" s="1"/>
  <c r="Y8" i="44"/>
  <c r="V8" i="44"/>
  <c r="T8" i="44"/>
  <c r="AM7" i="44"/>
  <c r="AL7" i="44"/>
  <c r="AK7" i="44"/>
  <c r="AJ7" i="44"/>
  <c r="AI7" i="44"/>
  <c r="AH7" i="44"/>
  <c r="AG7" i="44"/>
  <c r="AF7" i="44"/>
  <c r="AD7" i="44"/>
  <c r="AN7" i="44" s="1"/>
  <c r="Y7" i="44"/>
  <c r="V7" i="44"/>
  <c r="T7" i="44"/>
  <c r="AM6" i="44"/>
  <c r="AL6" i="44"/>
  <c r="AK6" i="44"/>
  <c r="AJ6" i="44"/>
  <c r="AI6" i="44"/>
  <c r="AH6" i="44"/>
  <c r="AG6" i="44"/>
  <c r="AF6" i="44"/>
  <c r="AD6" i="44"/>
  <c r="AN6" i="44" s="1"/>
  <c r="Y6" i="44"/>
  <c r="V6" i="44"/>
  <c r="T6" i="44"/>
  <c r="A6" i="44"/>
  <c r="AM5" i="44"/>
  <c r="AL5" i="44"/>
  <c r="AK5" i="44"/>
  <c r="AJ5" i="44"/>
  <c r="AI5" i="44"/>
  <c r="AH5" i="44"/>
  <c r="AG5" i="44"/>
  <c r="AF5" i="44"/>
  <c r="AD5" i="44"/>
  <c r="AN5" i="44" s="1"/>
  <c r="Y5" i="44"/>
  <c r="V5" i="44"/>
  <c r="T5" i="44"/>
  <c r="F1" i="44"/>
  <c r="AM24" i="43"/>
  <c r="AK24" i="43"/>
  <c r="AF24" i="43"/>
  <c r="AG24" i="43" s="1"/>
  <c r="Y24" i="43"/>
  <c r="V24" i="43"/>
  <c r="T24" i="43"/>
  <c r="AH24" i="43" s="1"/>
  <c r="AI24" i="43" s="1"/>
  <c r="AK23" i="43"/>
  <c r="AF23" i="43"/>
  <c r="AG23" i="43" s="1"/>
  <c r="Y23" i="43"/>
  <c r="V23" i="43"/>
  <c r="T23" i="43"/>
  <c r="AM23" i="43" s="1"/>
  <c r="AK22" i="43"/>
  <c r="AF22" i="43"/>
  <c r="AG22" i="43" s="1"/>
  <c r="Y22" i="43"/>
  <c r="V22" i="43"/>
  <c r="T22" i="43"/>
  <c r="AH22" i="43" s="1"/>
  <c r="AI22" i="43" s="1"/>
  <c r="AK21" i="43"/>
  <c r="AF21" i="43"/>
  <c r="AG21" i="43" s="1"/>
  <c r="Y21" i="43"/>
  <c r="V21" i="43"/>
  <c r="T21" i="43"/>
  <c r="AM21" i="43" s="1"/>
  <c r="AK20" i="43"/>
  <c r="AF20" i="43"/>
  <c r="AG20" i="43" s="1"/>
  <c r="Y20" i="43"/>
  <c r="V20" i="43"/>
  <c r="T20" i="43"/>
  <c r="AH20" i="43" s="1"/>
  <c r="AI20" i="43" s="1"/>
  <c r="A20" i="43"/>
  <c r="AK19" i="43"/>
  <c r="AF19" i="43"/>
  <c r="AG19" i="43" s="1"/>
  <c r="Y19" i="43"/>
  <c r="V19" i="43"/>
  <c r="T19" i="43"/>
  <c r="AH19" i="43" s="1"/>
  <c r="AI19" i="43" s="1"/>
  <c r="AK18" i="43"/>
  <c r="AF18" i="43"/>
  <c r="AG18" i="43" s="1"/>
  <c r="AD18" i="43"/>
  <c r="Y18" i="43"/>
  <c r="V18" i="43"/>
  <c r="T18" i="43"/>
  <c r="AM18" i="43" s="1"/>
  <c r="A18" i="43"/>
  <c r="AM17" i="43"/>
  <c r="AK17" i="43"/>
  <c r="AF17" i="43"/>
  <c r="AG17" i="43" s="1"/>
  <c r="Y17" i="43"/>
  <c r="V17" i="43"/>
  <c r="T17" i="43"/>
  <c r="AH17" i="43" s="1"/>
  <c r="AI17" i="43" s="1"/>
  <c r="AK16" i="43"/>
  <c r="AF16" i="43"/>
  <c r="AG16" i="43" s="1"/>
  <c r="Y16" i="43"/>
  <c r="V16" i="43"/>
  <c r="T16" i="43"/>
  <c r="AH16" i="43" s="1"/>
  <c r="AI16" i="43" s="1"/>
  <c r="AM15" i="43"/>
  <c r="AL15" i="43"/>
  <c r="AK15" i="43"/>
  <c r="AJ15" i="43"/>
  <c r="AI15" i="43"/>
  <c r="AH15" i="43"/>
  <c r="AG15" i="43"/>
  <c r="AF15" i="43"/>
  <c r="AE15" i="43"/>
  <c r="AD15" i="43"/>
  <c r="Y15" i="43"/>
  <c r="V15" i="43"/>
  <c r="T15" i="43"/>
  <c r="AM14" i="43"/>
  <c r="AL14" i="43"/>
  <c r="AK14" i="43"/>
  <c r="AJ14" i="43"/>
  <c r="AI14" i="43"/>
  <c r="AH14" i="43"/>
  <c r="AG14" i="43"/>
  <c r="AF14" i="43"/>
  <c r="AE14" i="43"/>
  <c r="AD14" i="43"/>
  <c r="Y14" i="43"/>
  <c r="V14" i="43"/>
  <c r="T14" i="43"/>
  <c r="AM13" i="43"/>
  <c r="AL13" i="43"/>
  <c r="AK13" i="43"/>
  <c r="AJ13" i="43"/>
  <c r="AI13" i="43"/>
  <c r="AH13" i="43"/>
  <c r="AG13" i="43"/>
  <c r="AF13" i="43"/>
  <c r="AE13" i="43"/>
  <c r="AD13" i="43"/>
  <c r="Y13" i="43"/>
  <c r="V13" i="43"/>
  <c r="T13" i="43"/>
  <c r="AM12" i="43"/>
  <c r="AL12" i="43"/>
  <c r="AK12" i="43"/>
  <c r="AJ12" i="43"/>
  <c r="AI12" i="43"/>
  <c r="AH12" i="43"/>
  <c r="AG12" i="43"/>
  <c r="AF12" i="43"/>
  <c r="AE12" i="43"/>
  <c r="AD12" i="43"/>
  <c r="Y12" i="43"/>
  <c r="V12" i="43"/>
  <c r="T12" i="43"/>
  <c r="A12" i="43"/>
  <c r="AM11" i="43"/>
  <c r="AL11" i="43"/>
  <c r="AK11" i="43"/>
  <c r="AJ11" i="43"/>
  <c r="AI11" i="43"/>
  <c r="AH11" i="43"/>
  <c r="AG11" i="43"/>
  <c r="AF11" i="43"/>
  <c r="AE11" i="43"/>
  <c r="AD11" i="43"/>
  <c r="AN11" i="43" s="1"/>
  <c r="Y11" i="43"/>
  <c r="V11" i="43"/>
  <c r="T11" i="43"/>
  <c r="AM10" i="43"/>
  <c r="AL10" i="43"/>
  <c r="AK10" i="43"/>
  <c r="AJ10" i="43"/>
  <c r="AI10" i="43"/>
  <c r="AH10" i="43"/>
  <c r="AG10" i="43"/>
  <c r="AF10" i="43"/>
  <c r="AE10" i="43"/>
  <c r="AD10" i="43"/>
  <c r="Y10" i="43"/>
  <c r="V10" i="43"/>
  <c r="T10" i="43"/>
  <c r="A10" i="43"/>
  <c r="W23" i="43" s="1"/>
  <c r="X23" i="43" s="1"/>
  <c r="AM9" i="43"/>
  <c r="AL9" i="43"/>
  <c r="AK9" i="43"/>
  <c r="AJ9" i="43"/>
  <c r="AI9" i="43"/>
  <c r="AH9" i="43"/>
  <c r="AG9" i="43"/>
  <c r="AF9" i="43"/>
  <c r="AE9" i="43"/>
  <c r="AD9" i="43"/>
  <c r="Y9" i="43"/>
  <c r="V9" i="43"/>
  <c r="T9" i="43"/>
  <c r="AM8" i="43"/>
  <c r="AL8" i="43"/>
  <c r="AK8" i="43"/>
  <c r="AJ8" i="43"/>
  <c r="AI8" i="43"/>
  <c r="AH8" i="43"/>
  <c r="AG8" i="43"/>
  <c r="AF8" i="43"/>
  <c r="AD8" i="43"/>
  <c r="AN8" i="43" s="1"/>
  <c r="Y8" i="43"/>
  <c r="W8" i="43"/>
  <c r="X8" i="43" s="1"/>
  <c r="V8" i="43"/>
  <c r="T8" i="43"/>
  <c r="AM7" i="43"/>
  <c r="AL7" i="43"/>
  <c r="AK7" i="43"/>
  <c r="AJ7" i="43"/>
  <c r="AI7" i="43"/>
  <c r="AH7" i="43"/>
  <c r="AG7" i="43"/>
  <c r="AF7" i="43"/>
  <c r="AD7" i="43"/>
  <c r="AN7" i="43" s="1"/>
  <c r="Y7" i="43"/>
  <c r="V7" i="43"/>
  <c r="T7" i="43"/>
  <c r="AM6" i="43"/>
  <c r="AL6" i="43"/>
  <c r="AK6" i="43"/>
  <c r="AJ6" i="43"/>
  <c r="AI6" i="43"/>
  <c r="AH6" i="43"/>
  <c r="AG6" i="43"/>
  <c r="AF6" i="43"/>
  <c r="AD6" i="43"/>
  <c r="AN6" i="43" s="1"/>
  <c r="Y6" i="43"/>
  <c r="V6" i="43"/>
  <c r="T6" i="43"/>
  <c r="AM5" i="43"/>
  <c r="AL5" i="43"/>
  <c r="AK5" i="43"/>
  <c r="AJ5" i="43"/>
  <c r="AI5" i="43"/>
  <c r="AH5" i="43"/>
  <c r="AG5" i="43"/>
  <c r="AF5" i="43"/>
  <c r="AD5" i="43"/>
  <c r="AN5" i="43" s="1"/>
  <c r="Y5" i="43"/>
  <c r="V5" i="43"/>
  <c r="T5" i="43"/>
  <c r="F1" i="43"/>
  <c r="AM24" i="42"/>
  <c r="AL24" i="42"/>
  <c r="AK24" i="42"/>
  <c r="AJ24" i="42"/>
  <c r="AI24" i="42"/>
  <c r="AH24" i="42"/>
  <c r="AG24" i="42"/>
  <c r="AF24" i="42"/>
  <c r="AE24" i="42"/>
  <c r="AD24" i="42"/>
  <c r="AN24" i="42" s="1"/>
  <c r="Y24" i="42"/>
  <c r="W24" i="42"/>
  <c r="V24" i="42"/>
  <c r="U24" i="42"/>
  <c r="T24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M22" i="42"/>
  <c r="AL22" i="42"/>
  <c r="AK22" i="42"/>
  <c r="AJ22" i="42"/>
  <c r="AI22" i="42"/>
  <c r="AH22" i="42"/>
  <c r="AG22" i="42"/>
  <c r="AF22" i="42"/>
  <c r="AE22" i="42"/>
  <c r="AD22" i="42"/>
  <c r="AN22" i="42" s="1"/>
  <c r="Y22" i="42"/>
  <c r="W22" i="42"/>
  <c r="V22" i="42"/>
  <c r="U22" i="42"/>
  <c r="T22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M13" i="42"/>
  <c r="AL13" i="42"/>
  <c r="AK13" i="42"/>
  <c r="AJ13" i="42"/>
  <c r="AI13" i="42"/>
  <c r="AH13" i="42"/>
  <c r="AG13" i="42"/>
  <c r="AF13" i="42"/>
  <c r="AE13" i="42"/>
  <c r="AD13" i="42"/>
  <c r="AN13" i="42" s="1"/>
  <c r="Y13" i="42"/>
  <c r="W13" i="42"/>
  <c r="V13" i="42"/>
  <c r="U13" i="42"/>
  <c r="T13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M10" i="42"/>
  <c r="AL10" i="42"/>
  <c r="AK10" i="42"/>
  <c r="AJ10" i="42"/>
  <c r="AI10" i="42"/>
  <c r="AH10" i="42"/>
  <c r="AG10" i="42"/>
  <c r="AF10" i="42"/>
  <c r="AE10" i="42"/>
  <c r="AD10" i="42"/>
  <c r="AN10" i="42" s="1"/>
  <c r="Y10" i="42"/>
  <c r="W10" i="42"/>
  <c r="V10" i="42"/>
  <c r="U10" i="42"/>
  <c r="T10" i="42"/>
  <c r="A10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M8" i="42"/>
  <c r="AL8" i="42"/>
  <c r="AK8" i="42"/>
  <c r="AJ8" i="42"/>
  <c r="AI8" i="42"/>
  <c r="AH8" i="42"/>
  <c r="AG8" i="42"/>
  <c r="AF8" i="42"/>
  <c r="AD8" i="42"/>
  <c r="AN8" i="42" s="1"/>
  <c r="Y8" i="42"/>
  <c r="W8" i="42"/>
  <c r="V8" i="42"/>
  <c r="U8" i="42"/>
  <c r="T8" i="42"/>
  <c r="A8" i="42"/>
  <c r="X12" i="42" s="1"/>
  <c r="AM7" i="42"/>
  <c r="AL7" i="42"/>
  <c r="AK7" i="42"/>
  <c r="AJ7" i="42"/>
  <c r="AI7" i="42"/>
  <c r="AH7" i="42"/>
  <c r="AG7" i="42"/>
  <c r="AF7" i="42"/>
  <c r="AD7" i="42"/>
  <c r="AN7" i="42" s="1"/>
  <c r="Y7" i="42"/>
  <c r="W7" i="42"/>
  <c r="V7" i="42"/>
  <c r="U7" i="42"/>
  <c r="T7" i="42"/>
  <c r="AM6" i="42"/>
  <c r="AL6" i="42"/>
  <c r="AK6" i="42"/>
  <c r="AJ6" i="42"/>
  <c r="AI6" i="42"/>
  <c r="AH6" i="42"/>
  <c r="AG6" i="42"/>
  <c r="AF6" i="42"/>
  <c r="AD6" i="42"/>
  <c r="AN6" i="42" s="1"/>
  <c r="Y6" i="42"/>
  <c r="W6" i="42"/>
  <c r="V6" i="42"/>
  <c r="U6" i="42"/>
  <c r="T6" i="42"/>
  <c r="A6" i="42"/>
  <c r="AM5" i="42"/>
  <c r="AL5" i="42"/>
  <c r="AK5" i="42"/>
  <c r="AJ5" i="42"/>
  <c r="AI5" i="42"/>
  <c r="AH5" i="42"/>
  <c r="AG5" i="42"/>
  <c r="AF5" i="42"/>
  <c r="AD5" i="42"/>
  <c r="AN5" i="42" s="1"/>
  <c r="Y5" i="42"/>
  <c r="W5" i="42"/>
  <c r="V5" i="42"/>
  <c r="U5" i="42"/>
  <c r="T5" i="42"/>
  <c r="F1" i="42"/>
  <c r="AM24" i="41"/>
  <c r="AL24" i="41"/>
  <c r="AK24" i="41"/>
  <c r="AJ24" i="41"/>
  <c r="AI24" i="41"/>
  <c r="AH24" i="41"/>
  <c r="AG24" i="41"/>
  <c r="AF24" i="41"/>
  <c r="AE24" i="41"/>
  <c r="AD24" i="41"/>
  <c r="AN24" i="41" s="1"/>
  <c r="Y24" i="41"/>
  <c r="V24" i="41"/>
  <c r="T24" i="41"/>
  <c r="AM23" i="41"/>
  <c r="AL23" i="41"/>
  <c r="AK23" i="41"/>
  <c r="AJ23" i="41"/>
  <c r="AI23" i="41"/>
  <c r="AH23" i="41"/>
  <c r="AG23" i="41"/>
  <c r="AF23" i="41"/>
  <c r="AE23" i="41"/>
  <c r="AD23" i="41"/>
  <c r="Y23" i="41"/>
  <c r="V23" i="41"/>
  <c r="T23" i="41"/>
  <c r="AM22" i="41"/>
  <c r="AL22" i="41"/>
  <c r="AK22" i="41"/>
  <c r="AJ22" i="41"/>
  <c r="AI22" i="41"/>
  <c r="AH22" i="41"/>
  <c r="AG22" i="41"/>
  <c r="AF22" i="41"/>
  <c r="AE22" i="41"/>
  <c r="AD22" i="41"/>
  <c r="Y22" i="41"/>
  <c r="V22" i="41"/>
  <c r="T22" i="41"/>
  <c r="AM21" i="41"/>
  <c r="AL21" i="41"/>
  <c r="AK21" i="41"/>
  <c r="AJ21" i="41"/>
  <c r="AI21" i="41"/>
  <c r="AH21" i="41"/>
  <c r="AG21" i="41"/>
  <c r="AF21" i="41"/>
  <c r="AE21" i="41"/>
  <c r="AD21" i="41"/>
  <c r="Y21" i="41"/>
  <c r="V21" i="41"/>
  <c r="T21" i="41"/>
  <c r="AM20" i="41"/>
  <c r="AL20" i="41"/>
  <c r="AK20" i="41"/>
  <c r="AJ20" i="41"/>
  <c r="AI20" i="41"/>
  <c r="AH20" i="41"/>
  <c r="AG20" i="41"/>
  <c r="AF20" i="41"/>
  <c r="AE20" i="41"/>
  <c r="AD20" i="41"/>
  <c r="Y20" i="41"/>
  <c r="V20" i="41"/>
  <c r="T20" i="41"/>
  <c r="AM19" i="41"/>
  <c r="AL19" i="41"/>
  <c r="AK19" i="41"/>
  <c r="AJ19" i="41"/>
  <c r="AI19" i="41"/>
  <c r="AH19" i="41"/>
  <c r="AG19" i="41"/>
  <c r="AF19" i="41"/>
  <c r="AE19" i="41"/>
  <c r="AD19" i="41"/>
  <c r="Y19" i="41"/>
  <c r="V19" i="41"/>
  <c r="T19" i="41"/>
  <c r="AM18" i="41"/>
  <c r="AL18" i="41"/>
  <c r="AK18" i="41"/>
  <c r="AJ18" i="41"/>
  <c r="AI18" i="41"/>
  <c r="AH18" i="41"/>
  <c r="AG18" i="41"/>
  <c r="AF18" i="41"/>
  <c r="AE18" i="41"/>
  <c r="AD18" i="41"/>
  <c r="AN18" i="41" s="1"/>
  <c r="Y18" i="41"/>
  <c r="V18" i="41"/>
  <c r="T18" i="41"/>
  <c r="AM17" i="41"/>
  <c r="AL17" i="41"/>
  <c r="AK17" i="41"/>
  <c r="AJ17" i="41"/>
  <c r="AI17" i="41"/>
  <c r="AH17" i="41"/>
  <c r="AG17" i="41"/>
  <c r="AF17" i="41"/>
  <c r="AE17" i="41"/>
  <c r="AN17" i="41" s="1"/>
  <c r="AD17" i="41"/>
  <c r="Y17" i="41"/>
  <c r="V17" i="41"/>
  <c r="T17" i="41"/>
  <c r="AM16" i="41"/>
  <c r="AL16" i="41"/>
  <c r="AK16" i="41"/>
  <c r="AJ16" i="41"/>
  <c r="AI16" i="41"/>
  <c r="AH16" i="41"/>
  <c r="AG16" i="41"/>
  <c r="AF16" i="41"/>
  <c r="AE16" i="41"/>
  <c r="AD16" i="41"/>
  <c r="Y16" i="41"/>
  <c r="V16" i="41"/>
  <c r="T16" i="41"/>
  <c r="AM15" i="41"/>
  <c r="AL15" i="41"/>
  <c r="AK15" i="41"/>
  <c r="AJ15" i="41"/>
  <c r="AI15" i="41"/>
  <c r="AH15" i="41"/>
  <c r="AG15" i="41"/>
  <c r="AF15" i="41"/>
  <c r="AE15" i="41"/>
  <c r="AD15" i="41"/>
  <c r="Y15" i="41"/>
  <c r="V15" i="41"/>
  <c r="T15" i="41"/>
  <c r="AM14" i="41"/>
  <c r="AL14" i="41"/>
  <c r="AK14" i="41"/>
  <c r="AJ14" i="41"/>
  <c r="AI14" i="41"/>
  <c r="AH14" i="41"/>
  <c r="AG14" i="41"/>
  <c r="AF14" i="41"/>
  <c r="AE14" i="41"/>
  <c r="AD14" i="41"/>
  <c r="Y14" i="41"/>
  <c r="V14" i="41"/>
  <c r="T14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T13" i="41"/>
  <c r="AM12" i="41"/>
  <c r="AL12" i="41"/>
  <c r="AK12" i="41"/>
  <c r="AJ12" i="41"/>
  <c r="AI12" i="41"/>
  <c r="AH12" i="41"/>
  <c r="AG12" i="41"/>
  <c r="AF12" i="41"/>
  <c r="AE12" i="41"/>
  <c r="AD12" i="41"/>
  <c r="Y12" i="41"/>
  <c r="V12" i="41"/>
  <c r="T12" i="41"/>
  <c r="A12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T11" i="41"/>
  <c r="AM10" i="41"/>
  <c r="AL10" i="41"/>
  <c r="AK10" i="41"/>
  <c r="AJ10" i="41"/>
  <c r="AI10" i="41"/>
  <c r="AH10" i="41"/>
  <c r="AG10" i="41"/>
  <c r="AF10" i="41"/>
  <c r="AE10" i="41"/>
  <c r="AD10" i="41"/>
  <c r="Y10" i="41"/>
  <c r="V10" i="41"/>
  <c r="U10" i="41"/>
  <c r="T10" i="41"/>
  <c r="A10" i="41"/>
  <c r="W15" i="41" s="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T9" i="41"/>
  <c r="AM8" i="41"/>
  <c r="AL8" i="41"/>
  <c r="AK8" i="41"/>
  <c r="AJ8" i="41"/>
  <c r="AI8" i="41"/>
  <c r="AH8" i="41"/>
  <c r="AG8" i="41"/>
  <c r="AF8" i="41"/>
  <c r="AD8" i="41"/>
  <c r="AN8" i="41" s="1"/>
  <c r="Y8" i="41"/>
  <c r="V8" i="41"/>
  <c r="T8" i="41"/>
  <c r="AM7" i="41"/>
  <c r="AL7" i="41"/>
  <c r="AK7" i="41"/>
  <c r="AJ7" i="41"/>
  <c r="AI7" i="41"/>
  <c r="AH7" i="41"/>
  <c r="AG7" i="41"/>
  <c r="AF7" i="41"/>
  <c r="AD7" i="41"/>
  <c r="AN7" i="41" s="1"/>
  <c r="Y7" i="41"/>
  <c r="V7" i="41"/>
  <c r="T7" i="41"/>
  <c r="AM6" i="41"/>
  <c r="AK6" i="41"/>
  <c r="AF6" i="41"/>
  <c r="AG6" i="41" s="1"/>
  <c r="AD6" i="41"/>
  <c r="AN6" i="41" s="1"/>
  <c r="Y6" i="41"/>
  <c r="A14" i="41" s="1"/>
  <c r="V6" i="41"/>
  <c r="U6" i="41"/>
  <c r="T6" i="41"/>
  <c r="AH6" i="41" s="1"/>
  <c r="AI6" i="41" s="1"/>
  <c r="A6" i="41"/>
  <c r="AM5" i="41"/>
  <c r="AL5" i="41"/>
  <c r="AK5" i="41"/>
  <c r="AJ5" i="41"/>
  <c r="AI5" i="41"/>
  <c r="AH5" i="41"/>
  <c r="AG5" i="41"/>
  <c r="AF5" i="41"/>
  <c r="AD5" i="41"/>
  <c r="AN5" i="41" s="1"/>
  <c r="Y5" i="41"/>
  <c r="W5" i="41"/>
  <c r="V5" i="41"/>
  <c r="T5" i="41"/>
  <c r="F1" i="41"/>
  <c r="AM24" i="40"/>
  <c r="AK24" i="40"/>
  <c r="AF24" i="40"/>
  <c r="AG24" i="40" s="1"/>
  <c r="Y24" i="40"/>
  <c r="V24" i="40"/>
  <c r="T24" i="40"/>
  <c r="AH24" i="40" s="1"/>
  <c r="AI24" i="40" s="1"/>
  <c r="AK23" i="40"/>
  <c r="AF23" i="40"/>
  <c r="AG23" i="40" s="1"/>
  <c r="Y23" i="40"/>
  <c r="V23" i="40"/>
  <c r="T23" i="40"/>
  <c r="AD23" i="40" s="1"/>
  <c r="AK22" i="40"/>
  <c r="AF22" i="40"/>
  <c r="AG22" i="40" s="1"/>
  <c r="Y22" i="40"/>
  <c r="V22" i="40"/>
  <c r="T22" i="40"/>
  <c r="AD22" i="40" s="1"/>
  <c r="AK21" i="40"/>
  <c r="AF21" i="40"/>
  <c r="AG21" i="40" s="1"/>
  <c r="Y21" i="40"/>
  <c r="V21" i="40"/>
  <c r="T21" i="40"/>
  <c r="AD21" i="40" s="1"/>
  <c r="AM20" i="40"/>
  <c r="AK20" i="40"/>
  <c r="AF20" i="40"/>
  <c r="AG20" i="40" s="1"/>
  <c r="Y20" i="40"/>
  <c r="V20" i="40"/>
  <c r="T20" i="40"/>
  <c r="AH20" i="40" s="1"/>
  <c r="AI20" i="40" s="1"/>
  <c r="AK19" i="40"/>
  <c r="AF19" i="40"/>
  <c r="AG19" i="40" s="1"/>
  <c r="Y19" i="40"/>
  <c r="V19" i="40"/>
  <c r="T19" i="40"/>
  <c r="AD19" i="40" s="1"/>
  <c r="AM18" i="40"/>
  <c r="AK18" i="40"/>
  <c r="AF18" i="40"/>
  <c r="AG18" i="40" s="1"/>
  <c r="Y18" i="40"/>
  <c r="V18" i="40"/>
  <c r="T18" i="40"/>
  <c r="AD18" i="40" s="1"/>
  <c r="AK17" i="40"/>
  <c r="AF17" i="40"/>
  <c r="AG17" i="40" s="1"/>
  <c r="Y17" i="40"/>
  <c r="V17" i="40"/>
  <c r="T17" i="40"/>
  <c r="AD17" i="40" s="1"/>
  <c r="AK16" i="40"/>
  <c r="AF16" i="40"/>
  <c r="AG16" i="40" s="1"/>
  <c r="Y16" i="40"/>
  <c r="V16" i="40"/>
  <c r="T16" i="40"/>
  <c r="AM16" i="40" s="1"/>
  <c r="AK15" i="40"/>
  <c r="AF15" i="40"/>
  <c r="AG15" i="40" s="1"/>
  <c r="Y15" i="40"/>
  <c r="V15" i="40"/>
  <c r="T15" i="40"/>
  <c r="AE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E13" i="40" s="1"/>
  <c r="AK12" i="40"/>
  <c r="AF12" i="40"/>
  <c r="AG12" i="40" s="1"/>
  <c r="Y12" i="40"/>
  <c r="V12" i="40"/>
  <c r="T12" i="40"/>
  <c r="AH12" i="40" s="1"/>
  <c r="AI12" i="40" s="1"/>
  <c r="A12" i="40"/>
  <c r="AM11" i="40"/>
  <c r="AL11" i="40"/>
  <c r="AK11" i="40"/>
  <c r="AJ11" i="40"/>
  <c r="AI11" i="40"/>
  <c r="AH11" i="40"/>
  <c r="AG11" i="40"/>
  <c r="AF11" i="40"/>
  <c r="AE11" i="40"/>
  <c r="AD11" i="40"/>
  <c r="Y11" i="40"/>
  <c r="V11" i="40"/>
  <c r="T11" i="40"/>
  <c r="AM10" i="40"/>
  <c r="AL10" i="40"/>
  <c r="AK10" i="40"/>
  <c r="AJ10" i="40"/>
  <c r="AI10" i="40"/>
  <c r="AH10" i="40"/>
  <c r="AG10" i="40"/>
  <c r="AF10" i="40"/>
  <c r="AE10" i="40"/>
  <c r="AD10" i="40"/>
  <c r="Y10" i="40"/>
  <c r="V10" i="40"/>
  <c r="T10" i="40"/>
  <c r="A10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T9" i="40"/>
  <c r="AM8" i="40"/>
  <c r="AL8" i="40"/>
  <c r="AK8" i="40"/>
  <c r="AJ8" i="40"/>
  <c r="AI8" i="40"/>
  <c r="AH8" i="40"/>
  <c r="AG8" i="40"/>
  <c r="AF8" i="40"/>
  <c r="AD8" i="40"/>
  <c r="AN8" i="40" s="1"/>
  <c r="Y8" i="40"/>
  <c r="V8" i="40"/>
  <c r="T8" i="40"/>
  <c r="AM7" i="40"/>
  <c r="AL7" i="40"/>
  <c r="AK7" i="40"/>
  <c r="AJ7" i="40"/>
  <c r="AI7" i="40"/>
  <c r="AH7" i="40"/>
  <c r="AG7" i="40"/>
  <c r="AF7" i="40"/>
  <c r="AD7" i="40"/>
  <c r="AN7" i="40" s="1"/>
  <c r="Y7" i="40"/>
  <c r="V7" i="40"/>
  <c r="T7" i="40"/>
  <c r="AM6" i="40"/>
  <c r="AL6" i="40"/>
  <c r="AK6" i="40"/>
  <c r="AJ6" i="40"/>
  <c r="AI6" i="40"/>
  <c r="AH6" i="40"/>
  <c r="AG6" i="40"/>
  <c r="AF6" i="40"/>
  <c r="AD6" i="40"/>
  <c r="AN6" i="40" s="1"/>
  <c r="Y6" i="40"/>
  <c r="V6" i="40"/>
  <c r="T6" i="40"/>
  <c r="A6" i="40"/>
  <c r="AM5" i="40"/>
  <c r="AL5" i="40"/>
  <c r="AK5" i="40"/>
  <c r="AJ5" i="40"/>
  <c r="AI5" i="40"/>
  <c r="AH5" i="40"/>
  <c r="AG5" i="40"/>
  <c r="AF5" i="40"/>
  <c r="AD5" i="40"/>
  <c r="AN5" i="40" s="1"/>
  <c r="Y5" i="40"/>
  <c r="V5" i="40"/>
  <c r="T5" i="40"/>
  <c r="F1" i="40"/>
  <c r="AM50" i="39"/>
  <c r="AL50" i="39"/>
  <c r="AK50" i="39"/>
  <c r="AJ50" i="39"/>
  <c r="AI50" i="39"/>
  <c r="AH50" i="39"/>
  <c r="AG50" i="39"/>
  <c r="AF50" i="39"/>
  <c r="AE50" i="39"/>
  <c r="AD50" i="39"/>
  <c r="AN50" i="39" s="1"/>
  <c r="Y50" i="39"/>
  <c r="V50" i="39"/>
  <c r="T50" i="39"/>
  <c r="AM49" i="39"/>
  <c r="AL49" i="39"/>
  <c r="AK49" i="39"/>
  <c r="AJ49" i="39"/>
  <c r="AI49" i="39"/>
  <c r="AH49" i="39"/>
  <c r="AG49" i="39"/>
  <c r="AF49" i="39"/>
  <c r="AE49" i="39"/>
  <c r="AD49" i="39"/>
  <c r="Y49" i="39"/>
  <c r="V49" i="39"/>
  <c r="T49" i="39"/>
  <c r="AM48" i="39"/>
  <c r="AL48" i="39"/>
  <c r="AK48" i="39"/>
  <c r="AJ48" i="39"/>
  <c r="AI48" i="39"/>
  <c r="AH48" i="39"/>
  <c r="AG48" i="39"/>
  <c r="AF48" i="39"/>
  <c r="AE48" i="39"/>
  <c r="AD48" i="39"/>
  <c r="Y48" i="39"/>
  <c r="V48" i="39"/>
  <c r="T48" i="39"/>
  <c r="AM47" i="39"/>
  <c r="AL47" i="39"/>
  <c r="AK47" i="39"/>
  <c r="AJ47" i="39"/>
  <c r="AI47" i="39"/>
  <c r="AH47" i="39"/>
  <c r="AG47" i="39"/>
  <c r="AF47" i="39"/>
  <c r="AE47" i="39"/>
  <c r="AD47" i="39"/>
  <c r="Y47" i="39"/>
  <c r="V47" i="39"/>
  <c r="T47" i="39"/>
  <c r="AM46" i="39"/>
  <c r="AL46" i="39"/>
  <c r="AK46" i="39"/>
  <c r="AJ46" i="39"/>
  <c r="AI46" i="39"/>
  <c r="AH46" i="39"/>
  <c r="AG46" i="39"/>
  <c r="AF46" i="39"/>
  <c r="AE46" i="39"/>
  <c r="AD46" i="39"/>
  <c r="Y46" i="39"/>
  <c r="V46" i="39"/>
  <c r="T46" i="39"/>
  <c r="AM45" i="39"/>
  <c r="AL45" i="39"/>
  <c r="AK45" i="39"/>
  <c r="AJ45" i="39"/>
  <c r="AI45" i="39"/>
  <c r="AH45" i="39"/>
  <c r="AG45" i="39"/>
  <c r="AF45" i="39"/>
  <c r="AE45" i="39"/>
  <c r="AD45" i="39"/>
  <c r="Y45" i="39"/>
  <c r="V45" i="39"/>
  <c r="T45" i="39"/>
  <c r="AM44" i="39"/>
  <c r="AL44" i="39"/>
  <c r="AK44" i="39"/>
  <c r="AJ44" i="39"/>
  <c r="AI44" i="39"/>
  <c r="AH44" i="39"/>
  <c r="AG44" i="39"/>
  <c r="AF44" i="39"/>
  <c r="AE44" i="39"/>
  <c r="AD44" i="39"/>
  <c r="AN44" i="39" s="1"/>
  <c r="Y44" i="39"/>
  <c r="V44" i="39"/>
  <c r="T44" i="39"/>
  <c r="AM43" i="39"/>
  <c r="AL43" i="39"/>
  <c r="AK43" i="39"/>
  <c r="AJ43" i="39"/>
  <c r="AI43" i="39"/>
  <c r="AH43" i="39"/>
  <c r="AG43" i="39"/>
  <c r="AF43" i="39"/>
  <c r="AE43" i="39"/>
  <c r="AN43" i="39" s="1"/>
  <c r="AD43" i="39"/>
  <c r="Y43" i="39"/>
  <c r="V43" i="39"/>
  <c r="T43" i="39"/>
  <c r="AM42" i="39"/>
  <c r="AL42" i="39"/>
  <c r="AK42" i="39"/>
  <c r="AJ42" i="39"/>
  <c r="AI42" i="39"/>
  <c r="AH42" i="39"/>
  <c r="AG42" i="39"/>
  <c r="AF42" i="39"/>
  <c r="AE42" i="39"/>
  <c r="AD42" i="39"/>
  <c r="Y42" i="39"/>
  <c r="V42" i="39"/>
  <c r="T42" i="39"/>
  <c r="AM41" i="39"/>
  <c r="AL41" i="39"/>
  <c r="AK41" i="39"/>
  <c r="AJ41" i="39"/>
  <c r="AI41" i="39"/>
  <c r="AH41" i="39"/>
  <c r="AG41" i="39"/>
  <c r="AF41" i="39"/>
  <c r="AE41" i="39"/>
  <c r="AD41" i="39"/>
  <c r="Y41" i="39"/>
  <c r="V41" i="39"/>
  <c r="T41" i="39"/>
  <c r="AM40" i="39"/>
  <c r="AL40" i="39"/>
  <c r="AK40" i="39"/>
  <c r="AJ40" i="39"/>
  <c r="AI40" i="39"/>
  <c r="AH40" i="39"/>
  <c r="AG40" i="39"/>
  <c r="AF40" i="39"/>
  <c r="AE40" i="39"/>
  <c r="AD40" i="39"/>
  <c r="Y40" i="39"/>
  <c r="V40" i="39"/>
  <c r="T40" i="39"/>
  <c r="AM39" i="39"/>
  <c r="AL39" i="39"/>
  <c r="AK39" i="39"/>
  <c r="AJ39" i="39"/>
  <c r="AI39" i="39"/>
  <c r="AH39" i="39"/>
  <c r="AG39" i="39"/>
  <c r="AF39" i="39"/>
  <c r="AE39" i="39"/>
  <c r="AD39" i="39"/>
  <c r="Y39" i="39"/>
  <c r="V39" i="39"/>
  <c r="T39" i="39"/>
  <c r="AM38" i="39"/>
  <c r="AL38" i="39"/>
  <c r="AK38" i="39"/>
  <c r="AJ38" i="39"/>
  <c r="AI38" i="39"/>
  <c r="AH38" i="39"/>
  <c r="AG38" i="39"/>
  <c r="AF38" i="39"/>
  <c r="AE38" i="39"/>
  <c r="AD38" i="39"/>
  <c r="AN38" i="39" s="1"/>
  <c r="Y38" i="39"/>
  <c r="V38" i="39"/>
  <c r="T38" i="39"/>
  <c r="AM37" i="39"/>
  <c r="AL37" i="39"/>
  <c r="AK37" i="39"/>
  <c r="AJ37" i="39"/>
  <c r="AI37" i="39"/>
  <c r="AH37" i="39"/>
  <c r="AG37" i="39"/>
  <c r="AF37" i="39"/>
  <c r="AE37" i="39"/>
  <c r="AD37" i="39"/>
  <c r="Y37" i="39"/>
  <c r="V37" i="39"/>
  <c r="T37" i="39"/>
  <c r="AM36" i="39"/>
  <c r="AL36" i="39"/>
  <c r="AK36" i="39"/>
  <c r="AJ36" i="39"/>
  <c r="AI36" i="39"/>
  <c r="AH36" i="39"/>
  <c r="AG36" i="39"/>
  <c r="AF36" i="39"/>
  <c r="AE36" i="39"/>
  <c r="AD36" i="39"/>
  <c r="Y36" i="39"/>
  <c r="V36" i="39"/>
  <c r="T36" i="39"/>
  <c r="AM35" i="39"/>
  <c r="AL35" i="39"/>
  <c r="AK35" i="39"/>
  <c r="AJ35" i="39"/>
  <c r="AI35" i="39"/>
  <c r="AH35" i="39"/>
  <c r="AG35" i="39"/>
  <c r="AF35" i="39"/>
  <c r="AE35" i="39"/>
  <c r="AD35" i="39"/>
  <c r="Y35" i="39"/>
  <c r="V35" i="39"/>
  <c r="T35" i="39"/>
  <c r="AM34" i="39"/>
  <c r="AL34" i="39"/>
  <c r="AK34" i="39"/>
  <c r="AJ34" i="39"/>
  <c r="AI34" i="39"/>
  <c r="AH34" i="39"/>
  <c r="AG34" i="39"/>
  <c r="AF34" i="39"/>
  <c r="AE34" i="39"/>
  <c r="AD34" i="39"/>
  <c r="AN34" i="39" s="1"/>
  <c r="Y34" i="39"/>
  <c r="V34" i="39"/>
  <c r="T34" i="39"/>
  <c r="AM33" i="39"/>
  <c r="AL33" i="39"/>
  <c r="AK33" i="39"/>
  <c r="AJ33" i="39"/>
  <c r="AI33" i="39"/>
  <c r="AH33" i="39"/>
  <c r="AG33" i="39"/>
  <c r="AF33" i="39"/>
  <c r="AE33" i="39"/>
  <c r="AD33" i="39"/>
  <c r="Y33" i="39"/>
  <c r="V33" i="39"/>
  <c r="T33" i="39"/>
  <c r="AM32" i="39"/>
  <c r="AK32" i="39"/>
  <c r="AF32" i="39"/>
  <c r="AG32" i="39" s="1"/>
  <c r="Y32" i="39"/>
  <c r="V32" i="39"/>
  <c r="T32" i="39"/>
  <c r="AH32" i="39" s="1"/>
  <c r="AI32" i="39" s="1"/>
  <c r="AM31" i="39"/>
  <c r="AK31" i="39"/>
  <c r="AF31" i="39"/>
  <c r="AG31" i="39" s="1"/>
  <c r="Y31" i="39"/>
  <c r="V31" i="39"/>
  <c r="T31" i="39"/>
  <c r="AH31" i="39" s="1"/>
  <c r="AI31" i="39" s="1"/>
  <c r="AM30" i="39"/>
  <c r="AK30" i="39"/>
  <c r="AF30" i="39"/>
  <c r="AG30" i="39" s="1"/>
  <c r="AE30" i="39"/>
  <c r="AD30" i="39"/>
  <c r="Y30" i="39"/>
  <c r="V30" i="39"/>
  <c r="T30" i="39"/>
  <c r="AH30" i="39" s="1"/>
  <c r="AI30" i="39" s="1"/>
  <c r="AM29" i="39"/>
  <c r="AK29" i="39"/>
  <c r="AG29" i="39"/>
  <c r="AF29" i="39"/>
  <c r="AE29" i="39"/>
  <c r="Y29" i="39"/>
  <c r="V29" i="39"/>
  <c r="T29" i="39"/>
  <c r="AD29" i="39" s="1"/>
  <c r="AM28" i="39"/>
  <c r="AK28" i="39"/>
  <c r="AF28" i="39"/>
  <c r="AG28" i="39" s="1"/>
  <c r="Y28" i="39"/>
  <c r="V28" i="39"/>
  <c r="T28" i="39"/>
  <c r="AH28" i="39" s="1"/>
  <c r="AI28" i="39" s="1"/>
  <c r="AM27" i="39"/>
  <c r="AK27" i="39"/>
  <c r="AF27" i="39"/>
  <c r="AG27" i="39" s="1"/>
  <c r="AD27" i="39"/>
  <c r="Y27" i="39"/>
  <c r="V27" i="39"/>
  <c r="T27" i="39"/>
  <c r="AH27" i="39" s="1"/>
  <c r="AI27" i="39" s="1"/>
  <c r="AM26" i="39"/>
  <c r="AK26" i="39"/>
  <c r="AF26" i="39"/>
  <c r="AG26" i="39" s="1"/>
  <c r="AE26" i="39"/>
  <c r="AD26" i="39"/>
  <c r="Y26" i="39"/>
  <c r="V26" i="39"/>
  <c r="T26" i="39"/>
  <c r="AH26" i="39" s="1"/>
  <c r="AI26" i="39" s="1"/>
  <c r="AM25" i="39"/>
  <c r="AK25" i="39"/>
  <c r="AG25" i="39"/>
  <c r="AF25" i="39"/>
  <c r="Y25" i="39"/>
  <c r="V25" i="39"/>
  <c r="T25" i="39"/>
  <c r="AD25" i="39" s="1"/>
  <c r="AM24" i="39"/>
  <c r="AK24" i="39"/>
  <c r="AF24" i="39"/>
  <c r="AG24" i="39" s="1"/>
  <c r="Y24" i="39"/>
  <c r="V24" i="39"/>
  <c r="T24" i="39"/>
  <c r="AH24" i="39" s="1"/>
  <c r="AI24" i="39" s="1"/>
  <c r="AM23" i="39"/>
  <c r="AK23" i="39"/>
  <c r="AF23" i="39"/>
  <c r="AG23" i="39" s="1"/>
  <c r="AD23" i="39"/>
  <c r="Y23" i="39"/>
  <c r="V23" i="39"/>
  <c r="T23" i="39"/>
  <c r="AH23" i="39" s="1"/>
  <c r="AI23" i="39" s="1"/>
  <c r="AK22" i="39"/>
  <c r="AF22" i="39"/>
  <c r="AG22" i="39" s="1"/>
  <c r="Y22" i="39"/>
  <c r="V22" i="39"/>
  <c r="T22" i="39"/>
  <c r="AM22" i="39" s="1"/>
  <c r="AK21" i="39"/>
  <c r="AH21" i="39"/>
  <c r="AI21" i="39" s="1"/>
  <c r="AF21" i="39"/>
  <c r="AG21" i="39" s="1"/>
  <c r="AE21" i="39"/>
  <c r="Y21" i="39"/>
  <c r="V21" i="39"/>
  <c r="T21" i="39"/>
  <c r="AD21" i="39" s="1"/>
  <c r="AK20" i="39"/>
  <c r="AF20" i="39"/>
  <c r="AG20" i="39" s="1"/>
  <c r="Y20" i="39"/>
  <c r="V20" i="39"/>
  <c r="T20" i="39"/>
  <c r="AH20" i="39" s="1"/>
  <c r="AI20" i="39" s="1"/>
  <c r="AK19" i="39"/>
  <c r="AF19" i="39"/>
  <c r="AG19" i="39" s="1"/>
  <c r="AD19" i="39"/>
  <c r="Y19" i="39"/>
  <c r="V19" i="39"/>
  <c r="T19" i="39"/>
  <c r="AH19" i="39" s="1"/>
  <c r="AI19" i="39" s="1"/>
  <c r="AK18" i="39"/>
  <c r="AF18" i="39"/>
  <c r="AG18" i="39" s="1"/>
  <c r="Y18" i="39"/>
  <c r="V18" i="39"/>
  <c r="T18" i="39"/>
  <c r="AH18" i="39" s="1"/>
  <c r="AI18" i="39" s="1"/>
  <c r="AK17" i="39"/>
  <c r="AF17" i="39"/>
  <c r="AG17" i="39" s="1"/>
  <c r="Y17" i="39"/>
  <c r="V17" i="39"/>
  <c r="T17" i="39"/>
  <c r="AD17" i="39" s="1"/>
  <c r="AK16" i="39"/>
  <c r="AF16" i="39"/>
  <c r="AG16" i="39" s="1"/>
  <c r="Y16" i="39"/>
  <c r="V16" i="39"/>
  <c r="T16" i="39"/>
  <c r="AH16" i="39" s="1"/>
  <c r="AI16" i="39" s="1"/>
  <c r="AK15" i="39"/>
  <c r="AF15" i="39"/>
  <c r="AG15" i="39" s="1"/>
  <c r="Y15" i="39"/>
  <c r="V15" i="39"/>
  <c r="T15" i="39"/>
  <c r="AH15" i="39" s="1"/>
  <c r="AI15" i="39" s="1"/>
  <c r="AK14" i="39"/>
  <c r="AF14" i="39"/>
  <c r="AG14" i="39" s="1"/>
  <c r="Y14" i="39"/>
  <c r="V14" i="39"/>
  <c r="T14" i="39"/>
  <c r="AE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Y12" i="39"/>
  <c r="V12" i="39"/>
  <c r="T12" i="39"/>
  <c r="AH12" i="39" s="1"/>
  <c r="AI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D10" i="39" s="1"/>
  <c r="A10" i="39"/>
  <c r="U44" i="39" s="1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T9" i="39"/>
  <c r="AM8" i="39"/>
  <c r="AL8" i="39"/>
  <c r="AK8" i="39"/>
  <c r="AJ8" i="39"/>
  <c r="AI8" i="39"/>
  <c r="AH8" i="39"/>
  <c r="AG8" i="39"/>
  <c r="AF8" i="39"/>
  <c r="AD8" i="39"/>
  <c r="AN8" i="39" s="1"/>
  <c r="Y8" i="39"/>
  <c r="V8" i="39"/>
  <c r="T8" i="39"/>
  <c r="AM7" i="39"/>
  <c r="AL7" i="39"/>
  <c r="AK7" i="39"/>
  <c r="AJ7" i="39"/>
  <c r="AI7" i="39"/>
  <c r="AH7" i="39"/>
  <c r="AG7" i="39"/>
  <c r="AF7" i="39"/>
  <c r="AD7" i="39"/>
  <c r="AN7" i="39" s="1"/>
  <c r="Y7" i="39"/>
  <c r="V7" i="39"/>
  <c r="T7" i="39"/>
  <c r="AM6" i="39"/>
  <c r="AL6" i="39"/>
  <c r="AK6" i="39"/>
  <c r="AJ6" i="39"/>
  <c r="AI6" i="39"/>
  <c r="AH6" i="39"/>
  <c r="AG6" i="39"/>
  <c r="AF6" i="39"/>
  <c r="AD6" i="39"/>
  <c r="AN6" i="39" s="1"/>
  <c r="Y6" i="39"/>
  <c r="V6" i="39"/>
  <c r="T6" i="39"/>
  <c r="A6" i="39"/>
  <c r="AM5" i="39"/>
  <c r="AL5" i="39"/>
  <c r="AK5" i="39"/>
  <c r="AJ5" i="39"/>
  <c r="AI5" i="39"/>
  <c r="AH5" i="39"/>
  <c r="AG5" i="39"/>
  <c r="AF5" i="39"/>
  <c r="AD5" i="39"/>
  <c r="AN5" i="39" s="1"/>
  <c r="Y5" i="39"/>
  <c r="V5" i="39"/>
  <c r="T5" i="39"/>
  <c r="F1" i="39"/>
  <c r="AM41" i="66"/>
  <c r="AL41" i="66"/>
  <c r="AK41" i="66"/>
  <c r="AJ41" i="66"/>
  <c r="AI41" i="66"/>
  <c r="AH41" i="66"/>
  <c r="AG41" i="66"/>
  <c r="AF41" i="66"/>
  <c r="AE41" i="66"/>
  <c r="AD41" i="66"/>
  <c r="AN41" i="66" s="1"/>
  <c r="Y41" i="66"/>
  <c r="V41" i="66"/>
  <c r="T41" i="66"/>
  <c r="AM40" i="66"/>
  <c r="AL40" i="66"/>
  <c r="AK40" i="66"/>
  <c r="AJ40" i="66"/>
  <c r="AI40" i="66"/>
  <c r="AH40" i="66"/>
  <c r="AG40" i="66"/>
  <c r="AF40" i="66"/>
  <c r="AE40" i="66"/>
  <c r="AD40" i="66"/>
  <c r="Y40" i="66"/>
  <c r="V40" i="66"/>
  <c r="T40" i="66"/>
  <c r="AM39" i="66"/>
  <c r="AL39" i="66"/>
  <c r="AK39" i="66"/>
  <c r="AJ39" i="66"/>
  <c r="AI39" i="66"/>
  <c r="AH39" i="66"/>
  <c r="AG39" i="66"/>
  <c r="AF39" i="66"/>
  <c r="AE39" i="66"/>
  <c r="AD39" i="66"/>
  <c r="AN39" i="66" s="1"/>
  <c r="Y39" i="66"/>
  <c r="V39" i="66"/>
  <c r="T39" i="66"/>
  <c r="AM38" i="66"/>
  <c r="AL38" i="66"/>
  <c r="AK38" i="66"/>
  <c r="AJ38" i="66"/>
  <c r="AI38" i="66"/>
  <c r="AH38" i="66"/>
  <c r="AG38" i="66"/>
  <c r="AF38" i="66"/>
  <c r="AE38" i="66"/>
  <c r="AD38" i="66"/>
  <c r="AN38" i="66" s="1"/>
  <c r="Y38" i="66"/>
  <c r="V38" i="66"/>
  <c r="T38" i="66"/>
  <c r="AM37" i="66"/>
  <c r="AL37" i="66"/>
  <c r="AK37" i="66"/>
  <c r="AJ37" i="66"/>
  <c r="AI37" i="66"/>
  <c r="AH37" i="66"/>
  <c r="AG37" i="66"/>
  <c r="AF37" i="66"/>
  <c r="AE37" i="66"/>
  <c r="AD37" i="66"/>
  <c r="AN37" i="66" s="1"/>
  <c r="Y37" i="66"/>
  <c r="V37" i="66"/>
  <c r="T37" i="66"/>
  <c r="AM36" i="66"/>
  <c r="AL36" i="66"/>
  <c r="AK36" i="66"/>
  <c r="AJ36" i="66"/>
  <c r="AI36" i="66"/>
  <c r="AH36" i="66"/>
  <c r="AG36" i="66"/>
  <c r="AF36" i="66"/>
  <c r="AE36" i="66"/>
  <c r="AD36" i="66"/>
  <c r="Y36" i="66"/>
  <c r="V36" i="66"/>
  <c r="T36" i="66"/>
  <c r="AM35" i="66"/>
  <c r="AL35" i="66"/>
  <c r="AK35" i="66"/>
  <c r="AJ35" i="66"/>
  <c r="AI35" i="66"/>
  <c r="AH35" i="66"/>
  <c r="AG35" i="66"/>
  <c r="AF35" i="66"/>
  <c r="AE35" i="66"/>
  <c r="AD35" i="66"/>
  <c r="AN35" i="66" s="1"/>
  <c r="Y35" i="66"/>
  <c r="V35" i="66"/>
  <c r="T35" i="66"/>
  <c r="AM34" i="66"/>
  <c r="AL34" i="66"/>
  <c r="AK34" i="66"/>
  <c r="AJ34" i="66"/>
  <c r="AI34" i="66"/>
  <c r="AH34" i="66"/>
  <c r="AG34" i="66"/>
  <c r="AF34" i="66"/>
  <c r="AE34" i="66"/>
  <c r="AD34" i="66"/>
  <c r="AN34" i="66" s="1"/>
  <c r="Y34" i="66"/>
  <c r="V34" i="66"/>
  <c r="T34" i="66"/>
  <c r="AM33" i="66"/>
  <c r="AL33" i="66"/>
  <c r="AK33" i="66"/>
  <c r="AJ33" i="66"/>
  <c r="AI33" i="66"/>
  <c r="AH33" i="66"/>
  <c r="AG33" i="66"/>
  <c r="AF33" i="66"/>
  <c r="AE33" i="66"/>
  <c r="AD33" i="66"/>
  <c r="AN33" i="66" s="1"/>
  <c r="Y33" i="66"/>
  <c r="V33" i="66"/>
  <c r="T33" i="66"/>
  <c r="AM32" i="66"/>
  <c r="AL32" i="66"/>
  <c r="AK32" i="66"/>
  <c r="AJ32" i="66"/>
  <c r="AI32" i="66"/>
  <c r="AH32" i="66"/>
  <c r="AG32" i="66"/>
  <c r="AF32" i="66"/>
  <c r="AE32" i="66"/>
  <c r="AD32" i="66"/>
  <c r="Y32" i="66"/>
  <c r="V32" i="66"/>
  <c r="T32" i="66"/>
  <c r="AM31" i="66"/>
  <c r="AL31" i="66"/>
  <c r="AK31" i="66"/>
  <c r="AJ31" i="66"/>
  <c r="AI31" i="66"/>
  <c r="AH31" i="66"/>
  <c r="AG31" i="66"/>
  <c r="AF31" i="66"/>
  <c r="AE31" i="66"/>
  <c r="AD31" i="66"/>
  <c r="AN31" i="66" s="1"/>
  <c r="Y31" i="66"/>
  <c r="V31" i="66"/>
  <c r="T31" i="66"/>
  <c r="AM30" i="66"/>
  <c r="AL30" i="66"/>
  <c r="AK30" i="66"/>
  <c r="AJ30" i="66"/>
  <c r="AI30" i="66"/>
  <c r="AH30" i="66"/>
  <c r="AG30" i="66"/>
  <c r="AF30" i="66"/>
  <c r="AE30" i="66"/>
  <c r="AD30" i="66"/>
  <c r="AN30" i="66" s="1"/>
  <c r="Y30" i="66"/>
  <c r="V30" i="66"/>
  <c r="T30" i="66"/>
  <c r="AM29" i="66"/>
  <c r="AL29" i="66"/>
  <c r="AK29" i="66"/>
  <c r="AJ29" i="66"/>
  <c r="AI29" i="66"/>
  <c r="AH29" i="66"/>
  <c r="AG29" i="66"/>
  <c r="AF29" i="66"/>
  <c r="AE29" i="66"/>
  <c r="AD29" i="66"/>
  <c r="AN29" i="66" s="1"/>
  <c r="Y29" i="66"/>
  <c r="V29" i="66"/>
  <c r="T29" i="66"/>
  <c r="AM28" i="66"/>
  <c r="AL28" i="66"/>
  <c r="AK28" i="66"/>
  <c r="AJ28" i="66"/>
  <c r="AI28" i="66"/>
  <c r="AH28" i="66"/>
  <c r="AG28" i="66"/>
  <c r="AF28" i="66"/>
  <c r="AE28" i="66"/>
  <c r="AD28" i="66"/>
  <c r="Y28" i="66"/>
  <c r="V28" i="66"/>
  <c r="T28" i="66"/>
  <c r="AM27" i="66"/>
  <c r="AL27" i="66"/>
  <c r="AK27" i="66"/>
  <c r="AJ27" i="66"/>
  <c r="AI27" i="66"/>
  <c r="AH27" i="66"/>
  <c r="AG27" i="66"/>
  <c r="AF27" i="66"/>
  <c r="AE27" i="66"/>
  <c r="AD27" i="66"/>
  <c r="AN27" i="66" s="1"/>
  <c r="Y27" i="66"/>
  <c r="V27" i="66"/>
  <c r="T27" i="66"/>
  <c r="AM26" i="66"/>
  <c r="AL26" i="66"/>
  <c r="AK26" i="66"/>
  <c r="AJ26" i="66"/>
  <c r="AI26" i="66"/>
  <c r="AH26" i="66"/>
  <c r="AG26" i="66"/>
  <c r="AF26" i="66"/>
  <c r="AE26" i="66"/>
  <c r="AD26" i="66"/>
  <c r="AN26" i="66" s="1"/>
  <c r="Y26" i="66"/>
  <c r="V26" i="66"/>
  <c r="T26" i="66"/>
  <c r="AM25" i="66"/>
  <c r="AL25" i="66"/>
  <c r="AK25" i="66"/>
  <c r="AJ25" i="66"/>
  <c r="AI25" i="66"/>
  <c r="AH25" i="66"/>
  <c r="AG25" i="66"/>
  <c r="AF25" i="66"/>
  <c r="AE25" i="66"/>
  <c r="AD25" i="66"/>
  <c r="AN25" i="66" s="1"/>
  <c r="Y25" i="66"/>
  <c r="V25" i="66"/>
  <c r="T25" i="66"/>
  <c r="AM24" i="66"/>
  <c r="AL24" i="66"/>
  <c r="AK24" i="66"/>
  <c r="AJ24" i="66"/>
  <c r="AI24" i="66"/>
  <c r="AH24" i="66"/>
  <c r="AG24" i="66"/>
  <c r="AF24" i="66"/>
  <c r="AE24" i="66"/>
  <c r="AD24" i="66"/>
  <c r="Y24" i="66"/>
  <c r="V24" i="66"/>
  <c r="T24" i="66"/>
  <c r="AM23" i="66"/>
  <c r="AL23" i="66"/>
  <c r="AK23" i="66"/>
  <c r="AJ23" i="66"/>
  <c r="AI23" i="66"/>
  <c r="AH23" i="66"/>
  <c r="AG23" i="66"/>
  <c r="AF23" i="66"/>
  <c r="AE23" i="66"/>
  <c r="AD23" i="66"/>
  <c r="AN23" i="66" s="1"/>
  <c r="Y23" i="66"/>
  <c r="V23" i="66"/>
  <c r="T23" i="66"/>
  <c r="AM22" i="66"/>
  <c r="AL22" i="66"/>
  <c r="AK22" i="66"/>
  <c r="AJ22" i="66"/>
  <c r="AI22" i="66"/>
  <c r="AH22" i="66"/>
  <c r="AG22" i="66"/>
  <c r="AF22" i="66"/>
  <c r="AE22" i="66"/>
  <c r="AD22" i="66"/>
  <c r="AN22" i="66" s="1"/>
  <c r="Y22" i="66"/>
  <c r="V22" i="66"/>
  <c r="T22" i="66"/>
  <c r="AM21" i="66"/>
  <c r="AL21" i="66"/>
  <c r="AK21" i="66"/>
  <c r="AJ21" i="66"/>
  <c r="AI21" i="66"/>
  <c r="AH21" i="66"/>
  <c r="AG21" i="66"/>
  <c r="AF21" i="66"/>
  <c r="AE21" i="66"/>
  <c r="AD21" i="66"/>
  <c r="AN21" i="66" s="1"/>
  <c r="Y21" i="66"/>
  <c r="V21" i="66"/>
  <c r="T21" i="66"/>
  <c r="AM20" i="66"/>
  <c r="AL20" i="66"/>
  <c r="AK20" i="66"/>
  <c r="AJ20" i="66"/>
  <c r="AI20" i="66"/>
  <c r="AH20" i="66"/>
  <c r="AG20" i="66"/>
  <c r="AF20" i="66"/>
  <c r="AE20" i="66"/>
  <c r="AD20" i="66"/>
  <c r="Y20" i="66"/>
  <c r="V20" i="66"/>
  <c r="T20" i="66"/>
  <c r="AM19" i="66"/>
  <c r="AL19" i="66"/>
  <c r="AK19" i="66"/>
  <c r="AJ19" i="66"/>
  <c r="AI19" i="66"/>
  <c r="AH19" i="66"/>
  <c r="AG19" i="66"/>
  <c r="AF19" i="66"/>
  <c r="AE19" i="66"/>
  <c r="AD19" i="66"/>
  <c r="AN19" i="66" s="1"/>
  <c r="Y19" i="66"/>
  <c r="V19" i="66"/>
  <c r="T19" i="66"/>
  <c r="AM18" i="66"/>
  <c r="AL18" i="66"/>
  <c r="AK18" i="66"/>
  <c r="AJ18" i="66"/>
  <c r="AI18" i="66"/>
  <c r="AH18" i="66"/>
  <c r="AG18" i="66"/>
  <c r="AF18" i="66"/>
  <c r="AE18" i="66"/>
  <c r="AD18" i="66"/>
  <c r="AN18" i="66" s="1"/>
  <c r="Y18" i="66"/>
  <c r="V18" i="66"/>
  <c r="T18" i="66"/>
  <c r="AM17" i="66"/>
  <c r="AL17" i="66"/>
  <c r="AK17" i="66"/>
  <c r="AJ17" i="66"/>
  <c r="AI17" i="66"/>
  <c r="AH17" i="66"/>
  <c r="AG17" i="66"/>
  <c r="AF17" i="66"/>
  <c r="AE17" i="66"/>
  <c r="AD17" i="66"/>
  <c r="AN17" i="66" s="1"/>
  <c r="Y17" i="66"/>
  <c r="V17" i="66"/>
  <c r="T17" i="66"/>
  <c r="AM16" i="66"/>
  <c r="AL16" i="66"/>
  <c r="AK16" i="66"/>
  <c r="AJ16" i="66"/>
  <c r="AI16" i="66"/>
  <c r="AH16" i="66"/>
  <c r="AG16" i="66"/>
  <c r="AF16" i="66"/>
  <c r="AE16" i="66"/>
  <c r="AD16" i="66"/>
  <c r="Y16" i="66"/>
  <c r="V16" i="66"/>
  <c r="T16" i="66"/>
  <c r="AM15" i="66"/>
  <c r="AL15" i="66"/>
  <c r="AK15" i="66"/>
  <c r="AJ15" i="66"/>
  <c r="AI15" i="66"/>
  <c r="AH15" i="66"/>
  <c r="AG15" i="66"/>
  <c r="AF15" i="66"/>
  <c r="AE15" i="66"/>
  <c r="AD15" i="66"/>
  <c r="Y15" i="66"/>
  <c r="V15" i="66"/>
  <c r="T15" i="66"/>
  <c r="AM14" i="66"/>
  <c r="AL14" i="66"/>
  <c r="AK14" i="66"/>
  <c r="AJ14" i="66"/>
  <c r="AI14" i="66"/>
  <c r="AH14" i="66"/>
  <c r="AG14" i="66"/>
  <c r="AF14" i="66"/>
  <c r="AE14" i="66"/>
  <c r="AD14" i="66"/>
  <c r="Y14" i="66"/>
  <c r="V14" i="66"/>
  <c r="T14" i="66"/>
  <c r="AM13" i="66"/>
  <c r="AL13" i="66"/>
  <c r="AK13" i="66"/>
  <c r="AJ13" i="66"/>
  <c r="AI13" i="66"/>
  <c r="AH13" i="66"/>
  <c r="AG13" i="66"/>
  <c r="AF13" i="66"/>
  <c r="AE13" i="66"/>
  <c r="AD13" i="66"/>
  <c r="Y13" i="66"/>
  <c r="V13" i="66"/>
  <c r="T13" i="66"/>
  <c r="AM12" i="66"/>
  <c r="AL12" i="66"/>
  <c r="AK12" i="66"/>
  <c r="AJ12" i="66"/>
  <c r="AI12" i="66"/>
  <c r="AH12" i="66"/>
  <c r="AG12" i="66"/>
  <c r="AF12" i="66"/>
  <c r="AE12" i="66"/>
  <c r="AD12" i="66"/>
  <c r="AN12" i="66" s="1"/>
  <c r="Y12" i="66"/>
  <c r="V12" i="66"/>
  <c r="T12" i="66"/>
  <c r="A12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T11" i="66"/>
  <c r="AM10" i="66"/>
  <c r="AL10" i="66"/>
  <c r="AK10" i="66"/>
  <c r="AJ10" i="66"/>
  <c r="AI10" i="66"/>
  <c r="AH10" i="66"/>
  <c r="AG10" i="66"/>
  <c r="AF10" i="66"/>
  <c r="AE10" i="66"/>
  <c r="AD10" i="66"/>
  <c r="Y10" i="66"/>
  <c r="V10" i="66"/>
  <c r="T10" i="66"/>
  <c r="A10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T9" i="66"/>
  <c r="AM8" i="66"/>
  <c r="AL8" i="66"/>
  <c r="AK8" i="66"/>
  <c r="AJ8" i="66"/>
  <c r="AI8" i="66"/>
  <c r="AH8" i="66"/>
  <c r="AG8" i="66"/>
  <c r="AF8" i="66"/>
  <c r="AE8" i="66"/>
  <c r="AD8" i="66"/>
  <c r="Y8" i="66"/>
  <c r="V8" i="66"/>
  <c r="T8" i="66"/>
  <c r="AM7" i="66"/>
  <c r="AL7" i="66"/>
  <c r="AK7" i="66"/>
  <c r="AJ7" i="66"/>
  <c r="AI7" i="66"/>
  <c r="AH7" i="66"/>
  <c r="AG7" i="66"/>
  <c r="AF7" i="66"/>
  <c r="AE7" i="66"/>
  <c r="AD7" i="66"/>
  <c r="Y7" i="66"/>
  <c r="V7" i="66"/>
  <c r="T7" i="66"/>
  <c r="AM6" i="66"/>
  <c r="AL6" i="66"/>
  <c r="AK6" i="66"/>
  <c r="AJ6" i="66"/>
  <c r="AI6" i="66"/>
  <c r="AH6" i="66"/>
  <c r="AG6" i="66"/>
  <c r="AF6" i="66"/>
  <c r="AD6" i="66"/>
  <c r="AN6" i="66" s="1"/>
  <c r="Y6" i="66"/>
  <c r="V6" i="66"/>
  <c r="T6" i="66"/>
  <c r="A6" i="66"/>
  <c r="AM5" i="66"/>
  <c r="AL5" i="66"/>
  <c r="AK5" i="66"/>
  <c r="AJ5" i="66"/>
  <c r="AI5" i="66"/>
  <c r="AH5" i="66"/>
  <c r="AG5" i="66"/>
  <c r="AF5" i="66"/>
  <c r="AD5" i="66"/>
  <c r="AN5" i="66" s="1"/>
  <c r="Y5" i="66"/>
  <c r="V5" i="66"/>
  <c r="T5" i="66"/>
  <c r="F1" i="66"/>
  <c r="AM24" i="38"/>
  <c r="AL24" i="38"/>
  <c r="AK24" i="38"/>
  <c r="AJ24" i="38"/>
  <c r="AI24" i="38"/>
  <c r="AH24" i="38"/>
  <c r="AG24" i="38"/>
  <c r="AF24" i="38"/>
  <c r="AE24" i="38"/>
  <c r="AD24" i="38"/>
  <c r="Y24" i="38"/>
  <c r="V24" i="38"/>
  <c r="T24" i="38"/>
  <c r="AM23" i="38"/>
  <c r="AL23" i="38"/>
  <c r="AK23" i="38"/>
  <c r="AJ23" i="38"/>
  <c r="AI23" i="38"/>
  <c r="AH23" i="38"/>
  <c r="AG23" i="38"/>
  <c r="AF23" i="38"/>
  <c r="AE23" i="38"/>
  <c r="AD23" i="38"/>
  <c r="Y23" i="38"/>
  <c r="V23" i="38"/>
  <c r="T23" i="38"/>
  <c r="AM22" i="38"/>
  <c r="AL22" i="38"/>
  <c r="AK22" i="38"/>
  <c r="AJ22" i="38"/>
  <c r="AI22" i="38"/>
  <c r="AH22" i="38"/>
  <c r="AG22" i="38"/>
  <c r="AF22" i="38"/>
  <c r="AE22" i="38"/>
  <c r="AD22" i="38"/>
  <c r="Y22" i="38"/>
  <c r="V22" i="38"/>
  <c r="T22" i="38"/>
  <c r="AM21" i="38"/>
  <c r="AL21" i="38"/>
  <c r="AK21" i="38"/>
  <c r="AJ21" i="38"/>
  <c r="AI21" i="38"/>
  <c r="AH21" i="38"/>
  <c r="AG21" i="38"/>
  <c r="AF21" i="38"/>
  <c r="AE21" i="38"/>
  <c r="AD21" i="38"/>
  <c r="Y21" i="38"/>
  <c r="V21" i="38"/>
  <c r="T21" i="38"/>
  <c r="AM20" i="38"/>
  <c r="AL20" i="38"/>
  <c r="AK20" i="38"/>
  <c r="AJ20" i="38"/>
  <c r="AI20" i="38"/>
  <c r="AH20" i="38"/>
  <c r="AG20" i="38"/>
  <c r="AF20" i="38"/>
  <c r="AE20" i="38"/>
  <c r="AD20" i="38"/>
  <c r="Y20" i="38"/>
  <c r="V20" i="38"/>
  <c r="T20" i="38"/>
  <c r="AM19" i="38"/>
  <c r="AL19" i="38"/>
  <c r="AK19" i="38"/>
  <c r="AJ19" i="38"/>
  <c r="AI19" i="38"/>
  <c r="AH19" i="38"/>
  <c r="AG19" i="38"/>
  <c r="AF19" i="38"/>
  <c r="AE19" i="38"/>
  <c r="AD19" i="38"/>
  <c r="Y19" i="38"/>
  <c r="V19" i="38"/>
  <c r="T19" i="38"/>
  <c r="AM18" i="38"/>
  <c r="AL18" i="38"/>
  <c r="AK18" i="38"/>
  <c r="AJ18" i="38"/>
  <c r="AI18" i="38"/>
  <c r="AH18" i="38"/>
  <c r="AG18" i="38"/>
  <c r="AF18" i="38"/>
  <c r="AE18" i="38"/>
  <c r="AD18" i="38"/>
  <c r="Y18" i="38"/>
  <c r="V18" i="38"/>
  <c r="T18" i="38"/>
  <c r="AM17" i="38"/>
  <c r="AL17" i="38"/>
  <c r="AK17" i="38"/>
  <c r="AJ17" i="38"/>
  <c r="AI17" i="38"/>
  <c r="AH17" i="38"/>
  <c r="AG17" i="38"/>
  <c r="AF17" i="38"/>
  <c r="AE17" i="38"/>
  <c r="AD17" i="38"/>
  <c r="Y17" i="38"/>
  <c r="V17" i="38"/>
  <c r="T17" i="38"/>
  <c r="AM16" i="38"/>
  <c r="AL16" i="38"/>
  <c r="AK16" i="38"/>
  <c r="AJ16" i="38"/>
  <c r="AI16" i="38"/>
  <c r="AH16" i="38"/>
  <c r="AG16" i="38"/>
  <c r="AF16" i="38"/>
  <c r="AE16" i="38"/>
  <c r="AD16" i="38"/>
  <c r="Y16" i="38"/>
  <c r="V16" i="38"/>
  <c r="T16" i="38"/>
  <c r="AM15" i="38"/>
  <c r="AL15" i="38"/>
  <c r="AK15" i="38"/>
  <c r="AJ15" i="38"/>
  <c r="AI15" i="38"/>
  <c r="AH15" i="38"/>
  <c r="AG15" i="38"/>
  <c r="AF15" i="38"/>
  <c r="AE15" i="38"/>
  <c r="AD15" i="38"/>
  <c r="Y15" i="38"/>
  <c r="V15" i="38"/>
  <c r="T15" i="38"/>
  <c r="AM14" i="38"/>
  <c r="AL14" i="38"/>
  <c r="AK14" i="38"/>
  <c r="AJ14" i="38"/>
  <c r="AI14" i="38"/>
  <c r="AH14" i="38"/>
  <c r="AG14" i="38"/>
  <c r="AF14" i="38"/>
  <c r="AE14" i="38"/>
  <c r="AD14" i="38"/>
  <c r="Y14" i="38"/>
  <c r="V14" i="38"/>
  <c r="T14" i="38"/>
  <c r="AM13" i="38"/>
  <c r="AL13" i="38"/>
  <c r="AK13" i="38"/>
  <c r="AJ13" i="38"/>
  <c r="AI13" i="38"/>
  <c r="AH13" i="38"/>
  <c r="AG13" i="38"/>
  <c r="AF13" i="38"/>
  <c r="AE13" i="38"/>
  <c r="AD13" i="38"/>
  <c r="Y13" i="38"/>
  <c r="V13" i="38"/>
  <c r="T13" i="38"/>
  <c r="AM12" i="38"/>
  <c r="AL12" i="38"/>
  <c r="AK12" i="38"/>
  <c r="AJ12" i="38"/>
  <c r="AI12" i="38"/>
  <c r="AH12" i="38"/>
  <c r="AG12" i="38"/>
  <c r="AF12" i="38"/>
  <c r="AE12" i="38"/>
  <c r="AD12" i="38"/>
  <c r="Y12" i="38"/>
  <c r="V12" i="38"/>
  <c r="T12" i="38"/>
  <c r="A12" i="38"/>
  <c r="AM11" i="38"/>
  <c r="AL11" i="38"/>
  <c r="AK11" i="38"/>
  <c r="AJ11" i="38"/>
  <c r="AI11" i="38"/>
  <c r="AH11" i="38"/>
  <c r="AG11" i="38"/>
  <c r="AF11" i="38"/>
  <c r="AE11" i="38"/>
  <c r="AD11" i="38"/>
  <c r="Y11" i="38"/>
  <c r="V11" i="38"/>
  <c r="T11" i="38"/>
  <c r="AM10" i="38"/>
  <c r="AL10" i="38"/>
  <c r="AK10" i="38"/>
  <c r="AJ10" i="38"/>
  <c r="AI10" i="38"/>
  <c r="AH10" i="38"/>
  <c r="AG10" i="38"/>
  <c r="AF10" i="38"/>
  <c r="AE10" i="38"/>
  <c r="AD10" i="38"/>
  <c r="Y10" i="38"/>
  <c r="V10" i="38"/>
  <c r="T10" i="38"/>
  <c r="A10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T9" i="38"/>
  <c r="AM8" i="38"/>
  <c r="AK8" i="38"/>
  <c r="AF8" i="38"/>
  <c r="AG8" i="38" s="1"/>
  <c r="Y8" i="38"/>
  <c r="V8" i="38"/>
  <c r="U8" i="38"/>
  <c r="T8" i="38"/>
  <c r="AH8" i="38" s="1"/>
  <c r="AI8" i="38" s="1"/>
  <c r="AM7" i="38"/>
  <c r="AK7" i="38"/>
  <c r="AF7" i="38"/>
  <c r="AG7" i="38" s="1"/>
  <c r="Y7" i="38"/>
  <c r="A14" i="38" s="1"/>
  <c r="W7" i="38"/>
  <c r="V7" i="38"/>
  <c r="U7" i="38"/>
  <c r="T7" i="38"/>
  <c r="AD7" i="38" s="1"/>
  <c r="AM6" i="38"/>
  <c r="AL6" i="38"/>
  <c r="AK6" i="38"/>
  <c r="AJ6" i="38"/>
  <c r="AI6" i="38"/>
  <c r="AH6" i="38"/>
  <c r="AG6" i="38"/>
  <c r="AF6" i="38"/>
  <c r="AD6" i="38"/>
  <c r="AN6" i="38" s="1"/>
  <c r="Y6" i="38"/>
  <c r="V6" i="38"/>
  <c r="T6" i="38"/>
  <c r="A6" i="38"/>
  <c r="AM5" i="38"/>
  <c r="AL5" i="38"/>
  <c r="AK5" i="38"/>
  <c r="AJ5" i="38"/>
  <c r="AI5" i="38"/>
  <c r="AH5" i="38"/>
  <c r="AG5" i="38"/>
  <c r="AF5" i="38"/>
  <c r="AD5" i="38"/>
  <c r="AN5" i="38" s="1"/>
  <c r="Y5" i="38"/>
  <c r="V5" i="38"/>
  <c r="U5" i="38"/>
  <c r="T5" i="38"/>
  <c r="F1" i="38"/>
  <c r="AM24" i="37"/>
  <c r="AL24" i="37"/>
  <c r="AK24" i="37"/>
  <c r="AJ24" i="37"/>
  <c r="AI24" i="37"/>
  <c r="AH24" i="37"/>
  <c r="AG24" i="37"/>
  <c r="AF24" i="37"/>
  <c r="AE24" i="37"/>
  <c r="AD24" i="37"/>
  <c r="Y24" i="37"/>
  <c r="V24" i="37"/>
  <c r="T24" i="37"/>
  <c r="AM23" i="37"/>
  <c r="AL23" i="37"/>
  <c r="AK23" i="37"/>
  <c r="AJ23" i="37"/>
  <c r="AI23" i="37"/>
  <c r="AH23" i="37"/>
  <c r="AG23" i="37"/>
  <c r="AF23" i="37"/>
  <c r="AE23" i="37"/>
  <c r="AD23" i="37"/>
  <c r="Y23" i="37"/>
  <c r="V23" i="37"/>
  <c r="T23" i="37"/>
  <c r="AM22" i="37"/>
  <c r="AL22" i="37"/>
  <c r="AK22" i="37"/>
  <c r="AJ22" i="37"/>
  <c r="AI22" i="37"/>
  <c r="AH22" i="37"/>
  <c r="AG22" i="37"/>
  <c r="AF22" i="37"/>
  <c r="AE22" i="37"/>
  <c r="AD22" i="37"/>
  <c r="Y22" i="37"/>
  <c r="V22" i="37"/>
  <c r="T22" i="37"/>
  <c r="AM21" i="37"/>
  <c r="AL21" i="37"/>
  <c r="AK21" i="37"/>
  <c r="AJ21" i="37"/>
  <c r="AI21" i="37"/>
  <c r="AH21" i="37"/>
  <c r="AG21" i="37"/>
  <c r="AF21" i="37"/>
  <c r="AE21" i="37"/>
  <c r="AD21" i="37"/>
  <c r="Y21" i="37"/>
  <c r="V21" i="37"/>
  <c r="T21" i="37"/>
  <c r="AM20" i="37"/>
  <c r="AL20" i="37"/>
  <c r="AK20" i="37"/>
  <c r="AJ20" i="37"/>
  <c r="AI20" i="37"/>
  <c r="AH20" i="37"/>
  <c r="AG20" i="37"/>
  <c r="AF20" i="37"/>
  <c r="AE20" i="37"/>
  <c r="AD20" i="37"/>
  <c r="AN20" i="37" s="1"/>
  <c r="Y20" i="37"/>
  <c r="V20" i="37"/>
  <c r="T20" i="37"/>
  <c r="AM19" i="37"/>
  <c r="AL19" i="37"/>
  <c r="AK19" i="37"/>
  <c r="AJ19" i="37"/>
  <c r="AI19" i="37"/>
  <c r="AH19" i="37"/>
  <c r="AG19" i="37"/>
  <c r="AF19" i="37"/>
  <c r="AE19" i="37"/>
  <c r="AD19" i="37"/>
  <c r="Y19" i="37"/>
  <c r="V19" i="37"/>
  <c r="T19" i="37"/>
  <c r="AM18" i="37"/>
  <c r="AL18" i="37"/>
  <c r="AK18" i="37"/>
  <c r="AJ18" i="37"/>
  <c r="AI18" i="37"/>
  <c r="AH18" i="37"/>
  <c r="AG18" i="37"/>
  <c r="AF18" i="37"/>
  <c r="AE18" i="37"/>
  <c r="AD18" i="37"/>
  <c r="Y18" i="37"/>
  <c r="V18" i="37"/>
  <c r="T18" i="37"/>
  <c r="AM17" i="37"/>
  <c r="AL17" i="37"/>
  <c r="AK17" i="37"/>
  <c r="AJ17" i="37"/>
  <c r="AI17" i="37"/>
  <c r="AH17" i="37"/>
  <c r="AG17" i="37"/>
  <c r="AF17" i="37"/>
  <c r="AE17" i="37"/>
  <c r="AD17" i="37"/>
  <c r="Y17" i="37"/>
  <c r="V17" i="37"/>
  <c r="T17" i="37"/>
  <c r="AM16" i="37"/>
  <c r="AL16" i="37"/>
  <c r="AK16" i="37"/>
  <c r="AJ16" i="37"/>
  <c r="AI16" i="37"/>
  <c r="AH16" i="37"/>
  <c r="AG16" i="37"/>
  <c r="AF16" i="37"/>
  <c r="AE16" i="37"/>
  <c r="AD16" i="37"/>
  <c r="Y16" i="37"/>
  <c r="V16" i="37"/>
  <c r="T16" i="37"/>
  <c r="AM15" i="37"/>
  <c r="AL15" i="37"/>
  <c r="AK15" i="37"/>
  <c r="AJ15" i="37"/>
  <c r="AI15" i="37"/>
  <c r="AH15" i="37"/>
  <c r="AG15" i="37"/>
  <c r="AF15" i="37"/>
  <c r="AE15" i="37"/>
  <c r="AD15" i="37"/>
  <c r="Y15" i="37"/>
  <c r="V15" i="37"/>
  <c r="T15" i="37"/>
  <c r="AM14" i="37"/>
  <c r="AL14" i="37"/>
  <c r="AK14" i="37"/>
  <c r="AJ14" i="37"/>
  <c r="AI14" i="37"/>
  <c r="AH14" i="37"/>
  <c r="AG14" i="37"/>
  <c r="AF14" i="37"/>
  <c r="AE14" i="37"/>
  <c r="AD14" i="37"/>
  <c r="Y14" i="37"/>
  <c r="V14" i="37"/>
  <c r="T14" i="37"/>
  <c r="AM13" i="37"/>
  <c r="AL13" i="37"/>
  <c r="AK13" i="37"/>
  <c r="AJ13" i="37"/>
  <c r="AI13" i="37"/>
  <c r="AH13" i="37"/>
  <c r="AG13" i="37"/>
  <c r="AF13" i="37"/>
  <c r="AE13" i="37"/>
  <c r="AD13" i="37"/>
  <c r="Y13" i="37"/>
  <c r="V13" i="37"/>
  <c r="T13" i="37"/>
  <c r="AM12" i="37"/>
  <c r="AL12" i="37"/>
  <c r="AK12" i="37"/>
  <c r="AJ12" i="37"/>
  <c r="AI12" i="37"/>
  <c r="AH12" i="37"/>
  <c r="AG12" i="37"/>
  <c r="AF12" i="37"/>
  <c r="AE12" i="37"/>
  <c r="AD12" i="37"/>
  <c r="AN12" i="37" s="1"/>
  <c r="Y12" i="37"/>
  <c r="V12" i="37"/>
  <c r="T12" i="37"/>
  <c r="A12" i="37"/>
  <c r="AM11" i="37"/>
  <c r="AL11" i="37"/>
  <c r="AK11" i="37"/>
  <c r="AJ11" i="37"/>
  <c r="AI11" i="37"/>
  <c r="AH11" i="37"/>
  <c r="AG11" i="37"/>
  <c r="AF11" i="37"/>
  <c r="AE11" i="37"/>
  <c r="AD11" i="37"/>
  <c r="AN11" i="37" s="1"/>
  <c r="Y11" i="37"/>
  <c r="W11" i="37"/>
  <c r="V11" i="37"/>
  <c r="T11" i="37"/>
  <c r="AM10" i="37"/>
  <c r="AL10" i="37"/>
  <c r="AK10" i="37"/>
  <c r="AJ10" i="37"/>
  <c r="AI10" i="37"/>
  <c r="AH10" i="37"/>
  <c r="AG10" i="37"/>
  <c r="AF10" i="37"/>
  <c r="AE10" i="37"/>
  <c r="AN10" i="37" s="1"/>
  <c r="AD10" i="37"/>
  <c r="Y10" i="37"/>
  <c r="V10" i="37"/>
  <c r="T10" i="37"/>
  <c r="A10" i="37"/>
  <c r="W22" i="37" s="1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T9" i="37"/>
  <c r="AM8" i="37"/>
  <c r="AL8" i="37"/>
  <c r="AK8" i="37"/>
  <c r="AJ8" i="37"/>
  <c r="AI8" i="37"/>
  <c r="AH8" i="37"/>
  <c r="AG8" i="37"/>
  <c r="AF8" i="37"/>
  <c r="AD8" i="37"/>
  <c r="AN8" i="37" s="1"/>
  <c r="Y8" i="37"/>
  <c r="V8" i="37"/>
  <c r="T8" i="37"/>
  <c r="AM7" i="37"/>
  <c r="AL7" i="37"/>
  <c r="AK7" i="37"/>
  <c r="AJ7" i="37"/>
  <c r="AI7" i="37"/>
  <c r="AH7" i="37"/>
  <c r="AG7" i="37"/>
  <c r="AF7" i="37"/>
  <c r="AD7" i="37"/>
  <c r="AN7" i="37" s="1"/>
  <c r="Y7" i="37"/>
  <c r="V7" i="37"/>
  <c r="T7" i="37"/>
  <c r="AK6" i="37"/>
  <c r="AG6" i="37"/>
  <c r="Y6" i="37"/>
  <c r="A14" i="37" s="1"/>
  <c r="V6" i="37"/>
  <c r="T6" i="37"/>
  <c r="AM6" i="37" s="1"/>
  <c r="A6" i="37"/>
  <c r="AM5" i="37"/>
  <c r="AL5" i="37"/>
  <c r="AK5" i="37"/>
  <c r="AJ5" i="37"/>
  <c r="AI5" i="37"/>
  <c r="AH5" i="37"/>
  <c r="AG5" i="37"/>
  <c r="AF5" i="37"/>
  <c r="AD5" i="37"/>
  <c r="AN5" i="37" s="1"/>
  <c r="Y5" i="37"/>
  <c r="W5" i="37"/>
  <c r="V5" i="37"/>
  <c r="T5" i="37"/>
  <c r="F1" i="37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M23" i="36"/>
  <c r="AL23" i="36"/>
  <c r="AK23" i="36"/>
  <c r="AJ23" i="36"/>
  <c r="AI23" i="36"/>
  <c r="AH23" i="36"/>
  <c r="AG23" i="36"/>
  <c r="AF23" i="36"/>
  <c r="AE23" i="36"/>
  <c r="AD23" i="36"/>
  <c r="AN23" i="36" s="1"/>
  <c r="Y23" i="36"/>
  <c r="W23" i="36"/>
  <c r="V23" i="36"/>
  <c r="U23" i="36"/>
  <c r="T23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M19" i="36"/>
  <c r="AL19" i="36"/>
  <c r="AK19" i="36"/>
  <c r="AJ19" i="36"/>
  <c r="AI19" i="36"/>
  <c r="AH19" i="36"/>
  <c r="AG19" i="36"/>
  <c r="AF19" i="36"/>
  <c r="AE19" i="36"/>
  <c r="AD19" i="36"/>
  <c r="AN19" i="36" s="1"/>
  <c r="Y19" i="36"/>
  <c r="W19" i="36"/>
  <c r="V19" i="36"/>
  <c r="U19" i="36"/>
  <c r="T19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M14" i="36"/>
  <c r="AL14" i="36"/>
  <c r="AK14" i="36"/>
  <c r="AJ14" i="36"/>
  <c r="AI14" i="36"/>
  <c r="AH14" i="36"/>
  <c r="AG14" i="36"/>
  <c r="AF14" i="36"/>
  <c r="AE14" i="36"/>
  <c r="AD14" i="36"/>
  <c r="AN14" i="36" s="1"/>
  <c r="Y14" i="36"/>
  <c r="W14" i="36"/>
  <c r="V14" i="36"/>
  <c r="U14" i="36"/>
  <c r="T14" i="36"/>
  <c r="A14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M11" i="36"/>
  <c r="AL11" i="36"/>
  <c r="AK11" i="36"/>
  <c r="AJ11" i="36"/>
  <c r="AI11" i="36"/>
  <c r="AH11" i="36"/>
  <c r="AG11" i="36"/>
  <c r="AF11" i="36"/>
  <c r="AE11" i="36"/>
  <c r="AD11" i="36"/>
  <c r="AN11" i="36" s="1"/>
  <c r="Y11" i="36"/>
  <c r="W11" i="36"/>
  <c r="V11" i="36"/>
  <c r="U11" i="36"/>
  <c r="T11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M9" i="36"/>
  <c r="AL9" i="36"/>
  <c r="AK9" i="36"/>
  <c r="AJ9" i="36"/>
  <c r="AI9" i="36"/>
  <c r="AH9" i="36"/>
  <c r="AG9" i="36"/>
  <c r="AF9" i="36"/>
  <c r="AE9" i="36"/>
  <c r="AD9" i="36"/>
  <c r="AN9" i="36" s="1"/>
  <c r="Y9" i="36"/>
  <c r="W9" i="36"/>
  <c r="V9" i="36"/>
  <c r="U9" i="36"/>
  <c r="T9" i="36"/>
  <c r="AM8" i="36"/>
  <c r="AL8" i="36"/>
  <c r="AK8" i="36"/>
  <c r="AJ8" i="36"/>
  <c r="AI8" i="36"/>
  <c r="AH8" i="36"/>
  <c r="AG8" i="36"/>
  <c r="AF8" i="36"/>
  <c r="AD8" i="36"/>
  <c r="AN8" i="36" s="1"/>
  <c r="Y8" i="36"/>
  <c r="W8" i="36"/>
  <c r="V8" i="36"/>
  <c r="U8" i="36"/>
  <c r="T8" i="36"/>
  <c r="AM7" i="36"/>
  <c r="AL7" i="36"/>
  <c r="AK7" i="36"/>
  <c r="AJ7" i="36"/>
  <c r="AI7" i="36"/>
  <c r="AH7" i="36"/>
  <c r="AG7" i="36"/>
  <c r="AF7" i="36"/>
  <c r="AD7" i="36"/>
  <c r="AN7" i="36" s="1"/>
  <c r="Y7" i="36"/>
  <c r="W7" i="36"/>
  <c r="V7" i="36"/>
  <c r="U7" i="36"/>
  <c r="T7" i="36"/>
  <c r="AM6" i="36"/>
  <c r="AL6" i="36"/>
  <c r="AK6" i="36"/>
  <c r="AJ6" i="36"/>
  <c r="AI6" i="36"/>
  <c r="AH6" i="36"/>
  <c r="AG6" i="36"/>
  <c r="AF6" i="36"/>
  <c r="AD6" i="36"/>
  <c r="AN6" i="36" s="1"/>
  <c r="Y6" i="36"/>
  <c r="W6" i="36"/>
  <c r="V6" i="36"/>
  <c r="U6" i="36"/>
  <c r="T6" i="36"/>
  <c r="A6" i="36"/>
  <c r="AM5" i="36"/>
  <c r="AL5" i="36"/>
  <c r="AK5" i="36"/>
  <c r="AJ5" i="36"/>
  <c r="AI5" i="36"/>
  <c r="AH5" i="36"/>
  <c r="AG5" i="36"/>
  <c r="AF5" i="36"/>
  <c r="AD5" i="36"/>
  <c r="AN5" i="36" s="1"/>
  <c r="Y5" i="36"/>
  <c r="W5" i="36"/>
  <c r="V5" i="36"/>
  <c r="U5" i="36"/>
  <c r="T5" i="36"/>
  <c r="F1" i="36"/>
  <c r="AM24" i="35"/>
  <c r="AL24" i="35"/>
  <c r="AK24" i="35"/>
  <c r="AJ24" i="35"/>
  <c r="AI24" i="35"/>
  <c r="AH24" i="35"/>
  <c r="AG24" i="35"/>
  <c r="AF24" i="35"/>
  <c r="AE24" i="35"/>
  <c r="AN24" i="35" s="1"/>
  <c r="AD24" i="35"/>
  <c r="Y24" i="35"/>
  <c r="V24" i="35"/>
  <c r="U24" i="35"/>
  <c r="T24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T23" i="35"/>
  <c r="AM22" i="35"/>
  <c r="AL22" i="35"/>
  <c r="AK22" i="35"/>
  <c r="AJ22" i="35"/>
  <c r="AI22" i="35"/>
  <c r="AH22" i="35"/>
  <c r="AG22" i="35"/>
  <c r="AF22" i="35"/>
  <c r="AE22" i="35"/>
  <c r="AD22" i="35"/>
  <c r="Y22" i="35"/>
  <c r="V22" i="35"/>
  <c r="T22" i="35"/>
  <c r="AM21" i="35"/>
  <c r="AL21" i="35"/>
  <c r="AK21" i="35"/>
  <c r="AJ21" i="35"/>
  <c r="AI21" i="35"/>
  <c r="AH21" i="35"/>
  <c r="AG21" i="35"/>
  <c r="AF21" i="35"/>
  <c r="AE21" i="35"/>
  <c r="AD21" i="35"/>
  <c r="Y21" i="35"/>
  <c r="V21" i="35"/>
  <c r="T21" i="35"/>
  <c r="AM20" i="35"/>
  <c r="AL20" i="35"/>
  <c r="AK20" i="35"/>
  <c r="AJ20" i="35"/>
  <c r="AI20" i="35"/>
  <c r="AH20" i="35"/>
  <c r="AG20" i="35"/>
  <c r="AF20" i="35"/>
  <c r="AE20" i="35"/>
  <c r="AD20" i="35"/>
  <c r="Y20" i="35"/>
  <c r="V20" i="35"/>
  <c r="U20" i="35"/>
  <c r="T20" i="35"/>
  <c r="AM19" i="35"/>
  <c r="AL19" i="35"/>
  <c r="AK19" i="35"/>
  <c r="AJ19" i="35"/>
  <c r="AI19" i="35"/>
  <c r="AH19" i="35"/>
  <c r="AG19" i="35"/>
  <c r="AF19" i="35"/>
  <c r="AE19" i="35"/>
  <c r="AD19" i="35"/>
  <c r="AN19" i="35" s="1"/>
  <c r="Y19" i="35"/>
  <c r="W19" i="35"/>
  <c r="V19" i="35"/>
  <c r="T19" i="35"/>
  <c r="AM18" i="35"/>
  <c r="AL18" i="35"/>
  <c r="AK18" i="35"/>
  <c r="AJ18" i="35"/>
  <c r="AI18" i="35"/>
  <c r="AH18" i="35"/>
  <c r="AG18" i="35"/>
  <c r="AF18" i="35"/>
  <c r="AE18" i="35"/>
  <c r="AD18" i="35"/>
  <c r="Y18" i="35"/>
  <c r="V18" i="35"/>
  <c r="T18" i="35"/>
  <c r="AM17" i="35"/>
  <c r="AL17" i="35"/>
  <c r="AK17" i="35"/>
  <c r="AJ17" i="35"/>
  <c r="AI17" i="35"/>
  <c r="AH17" i="35"/>
  <c r="AG17" i="35"/>
  <c r="AF17" i="35"/>
  <c r="AE17" i="35"/>
  <c r="AD17" i="35"/>
  <c r="AN17" i="35" s="1"/>
  <c r="Y17" i="35"/>
  <c r="V17" i="35"/>
  <c r="T17" i="35"/>
  <c r="AM16" i="35"/>
  <c r="AL16" i="35"/>
  <c r="AK16" i="35"/>
  <c r="AJ16" i="35"/>
  <c r="AI16" i="35"/>
  <c r="AH16" i="35"/>
  <c r="AG16" i="35"/>
  <c r="AF16" i="35"/>
  <c r="AE16" i="35"/>
  <c r="AD16" i="35"/>
  <c r="Y16" i="35"/>
  <c r="V16" i="35"/>
  <c r="U16" i="35"/>
  <c r="T16" i="35"/>
  <c r="AM15" i="35"/>
  <c r="AL15" i="35"/>
  <c r="AK15" i="35"/>
  <c r="AJ15" i="35"/>
  <c r="AI15" i="35"/>
  <c r="AH15" i="35"/>
  <c r="AG15" i="35"/>
  <c r="AF15" i="35"/>
  <c r="AE15" i="35"/>
  <c r="AD15" i="35"/>
  <c r="Y15" i="35"/>
  <c r="V15" i="35"/>
  <c r="T15" i="35"/>
  <c r="AM14" i="35"/>
  <c r="AL14" i="35"/>
  <c r="AK14" i="35"/>
  <c r="AJ14" i="35"/>
  <c r="AI14" i="35"/>
  <c r="AH14" i="35"/>
  <c r="AG14" i="35"/>
  <c r="AF14" i="35"/>
  <c r="AE14" i="35"/>
  <c r="AD14" i="35"/>
  <c r="AN14" i="35" s="1"/>
  <c r="Y14" i="35"/>
  <c r="V14" i="35"/>
  <c r="T14" i="35"/>
  <c r="AM13" i="35"/>
  <c r="AL13" i="35"/>
  <c r="AK13" i="35"/>
  <c r="AJ13" i="35"/>
  <c r="AI13" i="35"/>
  <c r="AH13" i="35"/>
  <c r="AG13" i="35"/>
  <c r="AF13" i="35"/>
  <c r="AE13" i="35"/>
  <c r="AD13" i="35"/>
  <c r="Y13" i="35"/>
  <c r="V13" i="35"/>
  <c r="T13" i="35"/>
  <c r="AM12" i="35"/>
  <c r="AL12" i="35"/>
  <c r="AK12" i="35"/>
  <c r="AJ12" i="35"/>
  <c r="AI12" i="35"/>
  <c r="AH12" i="35"/>
  <c r="AG12" i="35"/>
  <c r="AF12" i="35"/>
  <c r="AE12" i="35"/>
  <c r="AD12" i="35"/>
  <c r="AN12" i="35" s="1"/>
  <c r="Y12" i="35"/>
  <c r="W12" i="35"/>
  <c r="V12" i="35"/>
  <c r="T12" i="35"/>
  <c r="A12" i="35"/>
  <c r="AM11" i="35"/>
  <c r="AL11" i="35"/>
  <c r="AK11" i="35"/>
  <c r="AJ11" i="35"/>
  <c r="AI11" i="35"/>
  <c r="AH11" i="35"/>
  <c r="AG11" i="35"/>
  <c r="AF11" i="35"/>
  <c r="AE11" i="35"/>
  <c r="AD11" i="35"/>
  <c r="AN11" i="35" s="1"/>
  <c r="Y11" i="35"/>
  <c r="W11" i="35"/>
  <c r="V11" i="35"/>
  <c r="T11" i="35"/>
  <c r="AM10" i="35"/>
  <c r="AK10" i="35"/>
  <c r="AH10" i="35"/>
  <c r="AI10" i="35" s="1"/>
  <c r="AF10" i="35"/>
  <c r="AG10" i="35" s="1"/>
  <c r="Y10" i="35"/>
  <c r="V10" i="35"/>
  <c r="T10" i="35"/>
  <c r="AE10" i="35" s="1"/>
  <c r="A10" i="35"/>
  <c r="AM9" i="35"/>
  <c r="AK9" i="35"/>
  <c r="AF9" i="35"/>
  <c r="AG9" i="35" s="1"/>
  <c r="Y9" i="35"/>
  <c r="A14" i="35" s="1"/>
  <c r="W9" i="35"/>
  <c r="V9" i="35"/>
  <c r="U9" i="35"/>
  <c r="T9" i="35"/>
  <c r="AH9" i="35" s="1"/>
  <c r="AI9" i="35" s="1"/>
  <c r="AM8" i="35"/>
  <c r="AL8" i="35"/>
  <c r="AK8" i="35"/>
  <c r="AJ8" i="35"/>
  <c r="AI8" i="35"/>
  <c r="AH8" i="35"/>
  <c r="AG8" i="35"/>
  <c r="AF8" i="35"/>
  <c r="AD8" i="35"/>
  <c r="AN8" i="35" s="1"/>
  <c r="Y8" i="35"/>
  <c r="W8" i="35"/>
  <c r="V8" i="35"/>
  <c r="U8" i="35"/>
  <c r="T8" i="35"/>
  <c r="AM7" i="35"/>
  <c r="AL7" i="35"/>
  <c r="AK7" i="35"/>
  <c r="AJ7" i="35"/>
  <c r="AI7" i="35"/>
  <c r="AH7" i="35"/>
  <c r="AG7" i="35"/>
  <c r="AF7" i="35"/>
  <c r="AD7" i="35"/>
  <c r="AN7" i="35" s="1"/>
  <c r="Y7" i="35"/>
  <c r="W7" i="35"/>
  <c r="V7" i="35"/>
  <c r="U7" i="35"/>
  <c r="T7" i="35"/>
  <c r="AM6" i="35"/>
  <c r="AL6" i="35"/>
  <c r="AK6" i="35"/>
  <c r="AJ6" i="35"/>
  <c r="AI6" i="35"/>
  <c r="AH6" i="35"/>
  <c r="AG6" i="35"/>
  <c r="AF6" i="35"/>
  <c r="AD6" i="35"/>
  <c r="AN6" i="35" s="1"/>
  <c r="Y6" i="35"/>
  <c r="W6" i="35"/>
  <c r="V6" i="35"/>
  <c r="U6" i="35"/>
  <c r="T6" i="35"/>
  <c r="A6" i="35"/>
  <c r="AM5" i="35"/>
  <c r="AL5" i="35"/>
  <c r="AK5" i="35"/>
  <c r="AJ5" i="35"/>
  <c r="AI5" i="35"/>
  <c r="AH5" i="35"/>
  <c r="AG5" i="35"/>
  <c r="AF5" i="35"/>
  <c r="AD5" i="35"/>
  <c r="AN5" i="35" s="1"/>
  <c r="Y5" i="35"/>
  <c r="W5" i="35"/>
  <c r="V5" i="35"/>
  <c r="U5" i="35"/>
  <c r="T5" i="35"/>
  <c r="F1" i="35"/>
  <c r="AM23" i="34"/>
  <c r="AK23" i="34"/>
  <c r="AF23" i="34"/>
  <c r="AG23" i="34" s="1"/>
  <c r="AJ23" i="34" s="1"/>
  <c r="Y23" i="34"/>
  <c r="V23" i="34"/>
  <c r="T23" i="34"/>
  <c r="AH23" i="34" s="1"/>
  <c r="AI23" i="34" s="1"/>
  <c r="AM22" i="34"/>
  <c r="AK22" i="34"/>
  <c r="AF22" i="34"/>
  <c r="AG22" i="34" s="1"/>
  <c r="Y22" i="34"/>
  <c r="V22" i="34"/>
  <c r="T22" i="34"/>
  <c r="AH22" i="34" s="1"/>
  <c r="AI22" i="34" s="1"/>
  <c r="AM21" i="34"/>
  <c r="AK21" i="34"/>
  <c r="AF21" i="34"/>
  <c r="AG21" i="34" s="1"/>
  <c r="Y21" i="34"/>
  <c r="V21" i="34"/>
  <c r="T21" i="34"/>
  <c r="AH21" i="34" s="1"/>
  <c r="AI21" i="34" s="1"/>
  <c r="AM20" i="34"/>
  <c r="AK20" i="34"/>
  <c r="AF20" i="34"/>
  <c r="AG20" i="34" s="1"/>
  <c r="AL20" i="34" s="1"/>
  <c r="AD20" i="34"/>
  <c r="Y20" i="34"/>
  <c r="V20" i="34"/>
  <c r="T20" i="34"/>
  <c r="AH20" i="34" s="1"/>
  <c r="AI20" i="34" s="1"/>
  <c r="AM19" i="34"/>
  <c r="AK19" i="34"/>
  <c r="AF19" i="34"/>
  <c r="AG19" i="34" s="1"/>
  <c r="Y19" i="34"/>
  <c r="V19" i="34"/>
  <c r="T19" i="34"/>
  <c r="AH19" i="34" s="1"/>
  <c r="AI19" i="34" s="1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F17" i="34"/>
  <c r="AG17" i="34" s="1"/>
  <c r="AE17" i="34"/>
  <c r="Y17" i="34"/>
  <c r="V17" i="34"/>
  <c r="T17" i="34"/>
  <c r="AD17" i="34" s="1"/>
  <c r="AM16" i="34"/>
  <c r="AK16" i="34"/>
  <c r="AF16" i="34"/>
  <c r="AG16" i="34" s="1"/>
  <c r="Y16" i="34"/>
  <c r="V16" i="34"/>
  <c r="T16" i="34"/>
  <c r="AE16" i="34" s="1"/>
  <c r="AM15" i="34"/>
  <c r="AK15" i="34"/>
  <c r="AH15" i="34"/>
  <c r="AI15" i="34" s="1"/>
  <c r="AF15" i="34"/>
  <c r="AG15" i="34" s="1"/>
  <c r="AL15" i="34" s="1"/>
  <c r="Y15" i="34"/>
  <c r="V15" i="34"/>
  <c r="T15" i="34"/>
  <c r="AE15" i="34" s="1"/>
  <c r="AM14" i="34"/>
  <c r="AK14" i="34"/>
  <c r="AG14" i="34"/>
  <c r="AF14" i="34"/>
  <c r="Y14" i="34"/>
  <c r="V14" i="34"/>
  <c r="T14" i="34"/>
  <c r="AE14" i="34" s="1"/>
  <c r="AM13" i="34"/>
  <c r="AK13" i="34"/>
  <c r="AF13" i="34"/>
  <c r="AG13" i="34" s="1"/>
  <c r="Y13" i="34"/>
  <c r="V13" i="34"/>
  <c r="T13" i="34"/>
  <c r="AH13" i="34" s="1"/>
  <c r="AI13" i="34" s="1"/>
  <c r="AM12" i="34"/>
  <c r="AK12" i="34"/>
  <c r="AF12" i="34"/>
  <c r="AG12" i="34" s="1"/>
  <c r="Y12" i="34"/>
  <c r="V12" i="34"/>
  <c r="T12" i="34"/>
  <c r="AH12" i="34" s="1"/>
  <c r="AI12" i="34" s="1"/>
  <c r="A12" i="34"/>
  <c r="AM11" i="34"/>
  <c r="AK11" i="34"/>
  <c r="AF11" i="34"/>
  <c r="AG11" i="34" s="1"/>
  <c r="Y11" i="34"/>
  <c r="V11" i="34"/>
  <c r="T11" i="34"/>
  <c r="AD11" i="34" s="1"/>
  <c r="AM10" i="34"/>
  <c r="AK10" i="34"/>
  <c r="AF10" i="34"/>
  <c r="AG10" i="34" s="1"/>
  <c r="Y10" i="34"/>
  <c r="V10" i="34"/>
  <c r="T10" i="34"/>
  <c r="AE10" i="34" s="1"/>
  <c r="A10" i="34"/>
  <c r="W9" i="34" s="1"/>
  <c r="AM9" i="34"/>
  <c r="AK9" i="34"/>
  <c r="AF9" i="34"/>
  <c r="AG9" i="34" s="1"/>
  <c r="Y9" i="34"/>
  <c r="V9" i="34"/>
  <c r="AH9" i="34"/>
  <c r="AI9" i="34" s="1"/>
  <c r="Y8" i="34"/>
  <c r="V8" i="34"/>
  <c r="AM7" i="34"/>
  <c r="AK7" i="34"/>
  <c r="AG7" i="34"/>
  <c r="AF7" i="34"/>
  <c r="AD7" i="34"/>
  <c r="AN7" i="34" s="1"/>
  <c r="Y7" i="34"/>
  <c r="V7" i="34"/>
  <c r="AH7" i="34"/>
  <c r="AI7" i="34" s="1"/>
  <c r="AM6" i="34"/>
  <c r="AK6" i="34"/>
  <c r="AF6" i="34"/>
  <c r="AG6" i="34" s="1"/>
  <c r="AL6" i="34" s="1"/>
  <c r="Y6" i="34"/>
  <c r="W6" i="34"/>
  <c r="V6" i="34"/>
  <c r="AH6" i="34"/>
  <c r="AI6" i="34" s="1"/>
  <c r="F1" i="34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M20" i="33"/>
  <c r="AL20" i="33"/>
  <c r="AK20" i="33"/>
  <c r="AJ20" i="33"/>
  <c r="AI20" i="33"/>
  <c r="AH20" i="33"/>
  <c r="AG20" i="33"/>
  <c r="AF20" i="33"/>
  <c r="AE20" i="33"/>
  <c r="AN20" i="33" s="1"/>
  <c r="AD20" i="33"/>
  <c r="Y20" i="33"/>
  <c r="W20" i="33"/>
  <c r="V20" i="33"/>
  <c r="U20" i="33"/>
  <c r="T20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M15" i="33"/>
  <c r="AL15" i="33"/>
  <c r="AK15" i="33"/>
  <c r="AJ15" i="33"/>
  <c r="AI15" i="33"/>
  <c r="AH15" i="33"/>
  <c r="AG15" i="33"/>
  <c r="AF15" i="33"/>
  <c r="AE15" i="33"/>
  <c r="AD15" i="33"/>
  <c r="AN15" i="33" s="1"/>
  <c r="Y15" i="33"/>
  <c r="W15" i="33"/>
  <c r="V15" i="33"/>
  <c r="U15" i="33"/>
  <c r="T15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M10" i="33"/>
  <c r="AL10" i="33"/>
  <c r="AK10" i="33"/>
  <c r="AJ10" i="33"/>
  <c r="AI10" i="33"/>
  <c r="AH10" i="33"/>
  <c r="AG10" i="33"/>
  <c r="AF10" i="33"/>
  <c r="AE10" i="33"/>
  <c r="AD10" i="33"/>
  <c r="AN10" i="33" s="1"/>
  <c r="Y10" i="33"/>
  <c r="W10" i="33"/>
  <c r="V10" i="33"/>
  <c r="U10" i="33"/>
  <c r="T10" i="33"/>
  <c r="A10" i="33"/>
  <c r="AM9" i="33"/>
  <c r="AL9" i="33"/>
  <c r="AK9" i="33"/>
  <c r="AJ9" i="33"/>
  <c r="AI9" i="33"/>
  <c r="AH9" i="33"/>
  <c r="AG9" i="33"/>
  <c r="AF9" i="33"/>
  <c r="AE9" i="33"/>
  <c r="AD9" i="33"/>
  <c r="AN9" i="33" s="1"/>
  <c r="Y9" i="33"/>
  <c r="W9" i="33"/>
  <c r="V9" i="33"/>
  <c r="U9" i="33"/>
  <c r="T9" i="33"/>
  <c r="AM8" i="33"/>
  <c r="AL8" i="33"/>
  <c r="AK8" i="33"/>
  <c r="AJ8" i="33"/>
  <c r="AI8" i="33"/>
  <c r="AH8" i="33"/>
  <c r="AG8" i="33"/>
  <c r="AF8" i="33"/>
  <c r="AD8" i="33"/>
  <c r="AN8" i="33" s="1"/>
  <c r="Y8" i="33"/>
  <c r="W8" i="33"/>
  <c r="V8" i="33"/>
  <c r="U8" i="33"/>
  <c r="T8" i="33"/>
  <c r="AM7" i="33"/>
  <c r="AL7" i="33"/>
  <c r="AK7" i="33"/>
  <c r="AJ7" i="33"/>
  <c r="AI7" i="33"/>
  <c r="AH7" i="33"/>
  <c r="AG7" i="33"/>
  <c r="AF7" i="33"/>
  <c r="AD7" i="33"/>
  <c r="AN7" i="33" s="1"/>
  <c r="Y7" i="33"/>
  <c r="W7" i="33"/>
  <c r="V7" i="33"/>
  <c r="U7" i="33"/>
  <c r="T7" i="33"/>
  <c r="AM6" i="33"/>
  <c r="AL6" i="33"/>
  <c r="AK6" i="33"/>
  <c r="AJ6" i="33"/>
  <c r="AI6" i="33"/>
  <c r="AH6" i="33"/>
  <c r="AG6" i="33"/>
  <c r="AF6" i="33"/>
  <c r="AD6" i="33"/>
  <c r="AN6" i="33" s="1"/>
  <c r="Y6" i="33"/>
  <c r="W6" i="33"/>
  <c r="V6" i="33"/>
  <c r="U6" i="33"/>
  <c r="T6" i="33"/>
  <c r="AM5" i="33"/>
  <c r="AL5" i="33"/>
  <c r="AK5" i="33"/>
  <c r="AJ5" i="33"/>
  <c r="AI5" i="33"/>
  <c r="AH5" i="33"/>
  <c r="AG5" i="33"/>
  <c r="AF5" i="33"/>
  <c r="AD5" i="33"/>
  <c r="AN5" i="33" s="1"/>
  <c r="Y5" i="33"/>
  <c r="W5" i="33"/>
  <c r="V5" i="33"/>
  <c r="U5" i="33"/>
  <c r="T5" i="33"/>
  <c r="F1" i="33"/>
  <c r="AK172" i="32"/>
  <c r="AF172" i="32"/>
  <c r="AG172" i="32" s="1"/>
  <c r="Y172" i="32"/>
  <c r="V172" i="32"/>
  <c r="T172" i="32"/>
  <c r="AH172" i="32" s="1"/>
  <c r="AI172" i="32" s="1"/>
  <c r="AK171" i="32"/>
  <c r="AF171" i="32"/>
  <c r="AG171" i="32" s="1"/>
  <c r="Y171" i="32"/>
  <c r="V171" i="32"/>
  <c r="T171" i="32"/>
  <c r="AM171" i="32" s="1"/>
  <c r="AK170" i="32"/>
  <c r="AF170" i="32"/>
  <c r="AG170" i="32" s="1"/>
  <c r="Y170" i="32"/>
  <c r="V170" i="32"/>
  <c r="T170" i="32"/>
  <c r="AM170" i="32" s="1"/>
  <c r="AK169" i="32"/>
  <c r="AF169" i="32"/>
  <c r="AG169" i="32" s="1"/>
  <c r="Y169" i="32"/>
  <c r="V169" i="32"/>
  <c r="T169" i="32"/>
  <c r="AD169" i="32" s="1"/>
  <c r="AK168" i="32"/>
  <c r="AF168" i="32"/>
  <c r="AG168" i="32" s="1"/>
  <c r="Y168" i="32"/>
  <c r="V168" i="32"/>
  <c r="T168" i="32"/>
  <c r="AE168" i="32" s="1"/>
  <c r="AK167" i="32"/>
  <c r="AF167" i="32"/>
  <c r="AG167" i="32" s="1"/>
  <c r="AE167" i="32"/>
  <c r="Y167" i="32"/>
  <c r="V167" i="32"/>
  <c r="T167" i="32"/>
  <c r="AD167" i="32" s="1"/>
  <c r="AK166" i="32"/>
  <c r="AF166" i="32"/>
  <c r="AG166" i="32" s="1"/>
  <c r="Y166" i="32"/>
  <c r="V166" i="32"/>
  <c r="T166" i="32"/>
  <c r="AE166" i="32" s="1"/>
  <c r="AK165" i="32"/>
  <c r="AF165" i="32"/>
  <c r="AG165" i="32" s="1"/>
  <c r="AE165" i="32"/>
  <c r="Y165" i="32"/>
  <c r="V165" i="32"/>
  <c r="T165" i="32"/>
  <c r="AH165" i="32" s="1"/>
  <c r="AI165" i="32" s="1"/>
  <c r="AK164" i="32"/>
  <c r="AF164" i="32"/>
  <c r="AG164" i="32" s="1"/>
  <c r="Y164" i="32"/>
  <c r="V164" i="32"/>
  <c r="T164" i="32"/>
  <c r="AE164" i="32" s="1"/>
  <c r="AK163" i="32"/>
  <c r="AF163" i="32"/>
  <c r="AG163" i="32" s="1"/>
  <c r="Y163" i="32"/>
  <c r="V163" i="32"/>
  <c r="T163" i="32"/>
  <c r="AH163" i="32" s="1"/>
  <c r="AI163" i="32" s="1"/>
  <c r="AK162" i="32"/>
  <c r="AF162" i="32"/>
  <c r="AG162" i="32" s="1"/>
  <c r="Y162" i="32"/>
  <c r="V162" i="32"/>
  <c r="T162" i="32"/>
  <c r="AH162" i="32" s="1"/>
  <c r="AI162" i="32" s="1"/>
  <c r="AK161" i="32"/>
  <c r="AF161" i="32"/>
  <c r="AG161" i="32" s="1"/>
  <c r="AE161" i="32"/>
  <c r="Y161" i="32"/>
  <c r="V161" i="32"/>
  <c r="T161" i="32"/>
  <c r="AM161" i="32" s="1"/>
  <c r="AK160" i="32"/>
  <c r="AF160" i="32"/>
  <c r="AG160" i="32" s="1"/>
  <c r="Y160" i="32"/>
  <c r="V160" i="32"/>
  <c r="T160" i="32"/>
  <c r="AM160" i="32" s="1"/>
  <c r="AK159" i="32"/>
  <c r="AF159" i="32"/>
  <c r="AG159" i="32" s="1"/>
  <c r="AD159" i="32"/>
  <c r="Y159" i="32"/>
  <c r="V159" i="32"/>
  <c r="T159" i="32"/>
  <c r="AM159" i="32" s="1"/>
  <c r="AK158" i="32"/>
  <c r="AF158" i="32"/>
  <c r="AG158" i="32" s="1"/>
  <c r="Y158" i="32"/>
  <c r="V158" i="32"/>
  <c r="T158" i="32"/>
  <c r="AD158" i="32" s="1"/>
  <c r="AK157" i="32"/>
  <c r="AF157" i="32"/>
  <c r="AG157" i="32" s="1"/>
  <c r="Y157" i="32"/>
  <c r="V157" i="32"/>
  <c r="T157" i="32"/>
  <c r="AE157" i="32" s="1"/>
  <c r="AK156" i="32"/>
  <c r="AF156" i="32"/>
  <c r="AG156" i="32" s="1"/>
  <c r="Y156" i="32"/>
  <c r="V156" i="32"/>
  <c r="T156" i="32"/>
  <c r="AD156" i="32" s="1"/>
  <c r="AK155" i="32"/>
  <c r="AF155" i="32"/>
  <c r="AG155" i="32" s="1"/>
  <c r="Y155" i="32"/>
  <c r="V155" i="32"/>
  <c r="T155" i="32"/>
  <c r="AE155" i="32" s="1"/>
  <c r="AK154" i="32"/>
  <c r="AF154" i="32"/>
  <c r="AG154" i="32" s="1"/>
  <c r="Y154" i="32"/>
  <c r="V154" i="32"/>
  <c r="T154" i="32"/>
  <c r="AH154" i="32" s="1"/>
  <c r="AI154" i="32" s="1"/>
  <c r="AK153" i="32"/>
  <c r="AF153" i="32"/>
  <c r="AG153" i="32" s="1"/>
  <c r="Y153" i="32"/>
  <c r="V153" i="32"/>
  <c r="T153" i="32"/>
  <c r="AH153" i="32" s="1"/>
  <c r="AI153" i="32" s="1"/>
  <c r="AK152" i="32"/>
  <c r="AF152" i="32"/>
  <c r="AG152" i="32" s="1"/>
  <c r="Y152" i="32"/>
  <c r="V152" i="32"/>
  <c r="T152" i="32"/>
  <c r="AH152" i="32" s="1"/>
  <c r="AI152" i="32" s="1"/>
  <c r="AK151" i="32"/>
  <c r="AF151" i="32"/>
  <c r="AG151" i="32" s="1"/>
  <c r="Y151" i="32"/>
  <c r="V151" i="32"/>
  <c r="T151" i="32"/>
  <c r="AH151" i="32" s="1"/>
  <c r="AI151" i="32" s="1"/>
  <c r="AK150" i="32"/>
  <c r="AF150" i="32"/>
  <c r="AG150" i="32" s="1"/>
  <c r="Y150" i="32"/>
  <c r="V150" i="32"/>
  <c r="T150" i="32"/>
  <c r="AM150" i="32" s="1"/>
  <c r="AK149" i="32"/>
  <c r="AF149" i="32"/>
  <c r="AG149" i="32" s="1"/>
  <c r="AE149" i="32"/>
  <c r="AD149" i="32"/>
  <c r="Y149" i="32"/>
  <c r="V149" i="32"/>
  <c r="T149" i="32"/>
  <c r="AM149" i="32" s="1"/>
  <c r="AK148" i="32"/>
  <c r="AF148" i="32"/>
  <c r="AG148" i="32" s="1"/>
  <c r="Y148" i="32"/>
  <c r="V148" i="32"/>
  <c r="T148" i="32"/>
  <c r="AM148" i="32" s="1"/>
  <c r="AK147" i="32"/>
  <c r="AF147" i="32"/>
  <c r="AG147" i="32" s="1"/>
  <c r="Y147" i="32"/>
  <c r="V147" i="32"/>
  <c r="T147" i="32"/>
  <c r="AD147" i="32" s="1"/>
  <c r="AK146" i="32"/>
  <c r="AF146" i="32"/>
  <c r="AG146" i="32" s="1"/>
  <c r="Y146" i="32"/>
  <c r="V146" i="32"/>
  <c r="T146" i="32"/>
  <c r="AE146" i="32" s="1"/>
  <c r="AK145" i="32"/>
  <c r="AF145" i="32"/>
  <c r="AG145" i="32" s="1"/>
  <c r="AE145" i="32"/>
  <c r="Y145" i="32"/>
  <c r="V145" i="32"/>
  <c r="T145" i="32"/>
  <c r="AD145" i="32" s="1"/>
  <c r="AK144" i="32"/>
  <c r="AF144" i="32"/>
  <c r="AG144" i="32" s="1"/>
  <c r="AD144" i="32"/>
  <c r="Y144" i="32"/>
  <c r="V144" i="32"/>
  <c r="T144" i="32"/>
  <c r="AH144" i="32" s="1"/>
  <c r="AI144" i="32" s="1"/>
  <c r="AK143" i="32"/>
  <c r="AF143" i="32"/>
  <c r="AG143" i="32" s="1"/>
  <c r="Y143" i="32"/>
  <c r="V143" i="32"/>
  <c r="T143" i="32"/>
  <c r="AD143" i="32" s="1"/>
  <c r="AK142" i="32"/>
  <c r="AG142" i="32"/>
  <c r="AF142" i="32"/>
  <c r="Y142" i="32"/>
  <c r="V142" i="32"/>
  <c r="T142" i="32"/>
  <c r="AH142" i="32" s="1"/>
  <c r="AI142" i="32" s="1"/>
  <c r="AK141" i="32"/>
  <c r="AF141" i="32"/>
  <c r="AG141" i="32" s="1"/>
  <c r="Y141" i="32"/>
  <c r="V141" i="32"/>
  <c r="T141" i="32"/>
  <c r="AH141" i="32" s="1"/>
  <c r="AI141" i="32" s="1"/>
  <c r="AM140" i="32"/>
  <c r="AK140" i="32"/>
  <c r="AF140" i="32"/>
  <c r="AG140" i="32" s="1"/>
  <c r="Y140" i="32"/>
  <c r="V140" i="32"/>
  <c r="T140" i="32"/>
  <c r="AH140" i="32" s="1"/>
  <c r="AI140" i="32" s="1"/>
  <c r="AK139" i="32"/>
  <c r="AF139" i="32"/>
  <c r="AG139" i="32" s="1"/>
  <c r="Y139" i="32"/>
  <c r="V139" i="32"/>
  <c r="T139" i="32"/>
  <c r="AM139" i="32" s="1"/>
  <c r="AK138" i="32"/>
  <c r="AF138" i="32"/>
  <c r="AG138" i="32" s="1"/>
  <c r="Y138" i="32"/>
  <c r="V138" i="32"/>
  <c r="T138" i="32"/>
  <c r="AM138" i="32" s="1"/>
  <c r="AK137" i="32"/>
  <c r="AF137" i="32"/>
  <c r="AG137" i="32" s="1"/>
  <c r="Y137" i="32"/>
  <c r="V137" i="32"/>
  <c r="T137" i="32"/>
  <c r="AM137" i="32" s="1"/>
  <c r="AK136" i="32"/>
  <c r="AF136" i="32"/>
  <c r="AG136" i="32" s="1"/>
  <c r="Y136" i="32"/>
  <c r="V136" i="32"/>
  <c r="T136" i="32"/>
  <c r="AD136" i="32" s="1"/>
  <c r="AK135" i="32"/>
  <c r="AF135" i="32"/>
  <c r="AG135" i="32" s="1"/>
  <c r="Y135" i="32"/>
  <c r="V135" i="32"/>
  <c r="T135" i="32"/>
  <c r="AD135" i="32" s="1"/>
  <c r="AK134" i="32"/>
  <c r="AH134" i="32"/>
  <c r="AI134" i="32" s="1"/>
  <c r="AF134" i="32"/>
  <c r="AG134" i="32" s="1"/>
  <c r="AD134" i="32"/>
  <c r="Y134" i="32"/>
  <c r="V134" i="32"/>
  <c r="T134" i="32"/>
  <c r="AE134" i="32" s="1"/>
  <c r="AK133" i="32"/>
  <c r="AF133" i="32"/>
  <c r="AG133" i="32" s="1"/>
  <c r="Y133" i="32"/>
  <c r="V133" i="32"/>
  <c r="T133" i="32"/>
  <c r="AM133" i="32" s="1"/>
  <c r="AK132" i="32"/>
  <c r="AF132" i="32"/>
  <c r="AG132" i="32" s="1"/>
  <c r="Y132" i="32"/>
  <c r="V132" i="32"/>
  <c r="T132" i="32"/>
  <c r="AM132" i="32" s="1"/>
  <c r="AK131" i="32"/>
  <c r="AG131" i="32"/>
  <c r="AF131" i="32"/>
  <c r="Y131" i="32"/>
  <c r="V131" i="32"/>
  <c r="T131" i="32"/>
  <c r="AH131" i="32" s="1"/>
  <c r="AI131" i="32" s="1"/>
  <c r="AK130" i="32"/>
  <c r="AG130" i="32"/>
  <c r="AF130" i="32"/>
  <c r="Y130" i="32"/>
  <c r="V130" i="32"/>
  <c r="T130" i="32"/>
  <c r="AM130" i="32" s="1"/>
  <c r="AK129" i="32"/>
  <c r="AG129" i="32"/>
  <c r="AF129" i="32"/>
  <c r="Y129" i="32"/>
  <c r="V129" i="32"/>
  <c r="T129" i="32"/>
  <c r="AH129" i="32" s="1"/>
  <c r="AI129" i="32" s="1"/>
  <c r="AK128" i="32"/>
  <c r="AF128" i="32"/>
  <c r="AG128" i="32" s="1"/>
  <c r="Y128" i="32"/>
  <c r="V128" i="32"/>
  <c r="T128" i="32"/>
  <c r="AM128" i="32" s="1"/>
  <c r="AK127" i="32"/>
  <c r="AF127" i="32"/>
  <c r="AG127" i="32" s="1"/>
  <c r="Y127" i="32"/>
  <c r="V127" i="32"/>
  <c r="T127" i="32"/>
  <c r="AM127" i="32" s="1"/>
  <c r="AK126" i="32"/>
  <c r="AF126" i="32"/>
  <c r="AG126" i="32" s="1"/>
  <c r="Y126" i="32"/>
  <c r="V126" i="32"/>
  <c r="T126" i="32"/>
  <c r="AD126" i="32" s="1"/>
  <c r="AK125" i="32"/>
  <c r="AF125" i="32"/>
  <c r="AG125" i="32" s="1"/>
  <c r="Y125" i="32"/>
  <c r="V125" i="32"/>
  <c r="T125" i="32"/>
  <c r="AE125" i="32" s="1"/>
  <c r="AK124" i="32"/>
  <c r="AF124" i="32"/>
  <c r="AG124" i="32" s="1"/>
  <c r="Y124" i="32"/>
  <c r="V124" i="32"/>
  <c r="T124" i="32"/>
  <c r="AD124" i="32" s="1"/>
  <c r="AK123" i="32"/>
  <c r="AF123" i="32"/>
  <c r="AG123" i="32" s="1"/>
  <c r="Y123" i="32"/>
  <c r="V123" i="32"/>
  <c r="T123" i="32"/>
  <c r="AE123" i="32" s="1"/>
  <c r="AK122" i="32"/>
  <c r="AF122" i="32"/>
  <c r="AG122" i="32" s="1"/>
  <c r="AE122" i="32"/>
  <c r="AD122" i="32"/>
  <c r="Y122" i="32"/>
  <c r="V122" i="32"/>
  <c r="T122" i="32"/>
  <c r="AM122" i="32" s="1"/>
  <c r="AK121" i="32"/>
  <c r="AF121" i="32"/>
  <c r="AG121" i="32" s="1"/>
  <c r="Y121" i="32"/>
  <c r="V121" i="32"/>
  <c r="T121" i="32"/>
  <c r="AM121" i="32" s="1"/>
  <c r="AK120" i="32"/>
  <c r="AF120" i="32"/>
  <c r="AG120" i="32" s="1"/>
  <c r="AJ120" i="32" s="1"/>
  <c r="Y120" i="32"/>
  <c r="V120" i="32"/>
  <c r="T120" i="32"/>
  <c r="AH120" i="32" s="1"/>
  <c r="AI120" i="32" s="1"/>
  <c r="AK119" i="32"/>
  <c r="AF119" i="32"/>
  <c r="AG119" i="32" s="1"/>
  <c r="Y119" i="32"/>
  <c r="V119" i="32"/>
  <c r="T119" i="32"/>
  <c r="AH119" i="32" s="1"/>
  <c r="AI119" i="32" s="1"/>
  <c r="AK118" i="32"/>
  <c r="AF118" i="32"/>
  <c r="AG118" i="32" s="1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K115" i="32"/>
  <c r="AF115" i="32"/>
  <c r="AG115" i="32" s="1"/>
  <c r="AD115" i="32"/>
  <c r="Y115" i="32"/>
  <c r="V115" i="32"/>
  <c r="T115" i="32"/>
  <c r="AM115" i="32" s="1"/>
  <c r="AK114" i="32"/>
  <c r="AF114" i="32"/>
  <c r="AG114" i="32" s="1"/>
  <c r="Y114" i="32"/>
  <c r="V114" i="32"/>
  <c r="T114" i="32"/>
  <c r="AD114" i="32" s="1"/>
  <c r="AK113" i="32"/>
  <c r="AF113" i="32"/>
  <c r="AG113" i="32" s="1"/>
  <c r="AD113" i="32"/>
  <c r="Y113" i="32"/>
  <c r="V113" i="32"/>
  <c r="T113" i="32"/>
  <c r="AE113" i="32" s="1"/>
  <c r="AK112" i="32"/>
  <c r="AF112" i="32"/>
  <c r="AG112" i="32" s="1"/>
  <c r="Y112" i="32"/>
  <c r="V112" i="32"/>
  <c r="T112" i="32"/>
  <c r="AD112" i="32" s="1"/>
  <c r="AK111" i="32"/>
  <c r="AF111" i="32"/>
  <c r="AG111" i="32" s="1"/>
  <c r="AD111" i="32"/>
  <c r="Y111" i="32"/>
  <c r="V111" i="32"/>
  <c r="T111" i="32"/>
  <c r="AE111" i="32" s="1"/>
  <c r="AK110" i="32"/>
  <c r="AF110" i="32"/>
  <c r="AG110" i="32" s="1"/>
  <c r="Y110" i="32"/>
  <c r="V110" i="32"/>
  <c r="T110" i="32"/>
  <c r="AM110" i="32" s="1"/>
  <c r="AK109" i="32"/>
  <c r="AH109" i="32"/>
  <c r="AI109" i="32" s="1"/>
  <c r="AF109" i="32"/>
  <c r="AG109" i="32" s="1"/>
  <c r="Y109" i="32"/>
  <c r="V109" i="32"/>
  <c r="T109" i="32"/>
  <c r="AM109" i="32" s="1"/>
  <c r="AM108" i="32"/>
  <c r="AK108" i="32"/>
  <c r="AF108" i="32"/>
  <c r="AG108" i="32" s="1"/>
  <c r="Y108" i="32"/>
  <c r="V108" i="32"/>
  <c r="T108" i="32"/>
  <c r="AH108" i="32" s="1"/>
  <c r="AI108" i="32" s="1"/>
  <c r="AK107" i="32"/>
  <c r="AF107" i="32"/>
  <c r="AG107" i="32" s="1"/>
  <c r="AJ107" i="32" s="1"/>
  <c r="Y107" i="32"/>
  <c r="V107" i="32"/>
  <c r="T107" i="32"/>
  <c r="AH107" i="32" s="1"/>
  <c r="AI107" i="32" s="1"/>
  <c r="AK106" i="32"/>
  <c r="AG106" i="32"/>
  <c r="AF106" i="32"/>
  <c r="Y106" i="32"/>
  <c r="V106" i="32"/>
  <c r="T106" i="32"/>
  <c r="AM106" i="32" s="1"/>
  <c r="AK105" i="32"/>
  <c r="AF105" i="32"/>
  <c r="AG105" i="32" s="1"/>
  <c r="AE105" i="32"/>
  <c r="Y105" i="32"/>
  <c r="V105" i="32"/>
  <c r="T105" i="32"/>
  <c r="AM105" i="32" s="1"/>
  <c r="AK104" i="32"/>
  <c r="AF104" i="32"/>
  <c r="AG104" i="32" s="1"/>
  <c r="Y104" i="32"/>
  <c r="V104" i="32"/>
  <c r="T104" i="32"/>
  <c r="AM104" i="32" s="1"/>
  <c r="AK103" i="32"/>
  <c r="AF103" i="32"/>
  <c r="AG103" i="32" s="1"/>
  <c r="Y103" i="32"/>
  <c r="V103" i="32"/>
  <c r="T103" i="32"/>
  <c r="AD103" i="32" s="1"/>
  <c r="AK102" i="32"/>
  <c r="AF102" i="32"/>
  <c r="AG102" i="32" s="1"/>
  <c r="AE102" i="32"/>
  <c r="Y102" i="32"/>
  <c r="V102" i="32"/>
  <c r="T102" i="32"/>
  <c r="AM102" i="32" s="1"/>
  <c r="AK101" i="32"/>
  <c r="AF101" i="32"/>
  <c r="AG101" i="32" s="1"/>
  <c r="Y101" i="32"/>
  <c r="V101" i="32"/>
  <c r="T101" i="32"/>
  <c r="AD101" i="32" s="1"/>
  <c r="AK100" i="32"/>
  <c r="AH100" i="32"/>
  <c r="AI100" i="32" s="1"/>
  <c r="AF100" i="32"/>
  <c r="AG100" i="32" s="1"/>
  <c r="Y100" i="32"/>
  <c r="V100" i="32"/>
  <c r="T100" i="32"/>
  <c r="AE100" i="32" s="1"/>
  <c r="AK99" i="32"/>
  <c r="AF99" i="32"/>
  <c r="AG99" i="32" s="1"/>
  <c r="AE99" i="32"/>
  <c r="Y99" i="32"/>
  <c r="V99" i="32"/>
  <c r="T99" i="32"/>
  <c r="AM99" i="32" s="1"/>
  <c r="AK98" i="32"/>
  <c r="AF98" i="32"/>
  <c r="AG98" i="32" s="1"/>
  <c r="Y98" i="32"/>
  <c r="V98" i="32"/>
  <c r="T98" i="32"/>
  <c r="AM98" i="32" s="1"/>
  <c r="AK97" i="32"/>
  <c r="AF97" i="32"/>
  <c r="AG97" i="32" s="1"/>
  <c r="Y97" i="32"/>
  <c r="V97" i="32"/>
  <c r="T97" i="32"/>
  <c r="AH97" i="32" s="1"/>
  <c r="AI97" i="32" s="1"/>
  <c r="AK96" i="32"/>
  <c r="AF96" i="32"/>
  <c r="AG96" i="32" s="1"/>
  <c r="Y96" i="32"/>
  <c r="V96" i="32"/>
  <c r="T96" i="32"/>
  <c r="AH96" i="32" s="1"/>
  <c r="AI96" i="32" s="1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M94" i="32" s="1"/>
  <c r="AK93" i="32"/>
  <c r="AF93" i="32"/>
  <c r="AG93" i="32" s="1"/>
  <c r="Y93" i="32"/>
  <c r="V93" i="32"/>
  <c r="T93" i="32"/>
  <c r="AM93" i="32" s="1"/>
  <c r="AK92" i="32"/>
  <c r="AF92" i="32"/>
  <c r="AG92" i="32" s="1"/>
  <c r="Y92" i="32"/>
  <c r="V92" i="32"/>
  <c r="T92" i="32"/>
  <c r="AM92" i="32" s="1"/>
  <c r="AK91" i="32"/>
  <c r="AF91" i="32"/>
  <c r="AG91" i="32" s="1"/>
  <c r="Y91" i="32"/>
  <c r="V91" i="32"/>
  <c r="T91" i="32"/>
  <c r="AD91" i="32" s="1"/>
  <c r="AK90" i="32"/>
  <c r="AF90" i="32"/>
  <c r="AG90" i="32" s="1"/>
  <c r="Y90" i="32"/>
  <c r="V90" i="32"/>
  <c r="T90" i="32"/>
  <c r="AM90" i="32" s="1"/>
  <c r="AK89" i="32"/>
  <c r="AF89" i="32"/>
  <c r="AG89" i="32" s="1"/>
  <c r="AE89" i="32"/>
  <c r="Y89" i="32"/>
  <c r="V89" i="32"/>
  <c r="T89" i="32"/>
  <c r="AD89" i="32" s="1"/>
  <c r="AK88" i="32"/>
  <c r="AF88" i="32"/>
  <c r="AG88" i="32" s="1"/>
  <c r="Y88" i="32"/>
  <c r="V88" i="32"/>
  <c r="T88" i="32"/>
  <c r="AE88" i="32" s="1"/>
  <c r="AK87" i="32"/>
  <c r="AF87" i="32"/>
  <c r="AG87" i="32" s="1"/>
  <c r="Y87" i="32"/>
  <c r="V87" i="32"/>
  <c r="T87" i="32"/>
  <c r="AM87" i="32" s="1"/>
  <c r="AM86" i="32"/>
  <c r="AL86" i="32"/>
  <c r="AK86" i="32"/>
  <c r="AJ86" i="32"/>
  <c r="AI86" i="32"/>
  <c r="AH86" i="32"/>
  <c r="AG86" i="32"/>
  <c r="AF86" i="32"/>
  <c r="AE86" i="32"/>
  <c r="AD86" i="32"/>
  <c r="Y86" i="32"/>
  <c r="V86" i="32"/>
  <c r="T86" i="32"/>
  <c r="AM85" i="32"/>
  <c r="AL85" i="32"/>
  <c r="AK85" i="32"/>
  <c r="AJ85" i="32"/>
  <c r="AI85" i="32"/>
  <c r="AH85" i="32"/>
  <c r="AG85" i="32"/>
  <c r="AF85" i="32"/>
  <c r="AE85" i="32"/>
  <c r="AD85" i="32"/>
  <c r="Y85" i="32"/>
  <c r="V85" i="32"/>
  <c r="T85" i="32"/>
  <c r="AM84" i="32"/>
  <c r="AL84" i="32"/>
  <c r="AK84" i="32"/>
  <c r="AJ84" i="32"/>
  <c r="AI84" i="32"/>
  <c r="AH84" i="32"/>
  <c r="AG84" i="32"/>
  <c r="AF84" i="32"/>
  <c r="AE84" i="32"/>
  <c r="AD84" i="32"/>
  <c r="Y84" i="32"/>
  <c r="V84" i="32"/>
  <c r="T84" i="32"/>
  <c r="AM83" i="32"/>
  <c r="AL83" i="32"/>
  <c r="AK83" i="32"/>
  <c r="AJ83" i="32"/>
  <c r="AI83" i="32"/>
  <c r="AH83" i="32"/>
  <c r="AG83" i="32"/>
  <c r="AF83" i="32"/>
  <c r="AE83" i="32"/>
  <c r="AD83" i="32"/>
  <c r="Y83" i="32"/>
  <c r="V83" i="32"/>
  <c r="T83" i="32"/>
  <c r="AM82" i="32"/>
  <c r="AL82" i="32"/>
  <c r="AK82" i="32"/>
  <c r="AJ82" i="32"/>
  <c r="AI82" i="32"/>
  <c r="AH82" i="32"/>
  <c r="AG82" i="32"/>
  <c r="AF82" i="32"/>
  <c r="AE82" i="32"/>
  <c r="AD82" i="32"/>
  <c r="Y82" i="32"/>
  <c r="V82" i="32"/>
  <c r="T82" i="32"/>
  <c r="AM81" i="32"/>
  <c r="AL81" i="32"/>
  <c r="AK81" i="32"/>
  <c r="AJ81" i="32"/>
  <c r="AI81" i="32"/>
  <c r="AH81" i="32"/>
  <c r="AG81" i="32"/>
  <c r="AF81" i="32"/>
  <c r="AE81" i="32"/>
  <c r="AD81" i="32"/>
  <c r="Y81" i="32"/>
  <c r="V81" i="32"/>
  <c r="T81" i="32"/>
  <c r="AM80" i="32"/>
  <c r="AL80" i="32"/>
  <c r="AK80" i="32"/>
  <c r="AJ80" i="32"/>
  <c r="AI80" i="32"/>
  <c r="AH80" i="32"/>
  <c r="AG80" i="32"/>
  <c r="AF80" i="32"/>
  <c r="AE80" i="32"/>
  <c r="AD80" i="32"/>
  <c r="AN80" i="32" s="1"/>
  <c r="Y80" i="32"/>
  <c r="V80" i="32"/>
  <c r="T80" i="32"/>
  <c r="AM79" i="32"/>
  <c r="AL79" i="32"/>
  <c r="AK79" i="32"/>
  <c r="AJ79" i="32"/>
  <c r="AI79" i="32"/>
  <c r="AH79" i="32"/>
  <c r="AG79" i="32"/>
  <c r="AF79" i="32"/>
  <c r="AE79" i="32"/>
  <c r="AD79" i="32"/>
  <c r="Y79" i="32"/>
  <c r="V79" i="32"/>
  <c r="T79" i="32"/>
  <c r="AM78" i="32"/>
  <c r="AL78" i="32"/>
  <c r="AK78" i="32"/>
  <c r="AJ78" i="32"/>
  <c r="AI78" i="32"/>
  <c r="AH78" i="32"/>
  <c r="AG78" i="32"/>
  <c r="AF78" i="32"/>
  <c r="AE78" i="32"/>
  <c r="AD78" i="32"/>
  <c r="Y78" i="32"/>
  <c r="V78" i="32"/>
  <c r="T78" i="32"/>
  <c r="AM77" i="32"/>
  <c r="AL77" i="32"/>
  <c r="AK77" i="32"/>
  <c r="AJ77" i="32"/>
  <c r="AI77" i="32"/>
  <c r="AH77" i="32"/>
  <c r="AG77" i="32"/>
  <c r="AF77" i="32"/>
  <c r="AE77" i="32"/>
  <c r="AD77" i="32"/>
  <c r="Y77" i="32"/>
  <c r="V77" i="32"/>
  <c r="T77" i="32"/>
  <c r="AM76" i="32"/>
  <c r="AL76" i="32"/>
  <c r="AK76" i="32"/>
  <c r="AJ76" i="32"/>
  <c r="AI76" i="32"/>
  <c r="AH76" i="32"/>
  <c r="AG76" i="32"/>
  <c r="AF76" i="32"/>
  <c r="AE76" i="32"/>
  <c r="AD76" i="32"/>
  <c r="Y76" i="32"/>
  <c r="V76" i="32"/>
  <c r="T76" i="32"/>
  <c r="AM75" i="32"/>
  <c r="AL75" i="32"/>
  <c r="AK75" i="32"/>
  <c r="AJ75" i="32"/>
  <c r="AI75" i="32"/>
  <c r="AH75" i="32"/>
  <c r="AG75" i="32"/>
  <c r="AF75" i="32"/>
  <c r="AE75" i="32"/>
  <c r="AD75" i="32"/>
  <c r="Y75" i="32"/>
  <c r="V75" i="32"/>
  <c r="T75" i="32"/>
  <c r="AM74" i="32"/>
  <c r="AL74" i="32"/>
  <c r="AK74" i="32"/>
  <c r="AJ74" i="32"/>
  <c r="AI74" i="32"/>
  <c r="AH74" i="32"/>
  <c r="AG74" i="32"/>
  <c r="AF74" i="32"/>
  <c r="AE74" i="32"/>
  <c r="AD74" i="32"/>
  <c r="Y74" i="32"/>
  <c r="V74" i="32"/>
  <c r="T74" i="32"/>
  <c r="AM73" i="32"/>
  <c r="AL73" i="32"/>
  <c r="AK73" i="32"/>
  <c r="AJ73" i="32"/>
  <c r="AI73" i="32"/>
  <c r="AH73" i="32"/>
  <c r="AG73" i="32"/>
  <c r="AF73" i="32"/>
  <c r="AE73" i="32"/>
  <c r="AD73" i="32"/>
  <c r="Y73" i="32"/>
  <c r="V73" i="32"/>
  <c r="T73" i="32"/>
  <c r="AM72" i="32"/>
  <c r="AL72" i="32"/>
  <c r="AK72" i="32"/>
  <c r="AJ72" i="32"/>
  <c r="AI72" i="32"/>
  <c r="AH72" i="32"/>
  <c r="AG72" i="32"/>
  <c r="AF72" i="32"/>
  <c r="AE72" i="32"/>
  <c r="AD72" i="32"/>
  <c r="Y72" i="32"/>
  <c r="V72" i="32"/>
  <c r="T72" i="32"/>
  <c r="AM71" i="32"/>
  <c r="AL71" i="32"/>
  <c r="AK71" i="32"/>
  <c r="AJ71" i="32"/>
  <c r="AI71" i="32"/>
  <c r="AH71" i="32"/>
  <c r="AG71" i="32"/>
  <c r="AF71" i="32"/>
  <c r="AE71" i="32"/>
  <c r="AD71" i="32"/>
  <c r="Y71" i="32"/>
  <c r="V71" i="32"/>
  <c r="T71" i="32"/>
  <c r="AM70" i="32"/>
  <c r="AL70" i="32"/>
  <c r="AK70" i="32"/>
  <c r="AJ70" i="32"/>
  <c r="AI70" i="32"/>
  <c r="AH70" i="32"/>
  <c r="AG70" i="32"/>
  <c r="AF70" i="32"/>
  <c r="AE70" i="32"/>
  <c r="AD70" i="32"/>
  <c r="Y70" i="32"/>
  <c r="V70" i="32"/>
  <c r="T70" i="32"/>
  <c r="AM69" i="32"/>
  <c r="AL69" i="32"/>
  <c r="AK69" i="32"/>
  <c r="AJ69" i="32"/>
  <c r="AI69" i="32"/>
  <c r="AH69" i="32"/>
  <c r="AG69" i="32"/>
  <c r="AF69" i="32"/>
  <c r="AE69" i="32"/>
  <c r="AD69" i="32"/>
  <c r="AN69" i="32" s="1"/>
  <c r="Y69" i="32"/>
  <c r="V69" i="32"/>
  <c r="T69" i="32"/>
  <c r="AM68" i="32"/>
  <c r="AL68" i="32"/>
  <c r="AK68" i="32"/>
  <c r="AJ68" i="32"/>
  <c r="AI68" i="32"/>
  <c r="AH68" i="32"/>
  <c r="AG68" i="32"/>
  <c r="AF68" i="32"/>
  <c r="AE68" i="32"/>
  <c r="AD68" i="32"/>
  <c r="Y68" i="32"/>
  <c r="V68" i="32"/>
  <c r="T68" i="32"/>
  <c r="AM67" i="32"/>
  <c r="AL67" i="32"/>
  <c r="AK67" i="32"/>
  <c r="AJ67" i="32"/>
  <c r="AI67" i="32"/>
  <c r="AH67" i="32"/>
  <c r="AG67" i="32"/>
  <c r="AF67" i="32"/>
  <c r="AE67" i="32"/>
  <c r="AD67" i="32"/>
  <c r="Y67" i="32"/>
  <c r="V67" i="32"/>
  <c r="T67" i="32"/>
  <c r="AM66" i="32"/>
  <c r="AL66" i="32"/>
  <c r="AK66" i="32"/>
  <c r="AJ66" i="32"/>
  <c r="AI66" i="32"/>
  <c r="AH66" i="32"/>
  <c r="AG66" i="32"/>
  <c r="AF66" i="32"/>
  <c r="AE66" i="32"/>
  <c r="AD66" i="32"/>
  <c r="Y66" i="32"/>
  <c r="V66" i="32"/>
  <c r="T66" i="32"/>
  <c r="AM65" i="32"/>
  <c r="AL65" i="32"/>
  <c r="AK65" i="32"/>
  <c r="AJ65" i="32"/>
  <c r="AI65" i="32"/>
  <c r="AH65" i="32"/>
  <c r="AG65" i="32"/>
  <c r="AF65" i="32"/>
  <c r="AE65" i="32"/>
  <c r="AD65" i="32"/>
  <c r="Y65" i="32"/>
  <c r="V65" i="32"/>
  <c r="T65" i="32"/>
  <c r="AM64" i="32"/>
  <c r="AL64" i="32"/>
  <c r="AK64" i="32"/>
  <c r="AJ64" i="32"/>
  <c r="AI64" i="32"/>
  <c r="AH64" i="32"/>
  <c r="AG64" i="32"/>
  <c r="AF64" i="32"/>
  <c r="AE64" i="32"/>
  <c r="AD64" i="32"/>
  <c r="Y64" i="32"/>
  <c r="V64" i="32"/>
  <c r="T64" i="32"/>
  <c r="AM63" i="32"/>
  <c r="AL63" i="32"/>
  <c r="AK63" i="32"/>
  <c r="AJ63" i="32"/>
  <c r="AI63" i="32"/>
  <c r="AH63" i="32"/>
  <c r="AG63" i="32"/>
  <c r="AF63" i="32"/>
  <c r="AE63" i="32"/>
  <c r="AD63" i="32"/>
  <c r="Y63" i="32"/>
  <c r="V63" i="32"/>
  <c r="T63" i="32"/>
  <c r="AM62" i="32"/>
  <c r="AL62" i="32"/>
  <c r="AK62" i="32"/>
  <c r="AJ62" i="32"/>
  <c r="AI62" i="32"/>
  <c r="AH62" i="32"/>
  <c r="AG62" i="32"/>
  <c r="AF62" i="32"/>
  <c r="AE62" i="32"/>
  <c r="AD62" i="32"/>
  <c r="Y62" i="32"/>
  <c r="V62" i="32"/>
  <c r="T62" i="32"/>
  <c r="AM61" i="32"/>
  <c r="AL61" i="32"/>
  <c r="AK61" i="32"/>
  <c r="AJ61" i="32"/>
  <c r="AI61" i="32"/>
  <c r="AH61" i="32"/>
  <c r="AG61" i="32"/>
  <c r="AF61" i="32"/>
  <c r="AE61" i="32"/>
  <c r="AD61" i="32"/>
  <c r="Y61" i="32"/>
  <c r="V61" i="32"/>
  <c r="T61" i="32"/>
  <c r="AM60" i="32"/>
  <c r="AL60" i="32"/>
  <c r="AK60" i="32"/>
  <c r="AJ60" i="32"/>
  <c r="AI60" i="32"/>
  <c r="AH60" i="32"/>
  <c r="AG60" i="32"/>
  <c r="AF60" i="32"/>
  <c r="AE60" i="32"/>
  <c r="AD60" i="32"/>
  <c r="Y60" i="32"/>
  <c r="V60" i="32"/>
  <c r="T60" i="32"/>
  <c r="AM59" i="32"/>
  <c r="AL59" i="32"/>
  <c r="AK59" i="32"/>
  <c r="AJ59" i="32"/>
  <c r="AI59" i="32"/>
  <c r="AH59" i="32"/>
  <c r="AG59" i="32"/>
  <c r="AF59" i="32"/>
  <c r="AE59" i="32"/>
  <c r="AD59" i="32"/>
  <c r="Y59" i="32"/>
  <c r="V59" i="32"/>
  <c r="T59" i="32"/>
  <c r="AM58" i="32"/>
  <c r="AL58" i="32"/>
  <c r="AK58" i="32"/>
  <c r="AJ58" i="32"/>
  <c r="AI58" i="32"/>
  <c r="AH58" i="32"/>
  <c r="AG58" i="32"/>
  <c r="AF58" i="32"/>
  <c r="AE58" i="32"/>
  <c r="AD58" i="32"/>
  <c r="Y58" i="32"/>
  <c r="V58" i="32"/>
  <c r="T58" i="32"/>
  <c r="AM57" i="32"/>
  <c r="AL57" i="32"/>
  <c r="AK57" i="32"/>
  <c r="AJ57" i="32"/>
  <c r="AI57" i="32"/>
  <c r="AH57" i="32"/>
  <c r="AG57" i="32"/>
  <c r="AF57" i="32"/>
  <c r="AE57" i="32"/>
  <c r="AD57" i="32"/>
  <c r="Y57" i="32"/>
  <c r="V57" i="32"/>
  <c r="T57" i="32"/>
  <c r="AM56" i="32"/>
  <c r="AL56" i="32"/>
  <c r="AK56" i="32"/>
  <c r="AJ56" i="32"/>
  <c r="AI56" i="32"/>
  <c r="AH56" i="32"/>
  <c r="AG56" i="32"/>
  <c r="AF56" i="32"/>
  <c r="AE56" i="32"/>
  <c r="AD56" i="32"/>
  <c r="Y56" i="32"/>
  <c r="V56" i="32"/>
  <c r="T56" i="32"/>
  <c r="AM55" i="32"/>
  <c r="AL55" i="32"/>
  <c r="AK55" i="32"/>
  <c r="AJ55" i="32"/>
  <c r="AI55" i="32"/>
  <c r="AH55" i="32"/>
  <c r="AG55" i="32"/>
  <c r="AF55" i="32"/>
  <c r="AE55" i="32"/>
  <c r="AD55" i="32"/>
  <c r="Y55" i="32"/>
  <c r="V55" i="32"/>
  <c r="T55" i="32"/>
  <c r="AM54" i="32"/>
  <c r="AL54" i="32"/>
  <c r="AK54" i="32"/>
  <c r="AJ54" i="32"/>
  <c r="AI54" i="32"/>
  <c r="AH54" i="32"/>
  <c r="AG54" i="32"/>
  <c r="AF54" i="32"/>
  <c r="AE54" i="32"/>
  <c r="AN54" i="32" s="1"/>
  <c r="AD54" i="32"/>
  <c r="Y54" i="32"/>
  <c r="V54" i="32"/>
  <c r="T54" i="32"/>
  <c r="AM53" i="32"/>
  <c r="AL53" i="32"/>
  <c r="AK53" i="32"/>
  <c r="AJ53" i="32"/>
  <c r="AI53" i="32"/>
  <c r="AH53" i="32"/>
  <c r="AG53" i="32"/>
  <c r="AF53" i="32"/>
  <c r="AE53" i="32"/>
  <c r="AD53" i="32"/>
  <c r="Y53" i="32"/>
  <c r="V53" i="32"/>
  <c r="T53" i="32"/>
  <c r="AM52" i="32"/>
  <c r="AL52" i="32"/>
  <c r="AK52" i="32"/>
  <c r="AJ52" i="32"/>
  <c r="AI52" i="32"/>
  <c r="AH52" i="32"/>
  <c r="AG52" i="32"/>
  <c r="AF52" i="32"/>
  <c r="AE52" i="32"/>
  <c r="AD52" i="32"/>
  <c r="Y52" i="32"/>
  <c r="V52" i="32"/>
  <c r="T52" i="32"/>
  <c r="AM51" i="32"/>
  <c r="AL51" i="32"/>
  <c r="AK51" i="32"/>
  <c r="AJ51" i="32"/>
  <c r="AI51" i="32"/>
  <c r="AH51" i="32"/>
  <c r="AG51" i="32"/>
  <c r="AF51" i="32"/>
  <c r="AE51" i="32"/>
  <c r="AD51" i="32"/>
  <c r="Y51" i="32"/>
  <c r="V51" i="32"/>
  <c r="T51" i="32"/>
  <c r="AM50" i="32"/>
  <c r="AL50" i="32"/>
  <c r="AK50" i="32"/>
  <c r="AJ50" i="32"/>
  <c r="AI50" i="32"/>
  <c r="AH50" i="32"/>
  <c r="AG50" i="32"/>
  <c r="AF50" i="32"/>
  <c r="AE50" i="32"/>
  <c r="AD50" i="32"/>
  <c r="Y50" i="32"/>
  <c r="V50" i="32"/>
  <c r="T50" i="32"/>
  <c r="AM49" i="32"/>
  <c r="AL49" i="32"/>
  <c r="AK49" i="32"/>
  <c r="AJ49" i="32"/>
  <c r="AI49" i="32"/>
  <c r="AH49" i="32"/>
  <c r="AG49" i="32"/>
  <c r="AF49" i="32"/>
  <c r="AE49" i="32"/>
  <c r="AD49" i="32"/>
  <c r="Y49" i="32"/>
  <c r="V49" i="32"/>
  <c r="T49" i="32"/>
  <c r="AM48" i="32"/>
  <c r="AL48" i="32"/>
  <c r="AK48" i="32"/>
  <c r="AJ48" i="32"/>
  <c r="AI48" i="32"/>
  <c r="AH48" i="32"/>
  <c r="AG48" i="32"/>
  <c r="AF48" i="32"/>
  <c r="AE48" i="32"/>
  <c r="AD48" i="32"/>
  <c r="Y48" i="32"/>
  <c r="V48" i="32"/>
  <c r="T48" i="32"/>
  <c r="AM47" i="32"/>
  <c r="AL47" i="32"/>
  <c r="AK47" i="32"/>
  <c r="AJ47" i="32"/>
  <c r="AI47" i="32"/>
  <c r="AH47" i="32"/>
  <c r="AG47" i="32"/>
  <c r="AF47" i="32"/>
  <c r="AE47" i="32"/>
  <c r="AD47" i="32"/>
  <c r="Y47" i="32"/>
  <c r="V47" i="32"/>
  <c r="T47" i="32"/>
  <c r="AM46" i="32"/>
  <c r="AL46" i="32"/>
  <c r="AK46" i="32"/>
  <c r="AJ46" i="32"/>
  <c r="AI46" i="32"/>
  <c r="AH46" i="32"/>
  <c r="AG46" i="32"/>
  <c r="AF46" i="32"/>
  <c r="AE46" i="32"/>
  <c r="AD46" i="32"/>
  <c r="Y46" i="32"/>
  <c r="V46" i="32"/>
  <c r="T46" i="32"/>
  <c r="AM45" i="32"/>
  <c r="AL45" i="32"/>
  <c r="AK45" i="32"/>
  <c r="AJ45" i="32"/>
  <c r="AI45" i="32"/>
  <c r="AH45" i="32"/>
  <c r="AG45" i="32"/>
  <c r="AF45" i="32"/>
  <c r="AE45" i="32"/>
  <c r="AD45" i="32"/>
  <c r="Y45" i="32"/>
  <c r="V45" i="32"/>
  <c r="T45" i="32"/>
  <c r="AM44" i="32"/>
  <c r="AL44" i="32"/>
  <c r="AK44" i="32"/>
  <c r="AJ44" i="32"/>
  <c r="AI44" i="32"/>
  <c r="AH44" i="32"/>
  <c r="AG44" i="32"/>
  <c r="AF44" i="32"/>
  <c r="AE44" i="32"/>
  <c r="AD44" i="32"/>
  <c r="Y44" i="32"/>
  <c r="V44" i="32"/>
  <c r="T44" i="32"/>
  <c r="AM43" i="32"/>
  <c r="AL43" i="32"/>
  <c r="AK43" i="32"/>
  <c r="AJ43" i="32"/>
  <c r="AI43" i="32"/>
  <c r="AH43" i="32"/>
  <c r="AG43" i="32"/>
  <c r="AF43" i="32"/>
  <c r="AE43" i="32"/>
  <c r="AD43" i="32"/>
  <c r="Y43" i="32"/>
  <c r="V43" i="32"/>
  <c r="T43" i="32"/>
  <c r="AM42" i="32"/>
  <c r="AL42" i="32"/>
  <c r="AK42" i="32"/>
  <c r="AJ42" i="32"/>
  <c r="AI42" i="32"/>
  <c r="AH42" i="32"/>
  <c r="AG42" i="32"/>
  <c r="AF42" i="32"/>
  <c r="AE42" i="32"/>
  <c r="AD42" i="32"/>
  <c r="Y42" i="32"/>
  <c r="V42" i="32"/>
  <c r="T42" i="32"/>
  <c r="AM41" i="32"/>
  <c r="AL41" i="32"/>
  <c r="AK41" i="32"/>
  <c r="AJ41" i="32"/>
  <c r="AI41" i="32"/>
  <c r="AH41" i="32"/>
  <c r="AG41" i="32"/>
  <c r="AF41" i="32"/>
  <c r="AE41" i="32"/>
  <c r="AD41" i="32"/>
  <c r="Y41" i="32"/>
  <c r="V41" i="32"/>
  <c r="T41" i="32"/>
  <c r="AM40" i="32"/>
  <c r="AL40" i="32"/>
  <c r="AK40" i="32"/>
  <c r="AJ40" i="32"/>
  <c r="AI40" i="32"/>
  <c r="AH40" i="32"/>
  <c r="AG40" i="32"/>
  <c r="AF40" i="32"/>
  <c r="AE40" i="32"/>
  <c r="AD40" i="32"/>
  <c r="Y40" i="32"/>
  <c r="V40" i="32"/>
  <c r="T40" i="32"/>
  <c r="AM39" i="32"/>
  <c r="AL39" i="32"/>
  <c r="AK39" i="32"/>
  <c r="AJ39" i="32"/>
  <c r="AI39" i="32"/>
  <c r="AH39" i="32"/>
  <c r="AG39" i="32"/>
  <c r="AF39" i="32"/>
  <c r="AE39" i="32"/>
  <c r="AD39" i="32"/>
  <c r="Y39" i="32"/>
  <c r="V39" i="32"/>
  <c r="T39" i="32"/>
  <c r="AM38" i="32"/>
  <c r="AL38" i="32"/>
  <c r="AK38" i="32"/>
  <c r="AJ38" i="32"/>
  <c r="AI38" i="32"/>
  <c r="AH38" i="32"/>
  <c r="AG38" i="32"/>
  <c r="AF38" i="32"/>
  <c r="AE38" i="32"/>
  <c r="AD38" i="32"/>
  <c r="Y38" i="32"/>
  <c r="V38" i="32"/>
  <c r="T38" i="32"/>
  <c r="AM37" i="32"/>
  <c r="AL37" i="32"/>
  <c r="AK37" i="32"/>
  <c r="AJ37" i="32"/>
  <c r="AI37" i="32"/>
  <c r="AH37" i="32"/>
  <c r="AG37" i="32"/>
  <c r="AF37" i="32"/>
  <c r="AE37" i="32"/>
  <c r="AD37" i="32"/>
  <c r="Y37" i="32"/>
  <c r="V37" i="32"/>
  <c r="T37" i="32"/>
  <c r="AM36" i="32"/>
  <c r="AL36" i="32"/>
  <c r="AK36" i="32"/>
  <c r="AJ36" i="32"/>
  <c r="AI36" i="32"/>
  <c r="AH36" i="32"/>
  <c r="AG36" i="32"/>
  <c r="AF36" i="32"/>
  <c r="AE36" i="32"/>
  <c r="AD36" i="32"/>
  <c r="Y36" i="32"/>
  <c r="V36" i="32"/>
  <c r="T36" i="32"/>
  <c r="AM35" i="32"/>
  <c r="AL35" i="32"/>
  <c r="AK35" i="32"/>
  <c r="AJ35" i="32"/>
  <c r="AI35" i="32"/>
  <c r="AH35" i="32"/>
  <c r="AG35" i="32"/>
  <c r="AF35" i="32"/>
  <c r="AE35" i="32"/>
  <c r="AD35" i="32"/>
  <c r="Y35" i="32"/>
  <c r="V35" i="32"/>
  <c r="T35" i="32"/>
  <c r="AM34" i="32"/>
  <c r="AL34" i="32"/>
  <c r="AK34" i="32"/>
  <c r="AJ34" i="32"/>
  <c r="AI34" i="32"/>
  <c r="AH34" i="32"/>
  <c r="AG34" i="32"/>
  <c r="AF34" i="32"/>
  <c r="AE34" i="32"/>
  <c r="AD34" i="32"/>
  <c r="Y34" i="32"/>
  <c r="V34" i="32"/>
  <c r="T34" i="32"/>
  <c r="AM33" i="32"/>
  <c r="AL33" i="32"/>
  <c r="AK33" i="32"/>
  <c r="AJ33" i="32"/>
  <c r="AI33" i="32"/>
  <c r="AH33" i="32"/>
  <c r="AG33" i="32"/>
  <c r="AF33" i="32"/>
  <c r="AE33" i="32"/>
  <c r="AD33" i="32"/>
  <c r="Y33" i="32"/>
  <c r="V33" i="32"/>
  <c r="T33" i="32"/>
  <c r="AM32" i="32"/>
  <c r="AL32" i="32"/>
  <c r="AK32" i="32"/>
  <c r="AJ32" i="32"/>
  <c r="AI32" i="32"/>
  <c r="AH32" i="32"/>
  <c r="AG32" i="32"/>
  <c r="AF32" i="32"/>
  <c r="AE32" i="32"/>
  <c r="AD32" i="32"/>
  <c r="Y32" i="32"/>
  <c r="V32" i="32"/>
  <c r="T32" i="32"/>
  <c r="AM31" i="32"/>
  <c r="AL31" i="32"/>
  <c r="AK31" i="32"/>
  <c r="AJ31" i="32"/>
  <c r="AI31" i="32"/>
  <c r="AH31" i="32"/>
  <c r="AG31" i="32"/>
  <c r="AF31" i="32"/>
  <c r="AE31" i="32"/>
  <c r="AD31" i="32"/>
  <c r="Y31" i="32"/>
  <c r="V31" i="32"/>
  <c r="T31" i="32"/>
  <c r="AM30" i="32"/>
  <c r="AL30" i="32"/>
  <c r="AK30" i="32"/>
  <c r="AJ30" i="32"/>
  <c r="AI30" i="32"/>
  <c r="AH30" i="32"/>
  <c r="AG30" i="32"/>
  <c r="AF30" i="32"/>
  <c r="AE30" i="32"/>
  <c r="AD30" i="32"/>
  <c r="Y30" i="32"/>
  <c r="V30" i="32"/>
  <c r="T30" i="32"/>
  <c r="AM29" i="32"/>
  <c r="AL29" i="32"/>
  <c r="AK29" i="32"/>
  <c r="AJ29" i="32"/>
  <c r="AI29" i="32"/>
  <c r="AH29" i="32"/>
  <c r="AG29" i="32"/>
  <c r="AF29" i="32"/>
  <c r="AE29" i="32"/>
  <c r="AD29" i="32"/>
  <c r="Y29" i="32"/>
  <c r="V29" i="32"/>
  <c r="T29" i="32"/>
  <c r="AM28" i="32"/>
  <c r="AL28" i="32"/>
  <c r="AK28" i="32"/>
  <c r="AJ28" i="32"/>
  <c r="AI28" i="32"/>
  <c r="AH28" i="32"/>
  <c r="AG28" i="32"/>
  <c r="AF28" i="32"/>
  <c r="AE28" i="32"/>
  <c r="AD28" i="32"/>
  <c r="Y28" i="32"/>
  <c r="V28" i="32"/>
  <c r="T28" i="32"/>
  <c r="AM27" i="32"/>
  <c r="AL27" i="32"/>
  <c r="AK27" i="32"/>
  <c r="AJ27" i="32"/>
  <c r="AI27" i="32"/>
  <c r="AH27" i="32"/>
  <c r="AG27" i="32"/>
  <c r="AF27" i="32"/>
  <c r="AE27" i="32"/>
  <c r="AD27" i="32"/>
  <c r="Y27" i="32"/>
  <c r="V27" i="32"/>
  <c r="T27" i="32"/>
  <c r="AM26" i="32"/>
  <c r="AL26" i="32"/>
  <c r="AK26" i="32"/>
  <c r="AJ26" i="32"/>
  <c r="AI26" i="32"/>
  <c r="AH26" i="32"/>
  <c r="AG26" i="32"/>
  <c r="AF26" i="32"/>
  <c r="AE26" i="32"/>
  <c r="AD26" i="32"/>
  <c r="Y26" i="32"/>
  <c r="V26" i="32"/>
  <c r="T26" i="32"/>
  <c r="AM25" i="32"/>
  <c r="AL25" i="32"/>
  <c r="AK25" i="32"/>
  <c r="AJ25" i="32"/>
  <c r="AI25" i="32"/>
  <c r="AH25" i="32"/>
  <c r="AG25" i="32"/>
  <c r="AF25" i="32"/>
  <c r="AE25" i="32"/>
  <c r="AD25" i="32"/>
  <c r="Y25" i="32"/>
  <c r="V25" i="32"/>
  <c r="T25" i="32"/>
  <c r="AM24" i="32"/>
  <c r="AL24" i="32"/>
  <c r="AK24" i="32"/>
  <c r="AJ24" i="32"/>
  <c r="AI24" i="32"/>
  <c r="AH24" i="32"/>
  <c r="AG24" i="32"/>
  <c r="AF24" i="32"/>
  <c r="AE24" i="32"/>
  <c r="AD24" i="32"/>
  <c r="Y24" i="32"/>
  <c r="V24" i="32"/>
  <c r="T24" i="32"/>
  <c r="AM23" i="32"/>
  <c r="AL23" i="32"/>
  <c r="AK23" i="32"/>
  <c r="AJ23" i="32"/>
  <c r="AI23" i="32"/>
  <c r="AH23" i="32"/>
  <c r="AG23" i="32"/>
  <c r="AF23" i="32"/>
  <c r="AE23" i="32"/>
  <c r="AD23" i="32"/>
  <c r="Y23" i="32"/>
  <c r="V23" i="32"/>
  <c r="T23" i="32"/>
  <c r="AM22" i="32"/>
  <c r="AL22" i="32"/>
  <c r="AK22" i="32"/>
  <c r="AJ22" i="32"/>
  <c r="AI22" i="32"/>
  <c r="AH22" i="32"/>
  <c r="AG22" i="32"/>
  <c r="AF22" i="32"/>
  <c r="AE22" i="32"/>
  <c r="AD22" i="32"/>
  <c r="Y22" i="32"/>
  <c r="V22" i="32"/>
  <c r="T22" i="32"/>
  <c r="AM21" i="32"/>
  <c r="AL21" i="32"/>
  <c r="AK21" i="32"/>
  <c r="AJ21" i="32"/>
  <c r="AI21" i="32"/>
  <c r="AH21" i="32"/>
  <c r="AG21" i="32"/>
  <c r="AF21" i="32"/>
  <c r="AE21" i="32"/>
  <c r="AD21" i="32"/>
  <c r="Y21" i="32"/>
  <c r="V21" i="32"/>
  <c r="T21" i="32"/>
  <c r="AM20" i="32"/>
  <c r="AL20" i="32"/>
  <c r="AK20" i="32"/>
  <c r="AJ20" i="32"/>
  <c r="AI20" i="32"/>
  <c r="AH20" i="32"/>
  <c r="AG20" i="32"/>
  <c r="AF20" i="32"/>
  <c r="AE20" i="32"/>
  <c r="AD20" i="32"/>
  <c r="Y20" i="32"/>
  <c r="V20" i="32"/>
  <c r="T20" i="32"/>
  <c r="AM19" i="32"/>
  <c r="AL19" i="32"/>
  <c r="AK19" i="32"/>
  <c r="AJ19" i="32"/>
  <c r="AI19" i="32"/>
  <c r="AH19" i="32"/>
  <c r="AG19" i="32"/>
  <c r="AF19" i="32"/>
  <c r="AE19" i="32"/>
  <c r="AD19" i="32"/>
  <c r="Y19" i="32"/>
  <c r="V19" i="32"/>
  <c r="T19" i="32"/>
  <c r="AM18" i="32"/>
  <c r="AL18" i="32"/>
  <c r="AK18" i="32"/>
  <c r="AJ18" i="32"/>
  <c r="AI18" i="32"/>
  <c r="AH18" i="32"/>
  <c r="AG18" i="32"/>
  <c r="AF18" i="32"/>
  <c r="AE18" i="32"/>
  <c r="AD18" i="32"/>
  <c r="Y18" i="32"/>
  <c r="V18" i="32"/>
  <c r="T18" i="32"/>
  <c r="AM17" i="32"/>
  <c r="AL17" i="32"/>
  <c r="AK17" i="32"/>
  <c r="AJ17" i="32"/>
  <c r="AI17" i="32"/>
  <c r="AH17" i="32"/>
  <c r="AG17" i="32"/>
  <c r="AF17" i="32"/>
  <c r="AE17" i="32"/>
  <c r="AD17" i="32"/>
  <c r="Y17" i="32"/>
  <c r="V17" i="32"/>
  <c r="T17" i="32"/>
  <c r="AM16" i="32"/>
  <c r="AL16" i="32"/>
  <c r="AK16" i="32"/>
  <c r="AJ16" i="32"/>
  <c r="AI16" i="32"/>
  <c r="AH16" i="32"/>
  <c r="AG16" i="32"/>
  <c r="AF16" i="32"/>
  <c r="AE16" i="32"/>
  <c r="AD16" i="32"/>
  <c r="Y16" i="32"/>
  <c r="V16" i="32"/>
  <c r="T16" i="32"/>
  <c r="AM15" i="32"/>
  <c r="AL15" i="32"/>
  <c r="AK15" i="32"/>
  <c r="AJ15" i="32"/>
  <c r="AI15" i="32"/>
  <c r="AH15" i="32"/>
  <c r="AG15" i="32"/>
  <c r="AF15" i="32"/>
  <c r="AE15" i="32"/>
  <c r="AD15" i="32"/>
  <c r="Y15" i="32"/>
  <c r="V15" i="32"/>
  <c r="T15" i="32"/>
  <c r="AM14" i="32"/>
  <c r="AL14" i="32"/>
  <c r="AK14" i="32"/>
  <c r="AJ14" i="32"/>
  <c r="AI14" i="32"/>
  <c r="AH14" i="32"/>
  <c r="AG14" i="32"/>
  <c r="AF14" i="32"/>
  <c r="AE14" i="32"/>
  <c r="AD14" i="32"/>
  <c r="Y14" i="32"/>
  <c r="V14" i="32"/>
  <c r="T14" i="32"/>
  <c r="AM13" i="32"/>
  <c r="AL13" i="32"/>
  <c r="AK13" i="32"/>
  <c r="AJ13" i="32"/>
  <c r="AI13" i="32"/>
  <c r="AH13" i="32"/>
  <c r="AG13" i="32"/>
  <c r="AF13" i="32"/>
  <c r="AE13" i="32"/>
  <c r="AD13" i="32"/>
  <c r="Y13" i="32"/>
  <c r="V13" i="32"/>
  <c r="T13" i="32"/>
  <c r="AM12" i="32"/>
  <c r="AL12" i="32"/>
  <c r="AK12" i="32"/>
  <c r="AJ12" i="32"/>
  <c r="AI12" i="32"/>
  <c r="AH12" i="32"/>
  <c r="AG12" i="32"/>
  <c r="AF12" i="32"/>
  <c r="AE12" i="32"/>
  <c r="AD12" i="32"/>
  <c r="Y12" i="32"/>
  <c r="V12" i="32"/>
  <c r="T12" i="32"/>
  <c r="A12" i="32"/>
  <c r="AM11" i="32"/>
  <c r="AL11" i="32"/>
  <c r="AK11" i="32"/>
  <c r="AJ11" i="32"/>
  <c r="AI11" i="32"/>
  <c r="AH11" i="32"/>
  <c r="AG11" i="32"/>
  <c r="AF11" i="32"/>
  <c r="AE11" i="32"/>
  <c r="AD11" i="32"/>
  <c r="Y11" i="32"/>
  <c r="V11" i="32"/>
  <c r="T11" i="32"/>
  <c r="AM10" i="32"/>
  <c r="AL10" i="32"/>
  <c r="AK10" i="32"/>
  <c r="AJ10" i="32"/>
  <c r="AI10" i="32"/>
  <c r="AH10" i="32"/>
  <c r="AG10" i="32"/>
  <c r="AF10" i="32"/>
  <c r="AE10" i="32"/>
  <c r="AD10" i="32"/>
  <c r="Y10" i="32"/>
  <c r="V10" i="32"/>
  <c r="T10" i="32"/>
  <c r="A10" i="32"/>
  <c r="AM9" i="32"/>
  <c r="AL9" i="32"/>
  <c r="AK9" i="32"/>
  <c r="AJ9" i="32"/>
  <c r="AI9" i="32"/>
  <c r="AH9" i="32"/>
  <c r="AG9" i="32"/>
  <c r="AF9" i="32"/>
  <c r="AE9" i="32"/>
  <c r="AD9" i="32"/>
  <c r="Y9" i="32"/>
  <c r="V9" i="32"/>
  <c r="T9" i="32"/>
  <c r="AM8" i="32"/>
  <c r="AL8" i="32"/>
  <c r="AK8" i="32"/>
  <c r="AJ8" i="32"/>
  <c r="AI8" i="32"/>
  <c r="AH8" i="32"/>
  <c r="AG8" i="32"/>
  <c r="AF8" i="32"/>
  <c r="AE8" i="32"/>
  <c r="AD8" i="32"/>
  <c r="Y8" i="32"/>
  <c r="V8" i="32"/>
  <c r="T8" i="32"/>
  <c r="AM7" i="32"/>
  <c r="AL7" i="32"/>
  <c r="AK7" i="32"/>
  <c r="AJ7" i="32"/>
  <c r="AI7" i="32"/>
  <c r="AH7" i="32"/>
  <c r="AG7" i="32"/>
  <c r="AF7" i="32"/>
  <c r="AD7" i="32"/>
  <c r="AN7" i="32" s="1"/>
  <c r="Y7" i="32"/>
  <c r="V7" i="32"/>
  <c r="T7" i="32"/>
  <c r="AM6" i="32"/>
  <c r="AL6" i="32"/>
  <c r="AK6" i="32"/>
  <c r="AJ6" i="32"/>
  <c r="AI6" i="32"/>
  <c r="AH6" i="32"/>
  <c r="AG6" i="32"/>
  <c r="AF6" i="32"/>
  <c r="AD6" i="32"/>
  <c r="AN6" i="32" s="1"/>
  <c r="Y6" i="32"/>
  <c r="V6" i="32"/>
  <c r="T6" i="32"/>
  <c r="AM5" i="32"/>
  <c r="AL5" i="32"/>
  <c r="AK5" i="32"/>
  <c r="AJ5" i="32"/>
  <c r="AI5" i="32"/>
  <c r="AH5" i="32"/>
  <c r="AG5" i="32"/>
  <c r="AF5" i="32"/>
  <c r="AD5" i="32"/>
  <c r="AN5" i="32" s="1"/>
  <c r="Y5" i="32"/>
  <c r="V5" i="32"/>
  <c r="T5" i="32"/>
  <c r="F1" i="32"/>
  <c r="AM59" i="31"/>
  <c r="AK59" i="31"/>
  <c r="AF59" i="31"/>
  <c r="AG59" i="31" s="1"/>
  <c r="Y59" i="31"/>
  <c r="V59" i="31"/>
  <c r="T59" i="31"/>
  <c r="AD59" i="31" s="1"/>
  <c r="AM58" i="31"/>
  <c r="AK58" i="31"/>
  <c r="AF58" i="31"/>
  <c r="AG58" i="31" s="1"/>
  <c r="Y58" i="31"/>
  <c r="V58" i="31"/>
  <c r="T58" i="31"/>
  <c r="AD58" i="31" s="1"/>
  <c r="AK57" i="31"/>
  <c r="AF57" i="31"/>
  <c r="AG57" i="31" s="1"/>
  <c r="Y57" i="31"/>
  <c r="V57" i="31"/>
  <c r="T57" i="31"/>
  <c r="AE57" i="31" s="1"/>
  <c r="AK56" i="31"/>
  <c r="AF56" i="31"/>
  <c r="AG56" i="31" s="1"/>
  <c r="Y56" i="31"/>
  <c r="V56" i="31"/>
  <c r="T56" i="31"/>
  <c r="AE56" i="31" s="1"/>
  <c r="AK55" i="31"/>
  <c r="AF55" i="31"/>
  <c r="AG55" i="31" s="1"/>
  <c r="Y55" i="31"/>
  <c r="V55" i="31"/>
  <c r="T55" i="31"/>
  <c r="AE55" i="31" s="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J53" i="31" s="1"/>
  <c r="Y53" i="31"/>
  <c r="V53" i="31"/>
  <c r="T53" i="31"/>
  <c r="AH53" i="31" s="1"/>
  <c r="AI53" i="31" s="1"/>
  <c r="AM52" i="31"/>
  <c r="AK52" i="31"/>
  <c r="AF52" i="31"/>
  <c r="AG52" i="31" s="1"/>
  <c r="Y52" i="31"/>
  <c r="V52" i="31"/>
  <c r="T52" i="31"/>
  <c r="AH52" i="31" s="1"/>
  <c r="AI52" i="31" s="1"/>
  <c r="AK51" i="31"/>
  <c r="AF51" i="31"/>
  <c r="AG51" i="31" s="1"/>
  <c r="Y51" i="31"/>
  <c r="V51" i="31"/>
  <c r="T51" i="31"/>
  <c r="AD51" i="31" s="1"/>
  <c r="AK50" i="31"/>
  <c r="AF50" i="31"/>
  <c r="AG50" i="31" s="1"/>
  <c r="AE50" i="31"/>
  <c r="Y50" i="31"/>
  <c r="V50" i="31"/>
  <c r="T50" i="31"/>
  <c r="AH50" i="31" s="1"/>
  <c r="AI50" i="31" s="1"/>
  <c r="AK49" i="31"/>
  <c r="AF49" i="31"/>
  <c r="AG49" i="31" s="1"/>
  <c r="Y49" i="31"/>
  <c r="V49" i="31"/>
  <c r="T49" i="31"/>
  <c r="AM49" i="31" s="1"/>
  <c r="AK48" i="31"/>
  <c r="AF48" i="31"/>
  <c r="AG48" i="31" s="1"/>
  <c r="Y48" i="31"/>
  <c r="V48" i="31"/>
  <c r="T48" i="31"/>
  <c r="AM48" i="31" s="1"/>
  <c r="AK47" i="31"/>
  <c r="AF47" i="31"/>
  <c r="AG47" i="31" s="1"/>
  <c r="AD47" i="31"/>
  <c r="Y47" i="31"/>
  <c r="V47" i="31"/>
  <c r="T47" i="31"/>
  <c r="AM47" i="31" s="1"/>
  <c r="AK46" i="31"/>
  <c r="AF46" i="31"/>
  <c r="AG46" i="31" s="1"/>
  <c r="Y46" i="31"/>
  <c r="V46" i="31"/>
  <c r="T46" i="31"/>
  <c r="AD46" i="31" s="1"/>
  <c r="AK45" i="31"/>
  <c r="AF45" i="31"/>
  <c r="AG45" i="31" s="1"/>
  <c r="Y45" i="31"/>
  <c r="V45" i="31"/>
  <c r="T45" i="31"/>
  <c r="AE45" i="31" s="1"/>
  <c r="AK44" i="31"/>
  <c r="AF44" i="31"/>
  <c r="AG44" i="31" s="1"/>
  <c r="Y44" i="31"/>
  <c r="V44" i="31"/>
  <c r="T44" i="31"/>
  <c r="AE44" i="31" s="1"/>
  <c r="AK43" i="31"/>
  <c r="AF43" i="31"/>
  <c r="AG43" i="31" s="1"/>
  <c r="Y43" i="31"/>
  <c r="V43" i="31"/>
  <c r="T43" i="31"/>
  <c r="AE43" i="31" s="1"/>
  <c r="AK42" i="31"/>
  <c r="AF42" i="31"/>
  <c r="AG42" i="31" s="1"/>
  <c r="Y42" i="31"/>
  <c r="V42" i="31"/>
  <c r="T42" i="31"/>
  <c r="AH42" i="31" s="1"/>
  <c r="AI42" i="31" s="1"/>
  <c r="AM41" i="31"/>
  <c r="AK41" i="31"/>
  <c r="AF41" i="31"/>
  <c r="AG41" i="31" s="1"/>
  <c r="Y41" i="31"/>
  <c r="V41" i="31"/>
  <c r="T41" i="31"/>
  <c r="AH41" i="31" s="1"/>
  <c r="AI41" i="31" s="1"/>
  <c r="AK40" i="31"/>
  <c r="AF40" i="31"/>
  <c r="AG40" i="31" s="1"/>
  <c r="Y40" i="31"/>
  <c r="V40" i="31"/>
  <c r="T40" i="31"/>
  <c r="AM40" i="31" s="1"/>
  <c r="AM39" i="31"/>
  <c r="AK39" i="31"/>
  <c r="AF39" i="31"/>
  <c r="AG39" i="31" s="1"/>
  <c r="Y39" i="31"/>
  <c r="V39" i="31"/>
  <c r="T39" i="31"/>
  <c r="AH39" i="31" s="1"/>
  <c r="AI39" i="31" s="1"/>
  <c r="AK38" i="31"/>
  <c r="AF38" i="31"/>
  <c r="AG38" i="31" s="1"/>
  <c r="Y38" i="31"/>
  <c r="V38" i="31"/>
  <c r="T38" i="31"/>
  <c r="AH38" i="31" s="1"/>
  <c r="AI38" i="31" s="1"/>
  <c r="AK37" i="31"/>
  <c r="AF37" i="31"/>
  <c r="AG37" i="31" s="1"/>
  <c r="AE37" i="31"/>
  <c r="AD37" i="31"/>
  <c r="Y37" i="31"/>
  <c r="V37" i="31"/>
  <c r="T37" i="31"/>
  <c r="AM37" i="31" s="1"/>
  <c r="AK36" i="31"/>
  <c r="AF36" i="31"/>
  <c r="AG36" i="31" s="1"/>
  <c r="Y36" i="31"/>
  <c r="V36" i="31"/>
  <c r="T36" i="31"/>
  <c r="AM36" i="31" s="1"/>
  <c r="AK35" i="31"/>
  <c r="AH35" i="31"/>
  <c r="AI35" i="31" s="1"/>
  <c r="AF35" i="31"/>
  <c r="AG35" i="31" s="1"/>
  <c r="Y35" i="31"/>
  <c r="V35" i="31"/>
  <c r="T35" i="31"/>
  <c r="AM35" i="31" s="1"/>
  <c r="AK34" i="31"/>
  <c r="AF34" i="31"/>
  <c r="AG34" i="31" s="1"/>
  <c r="Y34" i="31"/>
  <c r="V34" i="31"/>
  <c r="T34" i="31"/>
  <c r="AD34" i="31" s="1"/>
  <c r="AK33" i="31"/>
  <c r="AH33" i="31"/>
  <c r="AI33" i="31" s="1"/>
  <c r="AF33" i="31"/>
  <c r="AG33" i="31" s="1"/>
  <c r="AJ33" i="31" s="1"/>
  <c r="Y33" i="31"/>
  <c r="V33" i="31"/>
  <c r="T33" i="31"/>
  <c r="AE33" i="31" s="1"/>
  <c r="AK32" i="31"/>
  <c r="AF32" i="31"/>
  <c r="AG32" i="31" s="1"/>
  <c r="Y32" i="31"/>
  <c r="V32" i="31"/>
  <c r="T32" i="31"/>
  <c r="AE32" i="31" s="1"/>
  <c r="AK31" i="31"/>
  <c r="AF31" i="31"/>
  <c r="AG31" i="31" s="1"/>
  <c r="Y31" i="31"/>
  <c r="V31" i="31"/>
  <c r="T31" i="31"/>
  <c r="AE31" i="31" s="1"/>
  <c r="AM30" i="31"/>
  <c r="AK30" i="31"/>
  <c r="AF30" i="31"/>
  <c r="AG30" i="31" s="1"/>
  <c r="Y30" i="31"/>
  <c r="V30" i="31"/>
  <c r="T30" i="31"/>
  <c r="AH30" i="31" s="1"/>
  <c r="AI30" i="31" s="1"/>
  <c r="AM29" i="31"/>
  <c r="AK29" i="31"/>
  <c r="AF29" i="31"/>
  <c r="AG29" i="31" s="1"/>
  <c r="Y29" i="31"/>
  <c r="V29" i="31"/>
  <c r="T29" i="31"/>
  <c r="AH29" i="31" s="1"/>
  <c r="AI29" i="31" s="1"/>
  <c r="AM28" i="31"/>
  <c r="AL28" i="31"/>
  <c r="AK28" i="31"/>
  <c r="AJ28" i="31"/>
  <c r="AI28" i="31"/>
  <c r="AH28" i="31"/>
  <c r="AG28" i="31"/>
  <c r="AF28" i="31"/>
  <c r="AE28" i="31"/>
  <c r="AD28" i="31"/>
  <c r="Y28" i="31"/>
  <c r="V28" i="31"/>
  <c r="T28" i="31"/>
  <c r="AM27" i="31"/>
  <c r="AL27" i="31"/>
  <c r="AK27" i="31"/>
  <c r="AJ27" i="31"/>
  <c r="AI27" i="31"/>
  <c r="AH27" i="31"/>
  <c r="AG27" i="31"/>
  <c r="AF27" i="31"/>
  <c r="AE27" i="31"/>
  <c r="AD27" i="31"/>
  <c r="Y27" i="31"/>
  <c r="V27" i="31"/>
  <c r="T27" i="31"/>
  <c r="AM26" i="31"/>
  <c r="AL26" i="31"/>
  <c r="AK26" i="31"/>
  <c r="AJ26" i="31"/>
  <c r="AI26" i="31"/>
  <c r="AH26" i="31"/>
  <c r="AG26" i="31"/>
  <c r="AF26" i="31"/>
  <c r="AE26" i="31"/>
  <c r="AD26" i="31"/>
  <c r="Y26" i="31"/>
  <c r="V26" i="31"/>
  <c r="T26" i="31"/>
  <c r="AM25" i="31"/>
  <c r="AL25" i="31"/>
  <c r="AK25" i="31"/>
  <c r="AJ25" i="31"/>
  <c r="AI25" i="31"/>
  <c r="AH25" i="31"/>
  <c r="AG25" i="31"/>
  <c r="AF25" i="31"/>
  <c r="AE25" i="31"/>
  <c r="AD25" i="31"/>
  <c r="Y25" i="31"/>
  <c r="V25" i="31"/>
  <c r="T25" i="31"/>
  <c r="AM24" i="31"/>
  <c r="AL24" i="31"/>
  <c r="AK24" i="31"/>
  <c r="AJ24" i="31"/>
  <c r="AI24" i="31"/>
  <c r="AH24" i="31"/>
  <c r="AG24" i="31"/>
  <c r="AF24" i="31"/>
  <c r="AE24" i="31"/>
  <c r="AD24" i="31"/>
  <c r="Y24" i="31"/>
  <c r="V24" i="31"/>
  <c r="T24" i="31"/>
  <c r="AM23" i="31"/>
  <c r="AL23" i="31"/>
  <c r="AK23" i="31"/>
  <c r="AJ23" i="31"/>
  <c r="AI23" i="31"/>
  <c r="AH23" i="31"/>
  <c r="AG23" i="31"/>
  <c r="AF23" i="31"/>
  <c r="AE23" i="31"/>
  <c r="AD23" i="31"/>
  <c r="Y23" i="31"/>
  <c r="V23" i="31"/>
  <c r="T23" i="31"/>
  <c r="AM22" i="31"/>
  <c r="AL22" i="31"/>
  <c r="AK22" i="31"/>
  <c r="AJ22" i="31"/>
  <c r="AI22" i="31"/>
  <c r="AH22" i="31"/>
  <c r="AG22" i="31"/>
  <c r="AF22" i="31"/>
  <c r="AE22" i="31"/>
  <c r="AD22" i="31"/>
  <c r="Y22" i="31"/>
  <c r="V22" i="31"/>
  <c r="T22" i="31"/>
  <c r="AM21" i="31"/>
  <c r="AL21" i="31"/>
  <c r="AK21" i="31"/>
  <c r="AJ21" i="31"/>
  <c r="AI21" i="31"/>
  <c r="AH21" i="31"/>
  <c r="AG21" i="31"/>
  <c r="AF21" i="31"/>
  <c r="AE21" i="31"/>
  <c r="AD21" i="31"/>
  <c r="Y21" i="31"/>
  <c r="V21" i="31"/>
  <c r="T21" i="31"/>
  <c r="AM20" i="31"/>
  <c r="AL20" i="31"/>
  <c r="AK20" i="31"/>
  <c r="AJ20" i="31"/>
  <c r="AI20" i="31"/>
  <c r="AH20" i="31"/>
  <c r="AG20" i="31"/>
  <c r="AF20" i="31"/>
  <c r="AE20" i="31"/>
  <c r="AD20" i="31"/>
  <c r="AN20" i="31" s="1"/>
  <c r="Y20" i="31"/>
  <c r="V20" i="31"/>
  <c r="T20" i="31"/>
  <c r="AM19" i="31"/>
  <c r="AL19" i="31"/>
  <c r="AK19" i="31"/>
  <c r="AJ19" i="31"/>
  <c r="AI19" i="31"/>
  <c r="AH19" i="31"/>
  <c r="AG19" i="31"/>
  <c r="AF19" i="31"/>
  <c r="AE19" i="31"/>
  <c r="AN19" i="31" s="1"/>
  <c r="AD19" i="31"/>
  <c r="Y19" i="31"/>
  <c r="V19" i="31"/>
  <c r="T19" i="31"/>
  <c r="AM18" i="31"/>
  <c r="AL18" i="31"/>
  <c r="AK18" i="31"/>
  <c r="AJ18" i="31"/>
  <c r="AI18" i="31"/>
  <c r="AH18" i="31"/>
  <c r="AG18" i="31"/>
  <c r="AF18" i="31"/>
  <c r="AE18" i="31"/>
  <c r="AD18" i="31"/>
  <c r="Y18" i="31"/>
  <c r="V18" i="31"/>
  <c r="T18" i="31"/>
  <c r="AM17" i="31"/>
  <c r="AL17" i="31"/>
  <c r="AK17" i="31"/>
  <c r="AJ17" i="31"/>
  <c r="AI17" i="31"/>
  <c r="AH17" i="31"/>
  <c r="AG17" i="31"/>
  <c r="AF17" i="31"/>
  <c r="AE17" i="31"/>
  <c r="AD17" i="31"/>
  <c r="Y17" i="31"/>
  <c r="V17" i="31"/>
  <c r="T17" i="31"/>
  <c r="AM16" i="31"/>
  <c r="AL16" i="31"/>
  <c r="AK16" i="31"/>
  <c r="AJ16" i="31"/>
  <c r="AI16" i="31"/>
  <c r="AH16" i="31"/>
  <c r="AG16" i="31"/>
  <c r="AF16" i="31"/>
  <c r="AE16" i="31"/>
  <c r="AD16" i="31"/>
  <c r="Y16" i="31"/>
  <c r="V16" i="31"/>
  <c r="T16" i="31"/>
  <c r="AM15" i="31"/>
  <c r="AL15" i="31"/>
  <c r="AK15" i="31"/>
  <c r="AJ15" i="31"/>
  <c r="AI15" i="31"/>
  <c r="AH15" i="31"/>
  <c r="AG15" i="31"/>
  <c r="AF15" i="31"/>
  <c r="AE15" i="31"/>
  <c r="AD15" i="31"/>
  <c r="Y15" i="31"/>
  <c r="V15" i="31"/>
  <c r="T15" i="31"/>
  <c r="AM14" i="31"/>
  <c r="AL14" i="31"/>
  <c r="AK14" i="31"/>
  <c r="AJ14" i="31"/>
  <c r="AI14" i="31"/>
  <c r="AH14" i="31"/>
  <c r="AG14" i="31"/>
  <c r="AF14" i="31"/>
  <c r="AE14" i="31"/>
  <c r="AD14" i="31"/>
  <c r="Y14" i="31"/>
  <c r="V14" i="31"/>
  <c r="T14" i="31"/>
  <c r="AM13" i="31"/>
  <c r="AL13" i="31"/>
  <c r="AK13" i="31"/>
  <c r="AJ13" i="31"/>
  <c r="AI13" i="31"/>
  <c r="AH13" i="31"/>
  <c r="AG13" i="31"/>
  <c r="AF13" i="31"/>
  <c r="AE13" i="31"/>
  <c r="AD13" i="31"/>
  <c r="Y13" i="31"/>
  <c r="V13" i="31"/>
  <c r="T13" i="31"/>
  <c r="AM12" i="31"/>
  <c r="AL12" i="31"/>
  <c r="AK12" i="31"/>
  <c r="AJ12" i="31"/>
  <c r="AI12" i="31"/>
  <c r="AH12" i="31"/>
  <c r="AG12" i="31"/>
  <c r="AF12" i="31"/>
  <c r="AE12" i="31"/>
  <c r="AD12" i="31"/>
  <c r="Y12" i="31"/>
  <c r="V12" i="31"/>
  <c r="T12" i="31"/>
  <c r="A12" i="31"/>
  <c r="AM11" i="31"/>
  <c r="AL11" i="31"/>
  <c r="AK11" i="31"/>
  <c r="AJ11" i="31"/>
  <c r="AI11" i="31"/>
  <c r="AH11" i="31"/>
  <c r="AG11" i="31"/>
  <c r="AF11" i="31"/>
  <c r="AE11" i="31"/>
  <c r="AD11" i="31"/>
  <c r="Y11" i="31"/>
  <c r="V11" i="31"/>
  <c r="T11" i="31"/>
  <c r="AM10" i="31"/>
  <c r="AL10" i="31"/>
  <c r="AK10" i="31"/>
  <c r="AJ10" i="31"/>
  <c r="AI10" i="31"/>
  <c r="AH10" i="31"/>
  <c r="AG10" i="31"/>
  <c r="AF10" i="31"/>
  <c r="AE10" i="31"/>
  <c r="AD10" i="31"/>
  <c r="AN10" i="31" s="1"/>
  <c r="Y10" i="31"/>
  <c r="V10" i="31"/>
  <c r="T10" i="31"/>
  <c r="A10" i="31"/>
  <c r="W13" i="31" s="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T9" i="31"/>
  <c r="AM8" i="31"/>
  <c r="AL8" i="31"/>
  <c r="AK8" i="31"/>
  <c r="AJ8" i="31"/>
  <c r="AI8" i="31"/>
  <c r="AH8" i="31"/>
  <c r="AG8" i="31"/>
  <c r="AF8" i="31"/>
  <c r="AD8" i="31"/>
  <c r="AN8" i="31" s="1"/>
  <c r="Y8" i="31"/>
  <c r="V8" i="31"/>
  <c r="T8" i="31"/>
  <c r="AM7" i="31"/>
  <c r="AL7" i="31"/>
  <c r="AK7" i="31"/>
  <c r="AJ7" i="31"/>
  <c r="AI7" i="31"/>
  <c r="AH7" i="31"/>
  <c r="AG7" i="31"/>
  <c r="AF7" i="31"/>
  <c r="AD7" i="31"/>
  <c r="AN7" i="31" s="1"/>
  <c r="Y7" i="31"/>
  <c r="V7" i="31"/>
  <c r="T7" i="31"/>
  <c r="AM6" i="31"/>
  <c r="AL6" i="31"/>
  <c r="AK6" i="31"/>
  <c r="AJ6" i="31"/>
  <c r="AI6" i="31"/>
  <c r="AH6" i="31"/>
  <c r="AG6" i="31"/>
  <c r="AF6" i="31"/>
  <c r="AD6" i="31"/>
  <c r="AN6" i="31" s="1"/>
  <c r="Y6" i="31"/>
  <c r="V6" i="31"/>
  <c r="T6" i="31"/>
  <c r="A6" i="31"/>
  <c r="AM5" i="31"/>
  <c r="AL5" i="31"/>
  <c r="AK5" i="31"/>
  <c r="AJ5" i="31"/>
  <c r="AI5" i="31"/>
  <c r="AH5" i="31"/>
  <c r="AG5" i="31"/>
  <c r="AF5" i="31"/>
  <c r="AD5" i="31"/>
  <c r="AN5" i="31" s="1"/>
  <c r="Y5" i="31"/>
  <c r="V5" i="31"/>
  <c r="T5" i="31"/>
  <c r="F1" i="31"/>
  <c r="AK24" i="30"/>
  <c r="AF24" i="30"/>
  <c r="AG24" i="30" s="1"/>
  <c r="Y24" i="30"/>
  <c r="V24" i="30"/>
  <c r="T24" i="30"/>
  <c r="AE24" i="30" s="1"/>
  <c r="AK23" i="30"/>
  <c r="AF23" i="30"/>
  <c r="AG23" i="30" s="1"/>
  <c r="AE23" i="30"/>
  <c r="Y23" i="30"/>
  <c r="V23" i="30"/>
  <c r="T23" i="30"/>
  <c r="AD23" i="30" s="1"/>
  <c r="AK22" i="30"/>
  <c r="AF22" i="30"/>
  <c r="AG22" i="30" s="1"/>
  <c r="Y22" i="30"/>
  <c r="V22" i="30"/>
  <c r="T22" i="30"/>
  <c r="AE22" i="30" s="1"/>
  <c r="AK21" i="30"/>
  <c r="AF21" i="30"/>
  <c r="AG21" i="30" s="1"/>
  <c r="Y21" i="30"/>
  <c r="V21" i="30"/>
  <c r="T21" i="30"/>
  <c r="AH21" i="30" s="1"/>
  <c r="AI21" i="30" s="1"/>
  <c r="AK20" i="30"/>
  <c r="AF20" i="30"/>
  <c r="AG20" i="30" s="1"/>
  <c r="Y20" i="30"/>
  <c r="A14" i="30" s="1"/>
  <c r="V20" i="30"/>
  <c r="T20" i="30"/>
  <c r="AH20" i="30" s="1"/>
  <c r="AI20" i="30" s="1"/>
  <c r="AM19" i="30"/>
  <c r="AL19" i="30"/>
  <c r="AK19" i="30"/>
  <c r="AJ19" i="30"/>
  <c r="AI19" i="30"/>
  <c r="AH19" i="30"/>
  <c r="AG19" i="30"/>
  <c r="AF19" i="30"/>
  <c r="AE19" i="30"/>
  <c r="AD19" i="30"/>
  <c r="Y19" i="30"/>
  <c r="V19" i="30"/>
  <c r="T19" i="30"/>
  <c r="AM18" i="30"/>
  <c r="AL18" i="30"/>
  <c r="AK18" i="30"/>
  <c r="AJ18" i="30"/>
  <c r="AI18" i="30"/>
  <c r="AH18" i="30"/>
  <c r="AG18" i="30"/>
  <c r="AF18" i="30"/>
  <c r="AE18" i="30"/>
  <c r="AD18" i="30"/>
  <c r="Y18" i="30"/>
  <c r="V18" i="30"/>
  <c r="T18" i="30"/>
  <c r="AM17" i="30"/>
  <c r="AL17" i="30"/>
  <c r="AK17" i="30"/>
  <c r="AJ17" i="30"/>
  <c r="AI17" i="30"/>
  <c r="AH17" i="30"/>
  <c r="AG17" i="30"/>
  <c r="AF17" i="30"/>
  <c r="AE17" i="30"/>
  <c r="AD17" i="30"/>
  <c r="Y17" i="30"/>
  <c r="V17" i="30"/>
  <c r="T17" i="30"/>
  <c r="AM16" i="30"/>
  <c r="AL16" i="30"/>
  <c r="AK16" i="30"/>
  <c r="AJ16" i="30"/>
  <c r="AI16" i="30"/>
  <c r="AH16" i="30"/>
  <c r="AG16" i="30"/>
  <c r="AF16" i="30"/>
  <c r="AE16" i="30"/>
  <c r="AD16" i="30"/>
  <c r="Y16" i="30"/>
  <c r="V16" i="30"/>
  <c r="T16" i="30"/>
  <c r="AM15" i="30"/>
  <c r="AL15" i="30"/>
  <c r="AK15" i="30"/>
  <c r="AJ15" i="30"/>
  <c r="AI15" i="30"/>
  <c r="AH15" i="30"/>
  <c r="AG15" i="30"/>
  <c r="AF15" i="30"/>
  <c r="AE15" i="30"/>
  <c r="AD15" i="30"/>
  <c r="Y15" i="30"/>
  <c r="V15" i="30"/>
  <c r="T15" i="30"/>
  <c r="AM14" i="30"/>
  <c r="AL14" i="30"/>
  <c r="AK14" i="30"/>
  <c r="AJ14" i="30"/>
  <c r="AI14" i="30"/>
  <c r="AH14" i="30"/>
  <c r="AG14" i="30"/>
  <c r="AF14" i="30"/>
  <c r="AE14" i="30"/>
  <c r="AD14" i="30"/>
  <c r="AN14" i="30" s="1"/>
  <c r="Y14" i="30"/>
  <c r="V14" i="30"/>
  <c r="T14" i="30"/>
  <c r="AM13" i="30"/>
  <c r="AL13" i="30"/>
  <c r="AK13" i="30"/>
  <c r="AJ13" i="30"/>
  <c r="AI13" i="30"/>
  <c r="AH13" i="30"/>
  <c r="AG13" i="30"/>
  <c r="AF13" i="30"/>
  <c r="AE13" i="30"/>
  <c r="AD13" i="30"/>
  <c r="Y13" i="30"/>
  <c r="V13" i="30"/>
  <c r="T13" i="30"/>
  <c r="AM12" i="30"/>
  <c r="AL12" i="30"/>
  <c r="AK12" i="30"/>
  <c r="AJ12" i="30"/>
  <c r="AI12" i="30"/>
  <c r="AH12" i="30"/>
  <c r="AG12" i="30"/>
  <c r="AF12" i="30"/>
  <c r="AE12" i="30"/>
  <c r="AD12" i="30"/>
  <c r="AN12" i="30" s="1"/>
  <c r="Y12" i="30"/>
  <c r="V12" i="30"/>
  <c r="T12" i="30"/>
  <c r="A12" i="30"/>
  <c r="AM11" i="30"/>
  <c r="AL11" i="30"/>
  <c r="AK11" i="30"/>
  <c r="AJ11" i="30"/>
  <c r="AI11" i="30"/>
  <c r="AH11" i="30"/>
  <c r="AG11" i="30"/>
  <c r="AF11" i="30"/>
  <c r="AE11" i="30"/>
  <c r="AN11" i="30" s="1"/>
  <c r="AD11" i="30"/>
  <c r="Y11" i="30"/>
  <c r="V11" i="30"/>
  <c r="T11" i="30"/>
  <c r="AM10" i="30"/>
  <c r="AL10" i="30"/>
  <c r="AK10" i="30"/>
  <c r="AJ10" i="30"/>
  <c r="AI10" i="30"/>
  <c r="AH10" i="30"/>
  <c r="AG10" i="30"/>
  <c r="AF10" i="30"/>
  <c r="AE10" i="30"/>
  <c r="AD10" i="30"/>
  <c r="Y10" i="30"/>
  <c r="V10" i="30"/>
  <c r="T10" i="30"/>
  <c r="A10" i="30"/>
  <c r="W13" i="30" s="1"/>
  <c r="AM9" i="30"/>
  <c r="AL9" i="30"/>
  <c r="AK9" i="30"/>
  <c r="AJ9" i="30"/>
  <c r="AI9" i="30"/>
  <c r="AH9" i="30"/>
  <c r="AG9" i="30"/>
  <c r="AF9" i="30"/>
  <c r="AE9" i="30"/>
  <c r="AD9" i="30"/>
  <c r="AN9" i="30" s="1"/>
  <c r="Y9" i="30"/>
  <c r="W9" i="30"/>
  <c r="V9" i="30"/>
  <c r="T9" i="30"/>
  <c r="AM8" i="30"/>
  <c r="AL8" i="30"/>
  <c r="AK8" i="30"/>
  <c r="AJ8" i="30"/>
  <c r="AI8" i="30"/>
  <c r="AH8" i="30"/>
  <c r="AG8" i="30"/>
  <c r="AF8" i="30"/>
  <c r="AD8" i="30"/>
  <c r="AN8" i="30" s="1"/>
  <c r="Y8" i="30"/>
  <c r="V8" i="30"/>
  <c r="T8" i="30"/>
  <c r="AM7" i="30"/>
  <c r="AL7" i="30"/>
  <c r="AK7" i="30"/>
  <c r="AJ7" i="30"/>
  <c r="AI7" i="30"/>
  <c r="AH7" i="30"/>
  <c r="AG7" i="30"/>
  <c r="AF7" i="30"/>
  <c r="AD7" i="30"/>
  <c r="AN7" i="30" s="1"/>
  <c r="Y7" i="30"/>
  <c r="V7" i="30"/>
  <c r="T7" i="30"/>
  <c r="AM6" i="30"/>
  <c r="AL6" i="30"/>
  <c r="AK6" i="30"/>
  <c r="AJ6" i="30"/>
  <c r="AI6" i="30"/>
  <c r="AH6" i="30"/>
  <c r="AG6" i="30"/>
  <c r="AF6" i="30"/>
  <c r="AD6" i="30"/>
  <c r="AN6" i="30" s="1"/>
  <c r="Y6" i="30"/>
  <c r="V6" i="30"/>
  <c r="T6" i="30"/>
  <c r="A6" i="30"/>
  <c r="AM5" i="30"/>
  <c r="AL5" i="30"/>
  <c r="AK5" i="30"/>
  <c r="AJ5" i="30"/>
  <c r="AI5" i="30"/>
  <c r="AH5" i="30"/>
  <c r="AG5" i="30"/>
  <c r="AF5" i="30"/>
  <c r="AD5" i="30"/>
  <c r="AN5" i="30" s="1"/>
  <c r="Y5" i="30"/>
  <c r="V5" i="30"/>
  <c r="T5" i="30"/>
  <c r="F1" i="30"/>
  <c r="AM83" i="29"/>
  <c r="AK83" i="29"/>
  <c r="AF83" i="29"/>
  <c r="AG83" i="29" s="1"/>
  <c r="Y83" i="29"/>
  <c r="V83" i="29"/>
  <c r="T83" i="29"/>
  <c r="AE83" i="29" s="1"/>
  <c r="AM82" i="29"/>
  <c r="AK82" i="29"/>
  <c r="AF82" i="29"/>
  <c r="AG82" i="29" s="1"/>
  <c r="AL82" i="29" s="1"/>
  <c r="Y82" i="29"/>
  <c r="V82" i="29"/>
  <c r="T82" i="29"/>
  <c r="AH82" i="29" s="1"/>
  <c r="AI82" i="29" s="1"/>
  <c r="AM81" i="29"/>
  <c r="AK81" i="29"/>
  <c r="AF81" i="29"/>
  <c r="AG81" i="29" s="1"/>
  <c r="Y81" i="29"/>
  <c r="V81" i="29"/>
  <c r="T81" i="29"/>
  <c r="AH81" i="29" s="1"/>
  <c r="AI81" i="29" s="1"/>
  <c r="AK80" i="29"/>
  <c r="AF80" i="29"/>
  <c r="AG80" i="29" s="1"/>
  <c r="Y80" i="29"/>
  <c r="V80" i="29"/>
  <c r="T80" i="29"/>
  <c r="AM80" i="29" s="1"/>
  <c r="AM79" i="29"/>
  <c r="AK79" i="29"/>
  <c r="AG79" i="29"/>
  <c r="AF79" i="29"/>
  <c r="AD79" i="29"/>
  <c r="Y79" i="29"/>
  <c r="V79" i="29"/>
  <c r="T79" i="29"/>
  <c r="AE79" i="29" s="1"/>
  <c r="AM78" i="29"/>
  <c r="AK78" i="29"/>
  <c r="AF78" i="29"/>
  <c r="AG78" i="29" s="1"/>
  <c r="Y78" i="29"/>
  <c r="V78" i="29"/>
  <c r="T78" i="29"/>
  <c r="AD78" i="29" s="1"/>
  <c r="AM77" i="29"/>
  <c r="AK77" i="29"/>
  <c r="AF77" i="29"/>
  <c r="AG77" i="29" s="1"/>
  <c r="Y77" i="29"/>
  <c r="V77" i="29"/>
  <c r="T77" i="29"/>
  <c r="AE77" i="29" s="1"/>
  <c r="AK76" i="29"/>
  <c r="AF76" i="29"/>
  <c r="AG76" i="29" s="1"/>
  <c r="Y76" i="29"/>
  <c r="V76" i="29"/>
  <c r="T76" i="29"/>
  <c r="AE76" i="29" s="1"/>
  <c r="AK75" i="29"/>
  <c r="AF75" i="29"/>
  <c r="AG75" i="29" s="1"/>
  <c r="Y75" i="29"/>
  <c r="V75" i="29"/>
  <c r="T75" i="29"/>
  <c r="AE75" i="29" s="1"/>
  <c r="AK74" i="29"/>
  <c r="AF74" i="29"/>
  <c r="AG74" i="29" s="1"/>
  <c r="Y74" i="29"/>
  <c r="V74" i="29"/>
  <c r="T74" i="29"/>
  <c r="AH74" i="29" s="1"/>
  <c r="AI74" i="29" s="1"/>
  <c r="AM73" i="29"/>
  <c r="AK73" i="29"/>
  <c r="AF73" i="29"/>
  <c r="AG73" i="29" s="1"/>
  <c r="Y73" i="29"/>
  <c r="V73" i="29"/>
  <c r="T73" i="29"/>
  <c r="AE73" i="29" s="1"/>
  <c r="AK72" i="29"/>
  <c r="AF72" i="29"/>
  <c r="AG72" i="29" s="1"/>
  <c r="AJ72" i="29" s="1"/>
  <c r="Y72" i="29"/>
  <c r="V72" i="29"/>
  <c r="T72" i="29"/>
  <c r="AH72" i="29" s="1"/>
  <c r="AI72" i="29" s="1"/>
  <c r="AM71" i="29"/>
  <c r="AK71" i="29"/>
  <c r="AF71" i="29"/>
  <c r="AG71" i="29" s="1"/>
  <c r="Y71" i="29"/>
  <c r="V71" i="29"/>
  <c r="T71" i="29"/>
  <c r="AE71" i="29" s="1"/>
  <c r="AK70" i="29"/>
  <c r="AF70" i="29"/>
  <c r="AG70" i="29" s="1"/>
  <c r="Y70" i="29"/>
  <c r="V70" i="29"/>
  <c r="T70" i="29"/>
  <c r="AH70" i="29" s="1"/>
  <c r="AI70" i="29" s="1"/>
  <c r="AK69" i="29"/>
  <c r="AF69" i="29"/>
  <c r="AG69" i="29" s="1"/>
  <c r="Y69" i="29"/>
  <c r="V69" i="29"/>
  <c r="T69" i="29"/>
  <c r="AM69" i="29" s="1"/>
  <c r="AK68" i="29"/>
  <c r="AF68" i="29"/>
  <c r="AG68" i="29" s="1"/>
  <c r="Y68" i="29"/>
  <c r="V68" i="29"/>
  <c r="T68" i="29"/>
  <c r="AM68" i="29" s="1"/>
  <c r="AK67" i="29"/>
  <c r="AF67" i="29"/>
  <c r="AG67" i="29" s="1"/>
  <c r="AD67" i="29"/>
  <c r="Y67" i="29"/>
  <c r="V67" i="29"/>
  <c r="T67" i="29"/>
  <c r="AE67" i="29" s="1"/>
  <c r="AK66" i="29"/>
  <c r="AF66" i="29"/>
  <c r="AG66" i="29" s="1"/>
  <c r="Y66" i="29"/>
  <c r="V66" i="29"/>
  <c r="T66" i="29"/>
  <c r="AD66" i="29" s="1"/>
  <c r="AK65" i="29"/>
  <c r="AF65" i="29"/>
  <c r="AG65" i="29" s="1"/>
  <c r="AD65" i="29"/>
  <c r="Y65" i="29"/>
  <c r="V65" i="29"/>
  <c r="T65" i="29"/>
  <c r="AE65" i="29" s="1"/>
  <c r="AK64" i="29"/>
  <c r="AF64" i="29"/>
  <c r="AG64" i="29" s="1"/>
  <c r="Y64" i="29"/>
  <c r="V64" i="29"/>
  <c r="T64" i="29"/>
  <c r="AE64" i="29" s="1"/>
  <c r="AK63" i="29"/>
  <c r="AF63" i="29"/>
  <c r="AG63" i="29" s="1"/>
  <c r="AD63" i="29"/>
  <c r="Y63" i="29"/>
  <c r="V63" i="29"/>
  <c r="T63" i="29"/>
  <c r="AE63" i="29" s="1"/>
  <c r="AK62" i="29"/>
  <c r="AF62" i="29"/>
  <c r="AG62" i="29" s="1"/>
  <c r="Y62" i="29"/>
  <c r="V62" i="29"/>
  <c r="T62" i="29"/>
  <c r="AH62" i="29" s="1"/>
  <c r="AI62" i="29" s="1"/>
  <c r="AM61" i="29"/>
  <c r="AK61" i="29"/>
  <c r="AF61" i="29"/>
  <c r="AG61" i="29" s="1"/>
  <c r="AD61" i="29"/>
  <c r="Y61" i="29"/>
  <c r="V61" i="29"/>
  <c r="T61" i="29"/>
  <c r="AE61" i="29" s="1"/>
  <c r="AK60" i="29"/>
  <c r="AF60" i="29"/>
  <c r="AG60" i="29" s="1"/>
  <c r="Y60" i="29"/>
  <c r="V60" i="29"/>
  <c r="T60" i="29"/>
  <c r="AH60" i="29" s="1"/>
  <c r="AI60" i="29" s="1"/>
  <c r="AK59" i="29"/>
  <c r="AF59" i="29"/>
  <c r="AG59" i="29" s="1"/>
  <c r="Y59" i="29"/>
  <c r="V59" i="29"/>
  <c r="T59" i="29"/>
  <c r="AE59" i="29" s="1"/>
  <c r="AK58" i="29"/>
  <c r="AF58" i="29"/>
  <c r="AG58" i="29" s="1"/>
  <c r="Y58" i="29"/>
  <c r="V58" i="29"/>
  <c r="T58" i="29"/>
  <c r="AH58" i="29" s="1"/>
  <c r="AI58" i="29" s="1"/>
  <c r="AM57" i="29"/>
  <c r="AK57" i="29"/>
  <c r="AF57" i="29"/>
  <c r="AG57" i="29" s="1"/>
  <c r="Y57" i="29"/>
  <c r="V57" i="29"/>
  <c r="T57" i="29"/>
  <c r="AE57" i="29" s="1"/>
  <c r="AK56" i="29"/>
  <c r="AF56" i="29"/>
  <c r="AG56" i="29" s="1"/>
  <c r="Y56" i="29"/>
  <c r="V56" i="29"/>
  <c r="T56" i="29"/>
  <c r="AH56" i="29" s="1"/>
  <c r="AI56" i="29" s="1"/>
  <c r="AK55" i="29"/>
  <c r="AF55" i="29"/>
  <c r="AG55" i="29" s="1"/>
  <c r="Y55" i="29"/>
  <c r="V55" i="29"/>
  <c r="T55" i="29"/>
  <c r="AE55" i="29" s="1"/>
  <c r="AK54" i="29"/>
  <c r="AF54" i="29"/>
  <c r="AG54" i="29" s="1"/>
  <c r="AE54" i="29"/>
  <c r="Y54" i="29"/>
  <c r="V54" i="29"/>
  <c r="T54" i="29"/>
  <c r="AD54" i="29" s="1"/>
  <c r="AM53" i="29"/>
  <c r="AK53" i="29"/>
  <c r="AF53" i="29"/>
  <c r="AG53" i="29" s="1"/>
  <c r="Y53" i="29"/>
  <c r="V53" i="29"/>
  <c r="T53" i="29"/>
  <c r="AE53" i="29" s="1"/>
  <c r="AM52" i="29"/>
  <c r="AK52" i="29"/>
  <c r="AF52" i="29"/>
  <c r="AG52" i="29" s="1"/>
  <c r="Y52" i="29"/>
  <c r="V52" i="29"/>
  <c r="T52" i="29"/>
  <c r="AE52" i="29" s="1"/>
  <c r="AM51" i="29"/>
  <c r="AK51" i="29"/>
  <c r="AF51" i="29"/>
  <c r="AG51" i="29" s="1"/>
  <c r="Y51" i="29"/>
  <c r="V51" i="29"/>
  <c r="T51" i="29"/>
  <c r="AE51" i="29" s="1"/>
  <c r="AK50" i="29"/>
  <c r="AF50" i="29"/>
  <c r="AG50" i="29" s="1"/>
  <c r="AL50" i="29" s="1"/>
  <c r="Y50" i="29"/>
  <c r="V50" i="29"/>
  <c r="T50" i="29"/>
  <c r="AH50" i="29" s="1"/>
  <c r="AI50" i="29" s="1"/>
  <c r="AK49" i="29"/>
  <c r="AF49" i="29"/>
  <c r="AG49" i="29" s="1"/>
  <c r="Y49" i="29"/>
  <c r="V49" i="29"/>
  <c r="T49" i="29"/>
  <c r="AE49" i="29" s="1"/>
  <c r="AK48" i="29"/>
  <c r="AG48" i="29"/>
  <c r="AF48" i="29"/>
  <c r="AE48" i="29"/>
  <c r="Y48" i="29"/>
  <c r="V48" i="29"/>
  <c r="T48" i="29"/>
  <c r="AH48" i="29" s="1"/>
  <c r="AI48" i="29" s="1"/>
  <c r="AM47" i="29"/>
  <c r="AL47" i="29"/>
  <c r="AK47" i="29"/>
  <c r="AJ47" i="29"/>
  <c r="AI47" i="29"/>
  <c r="AH47" i="29"/>
  <c r="AG47" i="29"/>
  <c r="AF47" i="29"/>
  <c r="AE47" i="29"/>
  <c r="AN47" i="29" s="1"/>
  <c r="AD47" i="29"/>
  <c r="Y47" i="29"/>
  <c r="V47" i="29"/>
  <c r="T47" i="29"/>
  <c r="AM46" i="29"/>
  <c r="AL46" i="29"/>
  <c r="AK46" i="29"/>
  <c r="AJ46" i="29"/>
  <c r="AI46" i="29"/>
  <c r="AH46" i="29"/>
  <c r="AG46" i="29"/>
  <c r="AF46" i="29"/>
  <c r="AE46" i="29"/>
  <c r="AD46" i="29"/>
  <c r="Y46" i="29"/>
  <c r="V46" i="29"/>
  <c r="T46" i="29"/>
  <c r="AM45" i="29"/>
  <c r="AL45" i="29"/>
  <c r="AK45" i="29"/>
  <c r="AJ45" i="29"/>
  <c r="AI45" i="29"/>
  <c r="AH45" i="29"/>
  <c r="AG45" i="29"/>
  <c r="AF45" i="29"/>
  <c r="AE45" i="29"/>
  <c r="AD45" i="29"/>
  <c r="Y45" i="29"/>
  <c r="V45" i="29"/>
  <c r="T45" i="29"/>
  <c r="AM44" i="29"/>
  <c r="AL44" i="29"/>
  <c r="AK44" i="29"/>
  <c r="AJ44" i="29"/>
  <c r="AI44" i="29"/>
  <c r="AH44" i="29"/>
  <c r="AG44" i="29"/>
  <c r="AF44" i="29"/>
  <c r="AE44" i="29"/>
  <c r="AD44" i="29"/>
  <c r="Y44" i="29"/>
  <c r="V44" i="29"/>
  <c r="T44" i="29"/>
  <c r="AM43" i="29"/>
  <c r="AL43" i="29"/>
  <c r="AK43" i="29"/>
  <c r="AJ43" i="29"/>
  <c r="AI43" i="29"/>
  <c r="AH43" i="29"/>
  <c r="AG43" i="29"/>
  <c r="AF43" i="29"/>
  <c r="AE43" i="29"/>
  <c r="AD43" i="29"/>
  <c r="Y43" i="29"/>
  <c r="V43" i="29"/>
  <c r="T43" i="29"/>
  <c r="AM42" i="29"/>
  <c r="AL42" i="29"/>
  <c r="AK42" i="29"/>
  <c r="AJ42" i="29"/>
  <c r="AI42" i="29"/>
  <c r="AH42" i="29"/>
  <c r="AG42" i="29"/>
  <c r="AF42" i="29"/>
  <c r="AE42" i="29"/>
  <c r="AD42" i="29"/>
  <c r="Y42" i="29"/>
  <c r="V42" i="29"/>
  <c r="T42" i="29"/>
  <c r="AM41" i="29"/>
  <c r="AL41" i="29"/>
  <c r="AK41" i="29"/>
  <c r="AJ41" i="29"/>
  <c r="AI41" i="29"/>
  <c r="AH41" i="29"/>
  <c r="AG41" i="29"/>
  <c r="AF41" i="29"/>
  <c r="AE41" i="29"/>
  <c r="AD41" i="29"/>
  <c r="Y41" i="29"/>
  <c r="V41" i="29"/>
  <c r="T41" i="29"/>
  <c r="AM40" i="29"/>
  <c r="AL40" i="29"/>
  <c r="AK40" i="29"/>
  <c r="AJ40" i="29"/>
  <c r="AI40" i="29"/>
  <c r="AH40" i="29"/>
  <c r="AG40" i="29"/>
  <c r="AF40" i="29"/>
  <c r="AE40" i="29"/>
  <c r="AD40" i="29"/>
  <c r="Y40" i="29"/>
  <c r="V40" i="29"/>
  <c r="T40" i="29"/>
  <c r="AM39" i="29"/>
  <c r="AL39" i="29"/>
  <c r="AK39" i="29"/>
  <c r="AJ39" i="29"/>
  <c r="AI39" i="29"/>
  <c r="AH39" i="29"/>
  <c r="AG39" i="29"/>
  <c r="AF39" i="29"/>
  <c r="AE39" i="29"/>
  <c r="AD39" i="29"/>
  <c r="Y39" i="29"/>
  <c r="V39" i="29"/>
  <c r="T39" i="29"/>
  <c r="AM38" i="29"/>
  <c r="AL38" i="29"/>
  <c r="AK38" i="29"/>
  <c r="AJ38" i="29"/>
  <c r="AI38" i="29"/>
  <c r="AH38" i="29"/>
  <c r="AG38" i="29"/>
  <c r="AF38" i="29"/>
  <c r="AE38" i="29"/>
  <c r="AD38" i="29"/>
  <c r="Y38" i="29"/>
  <c r="V38" i="29"/>
  <c r="T38" i="29"/>
  <c r="AM37" i="29"/>
  <c r="AL37" i="29"/>
  <c r="AK37" i="29"/>
  <c r="AJ37" i="29"/>
  <c r="AI37" i="29"/>
  <c r="AH37" i="29"/>
  <c r="AG37" i="29"/>
  <c r="AF37" i="29"/>
  <c r="AE37" i="29"/>
  <c r="AD37" i="29"/>
  <c r="Y37" i="29"/>
  <c r="V37" i="29"/>
  <c r="T37" i="29"/>
  <c r="AM36" i="29"/>
  <c r="AL36" i="29"/>
  <c r="AK36" i="29"/>
  <c r="AJ36" i="29"/>
  <c r="AI36" i="29"/>
  <c r="AH36" i="29"/>
  <c r="AG36" i="29"/>
  <c r="AF36" i="29"/>
  <c r="AE36" i="29"/>
  <c r="AD36" i="29"/>
  <c r="Y36" i="29"/>
  <c r="V36" i="29"/>
  <c r="T36" i="29"/>
  <c r="AM35" i="29"/>
  <c r="AL35" i="29"/>
  <c r="AK35" i="29"/>
  <c r="AJ35" i="29"/>
  <c r="AI35" i="29"/>
  <c r="AH35" i="29"/>
  <c r="AG35" i="29"/>
  <c r="AF35" i="29"/>
  <c r="AE35" i="29"/>
  <c r="AN35" i="29" s="1"/>
  <c r="AD35" i="29"/>
  <c r="Y35" i="29"/>
  <c r="V35" i="29"/>
  <c r="T35" i="29"/>
  <c r="AM34" i="29"/>
  <c r="AL34" i="29"/>
  <c r="AK34" i="29"/>
  <c r="AJ34" i="29"/>
  <c r="AI34" i="29"/>
  <c r="AH34" i="29"/>
  <c r="AG34" i="29"/>
  <c r="AF34" i="29"/>
  <c r="AE34" i="29"/>
  <c r="AD34" i="29"/>
  <c r="Y34" i="29"/>
  <c r="V34" i="29"/>
  <c r="T34" i="29"/>
  <c r="AM33" i="29"/>
  <c r="AL33" i="29"/>
  <c r="AK33" i="29"/>
  <c r="AJ33" i="29"/>
  <c r="AI33" i="29"/>
  <c r="AH33" i="29"/>
  <c r="AG33" i="29"/>
  <c r="AF33" i="29"/>
  <c r="AE33" i="29"/>
  <c r="AD33" i="29"/>
  <c r="Y33" i="29"/>
  <c r="V33" i="29"/>
  <c r="T33" i="29"/>
  <c r="AM32" i="29"/>
  <c r="AL32" i="29"/>
  <c r="AK32" i="29"/>
  <c r="AJ32" i="29"/>
  <c r="AI32" i="29"/>
  <c r="AH32" i="29"/>
  <c r="AG32" i="29"/>
  <c r="AF32" i="29"/>
  <c r="AE32" i="29"/>
  <c r="AD32" i="29"/>
  <c r="Y32" i="29"/>
  <c r="V32" i="29"/>
  <c r="T32" i="29"/>
  <c r="AM31" i="29"/>
  <c r="AL31" i="29"/>
  <c r="AK31" i="29"/>
  <c r="AJ31" i="29"/>
  <c r="AI31" i="29"/>
  <c r="AH31" i="29"/>
  <c r="AG31" i="29"/>
  <c r="AF31" i="29"/>
  <c r="AE31" i="29"/>
  <c r="AD31" i="29"/>
  <c r="Y31" i="29"/>
  <c r="V31" i="29"/>
  <c r="T31" i="29"/>
  <c r="AM30" i="29"/>
  <c r="AL30" i="29"/>
  <c r="AK30" i="29"/>
  <c r="AJ30" i="29"/>
  <c r="AI30" i="29"/>
  <c r="AH30" i="29"/>
  <c r="AG30" i="29"/>
  <c r="AF30" i="29"/>
  <c r="AE30" i="29"/>
  <c r="AD30" i="29"/>
  <c r="Y30" i="29"/>
  <c r="V30" i="29"/>
  <c r="T30" i="29"/>
  <c r="AM29" i="29"/>
  <c r="AL29" i="29"/>
  <c r="AK29" i="29"/>
  <c r="AJ29" i="29"/>
  <c r="AI29" i="29"/>
  <c r="AH29" i="29"/>
  <c r="AG29" i="29"/>
  <c r="AF29" i="29"/>
  <c r="AE29" i="29"/>
  <c r="AD29" i="29"/>
  <c r="Y29" i="29"/>
  <c r="V29" i="29"/>
  <c r="T29" i="29"/>
  <c r="AM28" i="29"/>
  <c r="AL28" i="29"/>
  <c r="AK28" i="29"/>
  <c r="AJ28" i="29"/>
  <c r="AI28" i="29"/>
  <c r="AH28" i="29"/>
  <c r="AG28" i="29"/>
  <c r="AF28" i="29"/>
  <c r="AE28" i="29"/>
  <c r="AD28" i="29"/>
  <c r="Y28" i="29"/>
  <c r="V28" i="29"/>
  <c r="T28" i="29"/>
  <c r="AM27" i="29"/>
  <c r="AL27" i="29"/>
  <c r="AK27" i="29"/>
  <c r="AJ27" i="29"/>
  <c r="AI27" i="29"/>
  <c r="AH27" i="29"/>
  <c r="AG27" i="29"/>
  <c r="AF27" i="29"/>
  <c r="AE27" i="29"/>
  <c r="AD27" i="29"/>
  <c r="Y27" i="29"/>
  <c r="V27" i="29"/>
  <c r="T27" i="29"/>
  <c r="AM26" i="29"/>
  <c r="AL26" i="29"/>
  <c r="AK26" i="29"/>
  <c r="AJ26" i="29"/>
  <c r="AI26" i="29"/>
  <c r="AH26" i="29"/>
  <c r="AG26" i="29"/>
  <c r="AF26" i="29"/>
  <c r="AE26" i="29"/>
  <c r="AD26" i="29"/>
  <c r="Y26" i="29"/>
  <c r="V26" i="29"/>
  <c r="T26" i="29"/>
  <c r="AM25" i="29"/>
  <c r="AL25" i="29"/>
  <c r="AK25" i="29"/>
  <c r="AJ25" i="29"/>
  <c r="AI25" i="29"/>
  <c r="AH25" i="29"/>
  <c r="AG25" i="29"/>
  <c r="AF25" i="29"/>
  <c r="AE25" i="29"/>
  <c r="AD25" i="29"/>
  <c r="Y25" i="29"/>
  <c r="V25" i="29"/>
  <c r="T25" i="29"/>
  <c r="AM24" i="29"/>
  <c r="AL24" i="29"/>
  <c r="AK24" i="29"/>
  <c r="AJ24" i="29"/>
  <c r="AI24" i="29"/>
  <c r="AH24" i="29"/>
  <c r="AG24" i="29"/>
  <c r="AF24" i="29"/>
  <c r="AE24" i="29"/>
  <c r="AD24" i="29"/>
  <c r="Y24" i="29"/>
  <c r="V24" i="29"/>
  <c r="T24" i="29"/>
  <c r="AM23" i="29"/>
  <c r="AL23" i="29"/>
  <c r="AK23" i="29"/>
  <c r="AJ23" i="29"/>
  <c r="AI23" i="29"/>
  <c r="AH23" i="29"/>
  <c r="AG23" i="29"/>
  <c r="AF23" i="29"/>
  <c r="AE23" i="29"/>
  <c r="AD23" i="29"/>
  <c r="Y23" i="29"/>
  <c r="V23" i="29"/>
  <c r="T23" i="29"/>
  <c r="AM22" i="29"/>
  <c r="AL22" i="29"/>
  <c r="AK22" i="29"/>
  <c r="AJ22" i="29"/>
  <c r="AI22" i="29"/>
  <c r="AH22" i="29"/>
  <c r="AG22" i="29"/>
  <c r="AF22" i="29"/>
  <c r="AE22" i="29"/>
  <c r="AD22" i="29"/>
  <c r="Y22" i="29"/>
  <c r="V22" i="29"/>
  <c r="T22" i="29"/>
  <c r="AM21" i="29"/>
  <c r="AL21" i="29"/>
  <c r="AK21" i="29"/>
  <c r="AJ21" i="29"/>
  <c r="AI21" i="29"/>
  <c r="AH21" i="29"/>
  <c r="AG21" i="29"/>
  <c r="AF21" i="29"/>
  <c r="AE21" i="29"/>
  <c r="AD21" i="29"/>
  <c r="Y21" i="29"/>
  <c r="V21" i="29"/>
  <c r="T21" i="29"/>
  <c r="AM20" i="29"/>
  <c r="AL20" i="29"/>
  <c r="AK20" i="29"/>
  <c r="AJ20" i="29"/>
  <c r="AI20" i="29"/>
  <c r="AH20" i="29"/>
  <c r="AG20" i="29"/>
  <c r="AF20" i="29"/>
  <c r="AE20" i="29"/>
  <c r="AD20" i="29"/>
  <c r="Y20" i="29"/>
  <c r="V20" i="29"/>
  <c r="T20" i="29"/>
  <c r="AM19" i="29"/>
  <c r="AL19" i="29"/>
  <c r="AK19" i="29"/>
  <c r="AJ19" i="29"/>
  <c r="AI19" i="29"/>
  <c r="AH19" i="29"/>
  <c r="AG19" i="29"/>
  <c r="AF19" i="29"/>
  <c r="AE19" i="29"/>
  <c r="AD19" i="29"/>
  <c r="Y19" i="29"/>
  <c r="V19" i="29"/>
  <c r="T19" i="29"/>
  <c r="AM18" i="29"/>
  <c r="AL18" i="29"/>
  <c r="AK18" i="29"/>
  <c r="AJ18" i="29"/>
  <c r="AI18" i="29"/>
  <c r="AH18" i="29"/>
  <c r="AG18" i="29"/>
  <c r="AF18" i="29"/>
  <c r="AE18" i="29"/>
  <c r="AD18" i="29"/>
  <c r="Y18" i="29"/>
  <c r="V18" i="29"/>
  <c r="T18" i="29"/>
  <c r="AM17" i="29"/>
  <c r="AL17" i="29"/>
  <c r="AK17" i="29"/>
  <c r="AJ17" i="29"/>
  <c r="AI17" i="29"/>
  <c r="AH17" i="29"/>
  <c r="AG17" i="29"/>
  <c r="AF17" i="29"/>
  <c r="AE17" i="29"/>
  <c r="AD17" i="29"/>
  <c r="Y17" i="29"/>
  <c r="V17" i="29"/>
  <c r="T17" i="29"/>
  <c r="AM16" i="29"/>
  <c r="AL16" i="29"/>
  <c r="AK16" i="29"/>
  <c r="AJ16" i="29"/>
  <c r="AI16" i="29"/>
  <c r="AH16" i="29"/>
  <c r="AG16" i="29"/>
  <c r="AF16" i="29"/>
  <c r="AE16" i="29"/>
  <c r="AD16" i="29"/>
  <c r="Y16" i="29"/>
  <c r="V16" i="29"/>
  <c r="T16" i="29"/>
  <c r="AM15" i="29"/>
  <c r="AL15" i="29"/>
  <c r="AK15" i="29"/>
  <c r="AJ15" i="29"/>
  <c r="AI15" i="29"/>
  <c r="AH15" i="29"/>
  <c r="AG15" i="29"/>
  <c r="AF15" i="29"/>
  <c r="AE15" i="29"/>
  <c r="AD15" i="29"/>
  <c r="Y15" i="29"/>
  <c r="V15" i="29"/>
  <c r="T15" i="29"/>
  <c r="AM14" i="29"/>
  <c r="AL14" i="29"/>
  <c r="AK14" i="29"/>
  <c r="AJ14" i="29"/>
  <c r="AI14" i="29"/>
  <c r="AH14" i="29"/>
  <c r="AG14" i="29"/>
  <c r="AF14" i="29"/>
  <c r="AE14" i="29"/>
  <c r="AD14" i="29"/>
  <c r="Y14" i="29"/>
  <c r="V14" i="29"/>
  <c r="T14" i="29"/>
  <c r="AM13" i="29"/>
  <c r="AL13" i="29"/>
  <c r="AK13" i="29"/>
  <c r="AJ13" i="29"/>
  <c r="AI13" i="29"/>
  <c r="AH13" i="29"/>
  <c r="AG13" i="29"/>
  <c r="AF13" i="29"/>
  <c r="AE13" i="29"/>
  <c r="AN13" i="29" s="1"/>
  <c r="AD13" i="29"/>
  <c r="Y13" i="29"/>
  <c r="V13" i="29"/>
  <c r="T13" i="29"/>
  <c r="AM12" i="29"/>
  <c r="AL12" i="29"/>
  <c r="AK12" i="29"/>
  <c r="AJ12" i="29"/>
  <c r="AI12" i="29"/>
  <c r="AH12" i="29"/>
  <c r="AG12" i="29"/>
  <c r="AF12" i="29"/>
  <c r="AE12" i="29"/>
  <c r="AD12" i="29"/>
  <c r="Y12" i="29"/>
  <c r="V12" i="29"/>
  <c r="T12" i="29"/>
  <c r="A12" i="29"/>
  <c r="AM11" i="29"/>
  <c r="AL11" i="29"/>
  <c r="AK11" i="29"/>
  <c r="AJ11" i="29"/>
  <c r="AI11" i="29"/>
  <c r="AH11" i="29"/>
  <c r="AG11" i="29"/>
  <c r="AF11" i="29"/>
  <c r="AE11" i="29"/>
  <c r="AD11" i="29"/>
  <c r="AN11" i="29" s="1"/>
  <c r="Y11" i="29"/>
  <c r="V11" i="29"/>
  <c r="T11" i="29"/>
  <c r="AM10" i="29"/>
  <c r="AL10" i="29"/>
  <c r="AK10" i="29"/>
  <c r="AJ10" i="29"/>
  <c r="AI10" i="29"/>
  <c r="AH10" i="29"/>
  <c r="AG10" i="29"/>
  <c r="AF10" i="29"/>
  <c r="AE10" i="29"/>
  <c r="AD10" i="29"/>
  <c r="Y10" i="29"/>
  <c r="V10" i="29"/>
  <c r="T10" i="29"/>
  <c r="A10" i="29"/>
  <c r="W15" i="29" s="1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T9" i="29"/>
  <c r="AM8" i="29"/>
  <c r="AL8" i="29"/>
  <c r="AK8" i="29"/>
  <c r="AJ8" i="29"/>
  <c r="AI8" i="29"/>
  <c r="AH8" i="29"/>
  <c r="AG8" i="29"/>
  <c r="AF8" i="29"/>
  <c r="AE8" i="29"/>
  <c r="AD8" i="29"/>
  <c r="Y8" i="29"/>
  <c r="V8" i="29"/>
  <c r="T8" i="29"/>
  <c r="AM7" i="29"/>
  <c r="AL7" i="29"/>
  <c r="AK7" i="29"/>
  <c r="AJ7" i="29"/>
  <c r="AI7" i="29"/>
  <c r="AH7" i="29"/>
  <c r="AG7" i="29"/>
  <c r="AF7" i="29"/>
  <c r="AE7" i="29"/>
  <c r="AD7" i="29"/>
  <c r="Y7" i="29"/>
  <c r="V7" i="29"/>
  <c r="T7" i="29"/>
  <c r="AM6" i="29"/>
  <c r="AL6" i="29"/>
  <c r="AK6" i="29"/>
  <c r="AJ6" i="29"/>
  <c r="AI6" i="29"/>
  <c r="AH6" i="29"/>
  <c r="AG6" i="29"/>
  <c r="AF6" i="29"/>
  <c r="AE6" i="29"/>
  <c r="AN6" i="29" s="1"/>
  <c r="AD6" i="29"/>
  <c r="Y6" i="29"/>
  <c r="V6" i="29"/>
  <c r="T6" i="29"/>
  <c r="A6" i="29"/>
  <c r="AM5" i="29"/>
  <c r="AL5" i="29"/>
  <c r="AK5" i="29"/>
  <c r="AJ5" i="29"/>
  <c r="AI5" i="29"/>
  <c r="AH5" i="29"/>
  <c r="AG5" i="29"/>
  <c r="AF5" i="29"/>
  <c r="AE5" i="29"/>
  <c r="AD5" i="29"/>
  <c r="Y5" i="29"/>
  <c r="V5" i="29"/>
  <c r="T5" i="29"/>
  <c r="F1" i="29"/>
  <c r="AK48" i="28"/>
  <c r="AF48" i="28"/>
  <c r="AG48" i="28" s="1"/>
  <c r="Y48" i="28"/>
  <c r="V48" i="28"/>
  <c r="T48" i="28"/>
  <c r="AM48" i="28" s="1"/>
  <c r="AK47" i="28"/>
  <c r="AF47" i="28"/>
  <c r="AG47" i="28" s="1"/>
  <c r="Y47" i="28"/>
  <c r="V47" i="28"/>
  <c r="T47" i="28"/>
  <c r="AM47" i="28" s="1"/>
  <c r="AK46" i="28"/>
  <c r="AF46" i="28"/>
  <c r="AG46" i="28" s="1"/>
  <c r="Y46" i="28"/>
  <c r="V46" i="28"/>
  <c r="T46" i="28"/>
  <c r="AD46" i="28" s="1"/>
  <c r="AK45" i="28"/>
  <c r="AF45" i="28"/>
  <c r="AG45" i="28" s="1"/>
  <c r="Y45" i="28"/>
  <c r="V45" i="28"/>
  <c r="T45" i="28"/>
  <c r="AE45" i="28" s="1"/>
  <c r="AK44" i="28"/>
  <c r="AF44" i="28"/>
  <c r="AG44" i="28" s="1"/>
  <c r="Y44" i="28"/>
  <c r="V44" i="28"/>
  <c r="T44" i="28"/>
  <c r="AE44" i="28" s="1"/>
  <c r="AK43" i="28"/>
  <c r="AF43" i="28"/>
  <c r="AG43" i="28" s="1"/>
  <c r="AE43" i="28"/>
  <c r="AD43" i="28"/>
  <c r="Y43" i="28"/>
  <c r="V43" i="28"/>
  <c r="T43" i="28"/>
  <c r="AH43" i="28" s="1"/>
  <c r="AI43" i="28" s="1"/>
  <c r="AK42" i="28"/>
  <c r="AF42" i="28"/>
  <c r="AG42" i="28" s="1"/>
  <c r="Y42" i="28"/>
  <c r="V42" i="28"/>
  <c r="T42" i="28"/>
  <c r="AH42" i="28" s="1"/>
  <c r="AI42" i="28" s="1"/>
  <c r="AK41" i="28"/>
  <c r="AF41" i="28"/>
  <c r="AG41" i="28" s="1"/>
  <c r="AJ41" i="28" s="1"/>
  <c r="Y41" i="28"/>
  <c r="V41" i="28"/>
  <c r="T41" i="28"/>
  <c r="AH41" i="28" s="1"/>
  <c r="AI41" i="28" s="1"/>
  <c r="AK40" i="28"/>
  <c r="AF40" i="28"/>
  <c r="AG40" i="28" s="1"/>
  <c r="Y40" i="28"/>
  <c r="A14" i="28" s="1"/>
  <c r="V40" i="28"/>
  <c r="T40" i="28"/>
  <c r="AM40" i="28" s="1"/>
  <c r="AK39" i="28"/>
  <c r="AF39" i="28"/>
  <c r="AG39" i="28" s="1"/>
  <c r="Y39" i="28"/>
  <c r="V39" i="28"/>
  <c r="T39" i="28"/>
  <c r="AM39" i="28" s="1"/>
  <c r="AK38" i="28"/>
  <c r="AF38" i="28"/>
  <c r="AG38" i="28" s="1"/>
  <c r="AE38" i="28"/>
  <c r="Y38" i="28"/>
  <c r="V38" i="28"/>
  <c r="T38" i="28"/>
  <c r="AM38" i="28" s="1"/>
  <c r="AK37" i="28"/>
  <c r="AH37" i="28"/>
  <c r="AI37" i="28" s="1"/>
  <c r="AG37" i="28"/>
  <c r="AF37" i="28"/>
  <c r="Y37" i="28"/>
  <c r="V37" i="28"/>
  <c r="T37" i="28"/>
  <c r="AE37" i="28" s="1"/>
  <c r="AK36" i="28"/>
  <c r="AF36" i="28"/>
  <c r="AG36" i="28" s="1"/>
  <c r="Y36" i="28"/>
  <c r="V36" i="28"/>
  <c r="T36" i="28"/>
  <c r="AE36" i="28" s="1"/>
  <c r="AK35" i="28"/>
  <c r="AF35" i="28"/>
  <c r="AG35" i="28" s="1"/>
  <c r="AE35" i="28"/>
  <c r="Y35" i="28"/>
  <c r="V35" i="28"/>
  <c r="T35" i="28"/>
  <c r="AH35" i="28" s="1"/>
  <c r="AI35" i="28" s="1"/>
  <c r="AM34" i="28"/>
  <c r="AL34" i="28"/>
  <c r="AK34" i="28"/>
  <c r="AJ34" i="28"/>
  <c r="AI34" i="28"/>
  <c r="AH34" i="28"/>
  <c r="AG34" i="28"/>
  <c r="AF34" i="28"/>
  <c r="AE34" i="28"/>
  <c r="AD34" i="28"/>
  <c r="AN34" i="28" s="1"/>
  <c r="Y34" i="28"/>
  <c r="V34" i="28"/>
  <c r="T34" i="28"/>
  <c r="AM33" i="28"/>
  <c r="AL33" i="28"/>
  <c r="AK33" i="28"/>
  <c r="AJ33" i="28"/>
  <c r="AI33" i="28"/>
  <c r="AH33" i="28"/>
  <c r="AG33" i="28"/>
  <c r="AF33" i="28"/>
  <c r="AE33" i="28"/>
  <c r="AD33" i="28"/>
  <c r="Y33" i="28"/>
  <c r="V33" i="28"/>
  <c r="T33" i="28"/>
  <c r="AM32" i="28"/>
  <c r="AL32" i="28"/>
  <c r="AK32" i="28"/>
  <c r="AJ32" i="28"/>
  <c r="AI32" i="28"/>
  <c r="AH32" i="28"/>
  <c r="AG32" i="28"/>
  <c r="AF32" i="28"/>
  <c r="AE32" i="28"/>
  <c r="AD32" i="28"/>
  <c r="Y32" i="28"/>
  <c r="V32" i="28"/>
  <c r="T32" i="28"/>
  <c r="AM31" i="28"/>
  <c r="AL31" i="28"/>
  <c r="AK31" i="28"/>
  <c r="AJ31" i="28"/>
  <c r="AI31" i="28"/>
  <c r="AH31" i="28"/>
  <c r="AG31" i="28"/>
  <c r="AF31" i="28"/>
  <c r="AE31" i="28"/>
  <c r="AD31" i="28"/>
  <c r="Y31" i="28"/>
  <c r="V31" i="28"/>
  <c r="T31" i="28"/>
  <c r="AM30" i="28"/>
  <c r="AL30" i="28"/>
  <c r="AK30" i="28"/>
  <c r="AJ30" i="28"/>
  <c r="AI30" i="28"/>
  <c r="AH30" i="28"/>
  <c r="AG30" i="28"/>
  <c r="AF30" i="28"/>
  <c r="AE30" i="28"/>
  <c r="AD30" i="28"/>
  <c r="Y30" i="28"/>
  <c r="V30" i="28"/>
  <c r="T30" i="28"/>
  <c r="AM29" i="28"/>
  <c r="AL29" i="28"/>
  <c r="AK29" i="28"/>
  <c r="AJ29" i="28"/>
  <c r="AI29" i="28"/>
  <c r="AH29" i="28"/>
  <c r="AG29" i="28"/>
  <c r="AF29" i="28"/>
  <c r="AE29" i="28"/>
  <c r="AN29" i="28" s="1"/>
  <c r="AD29" i="28"/>
  <c r="Y29" i="28"/>
  <c r="V29" i="28"/>
  <c r="T29" i="28"/>
  <c r="AM28" i="28"/>
  <c r="AL28" i="28"/>
  <c r="AK28" i="28"/>
  <c r="AJ28" i="28"/>
  <c r="AI28" i="28"/>
  <c r="AH28" i="28"/>
  <c r="AG28" i="28"/>
  <c r="AF28" i="28"/>
  <c r="AE28" i="28"/>
  <c r="AD28" i="28"/>
  <c r="Y28" i="28"/>
  <c r="V28" i="28"/>
  <c r="T28" i="28"/>
  <c r="AM27" i="28"/>
  <c r="AL27" i="28"/>
  <c r="AK27" i="28"/>
  <c r="AJ27" i="28"/>
  <c r="AI27" i="28"/>
  <c r="AH27" i="28"/>
  <c r="AG27" i="28"/>
  <c r="AF27" i="28"/>
  <c r="AE27" i="28"/>
  <c r="AD27" i="28"/>
  <c r="Y27" i="28"/>
  <c r="V27" i="28"/>
  <c r="T27" i="28"/>
  <c r="AM26" i="28"/>
  <c r="AL26" i="28"/>
  <c r="AK26" i="28"/>
  <c r="AJ26" i="28"/>
  <c r="AI26" i="28"/>
  <c r="AH26" i="28"/>
  <c r="AG26" i="28"/>
  <c r="AF26" i="28"/>
  <c r="AE26" i="28"/>
  <c r="AD26" i="28"/>
  <c r="Y26" i="28"/>
  <c r="V26" i="28"/>
  <c r="T26" i="28"/>
  <c r="AM25" i="28"/>
  <c r="AL25" i="28"/>
  <c r="AK25" i="28"/>
  <c r="AJ25" i="28"/>
  <c r="AI25" i="28"/>
  <c r="AH25" i="28"/>
  <c r="AG25" i="28"/>
  <c r="AF25" i="28"/>
  <c r="AE25" i="28"/>
  <c r="AN25" i="28" s="1"/>
  <c r="AD25" i="28"/>
  <c r="Y25" i="28"/>
  <c r="V25" i="28"/>
  <c r="T25" i="28"/>
  <c r="AM24" i="28"/>
  <c r="AL24" i="28"/>
  <c r="AK24" i="28"/>
  <c r="AJ24" i="28"/>
  <c r="AI24" i="28"/>
  <c r="AH24" i="28"/>
  <c r="AG24" i="28"/>
  <c r="AF24" i="28"/>
  <c r="AE24" i="28"/>
  <c r="AD24" i="28"/>
  <c r="Y24" i="28"/>
  <c r="V24" i="28"/>
  <c r="T24" i="28"/>
  <c r="AM23" i="28"/>
  <c r="AL23" i="28"/>
  <c r="AK23" i="28"/>
  <c r="AJ23" i="28"/>
  <c r="AI23" i="28"/>
  <c r="AH23" i="28"/>
  <c r="AG23" i="28"/>
  <c r="AF23" i="28"/>
  <c r="AE23" i="28"/>
  <c r="AD23" i="28"/>
  <c r="AN23" i="28" s="1"/>
  <c r="Y23" i="28"/>
  <c r="V23" i="28"/>
  <c r="T23" i="28"/>
  <c r="AM22" i="28"/>
  <c r="AL22" i="28"/>
  <c r="AK22" i="28"/>
  <c r="AJ22" i="28"/>
  <c r="AI22" i="28"/>
  <c r="AH22" i="28"/>
  <c r="AG22" i="28"/>
  <c r="AF22" i="28"/>
  <c r="AE22" i="28"/>
  <c r="AD22" i="28"/>
  <c r="Y22" i="28"/>
  <c r="V22" i="28"/>
  <c r="T22" i="28"/>
  <c r="AM21" i="28"/>
  <c r="AL21" i="28"/>
  <c r="AK21" i="28"/>
  <c r="AJ21" i="28"/>
  <c r="AI21" i="28"/>
  <c r="AH21" i="28"/>
  <c r="AG21" i="28"/>
  <c r="AF21" i="28"/>
  <c r="AE21" i="28"/>
  <c r="AD21" i="28"/>
  <c r="Y21" i="28"/>
  <c r="V21" i="28"/>
  <c r="T21" i="28"/>
  <c r="AM20" i="28"/>
  <c r="AL20" i="28"/>
  <c r="AK20" i="28"/>
  <c r="AJ20" i="28"/>
  <c r="AI20" i="28"/>
  <c r="AH20" i="28"/>
  <c r="AG20" i="28"/>
  <c r="AF20" i="28"/>
  <c r="AE20" i="28"/>
  <c r="AD20" i="28"/>
  <c r="Y20" i="28"/>
  <c r="V20" i="28"/>
  <c r="T20" i="28"/>
  <c r="AM19" i="28"/>
  <c r="AL19" i="28"/>
  <c r="AK19" i="28"/>
  <c r="AJ19" i="28"/>
  <c r="AI19" i="28"/>
  <c r="AH19" i="28"/>
  <c r="AG19" i="28"/>
  <c r="AF19" i="28"/>
  <c r="AE19" i="28"/>
  <c r="AD19" i="28"/>
  <c r="Y19" i="28"/>
  <c r="V19" i="28"/>
  <c r="T19" i="28"/>
  <c r="AM18" i="28"/>
  <c r="AL18" i="28"/>
  <c r="AK18" i="28"/>
  <c r="AJ18" i="28"/>
  <c r="AI18" i="28"/>
  <c r="AH18" i="28"/>
  <c r="AG18" i="28"/>
  <c r="AF18" i="28"/>
  <c r="AE18" i="28"/>
  <c r="AD18" i="28"/>
  <c r="Y18" i="28"/>
  <c r="V18" i="28"/>
  <c r="T18" i="28"/>
  <c r="AM17" i="28"/>
  <c r="AL17" i="28"/>
  <c r="AK17" i="28"/>
  <c r="AJ17" i="28"/>
  <c r="AI17" i="28"/>
  <c r="AH17" i="28"/>
  <c r="AG17" i="28"/>
  <c r="AF17" i="28"/>
  <c r="AE17" i="28"/>
  <c r="AD17" i="28"/>
  <c r="Y17" i="28"/>
  <c r="V17" i="28"/>
  <c r="T17" i="28"/>
  <c r="AM16" i="28"/>
  <c r="AL16" i="28"/>
  <c r="AK16" i="28"/>
  <c r="AJ16" i="28"/>
  <c r="AI16" i="28"/>
  <c r="AH16" i="28"/>
  <c r="AG16" i="28"/>
  <c r="AF16" i="28"/>
  <c r="AE16" i="28"/>
  <c r="AN16" i="28" s="1"/>
  <c r="AD16" i="28"/>
  <c r="Y16" i="28"/>
  <c r="V16" i="28"/>
  <c r="T16" i="28"/>
  <c r="AM15" i="28"/>
  <c r="AL15" i="28"/>
  <c r="AK15" i="28"/>
  <c r="AJ15" i="28"/>
  <c r="AI15" i="28"/>
  <c r="AH15" i="28"/>
  <c r="AG15" i="28"/>
  <c r="AF15" i="28"/>
  <c r="AE15" i="28"/>
  <c r="AD15" i="28"/>
  <c r="Y15" i="28"/>
  <c r="V15" i="28"/>
  <c r="T15" i="28"/>
  <c r="AM14" i="28"/>
  <c r="AL14" i="28"/>
  <c r="AK14" i="28"/>
  <c r="AJ14" i="28"/>
  <c r="AI14" i="28"/>
  <c r="AH14" i="28"/>
  <c r="AG14" i="28"/>
  <c r="AF14" i="28"/>
  <c r="AE14" i="28"/>
  <c r="AD14" i="28"/>
  <c r="Y14" i="28"/>
  <c r="V14" i="28"/>
  <c r="T14" i="28"/>
  <c r="AM13" i="28"/>
  <c r="AL13" i="28"/>
  <c r="AK13" i="28"/>
  <c r="AJ13" i="28"/>
  <c r="AI13" i="28"/>
  <c r="AH13" i="28"/>
  <c r="AG13" i="28"/>
  <c r="AF13" i="28"/>
  <c r="AE13" i="28"/>
  <c r="AD13" i="28"/>
  <c r="Y13" i="28"/>
  <c r="V13" i="28"/>
  <c r="T13" i="28"/>
  <c r="AM12" i="28"/>
  <c r="AL12" i="28"/>
  <c r="AK12" i="28"/>
  <c r="AJ12" i="28"/>
  <c r="AI12" i="28"/>
  <c r="AH12" i="28"/>
  <c r="AG12" i="28"/>
  <c r="AF12" i="28"/>
  <c r="AE12" i="28"/>
  <c r="AD12" i="28"/>
  <c r="Y12" i="28"/>
  <c r="V12" i="28"/>
  <c r="T12" i="28"/>
  <c r="A12" i="28"/>
  <c r="AM11" i="28"/>
  <c r="AL11" i="28"/>
  <c r="AK11" i="28"/>
  <c r="AJ11" i="28"/>
  <c r="AI11" i="28"/>
  <c r="AH11" i="28"/>
  <c r="AG11" i="28"/>
  <c r="AF11" i="28"/>
  <c r="AE11" i="28"/>
  <c r="AD11" i="28"/>
  <c r="Y11" i="28"/>
  <c r="V11" i="28"/>
  <c r="T11" i="28"/>
  <c r="AM10" i="28"/>
  <c r="AL10" i="28"/>
  <c r="AK10" i="28"/>
  <c r="AJ10" i="28"/>
  <c r="AI10" i="28"/>
  <c r="AH10" i="28"/>
  <c r="AG10" i="28"/>
  <c r="AF10" i="28"/>
  <c r="AE10" i="28"/>
  <c r="AD10" i="28"/>
  <c r="Y10" i="28"/>
  <c r="V10" i="28"/>
  <c r="T10" i="28"/>
  <c r="A10" i="28"/>
  <c r="AM9" i="28"/>
  <c r="AL9" i="28"/>
  <c r="AK9" i="28"/>
  <c r="AJ9" i="28"/>
  <c r="AI9" i="28"/>
  <c r="AH9" i="28"/>
  <c r="AG9" i="28"/>
  <c r="AF9" i="28"/>
  <c r="AE9" i="28"/>
  <c r="AN9" i="28" s="1"/>
  <c r="AD9" i="28"/>
  <c r="Y9" i="28"/>
  <c r="V9" i="28"/>
  <c r="T9" i="28"/>
  <c r="AM8" i="28"/>
  <c r="AL8" i="28"/>
  <c r="AK8" i="28"/>
  <c r="AJ8" i="28"/>
  <c r="AI8" i="28"/>
  <c r="AH8" i="28"/>
  <c r="AG8" i="28"/>
  <c r="AF8" i="28"/>
  <c r="AD8" i="28"/>
  <c r="AN8" i="28" s="1"/>
  <c r="Y8" i="28"/>
  <c r="V8" i="28"/>
  <c r="T8" i="28"/>
  <c r="AM7" i="28"/>
  <c r="AL7" i="28"/>
  <c r="AK7" i="28"/>
  <c r="AJ7" i="28"/>
  <c r="AI7" i="28"/>
  <c r="AH7" i="28"/>
  <c r="AG7" i="28"/>
  <c r="AF7" i="28"/>
  <c r="AD7" i="28"/>
  <c r="AN7" i="28" s="1"/>
  <c r="Y7" i="28"/>
  <c r="V7" i="28"/>
  <c r="T7" i="28"/>
  <c r="AM6" i="28"/>
  <c r="AL6" i="28"/>
  <c r="AK6" i="28"/>
  <c r="AJ6" i="28"/>
  <c r="AI6" i="28"/>
  <c r="AH6" i="28"/>
  <c r="AG6" i="28"/>
  <c r="AF6" i="28"/>
  <c r="AD6" i="28"/>
  <c r="AN6" i="28" s="1"/>
  <c r="Y6" i="28"/>
  <c r="V6" i="28"/>
  <c r="T6" i="28"/>
  <c r="A6" i="28"/>
  <c r="AM5" i="28"/>
  <c r="AL5" i="28"/>
  <c r="AK5" i="28"/>
  <c r="AJ5" i="28"/>
  <c r="AI5" i="28"/>
  <c r="AH5" i="28"/>
  <c r="AG5" i="28"/>
  <c r="AF5" i="28"/>
  <c r="AD5" i="28"/>
  <c r="AN5" i="28" s="1"/>
  <c r="Y5" i="28"/>
  <c r="V5" i="28"/>
  <c r="T5" i="28"/>
  <c r="F1" i="28"/>
  <c r="AM24" i="27"/>
  <c r="AL24" i="27"/>
  <c r="AK24" i="27"/>
  <c r="AJ24" i="27"/>
  <c r="AI24" i="27"/>
  <c r="AH24" i="27"/>
  <c r="AG24" i="27"/>
  <c r="AF24" i="27"/>
  <c r="AE24" i="27"/>
  <c r="AD24" i="27"/>
  <c r="AN24" i="27" s="1"/>
  <c r="Y24" i="27"/>
  <c r="V24" i="27"/>
  <c r="T24" i="27"/>
  <c r="AM23" i="27"/>
  <c r="AL23" i="27"/>
  <c r="AK23" i="27"/>
  <c r="AJ23" i="27"/>
  <c r="AI23" i="27"/>
  <c r="AH23" i="27"/>
  <c r="AG23" i="27"/>
  <c r="AF23" i="27"/>
  <c r="AE23" i="27"/>
  <c r="AD23" i="27"/>
  <c r="Y23" i="27"/>
  <c r="V23" i="27"/>
  <c r="T23" i="27"/>
  <c r="AM22" i="27"/>
  <c r="AL22" i="27"/>
  <c r="AK22" i="27"/>
  <c r="AJ22" i="27"/>
  <c r="AI22" i="27"/>
  <c r="AH22" i="27"/>
  <c r="AG22" i="27"/>
  <c r="AF22" i="27"/>
  <c r="AE22" i="27"/>
  <c r="AD22" i="27"/>
  <c r="Y22" i="27"/>
  <c r="V22" i="27"/>
  <c r="T22" i="27"/>
  <c r="AM21" i="27"/>
  <c r="AL21" i="27"/>
  <c r="AK21" i="27"/>
  <c r="AJ21" i="27"/>
  <c r="AI21" i="27"/>
  <c r="AH21" i="27"/>
  <c r="AG21" i="27"/>
  <c r="AF21" i="27"/>
  <c r="AE21" i="27"/>
  <c r="AD21" i="27"/>
  <c r="Y21" i="27"/>
  <c r="V21" i="27"/>
  <c r="T21" i="27"/>
  <c r="AM20" i="27"/>
  <c r="AL20" i="27"/>
  <c r="AK20" i="27"/>
  <c r="AJ20" i="27"/>
  <c r="AI20" i="27"/>
  <c r="AH20" i="27"/>
  <c r="AG20" i="27"/>
  <c r="AF20" i="27"/>
  <c r="AE20" i="27"/>
  <c r="AD20" i="27"/>
  <c r="Y20" i="27"/>
  <c r="V20" i="27"/>
  <c r="T20" i="27"/>
  <c r="AM19" i="27"/>
  <c r="AL19" i="27"/>
  <c r="AK19" i="27"/>
  <c r="AJ19" i="27"/>
  <c r="AI19" i="27"/>
  <c r="AH19" i="27"/>
  <c r="AG19" i="27"/>
  <c r="AF19" i="27"/>
  <c r="AE19" i="27"/>
  <c r="AD19" i="27"/>
  <c r="Y19" i="27"/>
  <c r="V19" i="27"/>
  <c r="T19" i="27"/>
  <c r="AM18" i="27"/>
  <c r="AL18" i="27"/>
  <c r="AK18" i="27"/>
  <c r="AJ18" i="27"/>
  <c r="AI18" i="27"/>
  <c r="AH18" i="27"/>
  <c r="AG18" i="27"/>
  <c r="AF18" i="27"/>
  <c r="AE18" i="27"/>
  <c r="AD18" i="27"/>
  <c r="Y18" i="27"/>
  <c r="V18" i="27"/>
  <c r="T18" i="27"/>
  <c r="AM17" i="27"/>
  <c r="AL17" i="27"/>
  <c r="AK17" i="27"/>
  <c r="AJ17" i="27"/>
  <c r="AI17" i="27"/>
  <c r="AH17" i="27"/>
  <c r="AG17" i="27"/>
  <c r="AF17" i="27"/>
  <c r="AE17" i="27"/>
  <c r="AD17" i="27"/>
  <c r="Y17" i="27"/>
  <c r="V17" i="27"/>
  <c r="T17" i="27"/>
  <c r="AM16" i="27"/>
  <c r="AL16" i="27"/>
  <c r="AK16" i="27"/>
  <c r="AJ16" i="27"/>
  <c r="AI16" i="27"/>
  <c r="AH16" i="27"/>
  <c r="AG16" i="27"/>
  <c r="AF16" i="27"/>
  <c r="AE16" i="27"/>
  <c r="AD16" i="27"/>
  <c r="Y16" i="27"/>
  <c r="V16" i="27"/>
  <c r="T16" i="27"/>
  <c r="AK15" i="27"/>
  <c r="AF15" i="27"/>
  <c r="AG15" i="27" s="1"/>
  <c r="Y15" i="27"/>
  <c r="V15" i="27"/>
  <c r="T15" i="27"/>
  <c r="AM15" i="27" s="1"/>
  <c r="AK14" i="27"/>
  <c r="AF14" i="27"/>
  <c r="AG14" i="27" s="1"/>
  <c r="Y14" i="27"/>
  <c r="A14" i="27" s="1"/>
  <c r="V14" i="27"/>
  <c r="T14" i="27"/>
  <c r="AE14" i="27" s="1"/>
  <c r="AM13" i="27"/>
  <c r="AL13" i="27"/>
  <c r="AK13" i="27"/>
  <c r="AJ13" i="27"/>
  <c r="AI13" i="27"/>
  <c r="AH13" i="27"/>
  <c r="AG13" i="27"/>
  <c r="AF13" i="27"/>
  <c r="AE13" i="27"/>
  <c r="AD13" i="27"/>
  <c r="Y13" i="27"/>
  <c r="V13" i="27"/>
  <c r="T13" i="27"/>
  <c r="AM12" i="27"/>
  <c r="AL12" i="27"/>
  <c r="AK12" i="27"/>
  <c r="AJ12" i="27"/>
  <c r="AI12" i="27"/>
  <c r="AH12" i="27"/>
  <c r="AG12" i="27"/>
  <c r="AF12" i="27"/>
  <c r="AE12" i="27"/>
  <c r="AD12" i="27"/>
  <c r="Y12" i="27"/>
  <c r="V12" i="27"/>
  <c r="T12" i="27"/>
  <c r="A12" i="27"/>
  <c r="AM11" i="27"/>
  <c r="AL11" i="27"/>
  <c r="AK11" i="27"/>
  <c r="AJ11" i="27"/>
  <c r="AI11" i="27"/>
  <c r="AH11" i="27"/>
  <c r="AG11" i="27"/>
  <c r="AF11" i="27"/>
  <c r="AE11" i="27"/>
  <c r="AD11" i="27"/>
  <c r="Y11" i="27"/>
  <c r="V11" i="27"/>
  <c r="T11" i="27"/>
  <c r="AM10" i="27"/>
  <c r="AL10" i="27"/>
  <c r="AK10" i="27"/>
  <c r="AJ10" i="27"/>
  <c r="AI10" i="27"/>
  <c r="AH10" i="27"/>
  <c r="AG10" i="27"/>
  <c r="AF10" i="27"/>
  <c r="AE10" i="27"/>
  <c r="AD10" i="27"/>
  <c r="Y10" i="27"/>
  <c r="V10" i="27"/>
  <c r="T10" i="27"/>
  <c r="A10" i="27"/>
  <c r="W14" i="27" s="1"/>
  <c r="AM9" i="27"/>
  <c r="AL9" i="27"/>
  <c r="AK9" i="27"/>
  <c r="AJ9" i="27"/>
  <c r="AI9" i="27"/>
  <c r="AH9" i="27"/>
  <c r="AG9" i="27"/>
  <c r="AF9" i="27"/>
  <c r="AE9" i="27"/>
  <c r="AD9" i="27"/>
  <c r="Y9" i="27"/>
  <c r="V9" i="27"/>
  <c r="T9" i="27"/>
  <c r="AM8" i="27"/>
  <c r="AL8" i="27"/>
  <c r="AK8" i="27"/>
  <c r="AJ8" i="27"/>
  <c r="AI8" i="27"/>
  <c r="AH8" i="27"/>
  <c r="AG8" i="27"/>
  <c r="AF8" i="27"/>
  <c r="AD8" i="27"/>
  <c r="AN8" i="27" s="1"/>
  <c r="Y8" i="27"/>
  <c r="V8" i="27"/>
  <c r="T8" i="27"/>
  <c r="AM7" i="27"/>
  <c r="AL7" i="27"/>
  <c r="AK7" i="27"/>
  <c r="AJ7" i="27"/>
  <c r="AI7" i="27"/>
  <c r="AH7" i="27"/>
  <c r="AG7" i="27"/>
  <c r="AF7" i="27"/>
  <c r="AD7" i="27"/>
  <c r="AN7" i="27" s="1"/>
  <c r="Y7" i="27"/>
  <c r="V7" i="27"/>
  <c r="T7" i="27"/>
  <c r="AM6" i="27"/>
  <c r="AL6" i="27"/>
  <c r="AK6" i="27"/>
  <c r="AJ6" i="27"/>
  <c r="AI6" i="27"/>
  <c r="AH6" i="27"/>
  <c r="AG6" i="27"/>
  <c r="AF6" i="27"/>
  <c r="AD6" i="27"/>
  <c r="AN6" i="27" s="1"/>
  <c r="Y6" i="27"/>
  <c r="V6" i="27"/>
  <c r="T6" i="27"/>
  <c r="AM5" i="27"/>
  <c r="AL5" i="27"/>
  <c r="AK5" i="27"/>
  <c r="AJ5" i="27"/>
  <c r="AI5" i="27"/>
  <c r="AH5" i="27"/>
  <c r="AG5" i="27"/>
  <c r="AF5" i="27"/>
  <c r="AD5" i="27"/>
  <c r="AN5" i="27" s="1"/>
  <c r="Y5" i="27"/>
  <c r="V5" i="27"/>
  <c r="T5" i="27"/>
  <c r="F1" i="27"/>
  <c r="AM24" i="26"/>
  <c r="AL24" i="26"/>
  <c r="AK24" i="26"/>
  <c r="AJ24" i="26"/>
  <c r="AI24" i="26"/>
  <c r="AH24" i="26"/>
  <c r="AG24" i="26"/>
  <c r="AF24" i="26"/>
  <c r="AE24" i="26"/>
  <c r="AD24" i="26"/>
  <c r="Y24" i="26"/>
  <c r="V24" i="26"/>
  <c r="T24" i="26"/>
  <c r="AM23" i="26"/>
  <c r="AL23" i="26"/>
  <c r="AK23" i="26"/>
  <c r="AJ23" i="26"/>
  <c r="AI23" i="26"/>
  <c r="AH23" i="26"/>
  <c r="AG23" i="26"/>
  <c r="AF23" i="26"/>
  <c r="AE23" i="26"/>
  <c r="AD23" i="26"/>
  <c r="Y23" i="26"/>
  <c r="V23" i="26"/>
  <c r="T23" i="26"/>
  <c r="AM22" i="26"/>
  <c r="AL22" i="26"/>
  <c r="AK22" i="26"/>
  <c r="AJ22" i="26"/>
  <c r="AI22" i="26"/>
  <c r="AH22" i="26"/>
  <c r="AG22" i="26"/>
  <c r="AF22" i="26"/>
  <c r="AE22" i="26"/>
  <c r="AD22" i="26"/>
  <c r="Y22" i="26"/>
  <c r="V22" i="26"/>
  <c r="T22" i="26"/>
  <c r="AM21" i="26"/>
  <c r="AL21" i="26"/>
  <c r="AK21" i="26"/>
  <c r="AJ21" i="26"/>
  <c r="AI21" i="26"/>
  <c r="AH21" i="26"/>
  <c r="AG21" i="26"/>
  <c r="AF21" i="26"/>
  <c r="AE21" i="26"/>
  <c r="AD21" i="26"/>
  <c r="Y21" i="26"/>
  <c r="V21" i="26"/>
  <c r="T21" i="26"/>
  <c r="AM20" i="26"/>
  <c r="AL20" i="26"/>
  <c r="AK20" i="26"/>
  <c r="AJ20" i="26"/>
  <c r="AI20" i="26"/>
  <c r="AH20" i="26"/>
  <c r="AG20" i="26"/>
  <c r="AF20" i="26"/>
  <c r="AE20" i="26"/>
  <c r="AD20" i="26"/>
  <c r="Y20" i="26"/>
  <c r="V20" i="26"/>
  <c r="T20" i="26"/>
  <c r="AM19" i="26"/>
  <c r="AL19" i="26"/>
  <c r="AK19" i="26"/>
  <c r="AJ19" i="26"/>
  <c r="AI19" i="26"/>
  <c r="AH19" i="26"/>
  <c r="AG19" i="26"/>
  <c r="AF19" i="26"/>
  <c r="AE19" i="26"/>
  <c r="AD19" i="26"/>
  <c r="Y19" i="26"/>
  <c r="V19" i="26"/>
  <c r="T19" i="26"/>
  <c r="AM18" i="26"/>
  <c r="AL18" i="26"/>
  <c r="AK18" i="26"/>
  <c r="AJ18" i="26"/>
  <c r="AI18" i="26"/>
  <c r="AH18" i="26"/>
  <c r="AG18" i="26"/>
  <c r="AF18" i="26"/>
  <c r="AE18" i="26"/>
  <c r="AD18" i="26"/>
  <c r="Y18" i="26"/>
  <c r="V18" i="26"/>
  <c r="T18" i="26"/>
  <c r="AM17" i="26"/>
  <c r="AL17" i="26"/>
  <c r="AK17" i="26"/>
  <c r="AJ17" i="26"/>
  <c r="AI17" i="26"/>
  <c r="AH17" i="26"/>
  <c r="AG17" i="26"/>
  <c r="AF17" i="26"/>
  <c r="AE17" i="26"/>
  <c r="AD17" i="26"/>
  <c r="Y17" i="26"/>
  <c r="V17" i="26"/>
  <c r="T17" i="26"/>
  <c r="AM16" i="26"/>
  <c r="AK16" i="26"/>
  <c r="AF16" i="26"/>
  <c r="AG16" i="26" s="1"/>
  <c r="Y16" i="26"/>
  <c r="V16" i="26"/>
  <c r="T16" i="26"/>
  <c r="AH16" i="26" s="1"/>
  <c r="AI16" i="26" s="1"/>
  <c r="AK15" i="26"/>
  <c r="AF15" i="26"/>
  <c r="AG15" i="26" s="1"/>
  <c r="Y15" i="26"/>
  <c r="V15" i="26"/>
  <c r="T15" i="26"/>
  <c r="AE15" i="26" s="1"/>
  <c r="AK14" i="26"/>
  <c r="AG14" i="26"/>
  <c r="AF14" i="26"/>
  <c r="Y14" i="26"/>
  <c r="V14" i="26"/>
  <c r="T14" i="26"/>
  <c r="AH14" i="26" s="1"/>
  <c r="AI14" i="26" s="1"/>
  <c r="A14" i="26"/>
  <c r="AM13" i="26"/>
  <c r="AL13" i="26"/>
  <c r="AK13" i="26"/>
  <c r="AJ13" i="26"/>
  <c r="AI13" i="26"/>
  <c r="AH13" i="26"/>
  <c r="AG13" i="26"/>
  <c r="AF13" i="26"/>
  <c r="AE13" i="26"/>
  <c r="AD13" i="26"/>
  <c r="Y13" i="26"/>
  <c r="V13" i="26"/>
  <c r="T13" i="26"/>
  <c r="AM12" i="26"/>
  <c r="AL12" i="26"/>
  <c r="AK12" i="26"/>
  <c r="AJ12" i="26"/>
  <c r="AI12" i="26"/>
  <c r="AH12" i="26"/>
  <c r="AG12" i="26"/>
  <c r="AF12" i="26"/>
  <c r="AE12" i="26"/>
  <c r="AD12" i="26"/>
  <c r="Y12" i="26"/>
  <c r="V12" i="26"/>
  <c r="T12" i="26"/>
  <c r="A12" i="26"/>
  <c r="AM11" i="26"/>
  <c r="AL11" i="26"/>
  <c r="AK11" i="26"/>
  <c r="AJ11" i="26"/>
  <c r="AI11" i="26"/>
  <c r="AH11" i="26"/>
  <c r="AG11" i="26"/>
  <c r="AF11" i="26"/>
  <c r="AE11" i="26"/>
  <c r="AD11" i="26"/>
  <c r="Y11" i="26"/>
  <c r="V11" i="26"/>
  <c r="T11" i="26"/>
  <c r="AM10" i="26"/>
  <c r="AL10" i="26"/>
  <c r="AK10" i="26"/>
  <c r="AJ10" i="26"/>
  <c r="AI10" i="26"/>
  <c r="AH10" i="26"/>
  <c r="AG10" i="26"/>
  <c r="AF10" i="26"/>
  <c r="AE10" i="26"/>
  <c r="AD10" i="26"/>
  <c r="Y10" i="26"/>
  <c r="V10" i="26"/>
  <c r="T10" i="26"/>
  <c r="A10" i="26"/>
  <c r="W12" i="26" s="1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T9" i="26"/>
  <c r="AM8" i="26"/>
  <c r="AL8" i="26"/>
  <c r="AK8" i="26"/>
  <c r="AJ8" i="26"/>
  <c r="AI8" i="26"/>
  <c r="AH8" i="26"/>
  <c r="AG8" i="26"/>
  <c r="AF8" i="26"/>
  <c r="AD8" i="26"/>
  <c r="AN8" i="26" s="1"/>
  <c r="Y8" i="26"/>
  <c r="V8" i="26"/>
  <c r="T8" i="26"/>
  <c r="AM7" i="26"/>
  <c r="AL7" i="26"/>
  <c r="AK7" i="26"/>
  <c r="AJ7" i="26"/>
  <c r="AI7" i="26"/>
  <c r="AH7" i="26"/>
  <c r="AG7" i="26"/>
  <c r="AF7" i="26"/>
  <c r="AD7" i="26"/>
  <c r="AN7" i="26" s="1"/>
  <c r="Y7" i="26"/>
  <c r="V7" i="26"/>
  <c r="T7" i="26"/>
  <c r="AM6" i="26"/>
  <c r="AL6" i="26"/>
  <c r="AK6" i="26"/>
  <c r="AJ6" i="26"/>
  <c r="AI6" i="26"/>
  <c r="AH6" i="26"/>
  <c r="AG6" i="26"/>
  <c r="AF6" i="26"/>
  <c r="AD6" i="26"/>
  <c r="AN6" i="26" s="1"/>
  <c r="Y6" i="26"/>
  <c r="V6" i="26"/>
  <c r="T6" i="26"/>
  <c r="A6" i="26"/>
  <c r="AM5" i="26"/>
  <c r="AL5" i="26"/>
  <c r="AK5" i="26"/>
  <c r="AJ5" i="26"/>
  <c r="AI5" i="26"/>
  <c r="AH5" i="26"/>
  <c r="AG5" i="26"/>
  <c r="AF5" i="26"/>
  <c r="AD5" i="26"/>
  <c r="AN5" i="26" s="1"/>
  <c r="Y5" i="26"/>
  <c r="V5" i="26"/>
  <c r="T5" i="26"/>
  <c r="F1" i="26"/>
  <c r="AM24" i="25"/>
  <c r="AL24" i="25"/>
  <c r="AK24" i="25"/>
  <c r="AJ24" i="25"/>
  <c r="AI24" i="25"/>
  <c r="AH24" i="25"/>
  <c r="AG24" i="25"/>
  <c r="AF24" i="25"/>
  <c r="AE24" i="25"/>
  <c r="AD24" i="25"/>
  <c r="AN24" i="25" s="1"/>
  <c r="Y24" i="25"/>
  <c r="W24" i="25"/>
  <c r="V24" i="25"/>
  <c r="U24" i="25"/>
  <c r="T24" i="25"/>
  <c r="AM23" i="25"/>
  <c r="AL23" i="25"/>
  <c r="AK23" i="25"/>
  <c r="AJ23" i="25"/>
  <c r="AI23" i="25"/>
  <c r="AH23" i="25"/>
  <c r="AG23" i="25"/>
  <c r="AF23" i="25"/>
  <c r="AE23" i="25"/>
  <c r="AD23" i="25"/>
  <c r="AN23" i="25" s="1"/>
  <c r="Y23" i="25"/>
  <c r="W23" i="25"/>
  <c r="V23" i="25"/>
  <c r="U23" i="25"/>
  <c r="T23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M20" i="25"/>
  <c r="AL20" i="25"/>
  <c r="AK20" i="25"/>
  <c r="AJ20" i="25"/>
  <c r="AI20" i="25"/>
  <c r="AH20" i="25"/>
  <c r="AG20" i="25"/>
  <c r="AF20" i="25"/>
  <c r="AE20" i="25"/>
  <c r="AD20" i="25"/>
  <c r="AN20" i="25" s="1"/>
  <c r="Y20" i="25"/>
  <c r="W20" i="25"/>
  <c r="V20" i="25"/>
  <c r="U20" i="25"/>
  <c r="T20" i="25"/>
  <c r="AM19" i="25"/>
  <c r="AL19" i="25"/>
  <c r="AK19" i="25"/>
  <c r="AJ19" i="25"/>
  <c r="AI19" i="25"/>
  <c r="AH19" i="25"/>
  <c r="AG19" i="25"/>
  <c r="AF19" i="25"/>
  <c r="AE19" i="25"/>
  <c r="AD19" i="25"/>
  <c r="AN19" i="25" s="1"/>
  <c r="Y19" i="25"/>
  <c r="W19" i="25"/>
  <c r="V19" i="25"/>
  <c r="U19" i="25"/>
  <c r="T19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M15" i="25"/>
  <c r="AL15" i="25"/>
  <c r="AK15" i="25"/>
  <c r="AJ15" i="25"/>
  <c r="AI15" i="25"/>
  <c r="AH15" i="25"/>
  <c r="AG15" i="25"/>
  <c r="AF15" i="25"/>
  <c r="AE15" i="25"/>
  <c r="AD15" i="25"/>
  <c r="AN15" i="25" s="1"/>
  <c r="Y15" i="25"/>
  <c r="W15" i="25"/>
  <c r="V15" i="25"/>
  <c r="U15" i="25"/>
  <c r="T15" i="25"/>
  <c r="AM14" i="25"/>
  <c r="AL14" i="25"/>
  <c r="AK14" i="25"/>
  <c r="AJ14" i="25"/>
  <c r="AI14" i="25"/>
  <c r="AH14" i="25"/>
  <c r="AG14" i="25"/>
  <c r="AF14" i="25"/>
  <c r="AE14" i="25"/>
  <c r="AD14" i="25"/>
  <c r="AN14" i="25" s="1"/>
  <c r="Y14" i="25"/>
  <c r="W14" i="25"/>
  <c r="V14" i="25"/>
  <c r="U14" i="25"/>
  <c r="T14" i="25"/>
  <c r="A14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M9" i="25"/>
  <c r="AL9" i="25"/>
  <c r="AK9" i="25"/>
  <c r="AJ9" i="25"/>
  <c r="AI9" i="25"/>
  <c r="AH9" i="25"/>
  <c r="AG9" i="25"/>
  <c r="AF9" i="25"/>
  <c r="AE9" i="25"/>
  <c r="AD9" i="25"/>
  <c r="AN9" i="25" s="1"/>
  <c r="Y9" i="25"/>
  <c r="W9" i="25"/>
  <c r="V9" i="25"/>
  <c r="U9" i="25"/>
  <c r="T9" i="25"/>
  <c r="AM8" i="25"/>
  <c r="AL8" i="25"/>
  <c r="AK8" i="25"/>
  <c r="AJ8" i="25"/>
  <c r="AI8" i="25"/>
  <c r="AH8" i="25"/>
  <c r="AG8" i="25"/>
  <c r="AF8" i="25"/>
  <c r="AD8" i="25"/>
  <c r="AN8" i="25" s="1"/>
  <c r="Y8" i="25"/>
  <c r="W8" i="25"/>
  <c r="V8" i="25"/>
  <c r="U8" i="25"/>
  <c r="T8" i="25"/>
  <c r="AM7" i="25"/>
  <c r="AL7" i="25"/>
  <c r="AK7" i="25"/>
  <c r="AJ7" i="25"/>
  <c r="AI7" i="25"/>
  <c r="AH7" i="25"/>
  <c r="AG7" i="25"/>
  <c r="AF7" i="25"/>
  <c r="AD7" i="25"/>
  <c r="AN7" i="25" s="1"/>
  <c r="Y7" i="25"/>
  <c r="W7" i="25"/>
  <c r="V7" i="25"/>
  <c r="U7" i="25"/>
  <c r="T7" i="25"/>
  <c r="AM6" i="25"/>
  <c r="AL6" i="25"/>
  <c r="AK6" i="25"/>
  <c r="AJ6" i="25"/>
  <c r="AI6" i="25"/>
  <c r="AH6" i="25"/>
  <c r="AG6" i="25"/>
  <c r="AF6" i="25"/>
  <c r="AD6" i="25"/>
  <c r="AN6" i="25" s="1"/>
  <c r="Y6" i="25"/>
  <c r="W6" i="25"/>
  <c r="V6" i="25"/>
  <c r="U6" i="25"/>
  <c r="T6" i="25"/>
  <c r="A6" i="25"/>
  <c r="AM5" i="25"/>
  <c r="AL5" i="25"/>
  <c r="AK5" i="25"/>
  <c r="AJ5" i="25"/>
  <c r="AI5" i="25"/>
  <c r="AH5" i="25"/>
  <c r="AG5" i="25"/>
  <c r="AF5" i="25"/>
  <c r="AD5" i="25"/>
  <c r="AN5" i="25" s="1"/>
  <c r="Y5" i="25"/>
  <c r="W5" i="25"/>
  <c r="V5" i="25"/>
  <c r="U5" i="25"/>
  <c r="T5" i="25"/>
  <c r="F1" i="25"/>
  <c r="AK28" i="24"/>
  <c r="AF28" i="24"/>
  <c r="AG28" i="24" s="1"/>
  <c r="Y28" i="24"/>
  <c r="V28" i="24"/>
  <c r="T28" i="24"/>
  <c r="AH28" i="24" s="1"/>
  <c r="AI28" i="24" s="1"/>
  <c r="AM27" i="24"/>
  <c r="AK27" i="24"/>
  <c r="AF27" i="24"/>
  <c r="AG27" i="24" s="1"/>
  <c r="Y27" i="24"/>
  <c r="V27" i="24"/>
  <c r="T27" i="24"/>
  <c r="AH27" i="24" s="1"/>
  <c r="AI27" i="24" s="1"/>
  <c r="AM26" i="24"/>
  <c r="AK26" i="24"/>
  <c r="AF26" i="24"/>
  <c r="AG26" i="24" s="1"/>
  <c r="Y26" i="24"/>
  <c r="V26" i="24"/>
  <c r="T26" i="24"/>
  <c r="AH26" i="24" s="1"/>
  <c r="AI26" i="24" s="1"/>
  <c r="AM25" i="24"/>
  <c r="AK25" i="24"/>
  <c r="AF25" i="24"/>
  <c r="AG25" i="24" s="1"/>
  <c r="Y25" i="24"/>
  <c r="V25" i="24"/>
  <c r="T25" i="24"/>
  <c r="AH25" i="24" s="1"/>
  <c r="AI25" i="24" s="1"/>
  <c r="AM24" i="24"/>
  <c r="AK24" i="24"/>
  <c r="AG24" i="24"/>
  <c r="AF24" i="24"/>
  <c r="Y24" i="24"/>
  <c r="V24" i="24"/>
  <c r="T24" i="24"/>
  <c r="AH24" i="24" s="1"/>
  <c r="AI24" i="24" s="1"/>
  <c r="AK23" i="24"/>
  <c r="AH23" i="24"/>
  <c r="AI23" i="24" s="1"/>
  <c r="AF23" i="24"/>
  <c r="AG23" i="24" s="1"/>
  <c r="Y23" i="24"/>
  <c r="V23" i="24"/>
  <c r="T23" i="24"/>
  <c r="AM23" i="24" s="1"/>
  <c r="AM22" i="24"/>
  <c r="AK22" i="24"/>
  <c r="AF22" i="24"/>
  <c r="AG22" i="24" s="1"/>
  <c r="Y22" i="24"/>
  <c r="V22" i="24"/>
  <c r="T22" i="24"/>
  <c r="AD22" i="24" s="1"/>
  <c r="AM21" i="24"/>
  <c r="AK21" i="24"/>
  <c r="AF21" i="24"/>
  <c r="AG21" i="24" s="1"/>
  <c r="Y21" i="24"/>
  <c r="V21" i="24"/>
  <c r="T21" i="24"/>
  <c r="AE21" i="24" s="1"/>
  <c r="AM20" i="24"/>
  <c r="AK20" i="24"/>
  <c r="AF20" i="24"/>
  <c r="AG20" i="24" s="1"/>
  <c r="Y20" i="24"/>
  <c r="V20" i="24"/>
  <c r="T20" i="24"/>
  <c r="AE20" i="24" s="1"/>
  <c r="AM19" i="24"/>
  <c r="AK19" i="24"/>
  <c r="AF19" i="24"/>
  <c r="AG19" i="24" s="1"/>
  <c r="Y19" i="24"/>
  <c r="V19" i="24"/>
  <c r="T19" i="24"/>
  <c r="AE19" i="24" s="1"/>
  <c r="AM18" i="24"/>
  <c r="AK18" i="24"/>
  <c r="AF18" i="24"/>
  <c r="AG18" i="24" s="1"/>
  <c r="Y18" i="24"/>
  <c r="V18" i="24"/>
  <c r="T18" i="24"/>
  <c r="AH18" i="24" s="1"/>
  <c r="AI18" i="24" s="1"/>
  <c r="AM17" i="24"/>
  <c r="AK17" i="24"/>
  <c r="AF17" i="24"/>
  <c r="AG17" i="24" s="1"/>
  <c r="Y17" i="24"/>
  <c r="V17" i="24"/>
  <c r="T17" i="24"/>
  <c r="AH17" i="24" s="1"/>
  <c r="AI17" i="24" s="1"/>
  <c r="AM16" i="24"/>
  <c r="AL16" i="24"/>
  <c r="AK16" i="24"/>
  <c r="AJ16" i="24"/>
  <c r="AI16" i="24"/>
  <c r="AH16" i="24"/>
  <c r="AG16" i="24"/>
  <c r="AF16" i="24"/>
  <c r="AE16" i="24"/>
  <c r="AD16" i="24"/>
  <c r="Y16" i="24"/>
  <c r="V16" i="24"/>
  <c r="T16" i="24"/>
  <c r="AM15" i="24"/>
  <c r="AL15" i="24"/>
  <c r="AK15" i="24"/>
  <c r="AJ15" i="24"/>
  <c r="AI15" i="24"/>
  <c r="AH15" i="24"/>
  <c r="AG15" i="24"/>
  <c r="AF15" i="24"/>
  <c r="AE15" i="24"/>
  <c r="AD15" i="24"/>
  <c r="Y15" i="24"/>
  <c r="V15" i="24"/>
  <c r="T15" i="24"/>
  <c r="AM14" i="24"/>
  <c r="AL14" i="24"/>
  <c r="AK14" i="24"/>
  <c r="AJ14" i="24"/>
  <c r="AI14" i="24"/>
  <c r="AH14" i="24"/>
  <c r="AG14" i="24"/>
  <c r="AF14" i="24"/>
  <c r="AE14" i="24"/>
  <c r="AN14" i="24" s="1"/>
  <c r="AD14" i="24"/>
  <c r="Y14" i="24"/>
  <c r="V14" i="24"/>
  <c r="T14" i="24"/>
  <c r="AM13" i="24"/>
  <c r="AL13" i="24"/>
  <c r="AK13" i="24"/>
  <c r="AJ13" i="24"/>
  <c r="AI13" i="24"/>
  <c r="AH13" i="24"/>
  <c r="AG13" i="24"/>
  <c r="AF13" i="24"/>
  <c r="AE13" i="24"/>
  <c r="AD13" i="24"/>
  <c r="Y13" i="24"/>
  <c r="V13" i="24"/>
  <c r="T13" i="24"/>
  <c r="AM12" i="24"/>
  <c r="AL12" i="24"/>
  <c r="AK12" i="24"/>
  <c r="AJ12" i="24"/>
  <c r="AI12" i="24"/>
  <c r="AH12" i="24"/>
  <c r="AG12" i="24"/>
  <c r="AF12" i="24"/>
  <c r="AE12" i="24"/>
  <c r="AD12" i="24"/>
  <c r="Y12" i="24"/>
  <c r="V12" i="24"/>
  <c r="T12" i="24"/>
  <c r="A12" i="24"/>
  <c r="AM11" i="24"/>
  <c r="AL11" i="24"/>
  <c r="AK11" i="24"/>
  <c r="AJ11" i="24"/>
  <c r="AI11" i="24"/>
  <c r="AH11" i="24"/>
  <c r="AG11" i="24"/>
  <c r="AF11" i="24"/>
  <c r="AE11" i="24"/>
  <c r="AN11" i="24" s="1"/>
  <c r="AD11" i="24"/>
  <c r="Y11" i="24"/>
  <c r="V11" i="24"/>
  <c r="T11" i="24"/>
  <c r="AM10" i="24"/>
  <c r="AL10" i="24"/>
  <c r="AK10" i="24"/>
  <c r="AJ10" i="24"/>
  <c r="AI10" i="24"/>
  <c r="AH10" i="24"/>
  <c r="AG10" i="24"/>
  <c r="AF10" i="24"/>
  <c r="AE10" i="24"/>
  <c r="AD10" i="24"/>
  <c r="Y10" i="24"/>
  <c r="V10" i="24"/>
  <c r="T10" i="24"/>
  <c r="A10" i="24"/>
  <c r="U9" i="24" s="1"/>
  <c r="AM9" i="24"/>
  <c r="AL9" i="24"/>
  <c r="AK9" i="24"/>
  <c r="AJ9" i="24"/>
  <c r="AI9" i="24"/>
  <c r="AH9" i="24"/>
  <c r="AG9" i="24"/>
  <c r="AF9" i="24"/>
  <c r="AE9" i="24"/>
  <c r="AD9" i="24"/>
  <c r="Y9" i="24"/>
  <c r="V9" i="24"/>
  <c r="T9" i="24"/>
  <c r="AM8" i="24"/>
  <c r="AL8" i="24"/>
  <c r="AK8" i="24"/>
  <c r="AJ8" i="24"/>
  <c r="AI8" i="24"/>
  <c r="AH8" i="24"/>
  <c r="AG8" i="24"/>
  <c r="AF8" i="24"/>
  <c r="AD8" i="24"/>
  <c r="AN8" i="24" s="1"/>
  <c r="Y8" i="24"/>
  <c r="V8" i="24"/>
  <c r="T8" i="24"/>
  <c r="AM7" i="24"/>
  <c r="AL7" i="24"/>
  <c r="AK7" i="24"/>
  <c r="AJ7" i="24"/>
  <c r="AI7" i="24"/>
  <c r="AH7" i="24"/>
  <c r="AG7" i="24"/>
  <c r="AF7" i="24"/>
  <c r="AD7" i="24"/>
  <c r="AN7" i="24" s="1"/>
  <c r="Y7" i="24"/>
  <c r="V7" i="24"/>
  <c r="T7" i="24"/>
  <c r="AM6" i="24"/>
  <c r="AL6" i="24"/>
  <c r="AK6" i="24"/>
  <c r="AJ6" i="24"/>
  <c r="AI6" i="24"/>
  <c r="AH6" i="24"/>
  <c r="AG6" i="24"/>
  <c r="AF6" i="24"/>
  <c r="AD6" i="24"/>
  <c r="AN6" i="24" s="1"/>
  <c r="Y6" i="24"/>
  <c r="V6" i="24"/>
  <c r="T6" i="24"/>
  <c r="A6" i="24"/>
  <c r="AM5" i="24"/>
  <c r="AL5" i="24"/>
  <c r="AK5" i="24"/>
  <c r="AJ5" i="24"/>
  <c r="AI5" i="24"/>
  <c r="AH5" i="24"/>
  <c r="AG5" i="24"/>
  <c r="AF5" i="24"/>
  <c r="AD5" i="24"/>
  <c r="AN5" i="24" s="1"/>
  <c r="Y5" i="24"/>
  <c r="V5" i="24"/>
  <c r="T5" i="24"/>
  <c r="F1" i="24"/>
  <c r="AM27" i="23"/>
  <c r="S29" i="68" s="1"/>
  <c r="AK27" i="23"/>
  <c r="AF27" i="23"/>
  <c r="AG27" i="23" s="1"/>
  <c r="Y27" i="23"/>
  <c r="V27" i="23"/>
  <c r="T27" i="23"/>
  <c r="AH27" i="23" s="1"/>
  <c r="AI27" i="23" s="1"/>
  <c r="AM26" i="23"/>
  <c r="AK26" i="23"/>
  <c r="AF26" i="23"/>
  <c r="AG26" i="23" s="1"/>
  <c r="Y26" i="23"/>
  <c r="A14" i="23" s="1"/>
  <c r="V26" i="23"/>
  <c r="T26" i="23"/>
  <c r="AH26" i="23" s="1"/>
  <c r="AI26" i="23" s="1"/>
  <c r="AM25" i="23"/>
  <c r="AL25" i="23"/>
  <c r="AK25" i="23"/>
  <c r="AJ25" i="23"/>
  <c r="AI25" i="23"/>
  <c r="AH25" i="23"/>
  <c r="AG25" i="23"/>
  <c r="AF25" i="23"/>
  <c r="AE25" i="23"/>
  <c r="AD25" i="23"/>
  <c r="Y25" i="23"/>
  <c r="V25" i="23"/>
  <c r="T25" i="23"/>
  <c r="AM24" i="23"/>
  <c r="AL24" i="23"/>
  <c r="AK24" i="23"/>
  <c r="AJ24" i="23"/>
  <c r="AI24" i="23"/>
  <c r="AH24" i="23"/>
  <c r="AG24" i="23"/>
  <c r="AF24" i="23"/>
  <c r="AE24" i="23"/>
  <c r="AD24" i="23"/>
  <c r="Y24" i="23"/>
  <c r="V24" i="23"/>
  <c r="T24" i="23"/>
  <c r="AM23" i="23"/>
  <c r="AL23" i="23"/>
  <c r="AK23" i="23"/>
  <c r="AJ23" i="23"/>
  <c r="AI23" i="23"/>
  <c r="AH23" i="23"/>
  <c r="AG23" i="23"/>
  <c r="AF23" i="23"/>
  <c r="AE23" i="23"/>
  <c r="AD23" i="23"/>
  <c r="Y23" i="23"/>
  <c r="V23" i="23"/>
  <c r="T23" i="23"/>
  <c r="AM22" i="23"/>
  <c r="AL22" i="23"/>
  <c r="AK22" i="23"/>
  <c r="AJ22" i="23"/>
  <c r="AI22" i="23"/>
  <c r="AH22" i="23"/>
  <c r="AG22" i="23"/>
  <c r="AF22" i="23"/>
  <c r="AE22" i="23"/>
  <c r="AD22" i="23"/>
  <c r="Y22" i="23"/>
  <c r="V22" i="23"/>
  <c r="T22" i="23"/>
  <c r="AM21" i="23"/>
  <c r="AL21" i="23"/>
  <c r="AK21" i="23"/>
  <c r="AJ21" i="23"/>
  <c r="AI21" i="23"/>
  <c r="AH21" i="23"/>
  <c r="AG21" i="23"/>
  <c r="AF21" i="23"/>
  <c r="AE21" i="23"/>
  <c r="AD21" i="23"/>
  <c r="Y21" i="23"/>
  <c r="V21" i="23"/>
  <c r="T21" i="23"/>
  <c r="AM20" i="23"/>
  <c r="AL20" i="23"/>
  <c r="AK20" i="23"/>
  <c r="AJ20" i="23"/>
  <c r="AI20" i="23"/>
  <c r="AH20" i="23"/>
  <c r="AG20" i="23"/>
  <c r="AF20" i="23"/>
  <c r="AE20" i="23"/>
  <c r="AD20" i="23"/>
  <c r="Y20" i="23"/>
  <c r="V20" i="23"/>
  <c r="T20" i="23"/>
  <c r="AM19" i="23"/>
  <c r="AL19" i="23"/>
  <c r="AK19" i="23"/>
  <c r="AJ19" i="23"/>
  <c r="AI19" i="23"/>
  <c r="AH19" i="23"/>
  <c r="AG19" i="23"/>
  <c r="AF19" i="23"/>
  <c r="AE19" i="23"/>
  <c r="AD19" i="23"/>
  <c r="Y19" i="23"/>
  <c r="V19" i="23"/>
  <c r="T19" i="23"/>
  <c r="AM18" i="23"/>
  <c r="AL18" i="23"/>
  <c r="AK18" i="23"/>
  <c r="AJ18" i="23"/>
  <c r="AI18" i="23"/>
  <c r="AH18" i="23"/>
  <c r="AG18" i="23"/>
  <c r="AF18" i="23"/>
  <c r="AE18" i="23"/>
  <c r="AD18" i="23"/>
  <c r="Y18" i="23"/>
  <c r="V18" i="23"/>
  <c r="T18" i="23"/>
  <c r="AM17" i="23"/>
  <c r="AL17" i="23"/>
  <c r="AK17" i="23"/>
  <c r="AJ17" i="23"/>
  <c r="AI17" i="23"/>
  <c r="AH17" i="23"/>
  <c r="AG17" i="23"/>
  <c r="AF17" i="23"/>
  <c r="AE17" i="23"/>
  <c r="AD17" i="23"/>
  <c r="Y17" i="23"/>
  <c r="V17" i="23"/>
  <c r="T17" i="23"/>
  <c r="AM16" i="23"/>
  <c r="AL16" i="23"/>
  <c r="AK16" i="23"/>
  <c r="AJ16" i="23"/>
  <c r="AI16" i="23"/>
  <c r="AH16" i="23"/>
  <c r="AG16" i="23"/>
  <c r="AF16" i="23"/>
  <c r="AE16" i="23"/>
  <c r="AD16" i="23"/>
  <c r="Y16" i="23"/>
  <c r="V16" i="23"/>
  <c r="T16" i="23"/>
  <c r="AM15" i="23"/>
  <c r="AL15" i="23"/>
  <c r="AK15" i="23"/>
  <c r="AJ15" i="23"/>
  <c r="AI15" i="23"/>
  <c r="AH15" i="23"/>
  <c r="AG15" i="23"/>
  <c r="AF15" i="23"/>
  <c r="AE15" i="23"/>
  <c r="AD15" i="23"/>
  <c r="Y15" i="23"/>
  <c r="V15" i="23"/>
  <c r="T15" i="23"/>
  <c r="AM14" i="23"/>
  <c r="AL14" i="23"/>
  <c r="AK14" i="23"/>
  <c r="AJ14" i="23"/>
  <c r="AI14" i="23"/>
  <c r="AH14" i="23"/>
  <c r="AG14" i="23"/>
  <c r="AF14" i="23"/>
  <c r="AE14" i="23"/>
  <c r="AN14" i="23" s="1"/>
  <c r="AD14" i="23"/>
  <c r="Y14" i="23"/>
  <c r="V14" i="23"/>
  <c r="T14" i="23"/>
  <c r="AM13" i="23"/>
  <c r="AL13" i="23"/>
  <c r="AK13" i="23"/>
  <c r="AJ13" i="23"/>
  <c r="AI13" i="23"/>
  <c r="AH13" i="23"/>
  <c r="AG13" i="23"/>
  <c r="AF13" i="23"/>
  <c r="AE13" i="23"/>
  <c r="AD13" i="23"/>
  <c r="Y13" i="23"/>
  <c r="V13" i="23"/>
  <c r="T13" i="23"/>
  <c r="AM12" i="23"/>
  <c r="AL12" i="23"/>
  <c r="AK12" i="23"/>
  <c r="AJ12" i="23"/>
  <c r="AI12" i="23"/>
  <c r="AH12" i="23"/>
  <c r="AG12" i="23"/>
  <c r="AF12" i="23"/>
  <c r="AE12" i="23"/>
  <c r="AD12" i="23"/>
  <c r="Y12" i="23"/>
  <c r="V12" i="23"/>
  <c r="T12" i="23"/>
  <c r="A12" i="23"/>
  <c r="AM11" i="23"/>
  <c r="AL11" i="23"/>
  <c r="AK11" i="23"/>
  <c r="AJ11" i="23"/>
  <c r="AI11" i="23"/>
  <c r="AH11" i="23"/>
  <c r="AG11" i="23"/>
  <c r="AF11" i="23"/>
  <c r="AE11" i="23"/>
  <c r="AD11" i="23"/>
  <c r="Y11" i="23"/>
  <c r="V11" i="23"/>
  <c r="T11" i="23"/>
  <c r="AM10" i="23"/>
  <c r="AL10" i="23"/>
  <c r="AK10" i="23"/>
  <c r="AJ10" i="23"/>
  <c r="AI10" i="23"/>
  <c r="AH10" i="23"/>
  <c r="AG10" i="23"/>
  <c r="AF10" i="23"/>
  <c r="AE10" i="23"/>
  <c r="AD10" i="23"/>
  <c r="Y10" i="23"/>
  <c r="V10" i="23"/>
  <c r="T10" i="23"/>
  <c r="A10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T9" i="23"/>
  <c r="AM8" i="23"/>
  <c r="AL8" i="23"/>
  <c r="AK8" i="23"/>
  <c r="AJ8" i="23"/>
  <c r="AI8" i="23"/>
  <c r="AH8" i="23"/>
  <c r="AG8" i="23"/>
  <c r="AF8" i="23"/>
  <c r="AD8" i="23"/>
  <c r="AN8" i="23" s="1"/>
  <c r="Y8" i="23"/>
  <c r="V8" i="23"/>
  <c r="T8" i="23"/>
  <c r="AM7" i="23"/>
  <c r="AL7" i="23"/>
  <c r="AK7" i="23"/>
  <c r="AJ7" i="23"/>
  <c r="AI7" i="23"/>
  <c r="AH7" i="23"/>
  <c r="AG7" i="23"/>
  <c r="AF7" i="23"/>
  <c r="AD7" i="23"/>
  <c r="AN7" i="23" s="1"/>
  <c r="Y7" i="23"/>
  <c r="V7" i="23"/>
  <c r="T7" i="23"/>
  <c r="AM6" i="23"/>
  <c r="AL6" i="23"/>
  <c r="AK6" i="23"/>
  <c r="AJ6" i="23"/>
  <c r="AI6" i="23"/>
  <c r="AH6" i="23"/>
  <c r="AG6" i="23"/>
  <c r="AF6" i="23"/>
  <c r="AD6" i="23"/>
  <c r="AN6" i="23" s="1"/>
  <c r="Y6" i="23"/>
  <c r="V6" i="23"/>
  <c r="T6" i="23"/>
  <c r="A6" i="23"/>
  <c r="AM5" i="23"/>
  <c r="AL5" i="23"/>
  <c r="AK5" i="23"/>
  <c r="AJ5" i="23"/>
  <c r="AI5" i="23"/>
  <c r="AH5" i="23"/>
  <c r="AG5" i="23"/>
  <c r="AF5" i="23"/>
  <c r="AD5" i="23"/>
  <c r="AN5" i="23" s="1"/>
  <c r="Y5" i="23"/>
  <c r="V5" i="23"/>
  <c r="T5" i="23"/>
  <c r="F1" i="23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M22" i="72"/>
  <c r="AL22" i="72"/>
  <c r="AK22" i="72"/>
  <c r="AJ22" i="72"/>
  <c r="AI22" i="72"/>
  <c r="AH22" i="72"/>
  <c r="AG22" i="72"/>
  <c r="AF22" i="72"/>
  <c r="AE22" i="72"/>
  <c r="AD22" i="72"/>
  <c r="AN22" i="72" s="1"/>
  <c r="Y22" i="72"/>
  <c r="W22" i="72"/>
  <c r="V22" i="72"/>
  <c r="U22" i="72"/>
  <c r="T22" i="72"/>
  <c r="AM21" i="72"/>
  <c r="AL21" i="72"/>
  <c r="AK21" i="72"/>
  <c r="AJ21" i="72"/>
  <c r="AI21" i="72"/>
  <c r="AH21" i="72"/>
  <c r="AG21" i="72"/>
  <c r="AF21" i="72"/>
  <c r="AE21" i="72"/>
  <c r="AD21" i="72"/>
  <c r="AN21" i="72" s="1"/>
  <c r="Y21" i="72"/>
  <c r="W21" i="72"/>
  <c r="V21" i="72"/>
  <c r="U21" i="72"/>
  <c r="T21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M13" i="72"/>
  <c r="AL13" i="72"/>
  <c r="AK13" i="72"/>
  <c r="AJ13" i="72"/>
  <c r="AI13" i="72"/>
  <c r="AH13" i="72"/>
  <c r="AG13" i="72"/>
  <c r="AF13" i="72"/>
  <c r="AE13" i="72"/>
  <c r="AD13" i="72"/>
  <c r="AN13" i="72" s="1"/>
  <c r="Y13" i="72"/>
  <c r="W13" i="72"/>
  <c r="V13" i="72"/>
  <c r="U13" i="72"/>
  <c r="T13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M8" i="72"/>
  <c r="AL8" i="72"/>
  <c r="AK8" i="72"/>
  <c r="AJ8" i="72"/>
  <c r="AI8" i="72"/>
  <c r="AH8" i="72"/>
  <c r="AG8" i="72"/>
  <c r="AF8" i="72"/>
  <c r="AD8" i="72"/>
  <c r="AN8" i="72" s="1"/>
  <c r="Y8" i="72"/>
  <c r="W8" i="72"/>
  <c r="V8" i="72"/>
  <c r="U8" i="72"/>
  <c r="T8" i="72"/>
  <c r="AM7" i="72"/>
  <c r="AL7" i="72"/>
  <c r="AK7" i="72"/>
  <c r="AJ7" i="72"/>
  <c r="AI7" i="72"/>
  <c r="AH7" i="72"/>
  <c r="AG7" i="72"/>
  <c r="AF7" i="72"/>
  <c r="AD7" i="72"/>
  <c r="AN7" i="72" s="1"/>
  <c r="Y7" i="72"/>
  <c r="W7" i="72"/>
  <c r="V7" i="72"/>
  <c r="U7" i="72"/>
  <c r="T7" i="72"/>
  <c r="AM6" i="72"/>
  <c r="AL6" i="72"/>
  <c r="AK6" i="72"/>
  <c r="AJ6" i="72"/>
  <c r="AI6" i="72"/>
  <c r="AH6" i="72"/>
  <c r="AG6" i="72"/>
  <c r="AF6" i="72"/>
  <c r="AD6" i="72"/>
  <c r="AN6" i="72" s="1"/>
  <c r="Y6" i="72"/>
  <c r="W6" i="72"/>
  <c r="V6" i="72"/>
  <c r="U6" i="72"/>
  <c r="T6" i="72"/>
  <c r="A6" i="72"/>
  <c r="AM5" i="72"/>
  <c r="AL5" i="72"/>
  <c r="AK5" i="72"/>
  <c r="AJ5" i="72"/>
  <c r="AI5" i="72"/>
  <c r="AH5" i="72"/>
  <c r="AG5" i="72"/>
  <c r="AF5" i="72"/>
  <c r="AD5" i="72"/>
  <c r="AN5" i="72" s="1"/>
  <c r="Y5" i="72"/>
  <c r="W5" i="72"/>
  <c r="V5" i="72"/>
  <c r="U5" i="72"/>
  <c r="T5" i="72"/>
  <c r="F1" i="72"/>
  <c r="AM22" i="70"/>
  <c r="AK22" i="70"/>
  <c r="AF22" i="70"/>
  <c r="AG22" i="70" s="1"/>
  <c r="AE22" i="70"/>
  <c r="Y22" i="70"/>
  <c r="V22" i="70"/>
  <c r="T22" i="70"/>
  <c r="AD22" i="70" s="1"/>
  <c r="AM21" i="70"/>
  <c r="AK21" i="70"/>
  <c r="AH21" i="70"/>
  <c r="AI21" i="70" s="1"/>
  <c r="AF21" i="70"/>
  <c r="AG21" i="70" s="1"/>
  <c r="Y21" i="70"/>
  <c r="V21" i="70"/>
  <c r="T21" i="70"/>
  <c r="AE21" i="70" s="1"/>
  <c r="AM20" i="70"/>
  <c r="AK20" i="70"/>
  <c r="AH20" i="70"/>
  <c r="AI20" i="70" s="1"/>
  <c r="AG20" i="70"/>
  <c r="AL20" i="70" s="1"/>
  <c r="AF20" i="70"/>
  <c r="Y20" i="70"/>
  <c r="V20" i="70"/>
  <c r="T20" i="70"/>
  <c r="AE20" i="70" s="1"/>
  <c r="AM19" i="70"/>
  <c r="AK19" i="70"/>
  <c r="AF19" i="70"/>
  <c r="AG19" i="70" s="1"/>
  <c r="Y19" i="70"/>
  <c r="V19" i="70"/>
  <c r="T19" i="70"/>
  <c r="AE19" i="70" s="1"/>
  <c r="AK18" i="70"/>
  <c r="AF18" i="70"/>
  <c r="AG18" i="70" s="1"/>
  <c r="Y18" i="70"/>
  <c r="V18" i="70"/>
  <c r="T18" i="70"/>
  <c r="AH18" i="70" s="1"/>
  <c r="AI18" i="70" s="1"/>
  <c r="AM17" i="70"/>
  <c r="AK17" i="70"/>
  <c r="AF17" i="70"/>
  <c r="AG17" i="70" s="1"/>
  <c r="Y17" i="70"/>
  <c r="V17" i="70"/>
  <c r="T17" i="70"/>
  <c r="AH17" i="70" s="1"/>
  <c r="AI17" i="70" s="1"/>
  <c r="AK16" i="70"/>
  <c r="AF16" i="70"/>
  <c r="AG16" i="70" s="1"/>
  <c r="Y16" i="70"/>
  <c r="V16" i="70"/>
  <c r="AM16" i="70"/>
  <c r="AK15" i="70"/>
  <c r="AF15" i="70"/>
  <c r="AG15" i="70" s="1"/>
  <c r="AE15" i="70"/>
  <c r="AD15" i="70"/>
  <c r="Y15" i="70"/>
  <c r="V15" i="70"/>
  <c r="AM15" i="70"/>
  <c r="AM14" i="70"/>
  <c r="AK14" i="70"/>
  <c r="AH14" i="70"/>
  <c r="AI14" i="70" s="1"/>
  <c r="AF14" i="70"/>
  <c r="AG14" i="70" s="1"/>
  <c r="AE14" i="70"/>
  <c r="Y14" i="70"/>
  <c r="V14" i="70"/>
  <c r="T14" i="70"/>
  <c r="AD14" i="70" s="1"/>
  <c r="AM13" i="70"/>
  <c r="AK13" i="70"/>
  <c r="AH13" i="70"/>
  <c r="AI13" i="70" s="1"/>
  <c r="AF13" i="70"/>
  <c r="AG13" i="70" s="1"/>
  <c r="AD13" i="70"/>
  <c r="Y13" i="70"/>
  <c r="V13" i="70"/>
  <c r="T13" i="70"/>
  <c r="AE13" i="70" s="1"/>
  <c r="AK12" i="70"/>
  <c r="AF12" i="70"/>
  <c r="AG12" i="70" s="1"/>
  <c r="AE12" i="70"/>
  <c r="Y12" i="70"/>
  <c r="V12" i="70"/>
  <c r="T12" i="70"/>
  <c r="AD12" i="70" s="1"/>
  <c r="A12" i="70"/>
  <c r="AM11" i="70"/>
  <c r="AK11" i="70"/>
  <c r="AH11" i="70"/>
  <c r="AI11" i="70" s="1"/>
  <c r="AG11" i="70"/>
  <c r="AF11" i="70"/>
  <c r="Y11" i="70"/>
  <c r="W11" i="70"/>
  <c r="V11" i="70"/>
  <c r="T11" i="70"/>
  <c r="AE11" i="70" s="1"/>
  <c r="AK10" i="70"/>
  <c r="AI10" i="70"/>
  <c r="AH10" i="70"/>
  <c r="AF10" i="70"/>
  <c r="AG10" i="70" s="1"/>
  <c r="Y10" i="70"/>
  <c r="V10" i="70"/>
  <c r="T10" i="70"/>
  <c r="AE10" i="70" s="1"/>
  <c r="A10" i="70"/>
  <c r="AK9" i="70"/>
  <c r="AF9" i="70"/>
  <c r="AG9" i="70" s="1"/>
  <c r="Y9" i="70"/>
  <c r="W9" i="70"/>
  <c r="V9" i="70"/>
  <c r="T9" i="70"/>
  <c r="AH9" i="70" s="1"/>
  <c r="AI9" i="70" s="1"/>
  <c r="AM8" i="70"/>
  <c r="AK8" i="70"/>
  <c r="AG8" i="70"/>
  <c r="AL8" i="70" s="1"/>
  <c r="AF8" i="70"/>
  <c r="Y8" i="70"/>
  <c r="V8" i="70"/>
  <c r="T8" i="70"/>
  <c r="AH8" i="70" s="1"/>
  <c r="AI8" i="70" s="1"/>
  <c r="AM7" i="70"/>
  <c r="AK7" i="70"/>
  <c r="AG7" i="70"/>
  <c r="AL7" i="70" s="1"/>
  <c r="AF7" i="70"/>
  <c r="Y7" i="70"/>
  <c r="V7" i="70"/>
  <c r="T7" i="70"/>
  <c r="AH7" i="70" s="1"/>
  <c r="AI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G5" i="70"/>
  <c r="AF5" i="70"/>
  <c r="Y5" i="70"/>
  <c r="V5" i="70"/>
  <c r="T5" i="70"/>
  <c r="AM5" i="70" s="1"/>
  <c r="F1" i="70"/>
  <c r="AM67" i="69"/>
  <c r="AK67" i="69"/>
  <c r="AF67" i="69"/>
  <c r="AG67" i="69" s="1"/>
  <c r="Y67" i="69"/>
  <c r="V67" i="69"/>
  <c r="T67" i="69"/>
  <c r="AH67" i="69" s="1"/>
  <c r="AI67" i="69" s="1"/>
  <c r="AM66" i="69"/>
  <c r="AK66" i="69"/>
  <c r="AF66" i="69"/>
  <c r="AG66" i="69" s="1"/>
  <c r="Y66" i="69"/>
  <c r="V66" i="69"/>
  <c r="T66" i="69"/>
  <c r="AH66" i="69" s="1"/>
  <c r="AI66" i="69" s="1"/>
  <c r="AM65" i="69"/>
  <c r="AK65" i="69"/>
  <c r="AG65" i="69"/>
  <c r="AF65" i="69"/>
  <c r="Y65" i="69"/>
  <c r="V65" i="69"/>
  <c r="T65" i="69"/>
  <c r="AH65" i="69" s="1"/>
  <c r="AI65" i="69" s="1"/>
  <c r="AM64" i="69"/>
  <c r="AK64" i="69"/>
  <c r="AF64" i="69"/>
  <c r="AG64" i="69" s="1"/>
  <c r="Y64" i="69"/>
  <c r="V64" i="69"/>
  <c r="T64" i="69"/>
  <c r="AH64" i="69" s="1"/>
  <c r="AI64" i="69" s="1"/>
  <c r="AM63" i="69"/>
  <c r="AK63" i="69"/>
  <c r="AF63" i="69"/>
  <c r="AG63" i="69" s="1"/>
  <c r="Y63" i="69"/>
  <c r="V63" i="69"/>
  <c r="T63" i="69"/>
  <c r="AH63" i="69" s="1"/>
  <c r="AI63" i="69" s="1"/>
  <c r="AM62" i="69"/>
  <c r="AK62" i="69"/>
  <c r="AF62" i="69"/>
  <c r="AG62" i="69" s="1"/>
  <c r="Y62" i="69"/>
  <c r="V62" i="69"/>
  <c r="T62" i="69"/>
  <c r="AH62" i="69" s="1"/>
  <c r="AI62" i="69" s="1"/>
  <c r="AM61" i="69"/>
  <c r="AK61" i="69"/>
  <c r="AF61" i="69"/>
  <c r="AG61" i="69" s="1"/>
  <c r="AE61" i="69"/>
  <c r="AD61" i="69"/>
  <c r="Y61" i="69"/>
  <c r="V61" i="69"/>
  <c r="T61" i="69"/>
  <c r="AH61" i="69" s="1"/>
  <c r="AI61" i="69" s="1"/>
  <c r="AM60" i="69"/>
  <c r="AK60" i="69"/>
  <c r="AF60" i="69"/>
  <c r="AG60" i="69" s="1"/>
  <c r="Y60" i="69"/>
  <c r="V60" i="69"/>
  <c r="T60" i="69"/>
  <c r="AE60" i="69" s="1"/>
  <c r="AK36" i="69"/>
  <c r="AH36" i="69"/>
  <c r="AI36" i="69" s="1"/>
  <c r="AF36" i="69"/>
  <c r="AG36" i="69" s="1"/>
  <c r="Y36" i="69"/>
  <c r="V36" i="69"/>
  <c r="T36" i="69"/>
  <c r="AE36" i="69" s="1"/>
  <c r="AK35" i="69"/>
  <c r="AG35" i="69"/>
  <c r="AF35" i="69"/>
  <c r="Y35" i="69"/>
  <c r="V35" i="69"/>
  <c r="T35" i="69"/>
  <c r="AH35" i="69" s="1"/>
  <c r="AI35" i="69" s="1"/>
  <c r="AK34" i="69"/>
  <c r="AF34" i="69"/>
  <c r="AG34" i="69" s="1"/>
  <c r="Y34" i="69"/>
  <c r="V34" i="69"/>
  <c r="T34" i="69"/>
  <c r="AH34" i="69" s="1"/>
  <c r="AI34" i="69" s="1"/>
  <c r="AM33" i="69"/>
  <c r="AK33" i="69"/>
  <c r="AF33" i="69"/>
  <c r="AG33" i="69" s="1"/>
  <c r="Y33" i="69"/>
  <c r="V33" i="69"/>
  <c r="T33" i="69"/>
  <c r="AH33" i="69" s="1"/>
  <c r="AI33" i="69" s="1"/>
  <c r="AK32" i="69"/>
  <c r="AF32" i="69"/>
  <c r="AG32" i="69" s="1"/>
  <c r="Y32" i="69"/>
  <c r="V32" i="69"/>
  <c r="T32" i="69"/>
  <c r="AM32" i="69" s="1"/>
  <c r="AK31" i="69"/>
  <c r="AF31" i="69"/>
  <c r="AG31" i="69" s="1"/>
  <c r="AE31" i="69"/>
  <c r="AD31" i="69"/>
  <c r="Y31" i="69"/>
  <c r="V31" i="69"/>
  <c r="T31" i="69"/>
  <c r="AM31" i="69" s="1"/>
  <c r="AK30" i="69"/>
  <c r="AF30" i="69"/>
  <c r="AG30" i="69" s="1"/>
  <c r="AE30" i="69"/>
  <c r="Y30" i="69"/>
  <c r="V30" i="69"/>
  <c r="T30" i="69"/>
  <c r="AM30" i="69" s="1"/>
  <c r="AK29" i="69"/>
  <c r="AF29" i="69"/>
  <c r="AG29" i="69" s="1"/>
  <c r="AD29" i="69"/>
  <c r="Y29" i="69"/>
  <c r="V29" i="69"/>
  <c r="T29" i="69"/>
  <c r="AM29" i="69" s="1"/>
  <c r="AK28" i="69"/>
  <c r="AG28" i="69"/>
  <c r="AF28" i="69"/>
  <c r="Y28" i="69"/>
  <c r="V28" i="69"/>
  <c r="T28" i="69"/>
  <c r="AD28" i="69" s="1"/>
  <c r="AK27" i="69"/>
  <c r="AF27" i="69"/>
  <c r="AG27" i="69" s="1"/>
  <c r="Y27" i="69"/>
  <c r="V27" i="69"/>
  <c r="T27" i="69"/>
  <c r="AE27" i="69" s="1"/>
  <c r="AK26" i="69"/>
  <c r="AF26" i="69"/>
  <c r="AG26" i="69" s="1"/>
  <c r="Y26" i="69"/>
  <c r="V26" i="69"/>
  <c r="T26" i="69"/>
  <c r="AE26" i="69" s="1"/>
  <c r="AK25" i="69"/>
  <c r="AF25" i="69"/>
  <c r="AG25" i="69" s="1"/>
  <c r="Y25" i="69"/>
  <c r="V25" i="69"/>
  <c r="T25" i="69"/>
  <c r="AE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H23" i="69" s="1"/>
  <c r="AI23" i="69" s="1"/>
  <c r="AK22" i="69"/>
  <c r="AF22" i="69"/>
  <c r="AG22" i="69" s="1"/>
  <c r="Y22" i="69"/>
  <c r="V22" i="69"/>
  <c r="T22" i="69"/>
  <c r="AH22" i="69" s="1"/>
  <c r="AI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M20" i="69" s="1"/>
  <c r="AK19" i="69"/>
  <c r="AH19" i="69"/>
  <c r="AI19" i="69" s="1"/>
  <c r="AF19" i="69"/>
  <c r="AG19" i="69" s="1"/>
  <c r="AE19" i="69"/>
  <c r="AD19" i="69"/>
  <c r="Y19" i="69"/>
  <c r="V19" i="69"/>
  <c r="T19" i="69"/>
  <c r="AM19" i="69" s="1"/>
  <c r="AK18" i="69"/>
  <c r="AF18" i="69"/>
  <c r="AG18" i="69" s="1"/>
  <c r="Y18" i="69"/>
  <c r="V18" i="69"/>
  <c r="T18" i="69"/>
  <c r="AM18" i="69" s="1"/>
  <c r="AK17" i="69"/>
  <c r="AF17" i="69"/>
  <c r="AG17" i="69" s="1"/>
  <c r="AD17" i="69"/>
  <c r="Y17" i="69"/>
  <c r="V17" i="69"/>
  <c r="T17" i="69"/>
  <c r="AM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K14" i="69"/>
  <c r="AF14" i="69"/>
  <c r="AG14" i="69" s="1"/>
  <c r="Y14" i="69"/>
  <c r="V14" i="69"/>
  <c r="T14" i="69"/>
  <c r="AE14" i="69" s="1"/>
  <c r="AK13" i="69"/>
  <c r="AF13" i="69"/>
  <c r="AG13" i="69" s="1"/>
  <c r="Y13" i="69"/>
  <c r="V13" i="69"/>
  <c r="T13" i="69"/>
  <c r="AH13" i="69" s="1"/>
  <c r="AI13" i="69" s="1"/>
  <c r="AK12" i="69"/>
  <c r="AF12" i="69"/>
  <c r="AG12" i="69" s="1"/>
  <c r="Y12" i="69"/>
  <c r="V12" i="69"/>
  <c r="T12" i="69"/>
  <c r="AH12" i="69" s="1"/>
  <c r="AI12" i="69" s="1"/>
  <c r="A12" i="69"/>
  <c r="AK11" i="69"/>
  <c r="AF11" i="69"/>
  <c r="AG11" i="69" s="1"/>
  <c r="Y11" i="69"/>
  <c r="V11" i="69"/>
  <c r="T11" i="69"/>
  <c r="AH11" i="69" s="1"/>
  <c r="AI11" i="69" s="1"/>
  <c r="AK10" i="69"/>
  <c r="AF10" i="69"/>
  <c r="AG10" i="69" s="1"/>
  <c r="Y10" i="69"/>
  <c r="V10" i="69"/>
  <c r="T10" i="69"/>
  <c r="AM10" i="69" s="1"/>
  <c r="A10" i="69"/>
  <c r="W21" i="69" s="1"/>
  <c r="AK9" i="69"/>
  <c r="AI9" i="69"/>
  <c r="AH9" i="69"/>
  <c r="AF9" i="69"/>
  <c r="AG9" i="69" s="1"/>
  <c r="AE9" i="69"/>
  <c r="AD9" i="69"/>
  <c r="Y9" i="69"/>
  <c r="V9" i="69"/>
  <c r="T9" i="69"/>
  <c r="AM9" i="69" s="1"/>
  <c r="AK8" i="69"/>
  <c r="AF8" i="69"/>
  <c r="AG8" i="69" s="1"/>
  <c r="Y8" i="69"/>
  <c r="V8" i="69"/>
  <c r="T8" i="69"/>
  <c r="AM8" i="69" s="1"/>
  <c r="AK7" i="69"/>
  <c r="AF7" i="69"/>
  <c r="AG7" i="69" s="1"/>
  <c r="AD7" i="69"/>
  <c r="Y7" i="69"/>
  <c r="V7" i="69"/>
  <c r="T7" i="69"/>
  <c r="AM7" i="69" s="1"/>
  <c r="AK6" i="69"/>
  <c r="AH6" i="69"/>
  <c r="AI6" i="69" s="1"/>
  <c r="AG6" i="69"/>
  <c r="AF6" i="69"/>
  <c r="AD6" i="69"/>
  <c r="Y6" i="69"/>
  <c r="V6" i="69"/>
  <c r="T6" i="69"/>
  <c r="AM6" i="69" s="1"/>
  <c r="AN6" i="69" s="1"/>
  <c r="A6" i="69"/>
  <c r="AK5" i="69"/>
  <c r="AF5" i="69"/>
  <c r="AG5" i="69" s="1"/>
  <c r="Y5" i="69"/>
  <c r="V5" i="69"/>
  <c r="T5" i="69"/>
  <c r="AD5" i="69" s="1"/>
  <c r="F1" i="69"/>
  <c r="AK68" i="22"/>
  <c r="AF68" i="22"/>
  <c r="AG68" i="22" s="1"/>
  <c r="Y68" i="22"/>
  <c r="V68" i="22"/>
  <c r="T68" i="22"/>
  <c r="AM68" i="22" s="1"/>
  <c r="AK67" i="22"/>
  <c r="AF67" i="22"/>
  <c r="AG67" i="22" s="1"/>
  <c r="Y67" i="22"/>
  <c r="V67" i="22"/>
  <c r="T67" i="22"/>
  <c r="AD67" i="22" s="1"/>
  <c r="AK66" i="22"/>
  <c r="AF66" i="22"/>
  <c r="AG66" i="22" s="1"/>
  <c r="Y66" i="22"/>
  <c r="V66" i="22"/>
  <c r="T66" i="22"/>
  <c r="AE66" i="22" s="1"/>
  <c r="AK65" i="22"/>
  <c r="AF65" i="22"/>
  <c r="AG65" i="22" s="1"/>
  <c r="Y65" i="22"/>
  <c r="V65" i="22"/>
  <c r="T65" i="22"/>
  <c r="AE65" i="22" s="1"/>
  <c r="AK64" i="22"/>
  <c r="AF64" i="22"/>
  <c r="AG64" i="22" s="1"/>
  <c r="Y64" i="22"/>
  <c r="V64" i="22"/>
  <c r="T64" i="22"/>
  <c r="AH64" i="22" s="1"/>
  <c r="AI64" i="22" s="1"/>
  <c r="AK63" i="22"/>
  <c r="AF63" i="22"/>
  <c r="AG63" i="22" s="1"/>
  <c r="Y63" i="22"/>
  <c r="V63" i="22"/>
  <c r="T63" i="22"/>
  <c r="AM63" i="22" s="1"/>
  <c r="AK62" i="22"/>
  <c r="AF62" i="22"/>
  <c r="AG62" i="22" s="1"/>
  <c r="Y62" i="22"/>
  <c r="V62" i="22"/>
  <c r="T62" i="22"/>
  <c r="AH62" i="22" s="1"/>
  <c r="AI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Y60" i="22"/>
  <c r="V60" i="22"/>
  <c r="T60" i="22"/>
  <c r="AM60" i="22" s="1"/>
  <c r="AK59" i="22"/>
  <c r="AF59" i="22"/>
  <c r="AG59" i="22" s="1"/>
  <c r="Y59" i="22"/>
  <c r="V59" i="22"/>
  <c r="T59" i="22"/>
  <c r="AM59" i="22" s="1"/>
  <c r="AK58" i="22"/>
  <c r="AF58" i="22"/>
  <c r="AG58" i="22" s="1"/>
  <c r="Y58" i="22"/>
  <c r="V58" i="22"/>
  <c r="T58" i="22"/>
  <c r="AM58" i="22" s="1"/>
  <c r="AK57" i="22"/>
  <c r="AF57" i="22"/>
  <c r="AG57" i="22" s="1"/>
  <c r="Y57" i="22"/>
  <c r="V57" i="22"/>
  <c r="T57" i="22"/>
  <c r="AE57" i="22" s="1"/>
  <c r="AK56" i="22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H55" i="22" s="1"/>
  <c r="AI55" i="22" s="1"/>
  <c r="AK54" i="22"/>
  <c r="AF54" i="22"/>
  <c r="AG54" i="22" s="1"/>
  <c r="Y54" i="22"/>
  <c r="V54" i="22"/>
  <c r="T54" i="22"/>
  <c r="AM54" i="22" s="1"/>
  <c r="AM53" i="22"/>
  <c r="AK53" i="22"/>
  <c r="AF53" i="22"/>
  <c r="AG53" i="22" s="1"/>
  <c r="Y53" i="22"/>
  <c r="V53" i="22"/>
  <c r="T53" i="22"/>
  <c r="AD53" i="22" s="1"/>
  <c r="AM52" i="22"/>
  <c r="AK52" i="22"/>
  <c r="AF52" i="22"/>
  <c r="AG52" i="22" s="1"/>
  <c r="Y52" i="22"/>
  <c r="V52" i="22"/>
  <c r="T52" i="22"/>
  <c r="AH52" i="22" s="1"/>
  <c r="AI52" i="22" s="1"/>
  <c r="AK51" i="22"/>
  <c r="AF51" i="22"/>
  <c r="AG51" i="22" s="1"/>
  <c r="Y51" i="22"/>
  <c r="V51" i="22"/>
  <c r="T51" i="22"/>
  <c r="AM51" i="22" s="1"/>
  <c r="AM50" i="22"/>
  <c r="AK50" i="22"/>
  <c r="AF50" i="22"/>
  <c r="AG50" i="22" s="1"/>
  <c r="Y50" i="22"/>
  <c r="V50" i="22"/>
  <c r="T50" i="22"/>
  <c r="AD50" i="22" s="1"/>
  <c r="AK49" i="22"/>
  <c r="AF49" i="22"/>
  <c r="AG49" i="22" s="1"/>
  <c r="Y49" i="22"/>
  <c r="V49" i="22"/>
  <c r="T49" i="22"/>
  <c r="AM49" i="22" s="1"/>
  <c r="AK48" i="22"/>
  <c r="AF48" i="22"/>
  <c r="AG48" i="22" s="1"/>
  <c r="Y48" i="22"/>
  <c r="V48" i="22"/>
  <c r="T48" i="22"/>
  <c r="AE48" i="22" s="1"/>
  <c r="AK47" i="22"/>
  <c r="AF47" i="22"/>
  <c r="AG47" i="22" s="1"/>
  <c r="Y47" i="22"/>
  <c r="V47" i="22"/>
  <c r="T47" i="22"/>
  <c r="AD47" i="22" s="1"/>
  <c r="AK46" i="22"/>
  <c r="AF46" i="22"/>
  <c r="AG46" i="22" s="1"/>
  <c r="Y46" i="22"/>
  <c r="V46" i="22"/>
  <c r="T46" i="22"/>
  <c r="AE46" i="22" s="1"/>
  <c r="AK45" i="22"/>
  <c r="AF45" i="22"/>
  <c r="AG45" i="22" s="1"/>
  <c r="Y45" i="22"/>
  <c r="V45" i="22"/>
  <c r="T45" i="22"/>
  <c r="AH45" i="22" s="1"/>
  <c r="AI45" i="22" s="1"/>
  <c r="AK44" i="22"/>
  <c r="AF44" i="22"/>
  <c r="AG44" i="22" s="1"/>
  <c r="Y44" i="22"/>
  <c r="V44" i="22"/>
  <c r="T44" i="22"/>
  <c r="AD44" i="22" s="1"/>
  <c r="AK43" i="22"/>
  <c r="AF43" i="22"/>
  <c r="AG43" i="22" s="1"/>
  <c r="Y43" i="22"/>
  <c r="V43" i="22"/>
  <c r="T43" i="22"/>
  <c r="AH43" i="22" s="1"/>
  <c r="AI43" i="22" s="1"/>
  <c r="AK42" i="22"/>
  <c r="AF42" i="22"/>
  <c r="AG42" i="22" s="1"/>
  <c r="Y42" i="22"/>
  <c r="V42" i="22"/>
  <c r="T42" i="22"/>
  <c r="AH42" i="22" s="1"/>
  <c r="AI42" i="22" s="1"/>
  <c r="AK41" i="22"/>
  <c r="AF41" i="22"/>
  <c r="AG41" i="22" s="1"/>
  <c r="Y41" i="22"/>
  <c r="V41" i="22"/>
  <c r="T41" i="22"/>
  <c r="AD41" i="22" s="1"/>
  <c r="AM40" i="22"/>
  <c r="AK40" i="22"/>
  <c r="AF40" i="22"/>
  <c r="AG40" i="22" s="1"/>
  <c r="Y40" i="22"/>
  <c r="V40" i="22"/>
  <c r="T40" i="22"/>
  <c r="AH40" i="22" s="1"/>
  <c r="AI40" i="22" s="1"/>
  <c r="AK39" i="22"/>
  <c r="AF39" i="22"/>
  <c r="AG39" i="22" s="1"/>
  <c r="Y39" i="22"/>
  <c r="V39" i="22"/>
  <c r="T39" i="22"/>
  <c r="AM39" i="22" s="1"/>
  <c r="AM38" i="22"/>
  <c r="AK38" i="22"/>
  <c r="AF38" i="22"/>
  <c r="AG38" i="22" s="1"/>
  <c r="Y38" i="22"/>
  <c r="V38" i="22"/>
  <c r="T38" i="22"/>
  <c r="AD38" i="22" s="1"/>
  <c r="AM37" i="22"/>
  <c r="AK37" i="22"/>
  <c r="AF37" i="22"/>
  <c r="AG37" i="22" s="1"/>
  <c r="Y37" i="22"/>
  <c r="V37" i="22"/>
  <c r="T37" i="22"/>
  <c r="AH37" i="22" s="1"/>
  <c r="AI37" i="22" s="1"/>
  <c r="AM36" i="22"/>
  <c r="AK36" i="22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D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H33" i="22" s="1"/>
  <c r="AI33" i="22" s="1"/>
  <c r="AM32" i="22"/>
  <c r="AK32" i="22"/>
  <c r="AF32" i="22"/>
  <c r="AG32" i="22" s="1"/>
  <c r="Y32" i="22"/>
  <c r="V32" i="22"/>
  <c r="T32" i="22"/>
  <c r="AD32" i="22" s="1"/>
  <c r="AK31" i="22"/>
  <c r="AF31" i="22"/>
  <c r="AG31" i="22" s="1"/>
  <c r="Y31" i="22"/>
  <c r="V31" i="22"/>
  <c r="T31" i="22"/>
  <c r="AH31" i="22" s="1"/>
  <c r="AI31" i="22" s="1"/>
  <c r="AK30" i="22"/>
  <c r="AF30" i="22"/>
  <c r="AG30" i="22" s="1"/>
  <c r="Y30" i="22"/>
  <c r="V30" i="22"/>
  <c r="T30" i="22"/>
  <c r="AH30" i="22" s="1"/>
  <c r="AI30" i="22" s="1"/>
  <c r="AK29" i="22"/>
  <c r="AF29" i="22"/>
  <c r="AG29" i="22" s="1"/>
  <c r="Y29" i="22"/>
  <c r="V29" i="22"/>
  <c r="T29" i="22"/>
  <c r="AD29" i="22" s="1"/>
  <c r="AK28" i="22"/>
  <c r="AF28" i="22"/>
  <c r="AG28" i="22" s="1"/>
  <c r="Y28" i="22"/>
  <c r="V28" i="22"/>
  <c r="T28" i="22"/>
  <c r="AM28" i="22" s="1"/>
  <c r="AM27" i="22"/>
  <c r="AK27" i="22"/>
  <c r="AF27" i="22"/>
  <c r="AG27" i="22" s="1"/>
  <c r="Y27" i="22"/>
  <c r="V27" i="22"/>
  <c r="T27" i="22"/>
  <c r="AH27" i="22" s="1"/>
  <c r="AI27" i="22" s="1"/>
  <c r="AK26" i="22"/>
  <c r="AF26" i="22"/>
  <c r="AG26" i="22" s="1"/>
  <c r="Y26" i="22"/>
  <c r="V26" i="22"/>
  <c r="T26" i="22"/>
  <c r="AM26" i="22" s="1"/>
  <c r="AK25" i="22"/>
  <c r="AF25" i="22"/>
  <c r="AG25" i="22" s="1"/>
  <c r="Y25" i="22"/>
  <c r="V25" i="22"/>
  <c r="T25" i="22"/>
  <c r="AM25" i="22" s="1"/>
  <c r="AK24" i="22"/>
  <c r="AF24" i="22"/>
  <c r="AG24" i="22" s="1"/>
  <c r="Y24" i="22"/>
  <c r="V24" i="22"/>
  <c r="T24" i="22"/>
  <c r="AE24" i="22" s="1"/>
  <c r="AK23" i="22"/>
  <c r="AF23" i="22"/>
  <c r="AG23" i="22" s="1"/>
  <c r="Y23" i="22"/>
  <c r="V23" i="22"/>
  <c r="T23" i="22"/>
  <c r="AD23" i="22" s="1"/>
  <c r="AK22" i="22"/>
  <c r="AF22" i="22"/>
  <c r="AG22" i="22" s="1"/>
  <c r="Y22" i="22"/>
  <c r="V22" i="22"/>
  <c r="T22" i="22"/>
  <c r="AE22" i="22" s="1"/>
  <c r="AM21" i="22"/>
  <c r="AK21" i="22"/>
  <c r="AF21" i="22"/>
  <c r="AG21" i="22" s="1"/>
  <c r="Y21" i="22"/>
  <c r="V21" i="22"/>
  <c r="T21" i="22"/>
  <c r="AH21" i="22" s="1"/>
  <c r="AI21" i="22" s="1"/>
  <c r="AK20" i="22"/>
  <c r="AF20" i="22"/>
  <c r="AG20" i="22" s="1"/>
  <c r="Y20" i="22"/>
  <c r="V20" i="22"/>
  <c r="T20" i="22"/>
  <c r="AD20" i="22" s="1"/>
  <c r="AK19" i="22"/>
  <c r="AF19" i="22"/>
  <c r="AG19" i="22" s="1"/>
  <c r="Y19" i="22"/>
  <c r="V19" i="22"/>
  <c r="T19" i="22"/>
  <c r="AH19" i="22" s="1"/>
  <c r="AI19" i="22" s="1"/>
  <c r="AK18" i="22"/>
  <c r="AF18" i="22"/>
  <c r="AG18" i="22" s="1"/>
  <c r="Y18" i="22"/>
  <c r="V18" i="22"/>
  <c r="T18" i="22"/>
  <c r="AH18" i="22" s="1"/>
  <c r="AI18" i="22" s="1"/>
  <c r="AM17" i="22"/>
  <c r="AK17" i="22"/>
  <c r="AF17" i="22"/>
  <c r="AG17" i="22" s="1"/>
  <c r="Y17" i="22"/>
  <c r="V17" i="22"/>
  <c r="T17" i="22"/>
  <c r="AD17" i="22" s="1"/>
  <c r="AK16" i="22"/>
  <c r="AF16" i="22"/>
  <c r="AG16" i="22" s="1"/>
  <c r="Y16" i="22"/>
  <c r="V16" i="22"/>
  <c r="T16" i="22"/>
  <c r="AM16" i="22" s="1"/>
  <c r="AK15" i="22"/>
  <c r="AF15" i="22"/>
  <c r="AG15" i="22" s="1"/>
  <c r="Y15" i="22"/>
  <c r="V15" i="22"/>
  <c r="T15" i="22"/>
  <c r="AM15" i="22" s="1"/>
  <c r="AK14" i="22"/>
  <c r="AF14" i="22"/>
  <c r="AG14" i="22" s="1"/>
  <c r="Y14" i="22"/>
  <c r="V14" i="22"/>
  <c r="T14" i="22"/>
  <c r="AM14" i="22" s="1"/>
  <c r="AM13" i="22"/>
  <c r="AK13" i="22"/>
  <c r="AF13" i="22"/>
  <c r="AG13" i="22" s="1"/>
  <c r="Y13" i="22"/>
  <c r="V13" i="22"/>
  <c r="T13" i="22"/>
  <c r="AH13" i="22" s="1"/>
  <c r="AI13" i="22" s="1"/>
  <c r="AM12" i="22"/>
  <c r="AK12" i="22"/>
  <c r="AF12" i="22"/>
  <c r="AG12" i="22" s="1"/>
  <c r="Y12" i="22"/>
  <c r="V12" i="22"/>
  <c r="T12" i="22"/>
  <c r="AE12" i="22" s="1"/>
  <c r="A12" i="22"/>
  <c r="J25" i="68" s="1"/>
  <c r="AK11" i="22"/>
  <c r="AF11" i="22"/>
  <c r="AG11" i="22" s="1"/>
  <c r="Y11" i="22"/>
  <c r="V11" i="22"/>
  <c r="T11" i="22"/>
  <c r="AE11" i="22" s="1"/>
  <c r="AK10" i="22"/>
  <c r="AF10" i="22"/>
  <c r="AG10" i="22" s="1"/>
  <c r="Y10" i="22"/>
  <c r="V10" i="22"/>
  <c r="T10" i="22"/>
  <c r="AM10" i="22" s="1"/>
  <c r="A10" i="22"/>
  <c r="AK9" i="22"/>
  <c r="AF9" i="22"/>
  <c r="AG9" i="22" s="1"/>
  <c r="Y9" i="22"/>
  <c r="V9" i="22"/>
  <c r="T9" i="22"/>
  <c r="AM9" i="22" s="1"/>
  <c r="AM8" i="22"/>
  <c r="AK8" i="22"/>
  <c r="AF8" i="22"/>
  <c r="AG8" i="22" s="1"/>
  <c r="Y8" i="22"/>
  <c r="V8" i="22"/>
  <c r="T8" i="22"/>
  <c r="AH8" i="22" s="1"/>
  <c r="AI8" i="22" s="1"/>
  <c r="AM7" i="22"/>
  <c r="AK7" i="22"/>
  <c r="AF7" i="22"/>
  <c r="AG7" i="22" s="1"/>
  <c r="Y7" i="22"/>
  <c r="V7" i="22"/>
  <c r="T7" i="22"/>
  <c r="AD7" i="22" s="1"/>
  <c r="AM6" i="22"/>
  <c r="AK6" i="22"/>
  <c r="AF6" i="22"/>
  <c r="AG6" i="22" s="1"/>
  <c r="Y6" i="22"/>
  <c r="V6" i="22"/>
  <c r="T6" i="22"/>
  <c r="AD6" i="22" s="1"/>
  <c r="AM5" i="22"/>
  <c r="AK5" i="22"/>
  <c r="AF5" i="22"/>
  <c r="AG5" i="22" s="1"/>
  <c r="Y5" i="22"/>
  <c r="V5" i="22"/>
  <c r="T5" i="22"/>
  <c r="AH5" i="22" s="1"/>
  <c r="AI5" i="22" s="1"/>
  <c r="F1" i="22"/>
  <c r="AM24" i="21"/>
  <c r="AL24" i="21"/>
  <c r="AK24" i="21"/>
  <c r="AJ24" i="21"/>
  <c r="AI24" i="21"/>
  <c r="AH24" i="21"/>
  <c r="AG24" i="21"/>
  <c r="AF24" i="21"/>
  <c r="AE24" i="21"/>
  <c r="AD24" i="21"/>
  <c r="Y24" i="21"/>
  <c r="V24" i="21"/>
  <c r="T24" i="21"/>
  <c r="AM23" i="21"/>
  <c r="AL23" i="21"/>
  <c r="AK23" i="21"/>
  <c r="AJ23" i="21"/>
  <c r="AI23" i="21"/>
  <c r="AH23" i="21"/>
  <c r="AG23" i="21"/>
  <c r="AF23" i="21"/>
  <c r="AE23" i="21"/>
  <c r="AD23" i="21"/>
  <c r="Y23" i="21"/>
  <c r="V23" i="21"/>
  <c r="T23" i="21"/>
  <c r="AK22" i="21"/>
  <c r="AF22" i="21"/>
  <c r="AG22" i="21" s="1"/>
  <c r="AE22" i="21"/>
  <c r="Y22" i="21"/>
  <c r="V22" i="21"/>
  <c r="AM22" i="21"/>
  <c r="AM21" i="21"/>
  <c r="AK21" i="21"/>
  <c r="AF21" i="21"/>
  <c r="AG21" i="21" s="1"/>
  <c r="Y21" i="21"/>
  <c r="V21" i="21"/>
  <c r="AD21" i="21"/>
  <c r="AK20" i="21"/>
  <c r="AF20" i="21"/>
  <c r="AG20" i="21" s="1"/>
  <c r="Y20" i="21"/>
  <c r="V20" i="21"/>
  <c r="AE20" i="21"/>
  <c r="AK19" i="21"/>
  <c r="AF19" i="21"/>
  <c r="AG19" i="21" s="1"/>
  <c r="Y19" i="21"/>
  <c r="V19" i="21"/>
  <c r="AH19" i="21"/>
  <c r="AI19" i="21" s="1"/>
  <c r="AM18" i="21"/>
  <c r="AK18" i="21"/>
  <c r="AF18" i="21"/>
  <c r="AG18" i="21" s="1"/>
  <c r="Y18" i="21"/>
  <c r="V18" i="21"/>
  <c r="AH18" i="21"/>
  <c r="AI18" i="21" s="1"/>
  <c r="AM17" i="21"/>
  <c r="AK17" i="21"/>
  <c r="AF17" i="21"/>
  <c r="AG17" i="21" s="1"/>
  <c r="Y17" i="21"/>
  <c r="V17" i="21"/>
  <c r="AD17" i="21"/>
  <c r="AK16" i="21"/>
  <c r="AH16" i="21"/>
  <c r="AI16" i="21" s="1"/>
  <c r="AF16" i="21"/>
  <c r="AG16" i="21" s="1"/>
  <c r="Y16" i="21"/>
  <c r="V16" i="21"/>
  <c r="AE16" i="21"/>
  <c r="AM15" i="21"/>
  <c r="AK15" i="21"/>
  <c r="AF15" i="21"/>
  <c r="AG15" i="21" s="1"/>
  <c r="Y15" i="21"/>
  <c r="V15" i="21"/>
  <c r="AE15" i="21"/>
  <c r="AK14" i="21"/>
  <c r="AF14" i="21"/>
  <c r="AG14" i="21" s="1"/>
  <c r="AD14" i="21"/>
  <c r="Y14" i="21"/>
  <c r="V14" i="21"/>
  <c r="AM14" i="21"/>
  <c r="AM13" i="21"/>
  <c r="AK13" i="21"/>
  <c r="AF13" i="21"/>
  <c r="AG13" i="21" s="1"/>
  <c r="Y13" i="21"/>
  <c r="V13" i="21"/>
  <c r="AE13" i="21"/>
  <c r="AK12" i="21"/>
  <c r="AF12" i="21"/>
  <c r="AG12" i="21" s="1"/>
  <c r="Y12" i="21"/>
  <c r="V12" i="21"/>
  <c r="AH12" i="21"/>
  <c r="AI12" i="21" s="1"/>
  <c r="A12" i="21"/>
  <c r="AM11" i="21"/>
  <c r="AK11" i="21"/>
  <c r="AH11" i="21"/>
  <c r="AI11" i="21" s="1"/>
  <c r="AF11" i="21"/>
  <c r="AG11" i="21" s="1"/>
  <c r="AE11" i="21"/>
  <c r="Y11" i="21"/>
  <c r="V11" i="21"/>
  <c r="AM10" i="21"/>
  <c r="AL10" i="21"/>
  <c r="AK10" i="21"/>
  <c r="AJ10" i="21"/>
  <c r="AI10" i="21"/>
  <c r="AH10" i="21"/>
  <c r="AG10" i="21"/>
  <c r="AF10" i="21"/>
  <c r="AE10" i="21"/>
  <c r="AD10" i="21"/>
  <c r="Y10" i="21"/>
  <c r="V10" i="21"/>
  <c r="T10" i="21"/>
  <c r="A10" i="21"/>
  <c r="W19" i="21" s="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T9" i="21"/>
  <c r="AM8" i="21"/>
  <c r="AL8" i="21"/>
  <c r="AK8" i="21"/>
  <c r="AJ8" i="21"/>
  <c r="AI8" i="21"/>
  <c r="AH8" i="21"/>
  <c r="AG8" i="21"/>
  <c r="AF8" i="21"/>
  <c r="AD8" i="21"/>
  <c r="AN8" i="21" s="1"/>
  <c r="Y8" i="21"/>
  <c r="V8" i="21"/>
  <c r="T8" i="21"/>
  <c r="AM7" i="21"/>
  <c r="AL7" i="21"/>
  <c r="AK7" i="21"/>
  <c r="AJ7" i="21"/>
  <c r="AI7" i="21"/>
  <c r="AH7" i="21"/>
  <c r="AG7" i="21"/>
  <c r="AF7" i="21"/>
  <c r="AD7" i="21"/>
  <c r="AN7" i="21" s="1"/>
  <c r="Y7" i="21"/>
  <c r="V7" i="21"/>
  <c r="T7" i="21"/>
  <c r="AM6" i="21"/>
  <c r="AL6" i="21"/>
  <c r="AK6" i="21"/>
  <c r="AJ6" i="21"/>
  <c r="AI6" i="21"/>
  <c r="AH6" i="21"/>
  <c r="AG6" i="21"/>
  <c r="AF6" i="21"/>
  <c r="AD6" i="21"/>
  <c r="AN6" i="21" s="1"/>
  <c r="Y6" i="21"/>
  <c r="V6" i="21"/>
  <c r="T6" i="21"/>
  <c r="A6" i="21"/>
  <c r="AM5" i="21"/>
  <c r="AL5" i="21"/>
  <c r="AK5" i="21"/>
  <c r="AJ5" i="21"/>
  <c r="AI5" i="21"/>
  <c r="AH5" i="21"/>
  <c r="AG5" i="21"/>
  <c r="AF5" i="21"/>
  <c r="AD5" i="21"/>
  <c r="AN5" i="21" s="1"/>
  <c r="Y5" i="21"/>
  <c r="W5" i="21"/>
  <c r="V5" i="21"/>
  <c r="T5" i="21"/>
  <c r="F1" i="21"/>
  <c r="AK80" i="20"/>
  <c r="AF80" i="20"/>
  <c r="AG80" i="20" s="1"/>
  <c r="Y80" i="20"/>
  <c r="V80" i="20"/>
  <c r="T80" i="20"/>
  <c r="AH80" i="20" s="1"/>
  <c r="AI80" i="20" s="1"/>
  <c r="AK79" i="20"/>
  <c r="AF79" i="20"/>
  <c r="AG79" i="20" s="1"/>
  <c r="Y79" i="20"/>
  <c r="V79" i="20"/>
  <c r="T79" i="20"/>
  <c r="AH79" i="20" s="1"/>
  <c r="AI79" i="20" s="1"/>
  <c r="AK78" i="20"/>
  <c r="AF78" i="20"/>
  <c r="AG78" i="20" s="1"/>
  <c r="Y78" i="20"/>
  <c r="V78" i="20"/>
  <c r="T78" i="20"/>
  <c r="AH78" i="20" s="1"/>
  <c r="AI78" i="20" s="1"/>
  <c r="AK77" i="20"/>
  <c r="AF77" i="20"/>
  <c r="AG77" i="20" s="1"/>
  <c r="Y77" i="20"/>
  <c r="V77" i="20"/>
  <c r="T77" i="20"/>
  <c r="AH77" i="20" s="1"/>
  <c r="AI77" i="20" s="1"/>
  <c r="AK76" i="20"/>
  <c r="AF76" i="20"/>
  <c r="AG76" i="20" s="1"/>
  <c r="Y76" i="20"/>
  <c r="V76" i="20"/>
  <c r="T76" i="20"/>
  <c r="AM76" i="20" s="1"/>
  <c r="AK75" i="20"/>
  <c r="AF75" i="20"/>
  <c r="AG75" i="20" s="1"/>
  <c r="Y75" i="20"/>
  <c r="V75" i="20"/>
  <c r="T75" i="20"/>
  <c r="AM75" i="20" s="1"/>
  <c r="AK74" i="20"/>
  <c r="AF74" i="20"/>
  <c r="AG74" i="20" s="1"/>
  <c r="Y74" i="20"/>
  <c r="V74" i="20"/>
  <c r="T74" i="20"/>
  <c r="AM74" i="20" s="1"/>
  <c r="AK73" i="20"/>
  <c r="AH73" i="20"/>
  <c r="AI73" i="20" s="1"/>
  <c r="AF73" i="20"/>
  <c r="AG73" i="20" s="1"/>
  <c r="AE73" i="20"/>
  <c r="Y73" i="20"/>
  <c r="V73" i="20"/>
  <c r="T73" i="20"/>
  <c r="AD73" i="20" s="1"/>
  <c r="AK72" i="20"/>
  <c r="AF72" i="20"/>
  <c r="AG72" i="20" s="1"/>
  <c r="Y72" i="20"/>
  <c r="V72" i="20"/>
  <c r="T72" i="20"/>
  <c r="AE72" i="20" s="1"/>
  <c r="AM71" i="20"/>
  <c r="AK71" i="20"/>
  <c r="AF71" i="20"/>
  <c r="AG71" i="20" s="1"/>
  <c r="Y71" i="20"/>
  <c r="V71" i="20"/>
  <c r="T71" i="20"/>
  <c r="AE71" i="20" s="1"/>
  <c r="AK70" i="20"/>
  <c r="AG70" i="20"/>
  <c r="AF70" i="20"/>
  <c r="Y70" i="20"/>
  <c r="V70" i="20"/>
  <c r="T70" i="20"/>
  <c r="AM70" i="20" s="1"/>
  <c r="AK69" i="20"/>
  <c r="AF69" i="20"/>
  <c r="AG69" i="20" s="1"/>
  <c r="AE69" i="20"/>
  <c r="Y69" i="20"/>
  <c r="V69" i="20"/>
  <c r="T69" i="20"/>
  <c r="AH69" i="20" s="1"/>
  <c r="AI69" i="20" s="1"/>
  <c r="AK68" i="20"/>
  <c r="AF68" i="20"/>
  <c r="AG68" i="20" s="1"/>
  <c r="Y68" i="20"/>
  <c r="V68" i="20"/>
  <c r="T68" i="20"/>
  <c r="AH68" i="20" s="1"/>
  <c r="AI68" i="20" s="1"/>
  <c r="AK67" i="20"/>
  <c r="AH67" i="20"/>
  <c r="AI67" i="20" s="1"/>
  <c r="AF67" i="20"/>
  <c r="AG67" i="20" s="1"/>
  <c r="Y67" i="20"/>
  <c r="V67" i="20"/>
  <c r="T67" i="20"/>
  <c r="AE67" i="20" s="1"/>
  <c r="AK66" i="20"/>
  <c r="AG66" i="20"/>
  <c r="AF66" i="20"/>
  <c r="Y66" i="20"/>
  <c r="V66" i="20"/>
  <c r="T66" i="20"/>
  <c r="AH66" i="20" s="1"/>
  <c r="AI66" i="20" s="1"/>
  <c r="AK65" i="20"/>
  <c r="AF65" i="20"/>
  <c r="AG65" i="20" s="1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Y63" i="20"/>
  <c r="V63" i="20"/>
  <c r="T63" i="20"/>
  <c r="AH63" i="20" s="1"/>
  <c r="AI63" i="20" s="1"/>
  <c r="AK62" i="20"/>
  <c r="AF62" i="20"/>
  <c r="AG62" i="20" s="1"/>
  <c r="AD62" i="20"/>
  <c r="Y62" i="20"/>
  <c r="V62" i="20"/>
  <c r="T62" i="20"/>
  <c r="AH62" i="20" s="1"/>
  <c r="AI62" i="20" s="1"/>
  <c r="AK61" i="20"/>
  <c r="AF61" i="20"/>
  <c r="AG61" i="20" s="1"/>
  <c r="Y61" i="20"/>
  <c r="V61" i="20"/>
  <c r="T61" i="20"/>
  <c r="AD61" i="20" s="1"/>
  <c r="AK60" i="20"/>
  <c r="AF60" i="20"/>
  <c r="AG60" i="20" s="1"/>
  <c r="Y60" i="20"/>
  <c r="V60" i="20"/>
  <c r="T60" i="20"/>
  <c r="AE60" i="20" s="1"/>
  <c r="AM59" i="20"/>
  <c r="AK59" i="20"/>
  <c r="AF59" i="20"/>
  <c r="AG59" i="20" s="1"/>
  <c r="Y59" i="20"/>
  <c r="V59" i="20"/>
  <c r="T59" i="20"/>
  <c r="AE59" i="20" s="1"/>
  <c r="AK58" i="20"/>
  <c r="AG58" i="20"/>
  <c r="AF58" i="20"/>
  <c r="AE58" i="20"/>
  <c r="Y58" i="20"/>
  <c r="V58" i="20"/>
  <c r="T58" i="20"/>
  <c r="AM58" i="20" s="1"/>
  <c r="AM57" i="20"/>
  <c r="AL57" i="20"/>
  <c r="AK57" i="20"/>
  <c r="AJ57" i="20"/>
  <c r="AI57" i="20"/>
  <c r="AH57" i="20"/>
  <c r="AG57" i="20"/>
  <c r="AF57" i="20"/>
  <c r="AE57" i="20"/>
  <c r="AD57" i="20"/>
  <c r="Y57" i="20"/>
  <c r="V57" i="20"/>
  <c r="T57" i="20"/>
  <c r="AM56" i="20"/>
  <c r="AL56" i="20"/>
  <c r="AK56" i="20"/>
  <c r="AJ56" i="20"/>
  <c r="AI56" i="20"/>
  <c r="AH56" i="20"/>
  <c r="AG56" i="20"/>
  <c r="AF56" i="20"/>
  <c r="AE56" i="20"/>
  <c r="AD56" i="20"/>
  <c r="Y56" i="20"/>
  <c r="V56" i="20"/>
  <c r="T56" i="20"/>
  <c r="AM55" i="20"/>
  <c r="AL55" i="20"/>
  <c r="AK55" i="20"/>
  <c r="AJ55" i="20"/>
  <c r="AI55" i="20"/>
  <c r="AH55" i="20"/>
  <c r="AG55" i="20"/>
  <c r="AF55" i="20"/>
  <c r="AE55" i="20"/>
  <c r="AD55" i="20"/>
  <c r="Y55" i="20"/>
  <c r="V55" i="20"/>
  <c r="T55" i="20"/>
  <c r="AM54" i="20"/>
  <c r="AL54" i="20"/>
  <c r="AK54" i="20"/>
  <c r="AJ54" i="20"/>
  <c r="AI54" i="20"/>
  <c r="AH54" i="20"/>
  <c r="AG54" i="20"/>
  <c r="AF54" i="20"/>
  <c r="AE54" i="20"/>
  <c r="AD54" i="20"/>
  <c r="Y54" i="20"/>
  <c r="V54" i="20"/>
  <c r="T54" i="20"/>
  <c r="AM53" i="20"/>
  <c r="AL53" i="20"/>
  <c r="AK53" i="20"/>
  <c r="AJ53" i="20"/>
  <c r="AI53" i="20"/>
  <c r="AH53" i="20"/>
  <c r="AG53" i="20"/>
  <c r="AF53" i="20"/>
  <c r="AE53" i="20"/>
  <c r="AD53" i="20"/>
  <c r="Y53" i="20"/>
  <c r="V53" i="20"/>
  <c r="T53" i="20"/>
  <c r="AM52" i="20"/>
  <c r="AL52" i="20"/>
  <c r="AK52" i="20"/>
  <c r="AJ52" i="20"/>
  <c r="AI52" i="20"/>
  <c r="AH52" i="20"/>
  <c r="AG52" i="20"/>
  <c r="AF52" i="20"/>
  <c r="AE52" i="20"/>
  <c r="AD52" i="20"/>
  <c r="Y52" i="20"/>
  <c r="V52" i="20"/>
  <c r="T52" i="20"/>
  <c r="AM51" i="20"/>
  <c r="AL51" i="20"/>
  <c r="AK51" i="20"/>
  <c r="AJ51" i="20"/>
  <c r="AI51" i="20"/>
  <c r="AH51" i="20"/>
  <c r="AG51" i="20"/>
  <c r="AF51" i="20"/>
  <c r="AE51" i="20"/>
  <c r="AD51" i="20"/>
  <c r="Y51" i="20"/>
  <c r="V51" i="20"/>
  <c r="T51" i="20"/>
  <c r="AM50" i="20"/>
  <c r="AL50" i="20"/>
  <c r="AK50" i="20"/>
  <c r="AJ50" i="20"/>
  <c r="AI50" i="20"/>
  <c r="AH50" i="20"/>
  <c r="AG50" i="20"/>
  <c r="AF50" i="20"/>
  <c r="AE50" i="20"/>
  <c r="AD50" i="20"/>
  <c r="Y50" i="20"/>
  <c r="V50" i="20"/>
  <c r="T50" i="20"/>
  <c r="AM49" i="20"/>
  <c r="AL49" i="20"/>
  <c r="AK49" i="20"/>
  <c r="AJ49" i="20"/>
  <c r="AI49" i="20"/>
  <c r="AH49" i="20"/>
  <c r="AG49" i="20"/>
  <c r="AF49" i="20"/>
  <c r="AE49" i="20"/>
  <c r="AD49" i="20"/>
  <c r="Y49" i="20"/>
  <c r="V49" i="20"/>
  <c r="T49" i="20"/>
  <c r="AM48" i="20"/>
  <c r="AL48" i="20"/>
  <c r="AK48" i="20"/>
  <c r="AJ48" i="20"/>
  <c r="AI48" i="20"/>
  <c r="AH48" i="20"/>
  <c r="AG48" i="20"/>
  <c r="AF48" i="20"/>
  <c r="AE48" i="20"/>
  <c r="AD48" i="20"/>
  <c r="Y48" i="20"/>
  <c r="V48" i="20"/>
  <c r="T48" i="20"/>
  <c r="AM47" i="20"/>
  <c r="AL47" i="20"/>
  <c r="AK47" i="20"/>
  <c r="AJ47" i="20"/>
  <c r="AI47" i="20"/>
  <c r="AH47" i="20"/>
  <c r="AG47" i="20"/>
  <c r="AF47" i="20"/>
  <c r="AE47" i="20"/>
  <c r="AD47" i="20"/>
  <c r="Y47" i="20"/>
  <c r="V47" i="20"/>
  <c r="T47" i="20"/>
  <c r="AM46" i="20"/>
  <c r="AL46" i="20"/>
  <c r="AK46" i="20"/>
  <c r="AJ46" i="20"/>
  <c r="AI46" i="20"/>
  <c r="AH46" i="20"/>
  <c r="AG46" i="20"/>
  <c r="AF46" i="20"/>
  <c r="AE46" i="20"/>
  <c r="AD46" i="20"/>
  <c r="Y46" i="20"/>
  <c r="V46" i="20"/>
  <c r="T46" i="20"/>
  <c r="AM45" i="20"/>
  <c r="AL45" i="20"/>
  <c r="AK45" i="20"/>
  <c r="AJ45" i="20"/>
  <c r="AI45" i="20"/>
  <c r="AH45" i="20"/>
  <c r="AG45" i="20"/>
  <c r="AF45" i="20"/>
  <c r="AE45" i="20"/>
  <c r="AD45" i="20"/>
  <c r="Y45" i="20"/>
  <c r="V45" i="20"/>
  <c r="T45" i="20"/>
  <c r="AM44" i="20"/>
  <c r="AL44" i="20"/>
  <c r="AK44" i="20"/>
  <c r="AJ44" i="20"/>
  <c r="AI44" i="20"/>
  <c r="AH44" i="20"/>
  <c r="AG44" i="20"/>
  <c r="AF44" i="20"/>
  <c r="AE44" i="20"/>
  <c r="AD44" i="20"/>
  <c r="Y44" i="20"/>
  <c r="V44" i="20"/>
  <c r="T44" i="20"/>
  <c r="AM43" i="20"/>
  <c r="AL43" i="20"/>
  <c r="AK43" i="20"/>
  <c r="AJ43" i="20"/>
  <c r="AI43" i="20"/>
  <c r="AH43" i="20"/>
  <c r="AG43" i="20"/>
  <c r="AF43" i="20"/>
  <c r="AE43" i="20"/>
  <c r="AD43" i="20"/>
  <c r="Y43" i="20"/>
  <c r="V43" i="20"/>
  <c r="T43" i="20"/>
  <c r="AM42" i="20"/>
  <c r="AL42" i="20"/>
  <c r="AK42" i="20"/>
  <c r="AJ42" i="20"/>
  <c r="AI42" i="20"/>
  <c r="AH42" i="20"/>
  <c r="AG42" i="20"/>
  <c r="AF42" i="20"/>
  <c r="AE42" i="20"/>
  <c r="AD42" i="20"/>
  <c r="Y42" i="20"/>
  <c r="V42" i="20"/>
  <c r="T42" i="20"/>
  <c r="AM41" i="20"/>
  <c r="AL41" i="20"/>
  <c r="AK41" i="20"/>
  <c r="AJ41" i="20"/>
  <c r="AI41" i="20"/>
  <c r="AH41" i="20"/>
  <c r="AG41" i="20"/>
  <c r="AF41" i="20"/>
  <c r="AE41" i="20"/>
  <c r="AD41" i="20"/>
  <c r="Y41" i="20"/>
  <c r="V41" i="20"/>
  <c r="T41" i="20"/>
  <c r="AM40" i="20"/>
  <c r="AL40" i="20"/>
  <c r="AK40" i="20"/>
  <c r="AJ40" i="20"/>
  <c r="AI40" i="20"/>
  <c r="AH40" i="20"/>
  <c r="AG40" i="20"/>
  <c r="AF40" i="20"/>
  <c r="AE40" i="20"/>
  <c r="AD40" i="20"/>
  <c r="Y40" i="20"/>
  <c r="V40" i="20"/>
  <c r="T40" i="20"/>
  <c r="AM39" i="20"/>
  <c r="AL39" i="20"/>
  <c r="AK39" i="20"/>
  <c r="AJ39" i="20"/>
  <c r="AI39" i="20"/>
  <c r="AH39" i="20"/>
  <c r="AG39" i="20"/>
  <c r="AF39" i="20"/>
  <c r="AE39" i="20"/>
  <c r="AD39" i="20"/>
  <c r="Y39" i="20"/>
  <c r="V39" i="20"/>
  <c r="T39" i="20"/>
  <c r="AM38" i="20"/>
  <c r="AL38" i="20"/>
  <c r="AK38" i="20"/>
  <c r="AJ38" i="20"/>
  <c r="AI38" i="20"/>
  <c r="AH38" i="20"/>
  <c r="AG38" i="20"/>
  <c r="AF38" i="20"/>
  <c r="AE38" i="20"/>
  <c r="AD38" i="20"/>
  <c r="Y38" i="20"/>
  <c r="V38" i="20"/>
  <c r="T38" i="20"/>
  <c r="AM37" i="20"/>
  <c r="AL37" i="20"/>
  <c r="AK37" i="20"/>
  <c r="AJ37" i="20"/>
  <c r="AI37" i="20"/>
  <c r="AH37" i="20"/>
  <c r="AG37" i="20"/>
  <c r="AF37" i="20"/>
  <c r="AE37" i="20"/>
  <c r="AD37" i="20"/>
  <c r="AN37" i="20" s="1"/>
  <c r="Y37" i="20"/>
  <c r="V37" i="20"/>
  <c r="T37" i="20"/>
  <c r="AM36" i="20"/>
  <c r="AL36" i="20"/>
  <c r="AK36" i="20"/>
  <c r="AJ36" i="20"/>
  <c r="AI36" i="20"/>
  <c r="AH36" i="20"/>
  <c r="AG36" i="20"/>
  <c r="AF36" i="20"/>
  <c r="AE36" i="20"/>
  <c r="AD36" i="20"/>
  <c r="Y36" i="20"/>
  <c r="V36" i="20"/>
  <c r="T36" i="20"/>
  <c r="AM35" i="20"/>
  <c r="AL35" i="20"/>
  <c r="AK35" i="20"/>
  <c r="AJ35" i="20"/>
  <c r="AI35" i="20"/>
  <c r="AH35" i="20"/>
  <c r="AG35" i="20"/>
  <c r="AF35" i="20"/>
  <c r="AE35" i="20"/>
  <c r="AD35" i="20"/>
  <c r="Y35" i="20"/>
  <c r="V35" i="20"/>
  <c r="T35" i="20"/>
  <c r="AM34" i="20"/>
  <c r="AL34" i="20"/>
  <c r="AK34" i="20"/>
  <c r="AJ34" i="20"/>
  <c r="AI34" i="20"/>
  <c r="AH34" i="20"/>
  <c r="AG34" i="20"/>
  <c r="AF34" i="20"/>
  <c r="AE34" i="20"/>
  <c r="AD34" i="20"/>
  <c r="AN34" i="20" s="1"/>
  <c r="Y34" i="20"/>
  <c r="V34" i="20"/>
  <c r="T34" i="20"/>
  <c r="AM33" i="20"/>
  <c r="AL33" i="20"/>
  <c r="AK33" i="20"/>
  <c r="AJ33" i="20"/>
  <c r="AI33" i="20"/>
  <c r="AH33" i="20"/>
  <c r="AG33" i="20"/>
  <c r="AF33" i="20"/>
  <c r="AE33" i="20"/>
  <c r="AD33" i="20"/>
  <c r="Y33" i="20"/>
  <c r="V33" i="20"/>
  <c r="T33" i="20"/>
  <c r="AM32" i="20"/>
  <c r="AL32" i="20"/>
  <c r="AK32" i="20"/>
  <c r="AJ32" i="20"/>
  <c r="AI32" i="20"/>
  <c r="AH32" i="20"/>
  <c r="AG32" i="20"/>
  <c r="AF32" i="20"/>
  <c r="AE32" i="20"/>
  <c r="AD32" i="20"/>
  <c r="Y32" i="20"/>
  <c r="V32" i="20"/>
  <c r="T32" i="20"/>
  <c r="AM31" i="20"/>
  <c r="AL31" i="20"/>
  <c r="AK31" i="20"/>
  <c r="AJ31" i="20"/>
  <c r="AI31" i="20"/>
  <c r="AH31" i="20"/>
  <c r="AG31" i="20"/>
  <c r="AF31" i="20"/>
  <c r="AE31" i="20"/>
  <c r="AD31" i="20"/>
  <c r="Y31" i="20"/>
  <c r="V31" i="20"/>
  <c r="T31" i="20"/>
  <c r="AM30" i="20"/>
  <c r="AL30" i="20"/>
  <c r="AK30" i="20"/>
  <c r="AJ30" i="20"/>
  <c r="AI30" i="20"/>
  <c r="AH30" i="20"/>
  <c r="AG30" i="20"/>
  <c r="AF30" i="20"/>
  <c r="AE30" i="20"/>
  <c r="AD30" i="20"/>
  <c r="Y30" i="20"/>
  <c r="V30" i="20"/>
  <c r="T30" i="20"/>
  <c r="AM29" i="20"/>
  <c r="AL29" i="20"/>
  <c r="AK29" i="20"/>
  <c r="AJ29" i="20"/>
  <c r="AI29" i="20"/>
  <c r="AH29" i="20"/>
  <c r="AG29" i="20"/>
  <c r="AF29" i="20"/>
  <c r="AE29" i="20"/>
  <c r="AD29" i="20"/>
  <c r="Y29" i="20"/>
  <c r="V29" i="20"/>
  <c r="T29" i="20"/>
  <c r="AM28" i="20"/>
  <c r="AL28" i="20"/>
  <c r="AK28" i="20"/>
  <c r="AJ28" i="20"/>
  <c r="AI28" i="20"/>
  <c r="AH28" i="20"/>
  <c r="AG28" i="20"/>
  <c r="AF28" i="20"/>
  <c r="AE28" i="20"/>
  <c r="AD28" i="20"/>
  <c r="Y28" i="20"/>
  <c r="V28" i="20"/>
  <c r="T28" i="20"/>
  <c r="AM27" i="20"/>
  <c r="AL27" i="20"/>
  <c r="AK27" i="20"/>
  <c r="AJ27" i="20"/>
  <c r="AI27" i="20"/>
  <c r="AH27" i="20"/>
  <c r="AG27" i="20"/>
  <c r="AF27" i="20"/>
  <c r="AE27" i="20"/>
  <c r="AD27" i="20"/>
  <c r="Y27" i="20"/>
  <c r="V27" i="20"/>
  <c r="T27" i="20"/>
  <c r="AM26" i="20"/>
  <c r="AL26" i="20"/>
  <c r="AK26" i="20"/>
  <c r="AJ26" i="20"/>
  <c r="AI26" i="20"/>
  <c r="AH26" i="20"/>
  <c r="AG26" i="20"/>
  <c r="AF26" i="20"/>
  <c r="AE26" i="20"/>
  <c r="AD26" i="20"/>
  <c r="Y26" i="20"/>
  <c r="V26" i="20"/>
  <c r="T26" i="20"/>
  <c r="AM25" i="20"/>
  <c r="AL25" i="20"/>
  <c r="AK25" i="20"/>
  <c r="AJ25" i="20"/>
  <c r="AI25" i="20"/>
  <c r="AH25" i="20"/>
  <c r="AG25" i="20"/>
  <c r="AF25" i="20"/>
  <c r="AE25" i="20"/>
  <c r="AD25" i="20"/>
  <c r="AN25" i="20" s="1"/>
  <c r="Y25" i="20"/>
  <c r="V25" i="20"/>
  <c r="T25" i="20"/>
  <c r="AM24" i="20"/>
  <c r="AL24" i="20"/>
  <c r="AK24" i="20"/>
  <c r="AJ24" i="20"/>
  <c r="AI24" i="20"/>
  <c r="AH24" i="20"/>
  <c r="AG24" i="20"/>
  <c r="AF24" i="20"/>
  <c r="AE24" i="20"/>
  <c r="AD24" i="20"/>
  <c r="Y24" i="20"/>
  <c r="V24" i="20"/>
  <c r="T24" i="20"/>
  <c r="AM23" i="20"/>
  <c r="AL23" i="20"/>
  <c r="AK23" i="20"/>
  <c r="AJ23" i="20"/>
  <c r="AI23" i="20"/>
  <c r="AH23" i="20"/>
  <c r="AG23" i="20"/>
  <c r="AF23" i="20"/>
  <c r="AE23" i="20"/>
  <c r="AD23" i="20"/>
  <c r="Y23" i="20"/>
  <c r="V23" i="20"/>
  <c r="T23" i="20"/>
  <c r="AM22" i="20"/>
  <c r="AL22" i="20"/>
  <c r="AK22" i="20"/>
  <c r="AJ22" i="20"/>
  <c r="AI22" i="20"/>
  <c r="AH22" i="20"/>
  <c r="AG22" i="20"/>
  <c r="AF22" i="20"/>
  <c r="AE22" i="20"/>
  <c r="AD22" i="20"/>
  <c r="AN22" i="20" s="1"/>
  <c r="Y22" i="20"/>
  <c r="V22" i="20"/>
  <c r="T22" i="20"/>
  <c r="AM21" i="20"/>
  <c r="AL21" i="20"/>
  <c r="AK21" i="20"/>
  <c r="AJ21" i="20"/>
  <c r="AI21" i="20"/>
  <c r="AH21" i="20"/>
  <c r="AG21" i="20"/>
  <c r="AF21" i="20"/>
  <c r="AE21" i="20"/>
  <c r="AD21" i="20"/>
  <c r="Y21" i="20"/>
  <c r="V21" i="20"/>
  <c r="T21" i="20"/>
  <c r="AM20" i="20"/>
  <c r="AL20" i="20"/>
  <c r="AK20" i="20"/>
  <c r="AJ20" i="20"/>
  <c r="AI20" i="20"/>
  <c r="AH20" i="20"/>
  <c r="AG20" i="20"/>
  <c r="AF20" i="20"/>
  <c r="AE20" i="20"/>
  <c r="AD20" i="20"/>
  <c r="Y20" i="20"/>
  <c r="V20" i="20"/>
  <c r="T20" i="20"/>
  <c r="AM19" i="20"/>
  <c r="AL19" i="20"/>
  <c r="AK19" i="20"/>
  <c r="AJ19" i="20"/>
  <c r="AI19" i="20"/>
  <c r="AH19" i="20"/>
  <c r="AG19" i="20"/>
  <c r="AF19" i="20"/>
  <c r="AE19" i="20"/>
  <c r="AD19" i="20"/>
  <c r="Y19" i="20"/>
  <c r="V19" i="20"/>
  <c r="T19" i="20"/>
  <c r="AM18" i="20"/>
  <c r="AL18" i="20"/>
  <c r="AK18" i="20"/>
  <c r="AJ18" i="20"/>
  <c r="AI18" i="20"/>
  <c r="AH18" i="20"/>
  <c r="AG18" i="20"/>
  <c r="AF18" i="20"/>
  <c r="AE18" i="20"/>
  <c r="AD18" i="20"/>
  <c r="Y18" i="20"/>
  <c r="V18" i="20"/>
  <c r="T18" i="20"/>
  <c r="AM17" i="20"/>
  <c r="AL17" i="20"/>
  <c r="AK17" i="20"/>
  <c r="AJ17" i="20"/>
  <c r="AI17" i="20"/>
  <c r="AH17" i="20"/>
  <c r="AG17" i="20"/>
  <c r="AF17" i="20"/>
  <c r="AE17" i="20"/>
  <c r="AD17" i="20"/>
  <c r="Y17" i="20"/>
  <c r="V17" i="20"/>
  <c r="T17" i="20"/>
  <c r="AM16" i="20"/>
  <c r="AL16" i="20"/>
  <c r="AK16" i="20"/>
  <c r="AJ16" i="20"/>
  <c r="AI16" i="20"/>
  <c r="AH16" i="20"/>
  <c r="AG16" i="20"/>
  <c r="AF16" i="20"/>
  <c r="AE16" i="20"/>
  <c r="AD16" i="20"/>
  <c r="Y16" i="20"/>
  <c r="V16" i="20"/>
  <c r="T16" i="20"/>
  <c r="AM15" i="20"/>
  <c r="AL15" i="20"/>
  <c r="AK15" i="20"/>
  <c r="AJ15" i="20"/>
  <c r="AI15" i="20"/>
  <c r="AH15" i="20"/>
  <c r="AG15" i="20"/>
  <c r="AF15" i="20"/>
  <c r="AE15" i="20"/>
  <c r="AN15" i="20" s="1"/>
  <c r="AD15" i="20"/>
  <c r="Y15" i="20"/>
  <c r="V15" i="20"/>
  <c r="T15" i="20"/>
  <c r="AM14" i="20"/>
  <c r="AL14" i="20"/>
  <c r="AK14" i="20"/>
  <c r="AJ14" i="20"/>
  <c r="AI14" i="20"/>
  <c r="AH14" i="20"/>
  <c r="AG14" i="20"/>
  <c r="AF14" i="20"/>
  <c r="AE14" i="20"/>
  <c r="AD14" i="20"/>
  <c r="Y14" i="20"/>
  <c r="V14" i="20"/>
  <c r="T14" i="20"/>
  <c r="AM13" i="20"/>
  <c r="AL13" i="20"/>
  <c r="AK13" i="20"/>
  <c r="AJ13" i="20"/>
  <c r="AI13" i="20"/>
  <c r="AH13" i="20"/>
  <c r="AG13" i="20"/>
  <c r="AF13" i="20"/>
  <c r="AE13" i="20"/>
  <c r="AD13" i="20"/>
  <c r="Y13" i="20"/>
  <c r="V13" i="20"/>
  <c r="T13" i="20"/>
  <c r="AM12" i="20"/>
  <c r="AL12" i="20"/>
  <c r="AK12" i="20"/>
  <c r="AJ12" i="20"/>
  <c r="AI12" i="20"/>
  <c r="AH12" i="20"/>
  <c r="AG12" i="20"/>
  <c r="AF12" i="20"/>
  <c r="AE12" i="20"/>
  <c r="AN12" i="20" s="1"/>
  <c r="AD12" i="20"/>
  <c r="Y12" i="20"/>
  <c r="V12" i="20"/>
  <c r="T12" i="20"/>
  <c r="A12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T11" i="20"/>
  <c r="AM10" i="20"/>
  <c r="AL10" i="20"/>
  <c r="AK10" i="20"/>
  <c r="AJ10" i="20"/>
  <c r="AI10" i="20"/>
  <c r="AH10" i="20"/>
  <c r="AG10" i="20"/>
  <c r="AF10" i="20"/>
  <c r="AE10" i="20"/>
  <c r="AD10" i="20"/>
  <c r="Y10" i="20"/>
  <c r="V10" i="20"/>
  <c r="T10" i="20"/>
  <c r="A10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T9" i="20"/>
  <c r="AM8" i="20"/>
  <c r="AL8" i="20"/>
  <c r="AK8" i="20"/>
  <c r="AJ8" i="20"/>
  <c r="AI8" i="20"/>
  <c r="AH8" i="20"/>
  <c r="AG8" i="20"/>
  <c r="AF8" i="20"/>
  <c r="AD8" i="20"/>
  <c r="AN8" i="20" s="1"/>
  <c r="Y8" i="20"/>
  <c r="V8" i="20"/>
  <c r="T8" i="20"/>
  <c r="AM7" i="20"/>
  <c r="AL7" i="20"/>
  <c r="AK7" i="20"/>
  <c r="AJ7" i="20"/>
  <c r="AI7" i="20"/>
  <c r="AH7" i="20"/>
  <c r="AG7" i="20"/>
  <c r="AF7" i="20"/>
  <c r="AD7" i="20"/>
  <c r="AN7" i="20" s="1"/>
  <c r="Y7" i="20"/>
  <c r="V7" i="20"/>
  <c r="T7" i="20"/>
  <c r="AM6" i="20"/>
  <c r="AL6" i="20"/>
  <c r="AK6" i="20"/>
  <c r="AJ6" i="20"/>
  <c r="AI6" i="20"/>
  <c r="AH6" i="20"/>
  <c r="AG6" i="20"/>
  <c r="AF6" i="20"/>
  <c r="AD6" i="20"/>
  <c r="AN6" i="20" s="1"/>
  <c r="Y6" i="20"/>
  <c r="V6" i="20"/>
  <c r="T6" i="20"/>
  <c r="AM5" i="20"/>
  <c r="AL5" i="20"/>
  <c r="AK5" i="20"/>
  <c r="AJ5" i="20"/>
  <c r="AI5" i="20"/>
  <c r="AH5" i="20"/>
  <c r="AG5" i="20"/>
  <c r="AF5" i="20"/>
  <c r="AD5" i="20"/>
  <c r="AN5" i="20" s="1"/>
  <c r="Y5" i="20"/>
  <c r="V5" i="20"/>
  <c r="T5" i="20"/>
  <c r="F1" i="20"/>
  <c r="AM24" i="19"/>
  <c r="AL24" i="19"/>
  <c r="AK24" i="19"/>
  <c r="AJ24" i="19"/>
  <c r="AI24" i="19"/>
  <c r="AH24" i="19"/>
  <c r="AG24" i="19"/>
  <c r="AF24" i="19"/>
  <c r="AE24" i="19"/>
  <c r="AD24" i="19"/>
  <c r="AN24" i="19" s="1"/>
  <c r="Y24" i="19"/>
  <c r="V24" i="19"/>
  <c r="T24" i="19"/>
  <c r="AM23" i="19"/>
  <c r="AL23" i="19"/>
  <c r="AK23" i="19"/>
  <c r="AJ23" i="19"/>
  <c r="AI23" i="19"/>
  <c r="AH23" i="19"/>
  <c r="AG23" i="19"/>
  <c r="AF23" i="19"/>
  <c r="AE23" i="19"/>
  <c r="AD23" i="19"/>
  <c r="Y23" i="19"/>
  <c r="V23" i="19"/>
  <c r="T23" i="19"/>
  <c r="AM22" i="19"/>
  <c r="AL22" i="19"/>
  <c r="AK22" i="19"/>
  <c r="AJ22" i="19"/>
  <c r="AI22" i="19"/>
  <c r="AH22" i="19"/>
  <c r="AG22" i="19"/>
  <c r="AF22" i="19"/>
  <c r="AE22" i="19"/>
  <c r="AD22" i="19"/>
  <c r="AN22" i="19" s="1"/>
  <c r="Y22" i="19"/>
  <c r="V22" i="19"/>
  <c r="T22" i="19"/>
  <c r="AM21" i="19"/>
  <c r="AK21" i="19"/>
  <c r="AF21" i="19"/>
  <c r="AG21" i="19" s="1"/>
  <c r="Y21" i="19"/>
  <c r="V21" i="19"/>
  <c r="AE21" i="19"/>
  <c r="AM20" i="19"/>
  <c r="AK20" i="19"/>
  <c r="AF20" i="19"/>
  <c r="AG20" i="19" s="1"/>
  <c r="Y20" i="19"/>
  <c r="V20" i="19"/>
  <c r="AH20" i="19"/>
  <c r="AI20" i="19" s="1"/>
  <c r="AM19" i="19"/>
  <c r="AK19" i="19"/>
  <c r="AF19" i="19"/>
  <c r="AG19" i="19" s="1"/>
  <c r="AE19" i="19"/>
  <c r="AD19" i="19"/>
  <c r="Y19" i="19"/>
  <c r="V19" i="19"/>
  <c r="AH19" i="19"/>
  <c r="AI19" i="19" s="1"/>
  <c r="AM18" i="19"/>
  <c r="AK18" i="19"/>
  <c r="AF18" i="19"/>
  <c r="AG18" i="19" s="1"/>
  <c r="Y18" i="19"/>
  <c r="V18" i="19"/>
  <c r="AD18" i="19"/>
  <c r="AK17" i="19"/>
  <c r="AF17" i="19"/>
  <c r="AG17" i="19" s="1"/>
  <c r="Y17" i="19"/>
  <c r="V17" i="19"/>
  <c r="AH17" i="19"/>
  <c r="AI17" i="19" s="1"/>
  <c r="AM16" i="19"/>
  <c r="AK16" i="19"/>
  <c r="AH16" i="19"/>
  <c r="AI16" i="19" s="1"/>
  <c r="AF16" i="19"/>
  <c r="AG16" i="19" s="1"/>
  <c r="AD16" i="19"/>
  <c r="Y16" i="19"/>
  <c r="V16" i="19"/>
  <c r="AE16" i="19"/>
  <c r="AM15" i="19"/>
  <c r="AK15" i="19"/>
  <c r="AF15" i="19"/>
  <c r="AG15" i="19" s="1"/>
  <c r="Y15" i="19"/>
  <c r="V15" i="19"/>
  <c r="AE15" i="19"/>
  <c r="AM14" i="19"/>
  <c r="AL14" i="19"/>
  <c r="AK14" i="19"/>
  <c r="AJ14" i="19"/>
  <c r="AI14" i="19"/>
  <c r="AH14" i="19"/>
  <c r="AG14" i="19"/>
  <c r="AF14" i="19"/>
  <c r="AE14" i="19"/>
  <c r="AD14" i="19"/>
  <c r="Y14" i="19"/>
  <c r="V14" i="19"/>
  <c r="T14" i="19"/>
  <c r="AM13" i="19"/>
  <c r="AL13" i="19"/>
  <c r="AK13" i="19"/>
  <c r="AJ13" i="19"/>
  <c r="AI13" i="19"/>
  <c r="AH13" i="19"/>
  <c r="AG13" i="19"/>
  <c r="AF13" i="19"/>
  <c r="AE13" i="19"/>
  <c r="AD13" i="19"/>
  <c r="Y13" i="19"/>
  <c r="V13" i="19"/>
  <c r="T13" i="19"/>
  <c r="AM12" i="19"/>
  <c r="AL12" i="19"/>
  <c r="AK12" i="19"/>
  <c r="AJ12" i="19"/>
  <c r="AI12" i="19"/>
  <c r="AH12" i="19"/>
  <c r="AG12" i="19"/>
  <c r="AF12" i="19"/>
  <c r="AE12" i="19"/>
  <c r="AD12" i="19"/>
  <c r="Y12" i="19"/>
  <c r="V12" i="19"/>
  <c r="T12" i="19"/>
  <c r="A12" i="19"/>
  <c r="AM11" i="19"/>
  <c r="AL11" i="19"/>
  <c r="AK11" i="19"/>
  <c r="AJ11" i="19"/>
  <c r="AI11" i="19"/>
  <c r="AH11" i="19"/>
  <c r="AG11" i="19"/>
  <c r="AF11" i="19"/>
  <c r="AE11" i="19"/>
  <c r="AD11" i="19"/>
  <c r="Y11" i="19"/>
  <c r="V11" i="19"/>
  <c r="T11" i="19"/>
  <c r="AM10" i="19"/>
  <c r="AL10" i="19"/>
  <c r="AK10" i="19"/>
  <c r="AJ10" i="19"/>
  <c r="AI10" i="19"/>
  <c r="AH10" i="19"/>
  <c r="AG10" i="19"/>
  <c r="AF10" i="19"/>
  <c r="AE10" i="19"/>
  <c r="AD10" i="19"/>
  <c r="Y10" i="19"/>
  <c r="V10" i="19"/>
  <c r="T10" i="19"/>
  <c r="A10" i="19"/>
  <c r="W13" i="19" s="1"/>
  <c r="AM9" i="19"/>
  <c r="AL9" i="19"/>
  <c r="AK9" i="19"/>
  <c r="AJ9" i="19"/>
  <c r="AI9" i="19"/>
  <c r="AH9" i="19"/>
  <c r="AG9" i="19"/>
  <c r="AF9" i="19"/>
  <c r="AE9" i="19"/>
  <c r="AD9" i="19"/>
  <c r="Y9" i="19"/>
  <c r="V9" i="19"/>
  <c r="T9" i="19"/>
  <c r="AM8" i="19"/>
  <c r="AL8" i="19"/>
  <c r="AK8" i="19"/>
  <c r="AJ8" i="19"/>
  <c r="AI8" i="19"/>
  <c r="AH8" i="19"/>
  <c r="AG8" i="19"/>
  <c r="AF8" i="19"/>
  <c r="AD8" i="19"/>
  <c r="AN8" i="19" s="1"/>
  <c r="Y8" i="19"/>
  <c r="V8" i="19"/>
  <c r="T8" i="19"/>
  <c r="AM7" i="19"/>
  <c r="AL7" i="19"/>
  <c r="AK7" i="19"/>
  <c r="AJ7" i="19"/>
  <c r="AI7" i="19"/>
  <c r="AH7" i="19"/>
  <c r="AG7" i="19"/>
  <c r="AF7" i="19"/>
  <c r="AD7" i="19"/>
  <c r="AN7" i="19" s="1"/>
  <c r="Y7" i="19"/>
  <c r="V7" i="19"/>
  <c r="T7" i="19"/>
  <c r="AM6" i="19"/>
  <c r="AL6" i="19"/>
  <c r="AK6" i="19"/>
  <c r="AJ6" i="19"/>
  <c r="AI6" i="19"/>
  <c r="AH6" i="19"/>
  <c r="AG6" i="19"/>
  <c r="AF6" i="19"/>
  <c r="AD6" i="19"/>
  <c r="AN6" i="19" s="1"/>
  <c r="Y6" i="19"/>
  <c r="V6" i="19"/>
  <c r="T6" i="19"/>
  <c r="A6" i="19"/>
  <c r="AM5" i="19"/>
  <c r="AL5" i="19"/>
  <c r="AK5" i="19"/>
  <c r="AJ5" i="19"/>
  <c r="AI5" i="19"/>
  <c r="AH5" i="19"/>
  <c r="AG5" i="19"/>
  <c r="AF5" i="19"/>
  <c r="AD5" i="19"/>
  <c r="AN5" i="19" s="1"/>
  <c r="Y5" i="19"/>
  <c r="V5" i="19"/>
  <c r="T5" i="19"/>
  <c r="F1" i="19"/>
  <c r="AM24" i="18"/>
  <c r="AL24" i="18"/>
  <c r="AK24" i="18"/>
  <c r="AJ24" i="18"/>
  <c r="AI24" i="18"/>
  <c r="AH24" i="18"/>
  <c r="AG24" i="18"/>
  <c r="AF24" i="18"/>
  <c r="AE24" i="18"/>
  <c r="AD24" i="18"/>
  <c r="Y24" i="18"/>
  <c r="V24" i="18"/>
  <c r="T24" i="18"/>
  <c r="AM23" i="18"/>
  <c r="AL23" i="18"/>
  <c r="AK23" i="18"/>
  <c r="AJ23" i="18"/>
  <c r="AI23" i="18"/>
  <c r="AH23" i="18"/>
  <c r="AG23" i="18"/>
  <c r="AF23" i="18"/>
  <c r="AE23" i="18"/>
  <c r="AD23" i="18"/>
  <c r="Y23" i="18"/>
  <c r="V23" i="18"/>
  <c r="T23" i="18"/>
  <c r="AM22" i="18"/>
  <c r="AL22" i="18"/>
  <c r="AK22" i="18"/>
  <c r="AJ22" i="18"/>
  <c r="AI22" i="18"/>
  <c r="AH22" i="18"/>
  <c r="AG22" i="18"/>
  <c r="AF22" i="18"/>
  <c r="AE22" i="18"/>
  <c r="AD22" i="18"/>
  <c r="Y22" i="18"/>
  <c r="V22" i="18"/>
  <c r="T22" i="18"/>
  <c r="AM21" i="18"/>
  <c r="AL21" i="18"/>
  <c r="AK21" i="18"/>
  <c r="AJ21" i="18"/>
  <c r="AI21" i="18"/>
  <c r="AH21" i="18"/>
  <c r="AG21" i="18"/>
  <c r="AF21" i="18"/>
  <c r="AE21" i="18"/>
  <c r="AD21" i="18"/>
  <c r="AN21" i="18" s="1"/>
  <c r="Y21" i="18"/>
  <c r="V21" i="18"/>
  <c r="T21" i="18"/>
  <c r="AM20" i="18"/>
  <c r="AL20" i="18"/>
  <c r="AK20" i="18"/>
  <c r="AJ20" i="18"/>
  <c r="AI20" i="18"/>
  <c r="AH20" i="18"/>
  <c r="AG20" i="18"/>
  <c r="AF20" i="18"/>
  <c r="AE20" i="18"/>
  <c r="AD20" i="18"/>
  <c r="AN20" i="18" s="1"/>
  <c r="Y20" i="18"/>
  <c r="V20" i="18"/>
  <c r="T20" i="18"/>
  <c r="AM19" i="18"/>
  <c r="AL19" i="18"/>
  <c r="AK19" i="18"/>
  <c r="AJ19" i="18"/>
  <c r="AI19" i="18"/>
  <c r="AH19" i="18"/>
  <c r="AG19" i="18"/>
  <c r="AF19" i="18"/>
  <c r="AE19" i="18"/>
  <c r="AD19" i="18"/>
  <c r="Y19" i="18"/>
  <c r="V19" i="18"/>
  <c r="T19" i="18"/>
  <c r="AM18" i="18"/>
  <c r="AL18" i="18"/>
  <c r="AK18" i="18"/>
  <c r="AJ18" i="18"/>
  <c r="AI18" i="18"/>
  <c r="AH18" i="18"/>
  <c r="AG18" i="18"/>
  <c r="AF18" i="18"/>
  <c r="AE18" i="18"/>
  <c r="AD18" i="18"/>
  <c r="Y18" i="18"/>
  <c r="V18" i="18"/>
  <c r="T18" i="18"/>
  <c r="AM17" i="18"/>
  <c r="AL17" i="18"/>
  <c r="AK17" i="18"/>
  <c r="AJ17" i="18"/>
  <c r="AI17" i="18"/>
  <c r="AH17" i="18"/>
  <c r="AG17" i="18"/>
  <c r="AF17" i="18"/>
  <c r="AE17" i="18"/>
  <c r="AD17" i="18"/>
  <c r="AN17" i="18" s="1"/>
  <c r="Y17" i="18"/>
  <c r="V17" i="18"/>
  <c r="T17" i="18"/>
  <c r="AM16" i="18"/>
  <c r="AL16" i="18"/>
  <c r="AK16" i="18"/>
  <c r="AJ16" i="18"/>
  <c r="AI16" i="18"/>
  <c r="AH16" i="18"/>
  <c r="AG16" i="18"/>
  <c r="AF16" i="18"/>
  <c r="AE16" i="18"/>
  <c r="AD16" i="18"/>
  <c r="Y16" i="18"/>
  <c r="V16" i="18"/>
  <c r="T16" i="18"/>
  <c r="AM15" i="18"/>
  <c r="AL15" i="18"/>
  <c r="AK15" i="18"/>
  <c r="AJ15" i="18"/>
  <c r="AI15" i="18"/>
  <c r="AH15" i="18"/>
  <c r="AG15" i="18"/>
  <c r="AF15" i="18"/>
  <c r="AE15" i="18"/>
  <c r="AN15" i="18" s="1"/>
  <c r="AD15" i="18"/>
  <c r="Y15" i="18"/>
  <c r="V15" i="18"/>
  <c r="T15" i="18"/>
  <c r="AM14" i="18"/>
  <c r="AK14" i="18"/>
  <c r="AF14" i="18"/>
  <c r="AG14" i="18" s="1"/>
  <c r="AE14" i="18"/>
  <c r="Y14" i="18"/>
  <c r="V14" i="18"/>
  <c r="T14" i="18"/>
  <c r="AH14" i="18" s="1"/>
  <c r="AI14" i="18" s="1"/>
  <c r="AK13" i="18"/>
  <c r="AF13" i="18"/>
  <c r="AG13" i="18" s="1"/>
  <c r="Y13" i="18"/>
  <c r="V13" i="18"/>
  <c r="T13" i="18"/>
  <c r="AM13" i="18" s="1"/>
  <c r="AM12" i="18"/>
  <c r="AK12" i="18"/>
  <c r="AH12" i="18"/>
  <c r="AI12" i="18" s="1"/>
  <c r="AF12" i="18"/>
  <c r="AG12" i="18" s="1"/>
  <c r="Y12" i="18"/>
  <c r="V12" i="18"/>
  <c r="T12" i="18"/>
  <c r="AE12" i="18" s="1"/>
  <c r="A12" i="18"/>
  <c r="AK11" i="18"/>
  <c r="AF11" i="18"/>
  <c r="AG11" i="18" s="1"/>
  <c r="Y11" i="18"/>
  <c r="V11" i="18"/>
  <c r="T11" i="18"/>
  <c r="AH11" i="18" s="1"/>
  <c r="AI11" i="18" s="1"/>
  <c r="AM10" i="18"/>
  <c r="AL10" i="18"/>
  <c r="AK10" i="18"/>
  <c r="AJ10" i="18"/>
  <c r="AI10" i="18"/>
  <c r="AH10" i="18"/>
  <c r="AG10" i="18"/>
  <c r="AF10" i="18"/>
  <c r="AE10" i="18"/>
  <c r="AD10" i="18"/>
  <c r="Y10" i="18"/>
  <c r="V10" i="18"/>
  <c r="T10" i="18"/>
  <c r="K10" i="18"/>
  <c r="A10" i="18"/>
  <c r="W21" i="18" s="1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T9" i="18"/>
  <c r="K9" i="18"/>
  <c r="AM8" i="18"/>
  <c r="AL8" i="18"/>
  <c r="AK8" i="18"/>
  <c r="AJ8" i="18"/>
  <c r="AI8" i="18"/>
  <c r="AH8" i="18"/>
  <c r="AG8" i="18"/>
  <c r="AF8" i="18"/>
  <c r="AD8" i="18"/>
  <c r="AN8" i="18" s="1"/>
  <c r="Y8" i="18"/>
  <c r="V8" i="18"/>
  <c r="U8" i="18"/>
  <c r="T8" i="18"/>
  <c r="K8" i="18"/>
  <c r="AM7" i="18"/>
  <c r="AL7" i="18"/>
  <c r="AK7" i="18"/>
  <c r="AJ7" i="18"/>
  <c r="AI7" i="18"/>
  <c r="AH7" i="18"/>
  <c r="AG7" i="18"/>
  <c r="AF7" i="18"/>
  <c r="AD7" i="18"/>
  <c r="AN7" i="18" s="1"/>
  <c r="Y7" i="18"/>
  <c r="W7" i="18"/>
  <c r="V7" i="18"/>
  <c r="T7" i="18"/>
  <c r="K7" i="18"/>
  <c r="AM6" i="18"/>
  <c r="AL6" i="18"/>
  <c r="AK6" i="18"/>
  <c r="AJ6" i="18"/>
  <c r="AI6" i="18"/>
  <c r="AH6" i="18"/>
  <c r="AG6" i="18"/>
  <c r="AF6" i="18"/>
  <c r="AD6" i="18"/>
  <c r="AN6" i="18" s="1"/>
  <c r="Y6" i="18"/>
  <c r="V6" i="18"/>
  <c r="U6" i="18"/>
  <c r="T6" i="18"/>
  <c r="A6" i="18"/>
  <c r="AM5" i="18"/>
  <c r="AL5" i="18"/>
  <c r="AK5" i="18"/>
  <c r="AJ5" i="18"/>
  <c r="AI5" i="18"/>
  <c r="AH5" i="18"/>
  <c r="AG5" i="18"/>
  <c r="AF5" i="18"/>
  <c r="AD5" i="18"/>
  <c r="AN5" i="18" s="1"/>
  <c r="Y5" i="18"/>
  <c r="V5" i="18"/>
  <c r="T5" i="18"/>
  <c r="K5" i="18"/>
  <c r="F1" i="18"/>
  <c r="AM24" i="74"/>
  <c r="AL24" i="74"/>
  <c r="AK24" i="74"/>
  <c r="AJ24" i="74"/>
  <c r="AI24" i="74"/>
  <c r="AH24" i="74"/>
  <c r="AG24" i="74"/>
  <c r="AF24" i="74"/>
  <c r="AE24" i="74"/>
  <c r="AD24" i="74"/>
  <c r="AN24" i="74" s="1"/>
  <c r="Y24" i="74"/>
  <c r="V24" i="74"/>
  <c r="U24" i="74"/>
  <c r="T24" i="74"/>
  <c r="AM23" i="74"/>
  <c r="AL23" i="74"/>
  <c r="AK23" i="74"/>
  <c r="AJ23" i="74"/>
  <c r="AI23" i="74"/>
  <c r="AH23" i="74"/>
  <c r="AG23" i="74"/>
  <c r="AF23" i="74"/>
  <c r="AE23" i="74"/>
  <c r="AD23" i="74"/>
  <c r="Y23" i="74"/>
  <c r="V23" i="74"/>
  <c r="T23" i="74"/>
  <c r="AM22" i="74"/>
  <c r="AL22" i="74"/>
  <c r="AK22" i="74"/>
  <c r="AJ22" i="74"/>
  <c r="AI22" i="74"/>
  <c r="AH22" i="74"/>
  <c r="AG22" i="74"/>
  <c r="AF22" i="74"/>
  <c r="AE22" i="74"/>
  <c r="AD22" i="74"/>
  <c r="AN22" i="74" s="1"/>
  <c r="Y22" i="74"/>
  <c r="V22" i="74"/>
  <c r="U22" i="74"/>
  <c r="T22" i="74"/>
  <c r="AM21" i="74"/>
  <c r="AL21" i="74"/>
  <c r="AK21" i="74"/>
  <c r="AJ21" i="74"/>
  <c r="AI21" i="74"/>
  <c r="AH21" i="74"/>
  <c r="AG21" i="74"/>
  <c r="AF21" i="74"/>
  <c r="AE21" i="74"/>
  <c r="AD21" i="74"/>
  <c r="Y21" i="74"/>
  <c r="V21" i="74"/>
  <c r="T21" i="74"/>
  <c r="AM20" i="74"/>
  <c r="AL20" i="74"/>
  <c r="AK20" i="74"/>
  <c r="AJ20" i="74"/>
  <c r="AI20" i="74"/>
  <c r="AH20" i="74"/>
  <c r="AG20" i="74"/>
  <c r="AF20" i="74"/>
  <c r="AE20" i="74"/>
  <c r="AD20" i="74"/>
  <c r="AN20" i="74" s="1"/>
  <c r="Y20" i="74"/>
  <c r="V20" i="74"/>
  <c r="U20" i="74"/>
  <c r="T20" i="74"/>
  <c r="AM19" i="74"/>
  <c r="AL19" i="74"/>
  <c r="AK19" i="74"/>
  <c r="AJ19" i="74"/>
  <c r="AI19" i="74"/>
  <c r="AH19" i="74"/>
  <c r="AG19" i="74"/>
  <c r="AF19" i="74"/>
  <c r="AE19" i="74"/>
  <c r="AD19" i="74"/>
  <c r="Y19" i="74"/>
  <c r="V19" i="74"/>
  <c r="T19" i="74"/>
  <c r="AM18" i="74"/>
  <c r="AL18" i="74"/>
  <c r="AK18" i="74"/>
  <c r="AJ18" i="74"/>
  <c r="AI18" i="74"/>
  <c r="AH18" i="74"/>
  <c r="AG18" i="74"/>
  <c r="AF18" i="74"/>
  <c r="AE18" i="74"/>
  <c r="AD18" i="74"/>
  <c r="AN18" i="74" s="1"/>
  <c r="Y18" i="74"/>
  <c r="V18" i="74"/>
  <c r="U18" i="74"/>
  <c r="T18" i="74"/>
  <c r="AM17" i="74"/>
  <c r="AL17" i="74"/>
  <c r="AK17" i="74"/>
  <c r="AJ17" i="74"/>
  <c r="AI17" i="74"/>
  <c r="AH17" i="74"/>
  <c r="AG17" i="74"/>
  <c r="AF17" i="74"/>
  <c r="AE17" i="74"/>
  <c r="AD17" i="74"/>
  <c r="Y17" i="74"/>
  <c r="V17" i="74"/>
  <c r="T17" i="74"/>
  <c r="AM16" i="74"/>
  <c r="AL16" i="74"/>
  <c r="AK16" i="74"/>
  <c r="AJ16" i="74"/>
  <c r="AI16" i="74"/>
  <c r="AH16" i="74"/>
  <c r="AG16" i="74"/>
  <c r="AF16" i="74"/>
  <c r="AE16" i="74"/>
  <c r="AD16" i="74"/>
  <c r="AN16" i="74" s="1"/>
  <c r="Y16" i="74"/>
  <c r="V16" i="74"/>
  <c r="U16" i="74"/>
  <c r="T16" i="74"/>
  <c r="AM15" i="74"/>
  <c r="AL15" i="74"/>
  <c r="AK15" i="74"/>
  <c r="AJ15" i="74"/>
  <c r="AI15" i="74"/>
  <c r="AH15" i="74"/>
  <c r="AG15" i="74"/>
  <c r="AF15" i="74"/>
  <c r="AE15" i="74"/>
  <c r="AN15" i="74" s="1"/>
  <c r="AD15" i="74"/>
  <c r="Y15" i="74"/>
  <c r="V15" i="74"/>
  <c r="T15" i="74"/>
  <c r="AM14" i="74"/>
  <c r="AL14" i="74"/>
  <c r="AK14" i="74"/>
  <c r="AJ14" i="74"/>
  <c r="AI14" i="74"/>
  <c r="AH14" i="74"/>
  <c r="AG14" i="74"/>
  <c r="AF14" i="74"/>
  <c r="AE14" i="74"/>
  <c r="AD14" i="74"/>
  <c r="Y14" i="74"/>
  <c r="V14" i="74"/>
  <c r="T14" i="74"/>
  <c r="AM13" i="74"/>
  <c r="AL13" i="74"/>
  <c r="AK13" i="74"/>
  <c r="AJ13" i="74"/>
  <c r="AI13" i="74"/>
  <c r="AH13" i="74"/>
  <c r="AG13" i="74"/>
  <c r="AF13" i="74"/>
  <c r="AE13" i="74"/>
  <c r="AD13" i="74"/>
  <c r="Y13" i="74"/>
  <c r="V13" i="74"/>
  <c r="T13" i="74"/>
  <c r="AM12" i="74"/>
  <c r="AL12" i="74"/>
  <c r="AK12" i="74"/>
  <c r="AJ12" i="74"/>
  <c r="AI12" i="74"/>
  <c r="AH12" i="74"/>
  <c r="AG12" i="74"/>
  <c r="AF12" i="74"/>
  <c r="AE12" i="74"/>
  <c r="AD12" i="74"/>
  <c r="AN12" i="74" s="1"/>
  <c r="Y12" i="74"/>
  <c r="W12" i="74"/>
  <c r="V12" i="74"/>
  <c r="T12" i="74"/>
  <c r="A12" i="74"/>
  <c r="AM11" i="74"/>
  <c r="AL11" i="74"/>
  <c r="AK11" i="74"/>
  <c r="AJ11" i="74"/>
  <c r="AI11" i="74"/>
  <c r="AH11" i="74"/>
  <c r="AG11" i="74"/>
  <c r="AF11" i="74"/>
  <c r="AE11" i="74"/>
  <c r="AD11" i="74"/>
  <c r="AN11" i="74" s="1"/>
  <c r="Y11" i="74"/>
  <c r="W11" i="74"/>
  <c r="V11" i="74"/>
  <c r="U11" i="74"/>
  <c r="T11" i="74"/>
  <c r="AM10" i="74"/>
  <c r="AL10" i="74"/>
  <c r="AK10" i="74"/>
  <c r="AJ10" i="74"/>
  <c r="AI10" i="74"/>
  <c r="AH10" i="74"/>
  <c r="AG10" i="74"/>
  <c r="AF10" i="74"/>
  <c r="AE10" i="74"/>
  <c r="AD10" i="74"/>
  <c r="Y10" i="74"/>
  <c r="V10" i="74"/>
  <c r="U10" i="74"/>
  <c r="T10" i="74"/>
  <c r="A10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T9" i="74"/>
  <c r="AM8" i="74"/>
  <c r="AL8" i="74"/>
  <c r="AK8" i="74"/>
  <c r="AJ8" i="74"/>
  <c r="AI8" i="74"/>
  <c r="AH8" i="74"/>
  <c r="AG8" i="74"/>
  <c r="AF8" i="74"/>
  <c r="AD8" i="74"/>
  <c r="AN8" i="74" s="1"/>
  <c r="Y8" i="74"/>
  <c r="V8" i="74"/>
  <c r="T8" i="74"/>
  <c r="AM7" i="74"/>
  <c r="AL7" i="74"/>
  <c r="AK7" i="74"/>
  <c r="AJ7" i="74"/>
  <c r="AI7" i="74"/>
  <c r="AH7" i="74"/>
  <c r="AG7" i="74"/>
  <c r="AF7" i="74"/>
  <c r="AD7" i="74"/>
  <c r="AN7" i="74" s="1"/>
  <c r="Y7" i="74"/>
  <c r="V7" i="74"/>
  <c r="T7" i="74"/>
  <c r="AM6" i="74"/>
  <c r="AK6" i="74"/>
  <c r="AH6" i="74"/>
  <c r="AI6" i="74" s="1"/>
  <c r="AF6" i="74"/>
  <c r="AG6" i="74" s="1"/>
  <c r="Y6" i="74"/>
  <c r="A14" i="74" s="1"/>
  <c r="V6" i="74"/>
  <c r="U6" i="74"/>
  <c r="T6" i="74"/>
  <c r="AD6" i="74" s="1"/>
  <c r="A6" i="74"/>
  <c r="AM5" i="74"/>
  <c r="AL5" i="74"/>
  <c r="AK5" i="74"/>
  <c r="AJ5" i="74"/>
  <c r="AI5" i="74"/>
  <c r="AH5" i="74"/>
  <c r="AG5" i="74"/>
  <c r="AF5" i="74"/>
  <c r="AD5" i="74"/>
  <c r="AN5" i="74" s="1"/>
  <c r="Y5" i="74"/>
  <c r="W5" i="74"/>
  <c r="V5" i="74"/>
  <c r="T5" i="74"/>
  <c r="F1" i="74"/>
  <c r="AM24" i="16"/>
  <c r="AL24" i="16"/>
  <c r="AK24" i="16"/>
  <c r="AJ24" i="16"/>
  <c r="AI24" i="16"/>
  <c r="AH24" i="16"/>
  <c r="AG24" i="16"/>
  <c r="AF24" i="16"/>
  <c r="AE24" i="16"/>
  <c r="AD24" i="16"/>
  <c r="AN24" i="16" s="1"/>
  <c r="Y24" i="16"/>
  <c r="V24" i="16"/>
  <c r="T24" i="16"/>
  <c r="AM23" i="16"/>
  <c r="AL23" i="16"/>
  <c r="AK23" i="16"/>
  <c r="AJ23" i="16"/>
  <c r="AI23" i="16"/>
  <c r="AH23" i="16"/>
  <c r="AG23" i="16"/>
  <c r="AF23" i="16"/>
  <c r="AE23" i="16"/>
  <c r="AD23" i="16"/>
  <c r="Y23" i="16"/>
  <c r="V23" i="16"/>
  <c r="T23" i="16"/>
  <c r="AM22" i="16"/>
  <c r="AL22" i="16"/>
  <c r="AK22" i="16"/>
  <c r="AJ22" i="16"/>
  <c r="AI22" i="16"/>
  <c r="AH22" i="16"/>
  <c r="AG22" i="16"/>
  <c r="AF22" i="16"/>
  <c r="AE22" i="16"/>
  <c r="AD22" i="16"/>
  <c r="Y22" i="16"/>
  <c r="V22" i="16"/>
  <c r="T22" i="16"/>
  <c r="AM21" i="16"/>
  <c r="AL21" i="16"/>
  <c r="AK21" i="16"/>
  <c r="AJ21" i="16"/>
  <c r="AI21" i="16"/>
  <c r="AH21" i="16"/>
  <c r="AG21" i="16"/>
  <c r="AF21" i="16"/>
  <c r="AE21" i="16"/>
  <c r="AD21" i="16"/>
  <c r="Y21" i="16"/>
  <c r="V21" i="16"/>
  <c r="T21" i="16"/>
  <c r="AM20" i="16"/>
  <c r="AL20" i="16"/>
  <c r="AK20" i="16"/>
  <c r="AJ20" i="16"/>
  <c r="AI20" i="16"/>
  <c r="AH20" i="16"/>
  <c r="AG20" i="16"/>
  <c r="AF20" i="16"/>
  <c r="AE20" i="16"/>
  <c r="AD20" i="16"/>
  <c r="Y20" i="16"/>
  <c r="V20" i="16"/>
  <c r="T20" i="16"/>
  <c r="AM19" i="16"/>
  <c r="AL19" i="16"/>
  <c r="AK19" i="16"/>
  <c r="AJ19" i="16"/>
  <c r="AI19" i="16"/>
  <c r="AH19" i="16"/>
  <c r="AG19" i="16"/>
  <c r="AF19" i="16"/>
  <c r="AE19" i="16"/>
  <c r="AD19" i="16"/>
  <c r="Y19" i="16"/>
  <c r="V19" i="16"/>
  <c r="T19" i="16"/>
  <c r="AM18" i="16"/>
  <c r="AL18" i="16"/>
  <c r="AK18" i="16"/>
  <c r="AJ18" i="16"/>
  <c r="AI18" i="16"/>
  <c r="AH18" i="16"/>
  <c r="AG18" i="16"/>
  <c r="AF18" i="16"/>
  <c r="AE18" i="16"/>
  <c r="AD18" i="16"/>
  <c r="Y18" i="16"/>
  <c r="V18" i="16"/>
  <c r="T18" i="16"/>
  <c r="AM17" i="16"/>
  <c r="AL17" i="16"/>
  <c r="AK17" i="16"/>
  <c r="AJ17" i="16"/>
  <c r="AI17" i="16"/>
  <c r="AH17" i="16"/>
  <c r="AG17" i="16"/>
  <c r="AF17" i="16"/>
  <c r="AE17" i="16"/>
  <c r="AD17" i="16"/>
  <c r="Y17" i="16"/>
  <c r="V17" i="16"/>
  <c r="T17" i="16"/>
  <c r="AM16" i="16"/>
  <c r="AL16" i="16"/>
  <c r="AK16" i="16"/>
  <c r="AJ16" i="16"/>
  <c r="AI16" i="16"/>
  <c r="AH16" i="16"/>
  <c r="AG16" i="16"/>
  <c r="AF16" i="16"/>
  <c r="AE16" i="16"/>
  <c r="AD16" i="16"/>
  <c r="Y16" i="16"/>
  <c r="V16" i="16"/>
  <c r="T16" i="16"/>
  <c r="AM15" i="16"/>
  <c r="AL15" i="16"/>
  <c r="AK15" i="16"/>
  <c r="AJ15" i="16"/>
  <c r="AI15" i="16"/>
  <c r="AH15" i="16"/>
  <c r="AG15" i="16"/>
  <c r="AF15" i="16"/>
  <c r="AE15" i="16"/>
  <c r="AN15" i="16" s="1"/>
  <c r="AD15" i="16"/>
  <c r="Y15" i="16"/>
  <c r="V15" i="16"/>
  <c r="T15" i="16"/>
  <c r="AM14" i="16"/>
  <c r="AL14" i="16"/>
  <c r="AK14" i="16"/>
  <c r="AJ14" i="16"/>
  <c r="AI14" i="16"/>
  <c r="AH14" i="16"/>
  <c r="AG14" i="16"/>
  <c r="AF14" i="16"/>
  <c r="AE14" i="16"/>
  <c r="AD14" i="16"/>
  <c r="Y14" i="16"/>
  <c r="V14" i="16"/>
  <c r="T14" i="16"/>
  <c r="AM13" i="16"/>
  <c r="AL13" i="16"/>
  <c r="AK13" i="16"/>
  <c r="AJ13" i="16"/>
  <c r="AI13" i="16"/>
  <c r="AH13" i="16"/>
  <c r="AG13" i="16"/>
  <c r="AF13" i="16"/>
  <c r="AE13" i="16"/>
  <c r="AD13" i="16"/>
  <c r="Y13" i="16"/>
  <c r="V13" i="16"/>
  <c r="T13" i="16"/>
  <c r="AM12" i="16"/>
  <c r="AL12" i="16"/>
  <c r="AK12" i="16"/>
  <c r="AJ12" i="16"/>
  <c r="AI12" i="16"/>
  <c r="AH12" i="16"/>
  <c r="AG12" i="16"/>
  <c r="AF12" i="16"/>
  <c r="AE12" i="16"/>
  <c r="AD12" i="16"/>
  <c r="Y12" i="16"/>
  <c r="V12" i="16"/>
  <c r="T12" i="16"/>
  <c r="A12" i="16"/>
  <c r="AM11" i="16"/>
  <c r="AL11" i="16"/>
  <c r="AK11" i="16"/>
  <c r="AJ11" i="16"/>
  <c r="AI11" i="16"/>
  <c r="AH11" i="16"/>
  <c r="AG11" i="16"/>
  <c r="AF11" i="16"/>
  <c r="AE11" i="16"/>
  <c r="AD11" i="16"/>
  <c r="Y11" i="16"/>
  <c r="V11" i="16"/>
  <c r="T11" i="16"/>
  <c r="AM10" i="16"/>
  <c r="AL10" i="16"/>
  <c r="AK10" i="16"/>
  <c r="AJ10" i="16"/>
  <c r="AI10" i="16"/>
  <c r="AH10" i="16"/>
  <c r="AG10" i="16"/>
  <c r="AF10" i="16"/>
  <c r="AE10" i="16"/>
  <c r="AD10" i="16"/>
  <c r="Y10" i="16"/>
  <c r="V10" i="16"/>
  <c r="T10" i="16"/>
  <c r="A10" i="16"/>
  <c r="U6" i="16" s="1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T9" i="16"/>
  <c r="AM8" i="16"/>
  <c r="AL8" i="16"/>
  <c r="AK8" i="16"/>
  <c r="AJ8" i="16"/>
  <c r="AI8" i="16"/>
  <c r="AH8" i="16"/>
  <c r="AG8" i="16"/>
  <c r="AF8" i="16"/>
  <c r="AD8" i="16"/>
  <c r="AN8" i="16" s="1"/>
  <c r="Y8" i="16"/>
  <c r="V8" i="16"/>
  <c r="T8" i="16"/>
  <c r="AM7" i="16"/>
  <c r="AK7" i="16"/>
  <c r="AF7" i="16"/>
  <c r="AG7" i="16" s="1"/>
  <c r="Y7" i="16"/>
  <c r="V7" i="16"/>
  <c r="AD7" i="16"/>
  <c r="AM6" i="16"/>
  <c r="AK6" i="16"/>
  <c r="AF6" i="16"/>
  <c r="AG6" i="16" s="1"/>
  <c r="Y6" i="16"/>
  <c r="V6" i="16"/>
  <c r="T6" i="16"/>
  <c r="AH6" i="16" s="1"/>
  <c r="AI6" i="16" s="1"/>
  <c r="A6" i="16"/>
  <c r="AK5" i="16"/>
  <c r="AI5" i="16"/>
  <c r="AH5" i="16"/>
  <c r="AF5" i="16"/>
  <c r="AD5" i="16"/>
  <c r="Y5" i="16"/>
  <c r="V5" i="16"/>
  <c r="T5" i="16"/>
  <c r="K5" i="16"/>
  <c r="AG5" i="16" s="1"/>
  <c r="F1" i="16"/>
  <c r="AM515" i="15"/>
  <c r="AL515" i="15"/>
  <c r="AK515" i="15"/>
  <c r="AJ515" i="15"/>
  <c r="AI515" i="15"/>
  <c r="AH515" i="15"/>
  <c r="AG515" i="15"/>
  <c r="AF515" i="15"/>
  <c r="AE515" i="15"/>
  <c r="AD515" i="15"/>
  <c r="Y515" i="15"/>
  <c r="V515" i="15"/>
  <c r="T515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V514" i="15"/>
  <c r="T514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V513" i="15"/>
  <c r="T513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V512" i="15"/>
  <c r="T512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V511" i="15"/>
  <c r="T511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V510" i="15"/>
  <c r="T510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V509" i="15"/>
  <c r="T509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V508" i="15"/>
  <c r="T508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V507" i="15"/>
  <c r="T507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V506" i="15"/>
  <c r="T506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V505" i="15"/>
  <c r="T505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V504" i="15"/>
  <c r="T504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V503" i="15"/>
  <c r="T503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V502" i="15"/>
  <c r="T502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V501" i="15"/>
  <c r="T501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V500" i="15"/>
  <c r="T500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V499" i="15"/>
  <c r="T499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V498" i="15"/>
  <c r="T498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V497" i="15"/>
  <c r="T497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V496" i="15"/>
  <c r="T496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V495" i="15"/>
  <c r="T495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V494" i="15"/>
  <c r="T494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V493" i="15"/>
  <c r="T493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V492" i="15"/>
  <c r="T492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V491" i="15"/>
  <c r="T491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V490" i="15"/>
  <c r="T490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V489" i="15"/>
  <c r="T489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V488" i="15"/>
  <c r="T488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V487" i="15"/>
  <c r="T487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V486" i="15"/>
  <c r="T486" i="15"/>
  <c r="AM485" i="15"/>
  <c r="AL485" i="15"/>
  <c r="AK485" i="15"/>
  <c r="AJ485" i="15"/>
  <c r="AI485" i="15"/>
  <c r="AH485" i="15"/>
  <c r="AG485" i="15"/>
  <c r="AF485" i="15"/>
  <c r="AE485" i="15"/>
  <c r="AN485" i="15" s="1"/>
  <c r="AD485" i="15"/>
  <c r="Y485" i="15"/>
  <c r="V485" i="15"/>
  <c r="T485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V484" i="15"/>
  <c r="T484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V483" i="15"/>
  <c r="T483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V482" i="15"/>
  <c r="T482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V481" i="15"/>
  <c r="T481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V480" i="15"/>
  <c r="T480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V479" i="15"/>
  <c r="T479" i="15"/>
  <c r="AM478" i="15"/>
  <c r="AL478" i="15"/>
  <c r="AK478" i="15"/>
  <c r="AJ478" i="15"/>
  <c r="AI478" i="15"/>
  <c r="AH478" i="15"/>
  <c r="AG478" i="15"/>
  <c r="AF478" i="15"/>
  <c r="AE478" i="15"/>
  <c r="AN478" i="15" s="1"/>
  <c r="AD478" i="15"/>
  <c r="Y478" i="15"/>
  <c r="V478" i="15"/>
  <c r="T478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V477" i="15"/>
  <c r="T477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V476" i="15"/>
  <c r="T476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V475" i="15"/>
  <c r="T475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V474" i="15"/>
  <c r="T474" i="15"/>
  <c r="AM473" i="15"/>
  <c r="AL473" i="15"/>
  <c r="AK473" i="15"/>
  <c r="AJ473" i="15"/>
  <c r="AI473" i="15"/>
  <c r="AH473" i="15"/>
  <c r="AG473" i="15"/>
  <c r="AF473" i="15"/>
  <c r="AE473" i="15"/>
  <c r="AN473" i="15" s="1"/>
  <c r="AD473" i="15"/>
  <c r="Y473" i="15"/>
  <c r="V473" i="15"/>
  <c r="T473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V472" i="15"/>
  <c r="T472" i="15"/>
  <c r="AM471" i="15"/>
  <c r="AL471" i="15"/>
  <c r="AK471" i="15"/>
  <c r="AJ471" i="15"/>
  <c r="AI471" i="15"/>
  <c r="AH471" i="15"/>
  <c r="AG471" i="15"/>
  <c r="AF471" i="15"/>
  <c r="AE471" i="15"/>
  <c r="AD471" i="15"/>
  <c r="AN471" i="15" s="1"/>
  <c r="Y471" i="15"/>
  <c r="V471" i="15"/>
  <c r="T471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V470" i="15"/>
  <c r="T470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V469" i="15"/>
  <c r="T469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V468" i="15"/>
  <c r="T468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V467" i="15"/>
  <c r="T467" i="15"/>
  <c r="AM466" i="15"/>
  <c r="AL466" i="15"/>
  <c r="AK466" i="15"/>
  <c r="AJ466" i="15"/>
  <c r="AI466" i="15"/>
  <c r="AH466" i="15"/>
  <c r="AG466" i="15"/>
  <c r="AF466" i="15"/>
  <c r="AE466" i="15"/>
  <c r="AN466" i="15" s="1"/>
  <c r="AD466" i="15"/>
  <c r="Y466" i="15"/>
  <c r="V466" i="15"/>
  <c r="T466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V465" i="15"/>
  <c r="T465" i="15"/>
  <c r="AM464" i="15"/>
  <c r="AL464" i="15"/>
  <c r="AK464" i="15"/>
  <c r="AJ464" i="15"/>
  <c r="AI464" i="15"/>
  <c r="AH464" i="15"/>
  <c r="AG464" i="15"/>
  <c r="AF464" i="15"/>
  <c r="AE464" i="15"/>
  <c r="AN464" i="15" s="1"/>
  <c r="AD464" i="15"/>
  <c r="Y464" i="15"/>
  <c r="V464" i="15"/>
  <c r="T464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V463" i="15"/>
  <c r="T463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V462" i="15"/>
  <c r="T462" i="15"/>
  <c r="AM461" i="15"/>
  <c r="AL461" i="15"/>
  <c r="AK461" i="15"/>
  <c r="AJ461" i="15"/>
  <c r="AI461" i="15"/>
  <c r="AH461" i="15"/>
  <c r="AG461" i="15"/>
  <c r="AF461" i="15"/>
  <c r="AE461" i="15"/>
  <c r="AN461" i="15" s="1"/>
  <c r="AD461" i="15"/>
  <c r="Y461" i="15"/>
  <c r="V461" i="15"/>
  <c r="T461" i="15"/>
  <c r="AM460" i="15"/>
  <c r="AL460" i="15"/>
  <c r="AK460" i="15"/>
  <c r="AJ460" i="15"/>
  <c r="AI460" i="15"/>
  <c r="AH460" i="15"/>
  <c r="AG460" i="15"/>
  <c r="AF460" i="15"/>
  <c r="AE460" i="15"/>
  <c r="AN460" i="15" s="1"/>
  <c r="AD460" i="15"/>
  <c r="Y460" i="15"/>
  <c r="V460" i="15"/>
  <c r="T460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V459" i="15"/>
  <c r="T459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V458" i="15"/>
  <c r="T458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V457" i="15"/>
  <c r="T457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V456" i="15"/>
  <c r="T456" i="15"/>
  <c r="AM455" i="15"/>
  <c r="AL455" i="15"/>
  <c r="AK455" i="15"/>
  <c r="AJ455" i="15"/>
  <c r="AI455" i="15"/>
  <c r="AH455" i="15"/>
  <c r="AG455" i="15"/>
  <c r="AF455" i="15"/>
  <c r="AE455" i="15"/>
  <c r="AN455" i="15" s="1"/>
  <c r="AD455" i="15"/>
  <c r="Y455" i="15"/>
  <c r="V455" i="15"/>
  <c r="T455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V454" i="15"/>
  <c r="T454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V453" i="15"/>
  <c r="T453" i="15"/>
  <c r="AM452" i="15"/>
  <c r="AL452" i="15"/>
  <c r="AK452" i="15"/>
  <c r="AJ452" i="15"/>
  <c r="AI452" i="15"/>
  <c r="AH452" i="15"/>
  <c r="AG452" i="15"/>
  <c r="AF452" i="15"/>
  <c r="AE452" i="15"/>
  <c r="AN452" i="15" s="1"/>
  <c r="AD452" i="15"/>
  <c r="Y452" i="15"/>
  <c r="V452" i="15"/>
  <c r="T452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V451" i="15"/>
  <c r="T451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V450" i="15"/>
  <c r="T450" i="15"/>
  <c r="AM449" i="15"/>
  <c r="AL449" i="15"/>
  <c r="AK449" i="15"/>
  <c r="AJ449" i="15"/>
  <c r="AI449" i="15"/>
  <c r="AH449" i="15"/>
  <c r="AG449" i="15"/>
  <c r="AF449" i="15"/>
  <c r="AE449" i="15"/>
  <c r="AN449" i="15" s="1"/>
  <c r="AD449" i="15"/>
  <c r="Y449" i="15"/>
  <c r="V449" i="15"/>
  <c r="T449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V448" i="15"/>
  <c r="T448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V447" i="15"/>
  <c r="T447" i="15"/>
  <c r="AM446" i="15"/>
  <c r="AL446" i="15"/>
  <c r="AK446" i="15"/>
  <c r="AJ446" i="15"/>
  <c r="AI446" i="15"/>
  <c r="AH446" i="15"/>
  <c r="AG446" i="15"/>
  <c r="AF446" i="15"/>
  <c r="AE446" i="15"/>
  <c r="AN446" i="15" s="1"/>
  <c r="AD446" i="15"/>
  <c r="Y446" i="15"/>
  <c r="V446" i="15"/>
  <c r="T446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V445" i="15"/>
  <c r="T445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V444" i="15"/>
  <c r="T444" i="15"/>
  <c r="AM443" i="15"/>
  <c r="AL443" i="15"/>
  <c r="AK443" i="15"/>
  <c r="AJ443" i="15"/>
  <c r="AI443" i="15"/>
  <c r="AH443" i="15"/>
  <c r="AG443" i="15"/>
  <c r="AF443" i="15"/>
  <c r="AE443" i="15"/>
  <c r="AN443" i="15" s="1"/>
  <c r="AD443" i="15"/>
  <c r="Y443" i="15"/>
  <c r="V443" i="15"/>
  <c r="T443" i="15"/>
  <c r="AM442" i="15"/>
  <c r="AL442" i="15"/>
  <c r="AK442" i="15"/>
  <c r="AJ442" i="15"/>
  <c r="AI442" i="15"/>
  <c r="AH442" i="15"/>
  <c r="AG442" i="15"/>
  <c r="AF442" i="15"/>
  <c r="AE442" i="15"/>
  <c r="AN442" i="15" s="1"/>
  <c r="AD442" i="15"/>
  <c r="Y442" i="15"/>
  <c r="V442" i="15"/>
  <c r="T442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V441" i="15"/>
  <c r="T441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V440" i="15"/>
  <c r="T440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V439" i="15"/>
  <c r="T439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V438" i="15"/>
  <c r="T438" i="15"/>
  <c r="AM437" i="15"/>
  <c r="AL437" i="15"/>
  <c r="AK437" i="15"/>
  <c r="AJ437" i="15"/>
  <c r="AI437" i="15"/>
  <c r="AH437" i="15"/>
  <c r="AG437" i="15"/>
  <c r="AF437" i="15"/>
  <c r="AE437" i="15"/>
  <c r="AN437" i="15" s="1"/>
  <c r="AD437" i="15"/>
  <c r="Y437" i="15"/>
  <c r="V437" i="15"/>
  <c r="T437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V436" i="15"/>
  <c r="T436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V435" i="15"/>
  <c r="T435" i="15"/>
  <c r="AM434" i="15"/>
  <c r="AL434" i="15"/>
  <c r="AK434" i="15"/>
  <c r="AJ434" i="15"/>
  <c r="AI434" i="15"/>
  <c r="AH434" i="15"/>
  <c r="AG434" i="15"/>
  <c r="AF434" i="15"/>
  <c r="AE434" i="15"/>
  <c r="AN434" i="15" s="1"/>
  <c r="AD434" i="15"/>
  <c r="Y434" i="15"/>
  <c r="V434" i="15"/>
  <c r="T434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V433" i="15"/>
  <c r="T433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V432" i="15"/>
  <c r="T432" i="15"/>
  <c r="AM431" i="15"/>
  <c r="AL431" i="15"/>
  <c r="AK431" i="15"/>
  <c r="AJ431" i="15"/>
  <c r="AI431" i="15"/>
  <c r="AH431" i="15"/>
  <c r="AG431" i="15"/>
  <c r="AF431" i="15"/>
  <c r="AE431" i="15"/>
  <c r="AN431" i="15" s="1"/>
  <c r="AD431" i="15"/>
  <c r="Y431" i="15"/>
  <c r="V431" i="15"/>
  <c r="T431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V430" i="15"/>
  <c r="T430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V429" i="15"/>
  <c r="T429" i="15"/>
  <c r="AM428" i="15"/>
  <c r="AL428" i="15"/>
  <c r="AK428" i="15"/>
  <c r="AJ428" i="15"/>
  <c r="AI428" i="15"/>
  <c r="AH428" i="15"/>
  <c r="AG428" i="15"/>
  <c r="AF428" i="15"/>
  <c r="AE428" i="15"/>
  <c r="AN428" i="15" s="1"/>
  <c r="AD428" i="15"/>
  <c r="Y428" i="15"/>
  <c r="V428" i="15"/>
  <c r="T428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V427" i="15"/>
  <c r="T427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V426" i="15"/>
  <c r="T426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V425" i="15"/>
  <c r="T425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V424" i="15"/>
  <c r="T424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V423" i="15"/>
  <c r="T423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V422" i="15"/>
  <c r="T422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V421" i="15"/>
  <c r="T421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V420" i="15"/>
  <c r="T420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V419" i="15"/>
  <c r="T419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V418" i="15"/>
  <c r="T418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V417" i="15"/>
  <c r="T417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V416" i="15"/>
  <c r="T416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V415" i="15"/>
  <c r="T415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V414" i="15"/>
  <c r="T414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V413" i="15"/>
  <c r="T413" i="15"/>
  <c r="AM412" i="15"/>
  <c r="AL412" i="15"/>
  <c r="AK412" i="15"/>
  <c r="AJ412" i="15"/>
  <c r="AI412" i="15"/>
  <c r="AH412" i="15"/>
  <c r="AG412" i="15"/>
  <c r="AF412" i="15"/>
  <c r="AE412" i="15"/>
  <c r="AN412" i="15" s="1"/>
  <c r="AD412" i="15"/>
  <c r="Y412" i="15"/>
  <c r="V412" i="15"/>
  <c r="T412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V411" i="15"/>
  <c r="T411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V410" i="15"/>
  <c r="T410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V409" i="15"/>
  <c r="T409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V408" i="15"/>
  <c r="T408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V407" i="15"/>
  <c r="T407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V406" i="15"/>
  <c r="T406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V405" i="15"/>
  <c r="T405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V404" i="15"/>
  <c r="T404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V403" i="15"/>
  <c r="T403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V402" i="15"/>
  <c r="T402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V401" i="15"/>
  <c r="T401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V400" i="15"/>
  <c r="T400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V399" i="15"/>
  <c r="T399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V398" i="15"/>
  <c r="T398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V397" i="15"/>
  <c r="T397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V396" i="15"/>
  <c r="T396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V395" i="15"/>
  <c r="T395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V394" i="15"/>
  <c r="T394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V393" i="15"/>
  <c r="T393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V392" i="15"/>
  <c r="T392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V391" i="15"/>
  <c r="T391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V390" i="15"/>
  <c r="T390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V389" i="15"/>
  <c r="T389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V388" i="15"/>
  <c r="T388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V387" i="15"/>
  <c r="T387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V386" i="15"/>
  <c r="T386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V385" i="15"/>
  <c r="T385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V384" i="15"/>
  <c r="T384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V383" i="15"/>
  <c r="T383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V382" i="15"/>
  <c r="T382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V381" i="15"/>
  <c r="T381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V380" i="15"/>
  <c r="T380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V379" i="15"/>
  <c r="T379" i="15"/>
  <c r="AM378" i="15"/>
  <c r="AL378" i="15"/>
  <c r="AK378" i="15"/>
  <c r="AJ378" i="15"/>
  <c r="AI378" i="15"/>
  <c r="AH378" i="15"/>
  <c r="AG378" i="15"/>
  <c r="AF378" i="15"/>
  <c r="AE378" i="15"/>
  <c r="AD378" i="15"/>
  <c r="AN378" i="15" s="1"/>
  <c r="Y378" i="15"/>
  <c r="V378" i="15"/>
  <c r="T378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V377" i="15"/>
  <c r="T377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V376" i="15"/>
  <c r="T376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V375" i="15"/>
  <c r="T375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V374" i="15"/>
  <c r="T374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V373" i="15"/>
  <c r="T373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V372" i="15"/>
  <c r="T372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V371" i="15"/>
  <c r="T371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V370" i="15"/>
  <c r="T370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V369" i="15"/>
  <c r="T369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V368" i="15"/>
  <c r="T368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V367" i="15"/>
  <c r="T367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V366" i="15"/>
  <c r="T366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V365" i="15"/>
  <c r="T365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V364" i="15"/>
  <c r="T364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V363" i="15"/>
  <c r="T363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V362" i="15"/>
  <c r="T362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V361" i="15"/>
  <c r="T361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V360" i="15"/>
  <c r="T360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V359" i="15"/>
  <c r="T359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V358" i="15"/>
  <c r="T358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V357" i="15"/>
  <c r="T357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V356" i="15"/>
  <c r="T356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V355" i="15"/>
  <c r="T355" i="15"/>
  <c r="AM354" i="15"/>
  <c r="AL354" i="15"/>
  <c r="AK354" i="15"/>
  <c r="AJ354" i="15"/>
  <c r="AI354" i="15"/>
  <c r="AH354" i="15"/>
  <c r="AG354" i="15"/>
  <c r="AF354" i="15"/>
  <c r="AE354" i="15"/>
  <c r="AD354" i="15"/>
  <c r="AN354" i="15" s="1"/>
  <c r="Y354" i="15"/>
  <c r="V354" i="15"/>
  <c r="T354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V353" i="15"/>
  <c r="T353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V352" i="15"/>
  <c r="T352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V351" i="15"/>
  <c r="T351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V350" i="15"/>
  <c r="T350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V349" i="15"/>
  <c r="T349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V348" i="15"/>
  <c r="T348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V347" i="15"/>
  <c r="T347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V346" i="15"/>
  <c r="T346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V345" i="15"/>
  <c r="T345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V344" i="15"/>
  <c r="T344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V343" i="15"/>
  <c r="T343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V342" i="15"/>
  <c r="T342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V341" i="15"/>
  <c r="T341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V340" i="15"/>
  <c r="T340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V339" i="15"/>
  <c r="T339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V338" i="15"/>
  <c r="T338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V337" i="15"/>
  <c r="T337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V336" i="15"/>
  <c r="T336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V335" i="15"/>
  <c r="T335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V334" i="15"/>
  <c r="T334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V333" i="15"/>
  <c r="T333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V332" i="15"/>
  <c r="T332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V331" i="15"/>
  <c r="T331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V330" i="15"/>
  <c r="T330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V329" i="15"/>
  <c r="T329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V328" i="15"/>
  <c r="T328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V327" i="15"/>
  <c r="T327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V326" i="15"/>
  <c r="T326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V325" i="15"/>
  <c r="T325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V324" i="15"/>
  <c r="T324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V323" i="15"/>
  <c r="T323" i="15"/>
  <c r="AM322" i="15"/>
  <c r="AL322" i="15"/>
  <c r="AK322" i="15"/>
  <c r="AJ322" i="15"/>
  <c r="AI322" i="15"/>
  <c r="AH322" i="15"/>
  <c r="AG322" i="15"/>
  <c r="AF322" i="15"/>
  <c r="AE322" i="15"/>
  <c r="AN322" i="15" s="1"/>
  <c r="AD322" i="15"/>
  <c r="Y322" i="15"/>
  <c r="V322" i="15"/>
  <c r="T322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V321" i="15"/>
  <c r="T321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V320" i="15"/>
  <c r="T320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V319" i="15"/>
  <c r="T319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V318" i="15"/>
  <c r="T318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V317" i="15"/>
  <c r="T317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V316" i="15"/>
  <c r="T316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V315" i="15"/>
  <c r="T315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V314" i="15"/>
  <c r="T314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V313" i="15"/>
  <c r="T313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V312" i="15"/>
  <c r="T312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V311" i="15"/>
  <c r="T311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V310" i="15"/>
  <c r="T310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V309" i="15"/>
  <c r="T309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V308" i="15"/>
  <c r="T308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V307" i="15"/>
  <c r="T307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V306" i="15"/>
  <c r="T306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V305" i="15"/>
  <c r="T305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V304" i="15"/>
  <c r="T304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V303" i="15"/>
  <c r="T303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V302" i="15"/>
  <c r="T302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V301" i="15"/>
  <c r="T301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V300" i="15"/>
  <c r="T300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V299" i="15"/>
  <c r="T299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V298" i="15"/>
  <c r="T298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V297" i="15"/>
  <c r="T297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V296" i="15"/>
  <c r="T296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V295" i="15"/>
  <c r="T295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V294" i="15"/>
  <c r="T294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V293" i="15"/>
  <c r="T293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V292" i="15"/>
  <c r="T292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V291" i="15"/>
  <c r="T291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V290" i="15"/>
  <c r="T290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V289" i="15"/>
  <c r="T289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V288" i="15"/>
  <c r="T288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V287" i="15"/>
  <c r="T287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V286" i="15"/>
  <c r="T286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V285" i="15"/>
  <c r="T285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V284" i="15"/>
  <c r="T284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V283" i="15"/>
  <c r="T283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V282" i="15"/>
  <c r="T282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V281" i="15"/>
  <c r="T281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V280" i="15"/>
  <c r="T280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V279" i="15"/>
  <c r="T279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V278" i="15"/>
  <c r="T278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V277" i="15"/>
  <c r="T277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V276" i="15"/>
  <c r="T276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V275" i="15"/>
  <c r="T275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V274" i="15"/>
  <c r="T274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V273" i="15"/>
  <c r="T273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V272" i="15"/>
  <c r="T272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V271" i="15"/>
  <c r="T271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V270" i="15"/>
  <c r="T270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V269" i="15"/>
  <c r="T269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V268" i="15"/>
  <c r="T268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V267" i="15"/>
  <c r="T267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V266" i="15"/>
  <c r="T266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V265" i="15"/>
  <c r="T265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V264" i="15"/>
  <c r="T264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V263" i="15"/>
  <c r="T263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V262" i="15"/>
  <c r="T262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V261" i="15"/>
  <c r="T261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V260" i="15"/>
  <c r="T260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V259" i="15"/>
  <c r="T259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V258" i="15"/>
  <c r="T258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V257" i="15"/>
  <c r="T257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V256" i="15"/>
  <c r="T256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V255" i="15"/>
  <c r="T255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V254" i="15"/>
  <c r="T254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V253" i="15"/>
  <c r="T253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V252" i="15"/>
  <c r="T252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V251" i="15"/>
  <c r="T251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V250" i="15"/>
  <c r="T250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V249" i="15"/>
  <c r="T249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V248" i="15"/>
  <c r="T248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V247" i="15"/>
  <c r="T247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V246" i="15"/>
  <c r="T246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V245" i="15"/>
  <c r="T245" i="15"/>
  <c r="AM244" i="15"/>
  <c r="AL244" i="15"/>
  <c r="AK244" i="15"/>
  <c r="AJ244" i="15"/>
  <c r="AI244" i="15"/>
  <c r="AH244" i="15"/>
  <c r="AG244" i="15"/>
  <c r="AF244" i="15"/>
  <c r="AE244" i="15"/>
  <c r="AN244" i="15" s="1"/>
  <c r="AD244" i="15"/>
  <c r="Y244" i="15"/>
  <c r="V244" i="15"/>
  <c r="T244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V243" i="15"/>
  <c r="T243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V242" i="15"/>
  <c r="T242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V241" i="15"/>
  <c r="T241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V240" i="15"/>
  <c r="T240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V239" i="15"/>
  <c r="T239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V238" i="15"/>
  <c r="T238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V237" i="15"/>
  <c r="T237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V236" i="15"/>
  <c r="T236" i="15"/>
  <c r="AM235" i="15"/>
  <c r="AL235" i="15"/>
  <c r="AK235" i="15"/>
  <c r="AJ235" i="15"/>
  <c r="AI235" i="15"/>
  <c r="AH235" i="15"/>
  <c r="AG235" i="15"/>
  <c r="AF235" i="15"/>
  <c r="AE235" i="15"/>
  <c r="AN235" i="15" s="1"/>
  <c r="AD235" i="15"/>
  <c r="Y235" i="15"/>
  <c r="V235" i="15"/>
  <c r="T235" i="15"/>
  <c r="AM234" i="15"/>
  <c r="AK234" i="15"/>
  <c r="AH234" i="15"/>
  <c r="AI234" i="15" s="1"/>
  <c r="AF234" i="15"/>
  <c r="AG234" i="15" s="1"/>
  <c r="Y234" i="15"/>
  <c r="V234" i="15"/>
  <c r="T234" i="15"/>
  <c r="AD234" i="15" s="1"/>
  <c r="AM233" i="15"/>
  <c r="AK233" i="15"/>
  <c r="AG233" i="15"/>
  <c r="AF233" i="15"/>
  <c r="Y233" i="15"/>
  <c r="V233" i="15"/>
  <c r="T233" i="15"/>
  <c r="AE233" i="15" s="1"/>
  <c r="AM232" i="15"/>
  <c r="AK232" i="15"/>
  <c r="AH232" i="15"/>
  <c r="AI232" i="15" s="1"/>
  <c r="AG232" i="15"/>
  <c r="AF232" i="15"/>
  <c r="Y232" i="15"/>
  <c r="V232" i="15"/>
  <c r="T232" i="15"/>
  <c r="AE232" i="15" s="1"/>
  <c r="AM231" i="15"/>
  <c r="AK231" i="15"/>
  <c r="AG231" i="15"/>
  <c r="AF231" i="15"/>
  <c r="Y231" i="15"/>
  <c r="V231" i="15"/>
  <c r="T231" i="15"/>
  <c r="AE231" i="15" s="1"/>
  <c r="AM230" i="15"/>
  <c r="AK230" i="15"/>
  <c r="AF230" i="15"/>
  <c r="AG230" i="15" s="1"/>
  <c r="Y230" i="15"/>
  <c r="V230" i="15"/>
  <c r="T230" i="15"/>
  <c r="AE230" i="15" s="1"/>
  <c r="AK229" i="15"/>
  <c r="AF229" i="15"/>
  <c r="AG229" i="15" s="1"/>
  <c r="Y229" i="15"/>
  <c r="V229" i="15"/>
  <c r="T229" i="15"/>
  <c r="AK228" i="15"/>
  <c r="AF228" i="15"/>
  <c r="AG228" i="15" s="1"/>
  <c r="Y228" i="15"/>
  <c r="V228" i="15"/>
  <c r="T228" i="15"/>
  <c r="AH228" i="15" s="1"/>
  <c r="AI228" i="15" s="1"/>
  <c r="AK227" i="15"/>
  <c r="AF227" i="15"/>
  <c r="AG227" i="15" s="1"/>
  <c r="Y227" i="15"/>
  <c r="V227" i="15"/>
  <c r="T227" i="15"/>
  <c r="AD227" i="15" s="1"/>
  <c r="AK226" i="15"/>
  <c r="AH226" i="15"/>
  <c r="AI226" i="15" s="1"/>
  <c r="AF226" i="15"/>
  <c r="AG226" i="15" s="1"/>
  <c r="Y226" i="15"/>
  <c r="V226" i="15"/>
  <c r="T226" i="15"/>
  <c r="AE226" i="15" s="1"/>
  <c r="AM225" i="15"/>
  <c r="AK225" i="15"/>
  <c r="AF225" i="15"/>
  <c r="AG225" i="15" s="1"/>
  <c r="Y225" i="15"/>
  <c r="V225" i="15"/>
  <c r="T225" i="15"/>
  <c r="AK224" i="15"/>
  <c r="AF224" i="15"/>
  <c r="AG224" i="15" s="1"/>
  <c r="Y224" i="15"/>
  <c r="V224" i="15"/>
  <c r="T224" i="15"/>
  <c r="AH224" i="15" s="1"/>
  <c r="AI224" i="15" s="1"/>
  <c r="AK223" i="15"/>
  <c r="AF223" i="15"/>
  <c r="AG223" i="15" s="1"/>
  <c r="Y223" i="15"/>
  <c r="V223" i="15"/>
  <c r="T223" i="15"/>
  <c r="AD223" i="15" s="1"/>
  <c r="AM222" i="15"/>
  <c r="AK222" i="15"/>
  <c r="AF222" i="15"/>
  <c r="AG222" i="15" s="1"/>
  <c r="Y222" i="15"/>
  <c r="V222" i="15"/>
  <c r="T222" i="15"/>
  <c r="AE222" i="15" s="1"/>
  <c r="AM221" i="15"/>
  <c r="AK221" i="15"/>
  <c r="AF221" i="15"/>
  <c r="AG221" i="15" s="1"/>
  <c r="Y221" i="15"/>
  <c r="V221" i="15"/>
  <c r="T221" i="15"/>
  <c r="AK220" i="15"/>
  <c r="AF220" i="15"/>
  <c r="AG220" i="15" s="1"/>
  <c r="AE220" i="15"/>
  <c r="Y220" i="15"/>
  <c r="V220" i="15"/>
  <c r="T220" i="15"/>
  <c r="AH220" i="15" s="1"/>
  <c r="AI220" i="15" s="1"/>
  <c r="AK219" i="15"/>
  <c r="AF219" i="15"/>
  <c r="AG219" i="15" s="1"/>
  <c r="Y219" i="15"/>
  <c r="V219" i="15"/>
  <c r="T219" i="15"/>
  <c r="AD219" i="15" s="1"/>
  <c r="AM218" i="15"/>
  <c r="AK218" i="15"/>
  <c r="AF218" i="15"/>
  <c r="AG218" i="15" s="1"/>
  <c r="Y218" i="15"/>
  <c r="V218" i="15"/>
  <c r="T218" i="15"/>
  <c r="AK217" i="15"/>
  <c r="AF217" i="15"/>
  <c r="AG217" i="15" s="1"/>
  <c r="Y217" i="15"/>
  <c r="V217" i="15"/>
  <c r="T217" i="15"/>
  <c r="AK216" i="15"/>
  <c r="AF216" i="15"/>
  <c r="AG216" i="15" s="1"/>
  <c r="AE216" i="15"/>
  <c r="AD216" i="15"/>
  <c r="Y216" i="15"/>
  <c r="V216" i="15"/>
  <c r="T216" i="15"/>
  <c r="AH216" i="15" s="1"/>
  <c r="AI216" i="15" s="1"/>
  <c r="AK215" i="15"/>
  <c r="AF215" i="15"/>
  <c r="AG215" i="15" s="1"/>
  <c r="Y215" i="15"/>
  <c r="V215" i="15"/>
  <c r="T215" i="15"/>
  <c r="AD215" i="15" s="1"/>
  <c r="AK214" i="15"/>
  <c r="AF214" i="15"/>
  <c r="AG214" i="15" s="1"/>
  <c r="Y214" i="15"/>
  <c r="V214" i="15"/>
  <c r="T214" i="15"/>
  <c r="AM214" i="15" s="1"/>
  <c r="AM213" i="15"/>
  <c r="AK213" i="15"/>
  <c r="AF213" i="15"/>
  <c r="AG213" i="15" s="1"/>
  <c r="Y213" i="15"/>
  <c r="V213" i="15"/>
  <c r="T213" i="15"/>
  <c r="AK212" i="15"/>
  <c r="AF212" i="15"/>
  <c r="AG212" i="15" s="1"/>
  <c r="Y212" i="15"/>
  <c r="V212" i="15"/>
  <c r="T212" i="15"/>
  <c r="AH212" i="15" s="1"/>
  <c r="AI212" i="15" s="1"/>
  <c r="AK211" i="15"/>
  <c r="AF211" i="15"/>
  <c r="AG211" i="15" s="1"/>
  <c r="AE211" i="15"/>
  <c r="Y211" i="15"/>
  <c r="V211" i="15"/>
  <c r="T211" i="15"/>
  <c r="AD211" i="15" s="1"/>
  <c r="AM210" i="15"/>
  <c r="AK210" i="15"/>
  <c r="AF210" i="15"/>
  <c r="AG210" i="15" s="1"/>
  <c r="Y210" i="15"/>
  <c r="V210" i="15"/>
  <c r="T210" i="15"/>
  <c r="AH210" i="15" s="1"/>
  <c r="AI210" i="15" s="1"/>
  <c r="AM209" i="15"/>
  <c r="AK209" i="15"/>
  <c r="AF209" i="15"/>
  <c r="AG209" i="15" s="1"/>
  <c r="Y209" i="15"/>
  <c r="V209" i="15"/>
  <c r="T209" i="15"/>
  <c r="AK208" i="15"/>
  <c r="AF208" i="15"/>
  <c r="AG208" i="15" s="1"/>
  <c r="Y208" i="15"/>
  <c r="V208" i="15"/>
  <c r="T208" i="15"/>
  <c r="AH208" i="15" s="1"/>
  <c r="AI208" i="15" s="1"/>
  <c r="AK207" i="15"/>
  <c r="AF207" i="15"/>
  <c r="AG207" i="15" s="1"/>
  <c r="AE207" i="15"/>
  <c r="Y207" i="15"/>
  <c r="V207" i="15"/>
  <c r="T207" i="15"/>
  <c r="AD207" i="15" s="1"/>
  <c r="AK206" i="15"/>
  <c r="AF206" i="15"/>
  <c r="AG206" i="15" s="1"/>
  <c r="Y206" i="15"/>
  <c r="V206" i="15"/>
  <c r="T206" i="15"/>
  <c r="AH206" i="15" s="1"/>
  <c r="AI206" i="15" s="1"/>
  <c r="AM205" i="15"/>
  <c r="AK205" i="15"/>
  <c r="AF205" i="15"/>
  <c r="AG205" i="15" s="1"/>
  <c r="Y205" i="15"/>
  <c r="V205" i="15"/>
  <c r="T205" i="15"/>
  <c r="AM204" i="15"/>
  <c r="AK204" i="15"/>
  <c r="AF204" i="15"/>
  <c r="AG204" i="15" s="1"/>
  <c r="Y204" i="15"/>
  <c r="V204" i="15"/>
  <c r="T204" i="15"/>
  <c r="AH204" i="15" s="1"/>
  <c r="AI204" i="15" s="1"/>
  <c r="AM203" i="15"/>
  <c r="AK203" i="15"/>
  <c r="AF203" i="15"/>
  <c r="AG203" i="15" s="1"/>
  <c r="Y203" i="15"/>
  <c r="V203" i="15"/>
  <c r="T203" i="15"/>
  <c r="AD203" i="15" s="1"/>
  <c r="AM202" i="15"/>
  <c r="AK202" i="15"/>
  <c r="AF202" i="15"/>
  <c r="AG202" i="15" s="1"/>
  <c r="Y202" i="15"/>
  <c r="V202" i="15"/>
  <c r="T202" i="15"/>
  <c r="AM201" i="15"/>
  <c r="AK201" i="15"/>
  <c r="AF201" i="15"/>
  <c r="AG201" i="15" s="1"/>
  <c r="Y201" i="15"/>
  <c r="V201" i="15"/>
  <c r="T201" i="15"/>
  <c r="AK200" i="15"/>
  <c r="AF200" i="15"/>
  <c r="AG200" i="15" s="1"/>
  <c r="Y200" i="15"/>
  <c r="V200" i="15"/>
  <c r="T200" i="15"/>
  <c r="AK199" i="15"/>
  <c r="AF199" i="15"/>
  <c r="AG199" i="15" s="1"/>
  <c r="Y199" i="15"/>
  <c r="V199" i="15"/>
  <c r="T199" i="15"/>
  <c r="AK198" i="15"/>
  <c r="AF198" i="15"/>
  <c r="AG198" i="15" s="1"/>
  <c r="Y198" i="15"/>
  <c r="V198" i="15"/>
  <c r="T198" i="15"/>
  <c r="AM197" i="15"/>
  <c r="AK197" i="15"/>
  <c r="AF197" i="15"/>
  <c r="AG197" i="15" s="1"/>
  <c r="Y197" i="15"/>
  <c r="V197" i="15"/>
  <c r="T197" i="15"/>
  <c r="AK196" i="15"/>
  <c r="AF196" i="15"/>
  <c r="AG196" i="15" s="1"/>
  <c r="Y196" i="15"/>
  <c r="V196" i="15"/>
  <c r="T196" i="15"/>
  <c r="AM195" i="15"/>
  <c r="AK195" i="15"/>
  <c r="AF195" i="15"/>
  <c r="AG195" i="15" s="1"/>
  <c r="Y195" i="15"/>
  <c r="V195" i="15"/>
  <c r="T195" i="15"/>
  <c r="AM194" i="15"/>
  <c r="AK194" i="15"/>
  <c r="AF194" i="15"/>
  <c r="AG194" i="15" s="1"/>
  <c r="Y194" i="15"/>
  <c r="V194" i="15"/>
  <c r="T194" i="15"/>
  <c r="AD194" i="15" s="1"/>
  <c r="AM193" i="15"/>
  <c r="AK193" i="15"/>
  <c r="AF193" i="15"/>
  <c r="AG193" i="15" s="1"/>
  <c r="Y193" i="15"/>
  <c r="V193" i="15"/>
  <c r="T193" i="15"/>
  <c r="AD193" i="15" s="1"/>
  <c r="AK192" i="15"/>
  <c r="AH192" i="15"/>
  <c r="AI192" i="15" s="1"/>
  <c r="AL192" i="15" s="1"/>
  <c r="AF192" i="15"/>
  <c r="AG192" i="15" s="1"/>
  <c r="Y192" i="15"/>
  <c r="V192" i="15"/>
  <c r="T192" i="15"/>
  <c r="AM192" i="15" s="1"/>
  <c r="AK191" i="15"/>
  <c r="AF191" i="15"/>
  <c r="AG191" i="15" s="1"/>
  <c r="Y191" i="15"/>
  <c r="V191" i="15"/>
  <c r="T191" i="15"/>
  <c r="AH191" i="15" s="1"/>
  <c r="AI191" i="15" s="1"/>
  <c r="AK190" i="15"/>
  <c r="AF190" i="15"/>
  <c r="AG190" i="15" s="1"/>
  <c r="Y190" i="15"/>
  <c r="V190" i="15"/>
  <c r="T190" i="15"/>
  <c r="AD190" i="15" s="1"/>
  <c r="AK189" i="15"/>
  <c r="AF189" i="15"/>
  <c r="AG189" i="15" s="1"/>
  <c r="Y189" i="15"/>
  <c r="V189" i="15"/>
  <c r="T189" i="15"/>
  <c r="AM189" i="15" s="1"/>
  <c r="AK188" i="15"/>
  <c r="AF188" i="15"/>
  <c r="AG188" i="15" s="1"/>
  <c r="AD188" i="15"/>
  <c r="Y188" i="15"/>
  <c r="V188" i="15"/>
  <c r="T188" i="15"/>
  <c r="AM188" i="15" s="1"/>
  <c r="AK187" i="15"/>
  <c r="AF187" i="15"/>
  <c r="AG187" i="15" s="1"/>
  <c r="Y187" i="15"/>
  <c r="V187" i="15"/>
  <c r="T187" i="15"/>
  <c r="AE187" i="15" s="1"/>
  <c r="AK186" i="15"/>
  <c r="AF186" i="15"/>
  <c r="AG186" i="15" s="1"/>
  <c r="Y186" i="15"/>
  <c r="V186" i="15"/>
  <c r="T186" i="15"/>
  <c r="AH186" i="15" s="1"/>
  <c r="AI186" i="15" s="1"/>
  <c r="AK185" i="15"/>
  <c r="AF185" i="15"/>
  <c r="AG185" i="15" s="1"/>
  <c r="Y185" i="15"/>
  <c r="V185" i="15"/>
  <c r="T185" i="15"/>
  <c r="AD185" i="15" s="1"/>
  <c r="AM184" i="15"/>
  <c r="AK184" i="15"/>
  <c r="AF184" i="15"/>
  <c r="AG184" i="15" s="1"/>
  <c r="Y184" i="15"/>
  <c r="V184" i="15"/>
  <c r="T184" i="15"/>
  <c r="AH184" i="15" s="1"/>
  <c r="AI184" i="15" s="1"/>
  <c r="AK183" i="15"/>
  <c r="AF183" i="15"/>
  <c r="AG183" i="15" s="1"/>
  <c r="Y183" i="15"/>
  <c r="V183" i="15"/>
  <c r="T183" i="15"/>
  <c r="AE183" i="15" s="1"/>
  <c r="AK182" i="15"/>
  <c r="AF182" i="15"/>
  <c r="AG182" i="15" s="1"/>
  <c r="Y182" i="15"/>
  <c r="V182" i="15"/>
  <c r="T182" i="15"/>
  <c r="AH182" i="15" s="1"/>
  <c r="AI182" i="15" s="1"/>
  <c r="AM181" i="15"/>
  <c r="AK181" i="15"/>
  <c r="AF181" i="15"/>
  <c r="AG181" i="15" s="1"/>
  <c r="Y181" i="15"/>
  <c r="V181" i="15"/>
  <c r="T181" i="15"/>
  <c r="AH181" i="15" s="1"/>
  <c r="AI181" i="15" s="1"/>
  <c r="AK180" i="15"/>
  <c r="AF180" i="15"/>
  <c r="AG180" i="15" s="1"/>
  <c r="Y180" i="15"/>
  <c r="V180" i="15"/>
  <c r="T180" i="15"/>
  <c r="AM180" i="15" s="1"/>
  <c r="AK179" i="15"/>
  <c r="AF179" i="15"/>
  <c r="AG179" i="15" s="1"/>
  <c r="Y179" i="15"/>
  <c r="V179" i="15"/>
  <c r="T179" i="15"/>
  <c r="AE179" i="15" s="1"/>
  <c r="AM178" i="15"/>
  <c r="AK178" i="15"/>
  <c r="AF178" i="15"/>
  <c r="AG178" i="15" s="1"/>
  <c r="Y178" i="15"/>
  <c r="V178" i="15"/>
  <c r="T178" i="15"/>
  <c r="AH178" i="15" s="1"/>
  <c r="AI178" i="15" s="1"/>
  <c r="AM177" i="15"/>
  <c r="AK177" i="15"/>
  <c r="AF177" i="15"/>
  <c r="AG177" i="15" s="1"/>
  <c r="Y177" i="15"/>
  <c r="V177" i="15"/>
  <c r="T177" i="15"/>
  <c r="AH177" i="15" s="1"/>
  <c r="AI177" i="15" s="1"/>
  <c r="AK176" i="15"/>
  <c r="AF176" i="15"/>
  <c r="AG176" i="15" s="1"/>
  <c r="Y176" i="15"/>
  <c r="V176" i="15"/>
  <c r="T176" i="15"/>
  <c r="AM176" i="15" s="1"/>
  <c r="AM175" i="15"/>
  <c r="AK175" i="15"/>
  <c r="AF175" i="15"/>
  <c r="AG175" i="15" s="1"/>
  <c r="Y175" i="15"/>
  <c r="V175" i="15"/>
  <c r="T175" i="15"/>
  <c r="AE175" i="15" s="1"/>
  <c r="AM174" i="15"/>
  <c r="AK174" i="15"/>
  <c r="AF174" i="15"/>
  <c r="AG174" i="15" s="1"/>
  <c r="Y174" i="15"/>
  <c r="V174" i="15"/>
  <c r="T174" i="15"/>
  <c r="AH174" i="15" s="1"/>
  <c r="AI174" i="15" s="1"/>
  <c r="AM173" i="15"/>
  <c r="AK173" i="15"/>
  <c r="AF173" i="15"/>
  <c r="AG173" i="15" s="1"/>
  <c r="Y173" i="15"/>
  <c r="V173" i="15"/>
  <c r="T173" i="15"/>
  <c r="AH173" i="15" s="1"/>
  <c r="AI173" i="15" s="1"/>
  <c r="AK172" i="15"/>
  <c r="AF172" i="15"/>
  <c r="AG172" i="15" s="1"/>
  <c r="Y172" i="15"/>
  <c r="V172" i="15"/>
  <c r="T172" i="15"/>
  <c r="AD172" i="15" s="1"/>
  <c r="AK171" i="15"/>
  <c r="AF171" i="15"/>
  <c r="AG171" i="15" s="1"/>
  <c r="Y171" i="15"/>
  <c r="V171" i="15"/>
  <c r="T171" i="15"/>
  <c r="AE171" i="15" s="1"/>
  <c r="AK170" i="15"/>
  <c r="AF170" i="15"/>
  <c r="AG170" i="15" s="1"/>
  <c r="Y170" i="15"/>
  <c r="V170" i="15"/>
  <c r="T170" i="15"/>
  <c r="AH170" i="15" s="1"/>
  <c r="AI170" i="15" s="1"/>
  <c r="AM169" i="15"/>
  <c r="AK169" i="15"/>
  <c r="AF169" i="15"/>
  <c r="AG169" i="15" s="1"/>
  <c r="Y169" i="15"/>
  <c r="V169" i="15"/>
  <c r="T169" i="15"/>
  <c r="AH169" i="15" s="1"/>
  <c r="AI169" i="15" s="1"/>
  <c r="AK168" i="15"/>
  <c r="AF168" i="15"/>
  <c r="AG168" i="15" s="1"/>
  <c r="Y168" i="15"/>
  <c r="V168" i="15"/>
  <c r="T168" i="15"/>
  <c r="AM168" i="15" s="1"/>
  <c r="AK167" i="15"/>
  <c r="AF167" i="15"/>
  <c r="AG167" i="15" s="1"/>
  <c r="Y167" i="15"/>
  <c r="V167" i="15"/>
  <c r="T167" i="15"/>
  <c r="AE167" i="15" s="1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H165" i="15" s="1"/>
  <c r="AI165" i="15" s="1"/>
  <c r="AK164" i="15"/>
  <c r="AF164" i="15"/>
  <c r="AG164" i="15" s="1"/>
  <c r="Y164" i="15"/>
  <c r="V164" i="15"/>
  <c r="T164" i="15"/>
  <c r="AD164" i="15" s="1"/>
  <c r="AK163" i="15"/>
  <c r="AF163" i="15"/>
  <c r="AG163" i="15" s="1"/>
  <c r="Y163" i="15"/>
  <c r="V163" i="15"/>
  <c r="T163" i="15"/>
  <c r="AE163" i="15" s="1"/>
  <c r="AK162" i="15"/>
  <c r="AF162" i="15"/>
  <c r="AG162" i="15" s="1"/>
  <c r="Y162" i="15"/>
  <c r="V162" i="15"/>
  <c r="T162" i="15"/>
  <c r="AH162" i="15" s="1"/>
  <c r="AI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K160" i="15"/>
  <c r="AF160" i="15"/>
  <c r="AG160" i="15" s="1"/>
  <c r="Y160" i="15"/>
  <c r="V160" i="15"/>
  <c r="T160" i="15"/>
  <c r="AH160" i="15" s="1"/>
  <c r="AI160" i="15" s="1"/>
  <c r="AK159" i="15"/>
  <c r="AF159" i="15"/>
  <c r="AG159" i="15" s="1"/>
  <c r="Y159" i="15"/>
  <c r="V159" i="15"/>
  <c r="T159" i="15"/>
  <c r="AE159" i="15" s="1"/>
  <c r="AK158" i="15"/>
  <c r="AF158" i="15"/>
  <c r="AG158" i="15" s="1"/>
  <c r="Y158" i="15"/>
  <c r="V158" i="15"/>
  <c r="T158" i="15"/>
  <c r="AE158" i="15" s="1"/>
  <c r="AK157" i="15"/>
  <c r="AF157" i="15"/>
  <c r="AG157" i="15" s="1"/>
  <c r="Y157" i="15"/>
  <c r="V157" i="15"/>
  <c r="T157" i="15"/>
  <c r="AH157" i="15" s="1"/>
  <c r="AI157" i="15" s="1"/>
  <c r="AK156" i="15"/>
  <c r="AF156" i="15"/>
  <c r="AG156" i="15" s="1"/>
  <c r="Y156" i="15"/>
  <c r="V156" i="15"/>
  <c r="T156" i="15"/>
  <c r="AH156" i="15" s="1"/>
  <c r="AI156" i="15" s="1"/>
  <c r="AK155" i="15"/>
  <c r="AF155" i="15"/>
  <c r="AG155" i="15" s="1"/>
  <c r="Y155" i="15"/>
  <c r="V155" i="15"/>
  <c r="T155" i="15"/>
  <c r="AH155" i="15" s="1"/>
  <c r="AI155" i="15" s="1"/>
  <c r="AM154" i="15"/>
  <c r="AK154" i="15"/>
  <c r="AF154" i="15"/>
  <c r="AG154" i="15" s="1"/>
  <c r="AE154" i="15"/>
  <c r="Y154" i="15"/>
  <c r="V154" i="15"/>
  <c r="T154" i="15"/>
  <c r="AK153" i="15"/>
  <c r="AF153" i="15"/>
  <c r="AG153" i="15" s="1"/>
  <c r="Y153" i="15"/>
  <c r="V153" i="15"/>
  <c r="T153" i="15"/>
  <c r="AH153" i="15" s="1"/>
  <c r="AI153" i="15" s="1"/>
  <c r="AK152" i="15"/>
  <c r="AF152" i="15"/>
  <c r="AG152" i="15" s="1"/>
  <c r="Y152" i="15"/>
  <c r="V152" i="15"/>
  <c r="T152" i="15"/>
  <c r="AH152" i="15" s="1"/>
  <c r="AI152" i="15" s="1"/>
  <c r="AK151" i="15"/>
  <c r="AF151" i="15"/>
  <c r="AG151" i="15" s="1"/>
  <c r="Y151" i="15"/>
  <c r="V151" i="15"/>
  <c r="T151" i="15"/>
  <c r="AH151" i="15" s="1"/>
  <c r="AI151" i="15" s="1"/>
  <c r="AK150" i="15"/>
  <c r="AF150" i="15"/>
  <c r="AG150" i="15" s="1"/>
  <c r="Y150" i="15"/>
  <c r="V150" i="15"/>
  <c r="T150" i="15"/>
  <c r="AM150" i="15" s="1"/>
  <c r="AK149" i="15"/>
  <c r="AF149" i="15"/>
  <c r="AG149" i="15" s="1"/>
  <c r="Y149" i="15"/>
  <c r="V149" i="15"/>
  <c r="T149" i="15"/>
  <c r="AH149" i="15" s="1"/>
  <c r="AI149" i="15" s="1"/>
  <c r="AK148" i="15"/>
  <c r="AF148" i="15"/>
  <c r="AG148" i="15" s="1"/>
  <c r="Y148" i="15"/>
  <c r="V148" i="15"/>
  <c r="T148" i="15"/>
  <c r="AM148" i="15" s="1"/>
  <c r="AK147" i="15"/>
  <c r="AF147" i="15"/>
  <c r="AG147" i="15" s="1"/>
  <c r="Y147" i="15"/>
  <c r="V147" i="15"/>
  <c r="T147" i="15"/>
  <c r="AH147" i="15" s="1"/>
  <c r="AI147" i="15" s="1"/>
  <c r="AK146" i="15"/>
  <c r="AF146" i="15"/>
  <c r="AG146" i="15" s="1"/>
  <c r="Y146" i="15"/>
  <c r="V146" i="15"/>
  <c r="T146" i="15"/>
  <c r="AE146" i="15" s="1"/>
  <c r="AM145" i="15"/>
  <c r="AK145" i="15"/>
  <c r="AF145" i="15"/>
  <c r="AG145" i="15" s="1"/>
  <c r="Y145" i="15"/>
  <c r="V145" i="15"/>
  <c r="T145" i="15"/>
  <c r="AD145" i="15" s="1"/>
  <c r="AK144" i="15"/>
  <c r="AF144" i="15"/>
  <c r="AG144" i="15" s="1"/>
  <c r="Y144" i="15"/>
  <c r="V144" i="15"/>
  <c r="T144" i="15"/>
  <c r="AM144" i="15" s="1"/>
  <c r="AK143" i="15"/>
  <c r="AF143" i="15"/>
  <c r="AG143" i="15" s="1"/>
  <c r="Y143" i="15"/>
  <c r="V143" i="15"/>
  <c r="T143" i="15"/>
  <c r="AH143" i="15" s="1"/>
  <c r="AI143" i="15" s="1"/>
  <c r="AK142" i="15"/>
  <c r="AF142" i="15"/>
  <c r="AG142" i="15" s="1"/>
  <c r="Y142" i="15"/>
  <c r="V142" i="15"/>
  <c r="T142" i="15"/>
  <c r="AM142" i="15" s="1"/>
  <c r="AM141" i="15"/>
  <c r="AK141" i="15"/>
  <c r="AF141" i="15"/>
  <c r="AG141" i="15" s="1"/>
  <c r="Y141" i="15"/>
  <c r="V141" i="15"/>
  <c r="T141" i="15"/>
  <c r="AH141" i="15" s="1"/>
  <c r="AI141" i="15" s="1"/>
  <c r="AK140" i="15"/>
  <c r="AF140" i="15"/>
  <c r="AG140" i="15" s="1"/>
  <c r="Y140" i="15"/>
  <c r="V140" i="15"/>
  <c r="T140" i="15"/>
  <c r="AM140" i="15" s="1"/>
  <c r="AK139" i="15"/>
  <c r="AF139" i="15"/>
  <c r="AG139" i="15" s="1"/>
  <c r="Y139" i="15"/>
  <c r="V139" i="15"/>
  <c r="T139" i="15"/>
  <c r="AH139" i="15" s="1"/>
  <c r="AI139" i="15" s="1"/>
  <c r="AM138" i="15"/>
  <c r="AK138" i="15"/>
  <c r="AF138" i="15"/>
  <c r="AG138" i="15" s="1"/>
  <c r="Y138" i="15"/>
  <c r="V138" i="15"/>
  <c r="T138" i="15"/>
  <c r="AH138" i="15" s="1"/>
  <c r="AI138" i="15" s="1"/>
  <c r="AM137" i="15"/>
  <c r="AK137" i="15"/>
  <c r="AF137" i="15"/>
  <c r="AG137" i="15" s="1"/>
  <c r="AD137" i="15"/>
  <c r="Y137" i="15"/>
  <c r="V137" i="15"/>
  <c r="T137" i="15"/>
  <c r="AE137" i="15" s="1"/>
  <c r="AK136" i="15"/>
  <c r="AF136" i="15"/>
  <c r="AG136" i="15" s="1"/>
  <c r="Y136" i="15"/>
  <c r="V136" i="15"/>
  <c r="T136" i="15"/>
  <c r="AM136" i="15" s="1"/>
  <c r="AK135" i="15"/>
  <c r="AF135" i="15"/>
  <c r="AG135" i="15" s="1"/>
  <c r="Y135" i="15"/>
  <c r="V135" i="15"/>
  <c r="T135" i="15"/>
  <c r="AH135" i="15" s="1"/>
  <c r="AI135" i="15" s="1"/>
  <c r="AK134" i="15"/>
  <c r="AF134" i="15"/>
  <c r="AG134" i="15" s="1"/>
  <c r="Y134" i="15"/>
  <c r="V134" i="15"/>
  <c r="T134" i="15"/>
  <c r="AH134" i="15" s="1"/>
  <c r="AI134" i="15" s="1"/>
  <c r="AK133" i="15"/>
  <c r="AF133" i="15"/>
  <c r="AG133" i="15" s="1"/>
  <c r="AD133" i="15"/>
  <c r="Y133" i="15"/>
  <c r="V133" i="15"/>
  <c r="T133" i="15"/>
  <c r="AE133" i="15" s="1"/>
  <c r="AK132" i="15"/>
  <c r="AF132" i="15"/>
  <c r="AG132" i="15" s="1"/>
  <c r="Y132" i="15"/>
  <c r="V132" i="15"/>
  <c r="T132" i="15"/>
  <c r="AM132" i="15" s="1"/>
  <c r="AM131" i="15"/>
  <c r="AK131" i="15"/>
  <c r="AF131" i="15"/>
  <c r="AG131" i="15" s="1"/>
  <c r="Y131" i="15"/>
  <c r="V131" i="15"/>
  <c r="T131" i="15"/>
  <c r="AE131" i="15" s="1"/>
  <c r="AK130" i="15"/>
  <c r="AF130" i="15"/>
  <c r="AG130" i="15" s="1"/>
  <c r="Y130" i="15"/>
  <c r="V130" i="15"/>
  <c r="T130" i="15"/>
  <c r="AH130" i="15" s="1"/>
  <c r="AI130" i="15" s="1"/>
  <c r="AM129" i="15"/>
  <c r="AK129" i="15"/>
  <c r="AF129" i="15"/>
  <c r="AG129" i="15" s="1"/>
  <c r="Y129" i="15"/>
  <c r="V129" i="15"/>
  <c r="T129" i="15"/>
  <c r="AH129" i="15" s="1"/>
  <c r="AI129" i="15" s="1"/>
  <c r="AK128" i="15"/>
  <c r="AF128" i="15"/>
  <c r="AG128" i="15" s="1"/>
  <c r="Y128" i="15"/>
  <c r="V128" i="15"/>
  <c r="T128" i="15"/>
  <c r="AE128" i="15" s="1"/>
  <c r="AK127" i="15"/>
  <c r="AF127" i="15"/>
  <c r="AG127" i="15" s="1"/>
  <c r="Y127" i="15"/>
  <c r="V127" i="15"/>
  <c r="T127" i="15"/>
  <c r="AE127" i="15" s="1"/>
  <c r="AK126" i="15"/>
  <c r="AF126" i="15"/>
  <c r="AG126" i="15" s="1"/>
  <c r="Y126" i="15"/>
  <c r="V126" i="15"/>
  <c r="T126" i="15"/>
  <c r="AD126" i="15" s="1"/>
  <c r="AK125" i="15"/>
  <c r="AF125" i="15"/>
  <c r="AG125" i="15" s="1"/>
  <c r="Y125" i="15"/>
  <c r="V125" i="15"/>
  <c r="T125" i="15"/>
  <c r="AD125" i="15" s="1"/>
  <c r="AK124" i="15"/>
  <c r="AF124" i="15"/>
  <c r="AG124" i="15" s="1"/>
  <c r="Y124" i="15"/>
  <c r="V124" i="15"/>
  <c r="T124" i="15"/>
  <c r="AM124" i="15" s="1"/>
  <c r="AK123" i="15"/>
  <c r="AF123" i="15"/>
  <c r="AG123" i="15" s="1"/>
  <c r="Y123" i="15"/>
  <c r="V123" i="15"/>
  <c r="T123" i="15"/>
  <c r="AD123" i="15" s="1"/>
  <c r="AK122" i="15"/>
  <c r="AF122" i="15"/>
  <c r="AG122" i="15" s="1"/>
  <c r="Y122" i="15"/>
  <c r="V122" i="15"/>
  <c r="T122" i="15"/>
  <c r="AE122" i="15" s="1"/>
  <c r="AM121" i="15"/>
  <c r="AL121" i="15"/>
  <c r="AK121" i="15"/>
  <c r="AJ121" i="15"/>
  <c r="AI121" i="15"/>
  <c r="AH121" i="15"/>
  <c r="AG121" i="15"/>
  <c r="AF121" i="15"/>
  <c r="AE121" i="15"/>
  <c r="AN121" i="15" s="1"/>
  <c r="AD121" i="15"/>
  <c r="Y121" i="15"/>
  <c r="V121" i="15"/>
  <c r="T121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V120" i="15"/>
  <c r="T120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V119" i="15"/>
  <c r="T119" i="15"/>
  <c r="AM118" i="15"/>
  <c r="AL118" i="15"/>
  <c r="AK118" i="15"/>
  <c r="AJ118" i="15"/>
  <c r="AI118" i="15"/>
  <c r="AH118" i="15"/>
  <c r="AG118" i="15"/>
  <c r="AF118" i="15"/>
  <c r="AE118" i="15"/>
  <c r="AN118" i="15" s="1"/>
  <c r="AD118" i="15"/>
  <c r="Y118" i="15"/>
  <c r="V118" i="15"/>
  <c r="T118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V117" i="15"/>
  <c r="T117" i="15"/>
  <c r="AM116" i="15"/>
  <c r="AL116" i="15"/>
  <c r="AK116" i="15"/>
  <c r="AJ116" i="15"/>
  <c r="AI116" i="15"/>
  <c r="AH116" i="15"/>
  <c r="AG116" i="15"/>
  <c r="AF116" i="15"/>
  <c r="AE116" i="15"/>
  <c r="AD116" i="15"/>
  <c r="AN116" i="15" s="1"/>
  <c r="Y116" i="15"/>
  <c r="V116" i="15"/>
  <c r="T116" i="15"/>
  <c r="AM115" i="15"/>
  <c r="AL115" i="15"/>
  <c r="AK115" i="15"/>
  <c r="AJ115" i="15"/>
  <c r="AI115" i="15"/>
  <c r="AH115" i="15"/>
  <c r="AG115" i="15"/>
  <c r="AF115" i="15"/>
  <c r="AE115" i="15"/>
  <c r="AN115" i="15" s="1"/>
  <c r="AD115" i="15"/>
  <c r="Y115" i="15"/>
  <c r="V115" i="15"/>
  <c r="T115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V114" i="15"/>
  <c r="T114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V113" i="15"/>
  <c r="T113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V112" i="15"/>
  <c r="T112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V111" i="15"/>
  <c r="T111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V110" i="15"/>
  <c r="T110" i="15"/>
  <c r="AM109" i="15"/>
  <c r="AL109" i="15"/>
  <c r="AK109" i="15"/>
  <c r="AJ109" i="15"/>
  <c r="AI109" i="15"/>
  <c r="AH109" i="15"/>
  <c r="AG109" i="15"/>
  <c r="AF109" i="15"/>
  <c r="AE109" i="15"/>
  <c r="AN109" i="15" s="1"/>
  <c r="AD109" i="15"/>
  <c r="Y109" i="15"/>
  <c r="V109" i="15"/>
  <c r="T109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V108" i="15"/>
  <c r="T108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V107" i="15"/>
  <c r="T107" i="15"/>
  <c r="AM106" i="15"/>
  <c r="AL106" i="15"/>
  <c r="AK106" i="15"/>
  <c r="AJ106" i="15"/>
  <c r="AI106" i="15"/>
  <c r="AH106" i="15"/>
  <c r="AG106" i="15"/>
  <c r="AF106" i="15"/>
  <c r="AE106" i="15"/>
  <c r="AN106" i="15" s="1"/>
  <c r="AD106" i="15"/>
  <c r="Y106" i="15"/>
  <c r="V106" i="15"/>
  <c r="T106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V105" i="15"/>
  <c r="T105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V104" i="15"/>
  <c r="T104" i="15"/>
  <c r="AM103" i="15"/>
  <c r="AL103" i="15"/>
  <c r="AK103" i="15"/>
  <c r="AJ103" i="15"/>
  <c r="AI103" i="15"/>
  <c r="AH103" i="15"/>
  <c r="AG103" i="15"/>
  <c r="AF103" i="15"/>
  <c r="AE103" i="15"/>
  <c r="AN103" i="15" s="1"/>
  <c r="AD103" i="15"/>
  <c r="Y103" i="15"/>
  <c r="V103" i="15"/>
  <c r="T103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V102" i="15"/>
  <c r="T102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V101" i="15"/>
  <c r="T101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V100" i="15"/>
  <c r="T100" i="15"/>
  <c r="AM99" i="15"/>
  <c r="AL99" i="15"/>
  <c r="AK99" i="15"/>
  <c r="AJ99" i="15"/>
  <c r="AI99" i="15"/>
  <c r="AH99" i="15"/>
  <c r="AG99" i="15"/>
  <c r="AF99" i="15"/>
  <c r="AE99" i="15"/>
  <c r="AD99" i="15"/>
  <c r="Y99" i="15"/>
  <c r="V99" i="15"/>
  <c r="T99" i="15"/>
  <c r="AM98" i="15"/>
  <c r="AL98" i="15"/>
  <c r="AK98" i="15"/>
  <c r="AJ98" i="15"/>
  <c r="AI98" i="15"/>
  <c r="AH98" i="15"/>
  <c r="AG98" i="15"/>
  <c r="AF98" i="15"/>
  <c r="AE98" i="15"/>
  <c r="AD98" i="15"/>
  <c r="Y98" i="15"/>
  <c r="V98" i="15"/>
  <c r="T98" i="15"/>
  <c r="AM97" i="15"/>
  <c r="AL97" i="15"/>
  <c r="AK97" i="15"/>
  <c r="AJ97" i="15"/>
  <c r="AI97" i="15"/>
  <c r="AH97" i="15"/>
  <c r="AG97" i="15"/>
  <c r="AF97" i="15"/>
  <c r="AE97" i="15"/>
  <c r="AN97" i="15" s="1"/>
  <c r="AD97" i="15"/>
  <c r="Y97" i="15"/>
  <c r="V97" i="15"/>
  <c r="T97" i="15"/>
  <c r="AM96" i="15"/>
  <c r="AL96" i="15"/>
  <c r="AK96" i="15"/>
  <c r="AJ96" i="15"/>
  <c r="AI96" i="15"/>
  <c r="AH96" i="15"/>
  <c r="AG96" i="15"/>
  <c r="AF96" i="15"/>
  <c r="AE96" i="15"/>
  <c r="AD96" i="15"/>
  <c r="Y96" i="15"/>
  <c r="V96" i="15"/>
  <c r="T96" i="15"/>
  <c r="AM95" i="15"/>
  <c r="AL95" i="15"/>
  <c r="AK95" i="15"/>
  <c r="AJ95" i="15"/>
  <c r="AI95" i="15"/>
  <c r="AH95" i="15"/>
  <c r="AG95" i="15"/>
  <c r="AF95" i="15"/>
  <c r="AE95" i="15"/>
  <c r="AD95" i="15"/>
  <c r="Y95" i="15"/>
  <c r="V95" i="15"/>
  <c r="T95" i="15"/>
  <c r="AM94" i="15"/>
  <c r="AL94" i="15"/>
  <c r="AK94" i="15"/>
  <c r="AJ94" i="15"/>
  <c r="AI94" i="15"/>
  <c r="AH94" i="15"/>
  <c r="AG94" i="15"/>
  <c r="AF94" i="15"/>
  <c r="AE94" i="15"/>
  <c r="AN94" i="15" s="1"/>
  <c r="AD94" i="15"/>
  <c r="Y94" i="15"/>
  <c r="V94" i="15"/>
  <c r="T94" i="15"/>
  <c r="AM93" i="15"/>
  <c r="AL93" i="15"/>
  <c r="AK93" i="15"/>
  <c r="AJ93" i="15"/>
  <c r="AI93" i="15"/>
  <c r="AH93" i="15"/>
  <c r="AG93" i="15"/>
  <c r="AF93" i="15"/>
  <c r="AE93" i="15"/>
  <c r="AD93" i="15"/>
  <c r="Y93" i="15"/>
  <c r="V93" i="15"/>
  <c r="T93" i="15"/>
  <c r="AM92" i="15"/>
  <c r="AL92" i="15"/>
  <c r="AK92" i="15"/>
  <c r="AJ92" i="15"/>
  <c r="AI92" i="15"/>
  <c r="AH92" i="15"/>
  <c r="AG92" i="15"/>
  <c r="AF92" i="15"/>
  <c r="AE92" i="15"/>
  <c r="AD92" i="15"/>
  <c r="Y92" i="15"/>
  <c r="V92" i="15"/>
  <c r="T92" i="15"/>
  <c r="AM91" i="15"/>
  <c r="AL91" i="15"/>
  <c r="AK91" i="15"/>
  <c r="AJ91" i="15"/>
  <c r="AI91" i="15"/>
  <c r="AH91" i="15"/>
  <c r="AG91" i="15"/>
  <c r="AF91" i="15"/>
  <c r="AE91" i="15"/>
  <c r="AD91" i="15"/>
  <c r="Y91" i="15"/>
  <c r="V91" i="15"/>
  <c r="T91" i="15"/>
  <c r="AM90" i="15"/>
  <c r="AL90" i="15"/>
  <c r="AK90" i="15"/>
  <c r="AJ90" i="15"/>
  <c r="AI90" i="15"/>
  <c r="AH90" i="15"/>
  <c r="AG90" i="15"/>
  <c r="AF90" i="15"/>
  <c r="AE90" i="15"/>
  <c r="AD90" i="15"/>
  <c r="Y90" i="15"/>
  <c r="V90" i="15"/>
  <c r="T90" i="15"/>
  <c r="AM89" i="15"/>
  <c r="AL89" i="15"/>
  <c r="AK89" i="15"/>
  <c r="AJ89" i="15"/>
  <c r="AI89" i="15"/>
  <c r="AH89" i="15"/>
  <c r="AG89" i="15"/>
  <c r="AF89" i="15"/>
  <c r="AE89" i="15"/>
  <c r="AD89" i="15"/>
  <c r="Y89" i="15"/>
  <c r="V89" i="15"/>
  <c r="T89" i="15"/>
  <c r="AM88" i="15"/>
  <c r="AL88" i="15"/>
  <c r="AK88" i="15"/>
  <c r="AJ88" i="15"/>
  <c r="AI88" i="15"/>
  <c r="AH88" i="15"/>
  <c r="AG88" i="15"/>
  <c r="AF88" i="15"/>
  <c r="AE88" i="15"/>
  <c r="AD88" i="15"/>
  <c r="Y88" i="15"/>
  <c r="V88" i="15"/>
  <c r="T88" i="15"/>
  <c r="AM87" i="15"/>
  <c r="AL87" i="15"/>
  <c r="AK87" i="15"/>
  <c r="AJ87" i="15"/>
  <c r="AI87" i="15"/>
  <c r="AH87" i="15"/>
  <c r="AG87" i="15"/>
  <c r="AF87" i="15"/>
  <c r="AE87" i="15"/>
  <c r="AD87" i="15"/>
  <c r="Y87" i="15"/>
  <c r="V87" i="15"/>
  <c r="T87" i="15"/>
  <c r="AM86" i="15"/>
  <c r="AL86" i="15"/>
  <c r="AK86" i="15"/>
  <c r="AJ86" i="15"/>
  <c r="AI86" i="15"/>
  <c r="AH86" i="15"/>
  <c r="AG86" i="15"/>
  <c r="AF86" i="15"/>
  <c r="AE86" i="15"/>
  <c r="AD86" i="15"/>
  <c r="Y86" i="15"/>
  <c r="V86" i="15"/>
  <c r="T86" i="15"/>
  <c r="AM85" i="15"/>
  <c r="AL85" i="15"/>
  <c r="AK85" i="15"/>
  <c r="AJ85" i="15"/>
  <c r="AI85" i="15"/>
  <c r="AH85" i="15"/>
  <c r="AG85" i="15"/>
  <c r="AF85" i="15"/>
  <c r="AE85" i="15"/>
  <c r="AN85" i="15" s="1"/>
  <c r="AD85" i="15"/>
  <c r="Y85" i="15"/>
  <c r="V85" i="15"/>
  <c r="T85" i="15"/>
  <c r="AM84" i="15"/>
  <c r="AL84" i="15"/>
  <c r="AK84" i="15"/>
  <c r="AJ84" i="15"/>
  <c r="AI84" i="15"/>
  <c r="AH84" i="15"/>
  <c r="AG84" i="15"/>
  <c r="AF84" i="15"/>
  <c r="AE84" i="15"/>
  <c r="AD84" i="15"/>
  <c r="Y84" i="15"/>
  <c r="V84" i="15"/>
  <c r="T84" i="15"/>
  <c r="AM83" i="15"/>
  <c r="AL83" i="15"/>
  <c r="AK83" i="15"/>
  <c r="AJ83" i="15"/>
  <c r="AI83" i="15"/>
  <c r="AH83" i="15"/>
  <c r="AG83" i="15"/>
  <c r="AF83" i="15"/>
  <c r="AE83" i="15"/>
  <c r="AD83" i="15"/>
  <c r="Y83" i="15"/>
  <c r="V83" i="15"/>
  <c r="T83" i="15"/>
  <c r="AM82" i="15"/>
  <c r="AL82" i="15"/>
  <c r="AK82" i="15"/>
  <c r="AJ82" i="15"/>
  <c r="AI82" i="15"/>
  <c r="AH82" i="15"/>
  <c r="AG82" i="15"/>
  <c r="AF82" i="15"/>
  <c r="AE82" i="15"/>
  <c r="AD82" i="15"/>
  <c r="Y82" i="15"/>
  <c r="V82" i="15"/>
  <c r="T82" i="15"/>
  <c r="AM81" i="15"/>
  <c r="AL81" i="15"/>
  <c r="AK81" i="15"/>
  <c r="AJ81" i="15"/>
  <c r="AI81" i="15"/>
  <c r="AH81" i="15"/>
  <c r="AG81" i="15"/>
  <c r="AF81" i="15"/>
  <c r="AE81" i="15"/>
  <c r="AD81" i="15"/>
  <c r="Y81" i="15"/>
  <c r="V81" i="15"/>
  <c r="T81" i="15"/>
  <c r="AM80" i="15"/>
  <c r="AL80" i="15"/>
  <c r="AK80" i="15"/>
  <c r="AJ80" i="15"/>
  <c r="AI80" i="15"/>
  <c r="AH80" i="15"/>
  <c r="AG80" i="15"/>
  <c r="AF80" i="15"/>
  <c r="AE80" i="15"/>
  <c r="AD80" i="15"/>
  <c r="Y80" i="15"/>
  <c r="V80" i="15"/>
  <c r="T80" i="15"/>
  <c r="AM79" i="15"/>
  <c r="AL79" i="15"/>
  <c r="AK79" i="15"/>
  <c r="AJ79" i="15"/>
  <c r="AI79" i="15"/>
  <c r="AH79" i="15"/>
  <c r="AG79" i="15"/>
  <c r="AF79" i="15"/>
  <c r="AE79" i="15"/>
  <c r="AN79" i="15" s="1"/>
  <c r="AD79" i="15"/>
  <c r="Y79" i="15"/>
  <c r="V79" i="15"/>
  <c r="T79" i="15"/>
  <c r="AM78" i="15"/>
  <c r="AL78" i="15"/>
  <c r="AK78" i="15"/>
  <c r="AJ78" i="15"/>
  <c r="AI78" i="15"/>
  <c r="AH78" i="15"/>
  <c r="AG78" i="15"/>
  <c r="AF78" i="15"/>
  <c r="AE78" i="15"/>
  <c r="AD78" i="15"/>
  <c r="Y78" i="15"/>
  <c r="V78" i="15"/>
  <c r="T78" i="15"/>
  <c r="AM77" i="15"/>
  <c r="AL77" i="15"/>
  <c r="AK77" i="15"/>
  <c r="AJ77" i="15"/>
  <c r="AI77" i="15"/>
  <c r="AH77" i="15"/>
  <c r="AG77" i="15"/>
  <c r="AF77" i="15"/>
  <c r="AE77" i="15"/>
  <c r="AD77" i="15"/>
  <c r="Y77" i="15"/>
  <c r="V77" i="15"/>
  <c r="T77" i="15"/>
  <c r="AM76" i="15"/>
  <c r="AL76" i="15"/>
  <c r="AK76" i="15"/>
  <c r="AJ76" i="15"/>
  <c r="AI76" i="15"/>
  <c r="AH76" i="15"/>
  <c r="AG76" i="15"/>
  <c r="AF76" i="15"/>
  <c r="AE76" i="15"/>
  <c r="AD76" i="15"/>
  <c r="Y76" i="15"/>
  <c r="V76" i="15"/>
  <c r="T76" i="15"/>
  <c r="AM75" i="15"/>
  <c r="AL75" i="15"/>
  <c r="AK75" i="15"/>
  <c r="AJ75" i="15"/>
  <c r="AI75" i="15"/>
  <c r="AH75" i="15"/>
  <c r="AG75" i="15"/>
  <c r="AF75" i="15"/>
  <c r="AE75" i="15"/>
  <c r="AD75" i="15"/>
  <c r="Y75" i="15"/>
  <c r="V75" i="15"/>
  <c r="T75" i="15"/>
  <c r="AM74" i="15"/>
  <c r="AL74" i="15"/>
  <c r="AK74" i="15"/>
  <c r="AJ74" i="15"/>
  <c r="AI74" i="15"/>
  <c r="AH74" i="15"/>
  <c r="AG74" i="15"/>
  <c r="AF74" i="15"/>
  <c r="AE74" i="15"/>
  <c r="AD74" i="15"/>
  <c r="Y74" i="15"/>
  <c r="V74" i="15"/>
  <c r="T74" i="15"/>
  <c r="AM73" i="15"/>
  <c r="AL73" i="15"/>
  <c r="AK73" i="15"/>
  <c r="AJ73" i="15"/>
  <c r="AI73" i="15"/>
  <c r="AH73" i="15"/>
  <c r="AG73" i="15"/>
  <c r="AF73" i="15"/>
  <c r="AE73" i="15"/>
  <c r="AD73" i="15"/>
  <c r="Y73" i="15"/>
  <c r="V73" i="15"/>
  <c r="T73" i="15"/>
  <c r="AM72" i="15"/>
  <c r="AL72" i="15"/>
  <c r="AK72" i="15"/>
  <c r="AJ72" i="15"/>
  <c r="AI72" i="15"/>
  <c r="AH72" i="15"/>
  <c r="AG72" i="15"/>
  <c r="AF72" i="15"/>
  <c r="AE72" i="15"/>
  <c r="AD72" i="15"/>
  <c r="Y72" i="15"/>
  <c r="V72" i="15"/>
  <c r="T72" i="15"/>
  <c r="AM71" i="15"/>
  <c r="AL71" i="15"/>
  <c r="AK71" i="15"/>
  <c r="AJ71" i="15"/>
  <c r="AI71" i="15"/>
  <c r="AH71" i="15"/>
  <c r="AG71" i="15"/>
  <c r="AF71" i="15"/>
  <c r="AE71" i="15"/>
  <c r="AD71" i="15"/>
  <c r="Y71" i="15"/>
  <c r="V71" i="15"/>
  <c r="T71" i="15"/>
  <c r="AM70" i="15"/>
  <c r="AL70" i="15"/>
  <c r="AK70" i="15"/>
  <c r="AJ70" i="15"/>
  <c r="AI70" i="15"/>
  <c r="AH70" i="15"/>
  <c r="AG70" i="15"/>
  <c r="AF70" i="15"/>
  <c r="AE70" i="15"/>
  <c r="AD70" i="15"/>
  <c r="AN70" i="15" s="1"/>
  <c r="Y70" i="15"/>
  <c r="V70" i="15"/>
  <c r="T70" i="15"/>
  <c r="AM69" i="15"/>
  <c r="AL69" i="15"/>
  <c r="AK69" i="15"/>
  <c r="AJ69" i="15"/>
  <c r="AI69" i="15"/>
  <c r="AH69" i="15"/>
  <c r="AG69" i="15"/>
  <c r="AF69" i="15"/>
  <c r="AE69" i="15"/>
  <c r="AD69" i="15"/>
  <c r="Y69" i="15"/>
  <c r="V69" i="15"/>
  <c r="T69" i="15"/>
  <c r="AM68" i="15"/>
  <c r="AL68" i="15"/>
  <c r="AK68" i="15"/>
  <c r="AJ68" i="15"/>
  <c r="AI68" i="15"/>
  <c r="AH68" i="15"/>
  <c r="AG68" i="15"/>
  <c r="AF68" i="15"/>
  <c r="AE68" i="15"/>
  <c r="AD68" i="15"/>
  <c r="Y68" i="15"/>
  <c r="V68" i="15"/>
  <c r="T68" i="15"/>
  <c r="AM67" i="15"/>
  <c r="AL67" i="15"/>
  <c r="AK67" i="15"/>
  <c r="AJ67" i="15"/>
  <c r="AI67" i="15"/>
  <c r="AH67" i="15"/>
  <c r="AG67" i="15"/>
  <c r="AF67" i="15"/>
  <c r="AE67" i="15"/>
  <c r="AD67" i="15"/>
  <c r="Y67" i="15"/>
  <c r="V67" i="15"/>
  <c r="T67" i="15"/>
  <c r="AM66" i="15"/>
  <c r="AL66" i="15"/>
  <c r="AK66" i="15"/>
  <c r="AJ66" i="15"/>
  <c r="AI66" i="15"/>
  <c r="AH66" i="15"/>
  <c r="AG66" i="15"/>
  <c r="AF66" i="15"/>
  <c r="AE66" i="15"/>
  <c r="AD66" i="15"/>
  <c r="Y66" i="15"/>
  <c r="V66" i="15"/>
  <c r="T66" i="15"/>
  <c r="AM65" i="15"/>
  <c r="AL65" i="15"/>
  <c r="AK65" i="15"/>
  <c r="AJ65" i="15"/>
  <c r="AI65" i="15"/>
  <c r="AH65" i="15"/>
  <c r="AG65" i="15"/>
  <c r="AF65" i="15"/>
  <c r="AE65" i="15"/>
  <c r="AD65" i="15"/>
  <c r="Y65" i="15"/>
  <c r="V65" i="15"/>
  <c r="T65" i="15"/>
  <c r="AM64" i="15"/>
  <c r="AL64" i="15"/>
  <c r="AK64" i="15"/>
  <c r="AJ64" i="15"/>
  <c r="AI64" i="15"/>
  <c r="AH64" i="15"/>
  <c r="AG64" i="15"/>
  <c r="AF64" i="15"/>
  <c r="AE64" i="15"/>
  <c r="AD64" i="15"/>
  <c r="AN64" i="15" s="1"/>
  <c r="Y64" i="15"/>
  <c r="V64" i="15"/>
  <c r="T64" i="15"/>
  <c r="AM63" i="15"/>
  <c r="AL63" i="15"/>
  <c r="AK63" i="15"/>
  <c r="AJ63" i="15"/>
  <c r="AI63" i="15"/>
  <c r="AH63" i="15"/>
  <c r="AG63" i="15"/>
  <c r="AF63" i="15"/>
  <c r="AE63" i="15"/>
  <c r="AD63" i="15"/>
  <c r="AN63" i="15" s="1"/>
  <c r="Y63" i="15"/>
  <c r="V63" i="15"/>
  <c r="T63" i="15"/>
  <c r="AM62" i="15"/>
  <c r="AL62" i="15"/>
  <c r="AK62" i="15"/>
  <c r="AJ62" i="15"/>
  <c r="AI62" i="15"/>
  <c r="AH62" i="15"/>
  <c r="AG62" i="15"/>
  <c r="AF62" i="15"/>
  <c r="AE62" i="15"/>
  <c r="AD62" i="15"/>
  <c r="Y62" i="15"/>
  <c r="V62" i="15"/>
  <c r="T62" i="15"/>
  <c r="AM61" i="15"/>
  <c r="AL61" i="15"/>
  <c r="AK61" i="15"/>
  <c r="AJ61" i="15"/>
  <c r="AI61" i="15"/>
  <c r="AH61" i="15"/>
  <c r="AG61" i="15"/>
  <c r="AF61" i="15"/>
  <c r="AE61" i="15"/>
  <c r="AN61" i="15" s="1"/>
  <c r="AD61" i="15"/>
  <c r="Y61" i="15"/>
  <c r="V61" i="15"/>
  <c r="T61" i="15"/>
  <c r="AM60" i="15"/>
  <c r="AL60" i="15"/>
  <c r="AK60" i="15"/>
  <c r="AJ60" i="15"/>
  <c r="AI60" i="15"/>
  <c r="AH60" i="15"/>
  <c r="AG60" i="15"/>
  <c r="AF60" i="15"/>
  <c r="AE60" i="15"/>
  <c r="AD60" i="15"/>
  <c r="Y60" i="15"/>
  <c r="V60" i="15"/>
  <c r="T60" i="15"/>
  <c r="AM59" i="15"/>
  <c r="AL59" i="15"/>
  <c r="AK59" i="15"/>
  <c r="AJ59" i="15"/>
  <c r="AI59" i="15"/>
  <c r="AH59" i="15"/>
  <c r="AG59" i="15"/>
  <c r="AF59" i="15"/>
  <c r="AE59" i="15"/>
  <c r="AD59" i="15"/>
  <c r="Y59" i="15"/>
  <c r="V59" i="15"/>
  <c r="T59" i="15"/>
  <c r="AM58" i="15"/>
  <c r="AL58" i="15"/>
  <c r="AK58" i="15"/>
  <c r="AJ58" i="15"/>
  <c r="AI58" i="15"/>
  <c r="AH58" i="15"/>
  <c r="AG58" i="15"/>
  <c r="AF58" i="15"/>
  <c r="AE58" i="15"/>
  <c r="AD58" i="15"/>
  <c r="Y58" i="15"/>
  <c r="V58" i="15"/>
  <c r="T58" i="15"/>
  <c r="AM57" i="15"/>
  <c r="AL57" i="15"/>
  <c r="AK57" i="15"/>
  <c r="AJ57" i="15"/>
  <c r="AI57" i="15"/>
  <c r="AH57" i="15"/>
  <c r="AG57" i="15"/>
  <c r="AF57" i="15"/>
  <c r="AE57" i="15"/>
  <c r="AD57" i="15"/>
  <c r="Y57" i="15"/>
  <c r="V57" i="15"/>
  <c r="T57" i="15"/>
  <c r="AM56" i="15"/>
  <c r="AL56" i="15"/>
  <c r="AK56" i="15"/>
  <c r="AJ56" i="15"/>
  <c r="AI56" i="15"/>
  <c r="AH56" i="15"/>
  <c r="AG56" i="15"/>
  <c r="AF56" i="15"/>
  <c r="AE56" i="15"/>
  <c r="AD56" i="15"/>
  <c r="Y56" i="15"/>
  <c r="V56" i="15"/>
  <c r="T56" i="15"/>
  <c r="AM55" i="15"/>
  <c r="AL55" i="15"/>
  <c r="AK55" i="15"/>
  <c r="AJ55" i="15"/>
  <c r="AI55" i="15"/>
  <c r="AH55" i="15"/>
  <c r="AG55" i="15"/>
  <c r="AF55" i="15"/>
  <c r="AE55" i="15"/>
  <c r="AD55" i="15"/>
  <c r="Y55" i="15"/>
  <c r="V55" i="15"/>
  <c r="T55" i="15"/>
  <c r="AM54" i="15"/>
  <c r="AL54" i="15"/>
  <c r="AK54" i="15"/>
  <c r="AJ54" i="15"/>
  <c r="AI54" i="15"/>
  <c r="AH54" i="15"/>
  <c r="AG54" i="15"/>
  <c r="AF54" i="15"/>
  <c r="AE54" i="15"/>
  <c r="AD54" i="15"/>
  <c r="Y54" i="15"/>
  <c r="V54" i="15"/>
  <c r="T54" i="15"/>
  <c r="AM53" i="15"/>
  <c r="AL53" i="15"/>
  <c r="AK53" i="15"/>
  <c r="AJ53" i="15"/>
  <c r="AI53" i="15"/>
  <c r="AH53" i="15"/>
  <c r="AG53" i="15"/>
  <c r="AF53" i="15"/>
  <c r="AE53" i="15"/>
  <c r="AD53" i="15"/>
  <c r="Y53" i="15"/>
  <c r="V53" i="15"/>
  <c r="T53" i="15"/>
  <c r="AM52" i="15"/>
  <c r="AL52" i="15"/>
  <c r="AK52" i="15"/>
  <c r="AJ52" i="15"/>
  <c r="AI52" i="15"/>
  <c r="AH52" i="15"/>
  <c r="AG52" i="15"/>
  <c r="AF52" i="15"/>
  <c r="AE52" i="15"/>
  <c r="AD52" i="15"/>
  <c r="Y52" i="15"/>
  <c r="V52" i="15"/>
  <c r="T52" i="15"/>
  <c r="AM51" i="15"/>
  <c r="AL51" i="15"/>
  <c r="AK51" i="15"/>
  <c r="AJ51" i="15"/>
  <c r="AI51" i="15"/>
  <c r="AH51" i="15"/>
  <c r="AG51" i="15"/>
  <c r="AF51" i="15"/>
  <c r="AE51" i="15"/>
  <c r="AD51" i="15"/>
  <c r="Y51" i="15"/>
  <c r="V51" i="15"/>
  <c r="T51" i="15"/>
  <c r="AM50" i="15"/>
  <c r="AL50" i="15"/>
  <c r="AK50" i="15"/>
  <c r="AJ50" i="15"/>
  <c r="AI50" i="15"/>
  <c r="AH50" i="15"/>
  <c r="AG50" i="15"/>
  <c r="AF50" i="15"/>
  <c r="AE50" i="15"/>
  <c r="AD50" i="15"/>
  <c r="Y50" i="15"/>
  <c r="V50" i="15"/>
  <c r="T50" i="15"/>
  <c r="AM49" i="15"/>
  <c r="AL49" i="15"/>
  <c r="AK49" i="15"/>
  <c r="AJ49" i="15"/>
  <c r="AI49" i="15"/>
  <c r="AH49" i="15"/>
  <c r="AG49" i="15"/>
  <c r="AF49" i="15"/>
  <c r="AE49" i="15"/>
  <c r="AD49" i="15"/>
  <c r="Y49" i="15"/>
  <c r="V49" i="15"/>
  <c r="T49" i="15"/>
  <c r="AM48" i="15"/>
  <c r="AL48" i="15"/>
  <c r="AK48" i="15"/>
  <c r="AJ48" i="15"/>
  <c r="AI48" i="15"/>
  <c r="AH48" i="15"/>
  <c r="AG48" i="15"/>
  <c r="AF48" i="15"/>
  <c r="AE48" i="15"/>
  <c r="AD48" i="15"/>
  <c r="Y48" i="15"/>
  <c r="V48" i="15"/>
  <c r="T48" i="15"/>
  <c r="AM47" i="15"/>
  <c r="AL47" i="15"/>
  <c r="AK47" i="15"/>
  <c r="AJ47" i="15"/>
  <c r="AI47" i="15"/>
  <c r="AH47" i="15"/>
  <c r="AG47" i="15"/>
  <c r="AF47" i="15"/>
  <c r="AE47" i="15"/>
  <c r="AD47" i="15"/>
  <c r="Y47" i="15"/>
  <c r="V47" i="15"/>
  <c r="T47" i="15"/>
  <c r="AM46" i="15"/>
  <c r="AL46" i="15"/>
  <c r="AK46" i="15"/>
  <c r="AJ46" i="15"/>
  <c r="AI46" i="15"/>
  <c r="AH46" i="15"/>
  <c r="AG46" i="15"/>
  <c r="AF46" i="15"/>
  <c r="AE46" i="15"/>
  <c r="AN46" i="15" s="1"/>
  <c r="AD46" i="15"/>
  <c r="Y46" i="15"/>
  <c r="V46" i="15"/>
  <c r="T46" i="15"/>
  <c r="AM45" i="15"/>
  <c r="AL45" i="15"/>
  <c r="AK45" i="15"/>
  <c r="AJ45" i="15"/>
  <c r="AI45" i="15"/>
  <c r="AH45" i="15"/>
  <c r="AG45" i="15"/>
  <c r="AF45" i="15"/>
  <c r="AE45" i="15"/>
  <c r="AD45" i="15"/>
  <c r="Y45" i="15"/>
  <c r="V45" i="15"/>
  <c r="T45" i="15"/>
  <c r="AM44" i="15"/>
  <c r="AL44" i="15"/>
  <c r="AK44" i="15"/>
  <c r="AJ44" i="15"/>
  <c r="AI44" i="15"/>
  <c r="AH44" i="15"/>
  <c r="AG44" i="15"/>
  <c r="AF44" i="15"/>
  <c r="AE44" i="15"/>
  <c r="AD44" i="15"/>
  <c r="Y44" i="15"/>
  <c r="V44" i="15"/>
  <c r="T44" i="15"/>
  <c r="AM43" i="15"/>
  <c r="AL43" i="15"/>
  <c r="AK43" i="15"/>
  <c r="AJ43" i="15"/>
  <c r="AI43" i="15"/>
  <c r="AH43" i="15"/>
  <c r="AG43" i="15"/>
  <c r="AF43" i="15"/>
  <c r="AE43" i="15"/>
  <c r="AD43" i="15"/>
  <c r="Y43" i="15"/>
  <c r="V43" i="15"/>
  <c r="T43" i="15"/>
  <c r="AM42" i="15"/>
  <c r="AL42" i="15"/>
  <c r="AK42" i="15"/>
  <c r="AJ42" i="15"/>
  <c r="AI42" i="15"/>
  <c r="AH42" i="15"/>
  <c r="AG42" i="15"/>
  <c r="AF42" i="15"/>
  <c r="AE42" i="15"/>
  <c r="AD42" i="15"/>
  <c r="Y42" i="15"/>
  <c r="V42" i="15"/>
  <c r="T42" i="15"/>
  <c r="AM41" i="15"/>
  <c r="AL41" i="15"/>
  <c r="AK41" i="15"/>
  <c r="AJ41" i="15"/>
  <c r="AI41" i="15"/>
  <c r="AH41" i="15"/>
  <c r="AG41" i="15"/>
  <c r="AF41" i="15"/>
  <c r="AE41" i="15"/>
  <c r="AD41" i="15"/>
  <c r="Y41" i="15"/>
  <c r="V41" i="15"/>
  <c r="T41" i="15"/>
  <c r="AM40" i="15"/>
  <c r="AL40" i="15"/>
  <c r="AK40" i="15"/>
  <c r="AJ40" i="15"/>
  <c r="AI40" i="15"/>
  <c r="AH40" i="15"/>
  <c r="AG40" i="15"/>
  <c r="AF40" i="15"/>
  <c r="AE40" i="15"/>
  <c r="AD40" i="15"/>
  <c r="Y40" i="15"/>
  <c r="V40" i="15"/>
  <c r="T40" i="15"/>
  <c r="AM39" i="15"/>
  <c r="AL39" i="15"/>
  <c r="AK39" i="15"/>
  <c r="AJ39" i="15"/>
  <c r="AI39" i="15"/>
  <c r="AH39" i="15"/>
  <c r="AG39" i="15"/>
  <c r="AF39" i="15"/>
  <c r="AE39" i="15"/>
  <c r="AD39" i="15"/>
  <c r="Y39" i="15"/>
  <c r="V39" i="15"/>
  <c r="T39" i="15"/>
  <c r="AM38" i="15"/>
  <c r="AL38" i="15"/>
  <c r="AK38" i="15"/>
  <c r="AJ38" i="15"/>
  <c r="AI38" i="15"/>
  <c r="AH38" i="15"/>
  <c r="AG38" i="15"/>
  <c r="AF38" i="15"/>
  <c r="AE38" i="15"/>
  <c r="AD38" i="15"/>
  <c r="Y38" i="15"/>
  <c r="V38" i="15"/>
  <c r="T38" i="15"/>
  <c r="AM37" i="15"/>
  <c r="AL37" i="15"/>
  <c r="AK37" i="15"/>
  <c r="AJ37" i="15"/>
  <c r="AI37" i="15"/>
  <c r="AH37" i="15"/>
  <c r="AG37" i="15"/>
  <c r="AF37" i="15"/>
  <c r="AE37" i="15"/>
  <c r="AD37" i="15"/>
  <c r="Y37" i="15"/>
  <c r="V37" i="15"/>
  <c r="T37" i="15"/>
  <c r="AM36" i="15"/>
  <c r="AL36" i="15"/>
  <c r="AK36" i="15"/>
  <c r="AJ36" i="15"/>
  <c r="AI36" i="15"/>
  <c r="AH36" i="15"/>
  <c r="AG36" i="15"/>
  <c r="AF36" i="15"/>
  <c r="AE36" i="15"/>
  <c r="AD36" i="15"/>
  <c r="Y36" i="15"/>
  <c r="V36" i="15"/>
  <c r="T36" i="15"/>
  <c r="AM35" i="15"/>
  <c r="AL35" i="15"/>
  <c r="AK35" i="15"/>
  <c r="AJ35" i="15"/>
  <c r="AI35" i="15"/>
  <c r="AH35" i="15"/>
  <c r="AG35" i="15"/>
  <c r="AF35" i="15"/>
  <c r="AE35" i="15"/>
  <c r="AD35" i="15"/>
  <c r="Y35" i="15"/>
  <c r="V35" i="15"/>
  <c r="T35" i="15"/>
  <c r="AM34" i="15"/>
  <c r="AL34" i="15"/>
  <c r="AK34" i="15"/>
  <c r="AJ34" i="15"/>
  <c r="AI34" i="15"/>
  <c r="AH34" i="15"/>
  <c r="AG34" i="15"/>
  <c r="AF34" i="15"/>
  <c r="AE34" i="15"/>
  <c r="AD34" i="15"/>
  <c r="Y34" i="15"/>
  <c r="V34" i="15"/>
  <c r="T34" i="15"/>
  <c r="AM33" i="15"/>
  <c r="AL33" i="15"/>
  <c r="AK33" i="15"/>
  <c r="AJ33" i="15"/>
  <c r="AI33" i="15"/>
  <c r="AH33" i="15"/>
  <c r="AG33" i="15"/>
  <c r="AF33" i="15"/>
  <c r="AE33" i="15"/>
  <c r="AD33" i="15"/>
  <c r="Y33" i="15"/>
  <c r="V33" i="15"/>
  <c r="T33" i="15"/>
  <c r="AM32" i="15"/>
  <c r="AL32" i="15"/>
  <c r="AK32" i="15"/>
  <c r="AJ32" i="15"/>
  <c r="AI32" i="15"/>
  <c r="AH32" i="15"/>
  <c r="AG32" i="15"/>
  <c r="AF32" i="15"/>
  <c r="AE32" i="15"/>
  <c r="AD32" i="15"/>
  <c r="Y32" i="15"/>
  <c r="V32" i="15"/>
  <c r="T32" i="15"/>
  <c r="AM31" i="15"/>
  <c r="AL31" i="15"/>
  <c r="AK31" i="15"/>
  <c r="AJ31" i="15"/>
  <c r="AI31" i="15"/>
  <c r="AH31" i="15"/>
  <c r="AG31" i="15"/>
  <c r="AF31" i="15"/>
  <c r="AE31" i="15"/>
  <c r="AD31" i="15"/>
  <c r="Y31" i="15"/>
  <c r="V31" i="15"/>
  <c r="T31" i="15"/>
  <c r="AM30" i="15"/>
  <c r="AL30" i="15"/>
  <c r="AK30" i="15"/>
  <c r="AJ30" i="15"/>
  <c r="AI30" i="15"/>
  <c r="AH30" i="15"/>
  <c r="AG30" i="15"/>
  <c r="AF30" i="15"/>
  <c r="AE30" i="15"/>
  <c r="AD30" i="15"/>
  <c r="Y30" i="15"/>
  <c r="V30" i="15"/>
  <c r="T30" i="15"/>
  <c r="AM29" i="15"/>
  <c r="AL29" i="15"/>
  <c r="AK29" i="15"/>
  <c r="AJ29" i="15"/>
  <c r="AI29" i="15"/>
  <c r="AH29" i="15"/>
  <c r="AG29" i="15"/>
  <c r="AF29" i="15"/>
  <c r="AE29" i="15"/>
  <c r="AD29" i="15"/>
  <c r="Y29" i="15"/>
  <c r="V29" i="15"/>
  <c r="T29" i="15"/>
  <c r="AM28" i="15"/>
  <c r="AL28" i="15"/>
  <c r="AK28" i="15"/>
  <c r="AJ28" i="15"/>
  <c r="AI28" i="15"/>
  <c r="AH28" i="15"/>
  <c r="AG28" i="15"/>
  <c r="AF28" i="15"/>
  <c r="AE28" i="15"/>
  <c r="AD28" i="15"/>
  <c r="Y28" i="15"/>
  <c r="V28" i="15"/>
  <c r="T28" i="15"/>
  <c r="AM27" i="15"/>
  <c r="AL27" i="15"/>
  <c r="AK27" i="15"/>
  <c r="AJ27" i="15"/>
  <c r="AI27" i="15"/>
  <c r="AH27" i="15"/>
  <c r="AG27" i="15"/>
  <c r="AF27" i="15"/>
  <c r="AE27" i="15"/>
  <c r="AD27" i="15"/>
  <c r="Y27" i="15"/>
  <c r="V27" i="15"/>
  <c r="T27" i="15"/>
  <c r="AM26" i="15"/>
  <c r="AL26" i="15"/>
  <c r="AK26" i="15"/>
  <c r="AJ26" i="15"/>
  <c r="AI26" i="15"/>
  <c r="AH26" i="15"/>
  <c r="AG26" i="15"/>
  <c r="AF26" i="15"/>
  <c r="AE26" i="15"/>
  <c r="AD26" i="15"/>
  <c r="Y26" i="15"/>
  <c r="V26" i="15"/>
  <c r="T26" i="15"/>
  <c r="AM25" i="15"/>
  <c r="AL25" i="15"/>
  <c r="AK25" i="15"/>
  <c r="AJ25" i="15"/>
  <c r="AI25" i="15"/>
  <c r="AH25" i="15"/>
  <c r="AG25" i="15"/>
  <c r="AF25" i="15"/>
  <c r="AE25" i="15"/>
  <c r="AD25" i="15"/>
  <c r="Y25" i="15"/>
  <c r="V25" i="15"/>
  <c r="T25" i="15"/>
  <c r="AM24" i="15"/>
  <c r="AL24" i="15"/>
  <c r="AK24" i="15"/>
  <c r="AJ24" i="15"/>
  <c r="AI24" i="15"/>
  <c r="AH24" i="15"/>
  <c r="AG24" i="15"/>
  <c r="AF24" i="15"/>
  <c r="AE24" i="15"/>
  <c r="AD24" i="15"/>
  <c r="AN24" i="15" s="1"/>
  <c r="Y24" i="15"/>
  <c r="V24" i="15"/>
  <c r="T24" i="15"/>
  <c r="AM23" i="15"/>
  <c r="AL23" i="15"/>
  <c r="AK23" i="15"/>
  <c r="AJ23" i="15"/>
  <c r="AI23" i="15"/>
  <c r="AH23" i="15"/>
  <c r="AG23" i="15"/>
  <c r="AF23" i="15"/>
  <c r="AE23" i="15"/>
  <c r="AD23" i="15"/>
  <c r="Y23" i="15"/>
  <c r="V23" i="15"/>
  <c r="T23" i="15"/>
  <c r="AM22" i="15"/>
  <c r="AL22" i="15"/>
  <c r="AK22" i="15"/>
  <c r="AJ22" i="15"/>
  <c r="AI22" i="15"/>
  <c r="AH22" i="15"/>
  <c r="AG22" i="15"/>
  <c r="AF22" i="15"/>
  <c r="AE22" i="15"/>
  <c r="AD22" i="15"/>
  <c r="Y22" i="15"/>
  <c r="V22" i="15"/>
  <c r="T22" i="15"/>
  <c r="AM21" i="15"/>
  <c r="AL21" i="15"/>
  <c r="AK21" i="15"/>
  <c r="AJ21" i="15"/>
  <c r="AI21" i="15"/>
  <c r="AH21" i="15"/>
  <c r="AG21" i="15"/>
  <c r="AF21" i="15"/>
  <c r="AE21" i="15"/>
  <c r="AD21" i="15"/>
  <c r="Y21" i="15"/>
  <c r="V21" i="15"/>
  <c r="T21" i="15"/>
  <c r="AM20" i="15"/>
  <c r="AL20" i="15"/>
  <c r="AK20" i="15"/>
  <c r="AJ20" i="15"/>
  <c r="AI20" i="15"/>
  <c r="AH20" i="15"/>
  <c r="AG20" i="15"/>
  <c r="AF20" i="15"/>
  <c r="AE20" i="15"/>
  <c r="AD20" i="15"/>
  <c r="Y20" i="15"/>
  <c r="V20" i="15"/>
  <c r="T20" i="15"/>
  <c r="AM19" i="15"/>
  <c r="AL19" i="15"/>
  <c r="AK19" i="15"/>
  <c r="AJ19" i="15"/>
  <c r="AI19" i="15"/>
  <c r="AH19" i="15"/>
  <c r="AG19" i="15"/>
  <c r="AF19" i="15"/>
  <c r="AE19" i="15"/>
  <c r="AD19" i="15"/>
  <c r="Y19" i="15"/>
  <c r="V19" i="15"/>
  <c r="T19" i="15"/>
  <c r="AM18" i="15"/>
  <c r="AL18" i="15"/>
  <c r="AK18" i="15"/>
  <c r="AJ18" i="15"/>
  <c r="AI18" i="15"/>
  <c r="AH18" i="15"/>
  <c r="AG18" i="15"/>
  <c r="AF18" i="15"/>
  <c r="AE18" i="15"/>
  <c r="AD18" i="15"/>
  <c r="Y18" i="15"/>
  <c r="V18" i="15"/>
  <c r="T18" i="15"/>
  <c r="AM17" i="15"/>
  <c r="AL17" i="15"/>
  <c r="AK17" i="15"/>
  <c r="AJ17" i="15"/>
  <c r="AI17" i="15"/>
  <c r="AH17" i="15"/>
  <c r="AG17" i="15"/>
  <c r="AF17" i="15"/>
  <c r="AE17" i="15"/>
  <c r="AD17" i="15"/>
  <c r="Y17" i="15"/>
  <c r="V17" i="15"/>
  <c r="T17" i="15"/>
  <c r="AM16" i="15"/>
  <c r="AL16" i="15"/>
  <c r="AK16" i="15"/>
  <c r="AJ16" i="15"/>
  <c r="AI16" i="15"/>
  <c r="AH16" i="15"/>
  <c r="AG16" i="15"/>
  <c r="AF16" i="15"/>
  <c r="AE16" i="15"/>
  <c r="AD16" i="15"/>
  <c r="Y16" i="15"/>
  <c r="V16" i="15"/>
  <c r="T16" i="15"/>
  <c r="AM15" i="15"/>
  <c r="AL15" i="15"/>
  <c r="AK15" i="15"/>
  <c r="AJ15" i="15"/>
  <c r="AI15" i="15"/>
  <c r="AH15" i="15"/>
  <c r="AG15" i="15"/>
  <c r="AF15" i="15"/>
  <c r="AE15" i="15"/>
  <c r="AD15" i="15"/>
  <c r="Y15" i="15"/>
  <c r="V15" i="15"/>
  <c r="T15" i="15"/>
  <c r="AM14" i="15"/>
  <c r="AL14" i="15"/>
  <c r="AK14" i="15"/>
  <c r="AJ14" i="15"/>
  <c r="AI14" i="15"/>
  <c r="AH14" i="15"/>
  <c r="AG14" i="15"/>
  <c r="AF14" i="15"/>
  <c r="AE14" i="15"/>
  <c r="AN14" i="15" s="1"/>
  <c r="AD14" i="15"/>
  <c r="Y14" i="15"/>
  <c r="V14" i="15"/>
  <c r="T14" i="15"/>
  <c r="AM13" i="15"/>
  <c r="AL13" i="15"/>
  <c r="AK13" i="15"/>
  <c r="AJ13" i="15"/>
  <c r="AI13" i="15"/>
  <c r="AH13" i="15"/>
  <c r="AG13" i="15"/>
  <c r="AF13" i="15"/>
  <c r="AE13" i="15"/>
  <c r="AD13" i="15"/>
  <c r="Y13" i="15"/>
  <c r="V13" i="15"/>
  <c r="T13" i="15"/>
  <c r="AM12" i="15"/>
  <c r="AL12" i="15"/>
  <c r="AK12" i="15"/>
  <c r="AJ12" i="15"/>
  <c r="AI12" i="15"/>
  <c r="AH12" i="15"/>
  <c r="AG12" i="15"/>
  <c r="AF12" i="15"/>
  <c r="AE12" i="15"/>
  <c r="AD12" i="15"/>
  <c r="Y12" i="15"/>
  <c r="V12" i="15"/>
  <c r="T12" i="15"/>
  <c r="A12" i="15"/>
  <c r="AM11" i="15"/>
  <c r="AL11" i="15"/>
  <c r="AK11" i="15"/>
  <c r="AJ11" i="15"/>
  <c r="AI11" i="15"/>
  <c r="AH11" i="15"/>
  <c r="AG11" i="15"/>
  <c r="AF11" i="15"/>
  <c r="AE11" i="15"/>
  <c r="AD11" i="15"/>
  <c r="Y11" i="15"/>
  <c r="V11" i="15"/>
  <c r="T11" i="15"/>
  <c r="AM10" i="15"/>
  <c r="AL10" i="15"/>
  <c r="AK10" i="15"/>
  <c r="AJ10" i="15"/>
  <c r="AI10" i="15"/>
  <c r="AH10" i="15"/>
  <c r="AG10" i="15"/>
  <c r="AF10" i="15"/>
  <c r="AE10" i="15"/>
  <c r="AD10" i="15"/>
  <c r="Y10" i="15"/>
  <c r="V10" i="15"/>
  <c r="T10" i="15"/>
  <c r="A10" i="15"/>
  <c r="W25" i="15" s="1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T9" i="15"/>
  <c r="AM8" i="15"/>
  <c r="AL8" i="15"/>
  <c r="AK8" i="15"/>
  <c r="AJ8" i="15"/>
  <c r="AI8" i="15"/>
  <c r="AH8" i="15"/>
  <c r="AG8" i="15"/>
  <c r="AF8" i="15"/>
  <c r="AD8" i="15"/>
  <c r="AN8" i="15" s="1"/>
  <c r="Y8" i="15"/>
  <c r="V8" i="15"/>
  <c r="T8" i="15"/>
  <c r="AM7" i="15"/>
  <c r="AL7" i="15"/>
  <c r="AK7" i="15"/>
  <c r="AJ7" i="15"/>
  <c r="AI7" i="15"/>
  <c r="AH7" i="15"/>
  <c r="AG7" i="15"/>
  <c r="AF7" i="15"/>
  <c r="AD7" i="15"/>
  <c r="AN7" i="15" s="1"/>
  <c r="Y7" i="15"/>
  <c r="V7" i="15"/>
  <c r="T7" i="15"/>
  <c r="AM6" i="15"/>
  <c r="AL6" i="15"/>
  <c r="AK6" i="15"/>
  <c r="AJ6" i="15"/>
  <c r="AI6" i="15"/>
  <c r="AH6" i="15"/>
  <c r="AG6" i="15"/>
  <c r="AF6" i="15"/>
  <c r="AD6" i="15"/>
  <c r="AN6" i="15" s="1"/>
  <c r="Y6" i="15"/>
  <c r="V6" i="15"/>
  <c r="T6" i="15"/>
  <c r="A6" i="15"/>
  <c r="AM5" i="15"/>
  <c r="AL5" i="15"/>
  <c r="AK5" i="15"/>
  <c r="AJ5" i="15"/>
  <c r="AI5" i="15"/>
  <c r="AH5" i="15"/>
  <c r="AG5" i="15"/>
  <c r="AF5" i="15"/>
  <c r="AD5" i="15"/>
  <c r="AN5" i="15" s="1"/>
  <c r="Y5" i="15"/>
  <c r="V5" i="15"/>
  <c r="T5" i="15"/>
  <c r="F1" i="15"/>
  <c r="AK24" i="14"/>
  <c r="AF24" i="14"/>
  <c r="AG24" i="14" s="1"/>
  <c r="Y24" i="14"/>
  <c r="V24" i="14"/>
  <c r="T24" i="14"/>
  <c r="AE24" i="14" s="1"/>
  <c r="AK23" i="14"/>
  <c r="AF23" i="14"/>
  <c r="AG23" i="14" s="1"/>
  <c r="Y23" i="14"/>
  <c r="V23" i="14"/>
  <c r="T23" i="14"/>
  <c r="AH23" i="14" s="1"/>
  <c r="AI23" i="14" s="1"/>
  <c r="AK22" i="14"/>
  <c r="AF22" i="14"/>
  <c r="AG22" i="14" s="1"/>
  <c r="Y22" i="14"/>
  <c r="V22" i="14"/>
  <c r="T22" i="14"/>
  <c r="AH22" i="14" s="1"/>
  <c r="AI22" i="14" s="1"/>
  <c r="AM21" i="14"/>
  <c r="AK21" i="14"/>
  <c r="AF21" i="14"/>
  <c r="AG21" i="14" s="1"/>
  <c r="Y21" i="14"/>
  <c r="V21" i="14"/>
  <c r="T21" i="14"/>
  <c r="AH21" i="14" s="1"/>
  <c r="AI21" i="14" s="1"/>
  <c r="AK20" i="14"/>
  <c r="AF20" i="14"/>
  <c r="AG20" i="14" s="1"/>
  <c r="Y20" i="14"/>
  <c r="V20" i="14"/>
  <c r="T20" i="14"/>
  <c r="AH20" i="14" s="1"/>
  <c r="AI20" i="14" s="1"/>
  <c r="AK19" i="14"/>
  <c r="AG19" i="14"/>
  <c r="AF19" i="14"/>
  <c r="Y19" i="14"/>
  <c r="V19" i="14"/>
  <c r="T19" i="14"/>
  <c r="AM19" i="14" s="1"/>
  <c r="AM18" i="14"/>
  <c r="AL18" i="14"/>
  <c r="AK18" i="14"/>
  <c r="AJ18" i="14"/>
  <c r="AI18" i="14"/>
  <c r="AH18" i="14"/>
  <c r="AG18" i="14"/>
  <c r="AF18" i="14"/>
  <c r="AE18" i="14"/>
  <c r="AD18" i="14"/>
  <c r="Y18" i="14"/>
  <c r="V18" i="14"/>
  <c r="T18" i="14"/>
  <c r="AM17" i="14"/>
  <c r="AL17" i="14"/>
  <c r="AK17" i="14"/>
  <c r="AJ17" i="14"/>
  <c r="AI17" i="14"/>
  <c r="AH17" i="14"/>
  <c r="AG17" i="14"/>
  <c r="AF17" i="14"/>
  <c r="AE17" i="14"/>
  <c r="AD17" i="14"/>
  <c r="Y17" i="14"/>
  <c r="V17" i="14"/>
  <c r="T17" i="14"/>
  <c r="AM16" i="14"/>
  <c r="AL16" i="14"/>
  <c r="AK16" i="14"/>
  <c r="AJ16" i="14"/>
  <c r="AI16" i="14"/>
  <c r="AH16" i="14"/>
  <c r="AG16" i="14"/>
  <c r="AF16" i="14"/>
  <c r="AE16" i="14"/>
  <c r="AN16" i="14" s="1"/>
  <c r="AD16" i="14"/>
  <c r="Y16" i="14"/>
  <c r="V16" i="14"/>
  <c r="T16" i="14"/>
  <c r="AM15" i="14"/>
  <c r="AL15" i="14"/>
  <c r="AK15" i="14"/>
  <c r="AJ15" i="14"/>
  <c r="AI15" i="14"/>
  <c r="AH15" i="14"/>
  <c r="AG15" i="14"/>
  <c r="AF15" i="14"/>
  <c r="AE15" i="14"/>
  <c r="AD15" i="14"/>
  <c r="Y15" i="14"/>
  <c r="V15" i="14"/>
  <c r="T15" i="14"/>
  <c r="AM14" i="14"/>
  <c r="AL14" i="14"/>
  <c r="AK14" i="14"/>
  <c r="AJ14" i="14"/>
  <c r="AI14" i="14"/>
  <c r="AH14" i="14"/>
  <c r="AG14" i="14"/>
  <c r="AF14" i="14"/>
  <c r="AE14" i="14"/>
  <c r="AD14" i="14"/>
  <c r="Y14" i="14"/>
  <c r="V14" i="14"/>
  <c r="T14" i="14"/>
  <c r="AM13" i="14"/>
  <c r="AL13" i="14"/>
  <c r="AK13" i="14"/>
  <c r="AJ13" i="14"/>
  <c r="AI13" i="14"/>
  <c r="AH13" i="14"/>
  <c r="AG13" i="14"/>
  <c r="AF13" i="14"/>
  <c r="AE13" i="14"/>
  <c r="AN13" i="14" s="1"/>
  <c r="AD13" i="14"/>
  <c r="Y13" i="14"/>
  <c r="V13" i="14"/>
  <c r="T13" i="14"/>
  <c r="AM12" i="14"/>
  <c r="AL12" i="14"/>
  <c r="AK12" i="14"/>
  <c r="AJ12" i="14"/>
  <c r="AI12" i="14"/>
  <c r="AH12" i="14"/>
  <c r="AG12" i="14"/>
  <c r="AF12" i="14"/>
  <c r="AE12" i="14"/>
  <c r="AD12" i="14"/>
  <c r="Y12" i="14"/>
  <c r="V12" i="14"/>
  <c r="T12" i="14"/>
  <c r="A12" i="14"/>
  <c r="AM11" i="14"/>
  <c r="AL11" i="14"/>
  <c r="AK11" i="14"/>
  <c r="AJ11" i="14"/>
  <c r="AI11" i="14"/>
  <c r="AH11" i="14"/>
  <c r="AG11" i="14"/>
  <c r="AF11" i="14"/>
  <c r="AE11" i="14"/>
  <c r="AD11" i="14"/>
  <c r="Y11" i="14"/>
  <c r="V11" i="14"/>
  <c r="T11" i="14"/>
  <c r="AM10" i="14"/>
  <c r="AL10" i="14"/>
  <c r="AK10" i="14"/>
  <c r="AJ10" i="14"/>
  <c r="AI10" i="14"/>
  <c r="AH10" i="14"/>
  <c r="AG10" i="14"/>
  <c r="AF10" i="14"/>
  <c r="AE10" i="14"/>
  <c r="AD10" i="14"/>
  <c r="Y10" i="14"/>
  <c r="V10" i="14"/>
  <c r="T10" i="14"/>
  <c r="A10" i="14"/>
  <c r="U5" i="14" s="1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T9" i="14"/>
  <c r="AM8" i="14"/>
  <c r="AL8" i="14"/>
  <c r="AK8" i="14"/>
  <c r="AJ8" i="14"/>
  <c r="AI8" i="14"/>
  <c r="AH8" i="14"/>
  <c r="AG8" i="14"/>
  <c r="AF8" i="14"/>
  <c r="AD8" i="14"/>
  <c r="AN8" i="14" s="1"/>
  <c r="Y8" i="14"/>
  <c r="V8" i="14"/>
  <c r="T8" i="14"/>
  <c r="AM7" i="14"/>
  <c r="AL7" i="14"/>
  <c r="AK7" i="14"/>
  <c r="AJ7" i="14"/>
  <c r="AI7" i="14"/>
  <c r="AH7" i="14"/>
  <c r="AG7" i="14"/>
  <c r="AF7" i="14"/>
  <c r="AD7" i="14"/>
  <c r="AN7" i="14" s="1"/>
  <c r="Y7" i="14"/>
  <c r="V7" i="14"/>
  <c r="T7" i="14"/>
  <c r="AM6" i="14"/>
  <c r="AL6" i="14"/>
  <c r="AK6" i="14"/>
  <c r="AJ6" i="14"/>
  <c r="AI6" i="14"/>
  <c r="AH6" i="14"/>
  <c r="AG6" i="14"/>
  <c r="AF6" i="14"/>
  <c r="AD6" i="14"/>
  <c r="AN6" i="14" s="1"/>
  <c r="Y6" i="14"/>
  <c r="V6" i="14"/>
  <c r="T6" i="14"/>
  <c r="A6" i="14"/>
  <c r="AM5" i="14"/>
  <c r="AL5" i="14"/>
  <c r="AK5" i="14"/>
  <c r="AJ5" i="14"/>
  <c r="AI5" i="14"/>
  <c r="AH5" i="14"/>
  <c r="AG5" i="14"/>
  <c r="AF5" i="14"/>
  <c r="AD5" i="14"/>
  <c r="AN5" i="14" s="1"/>
  <c r="Y5" i="14"/>
  <c r="V5" i="14"/>
  <c r="T5" i="14"/>
  <c r="F1" i="14"/>
  <c r="AM24" i="13"/>
  <c r="AK24" i="13"/>
  <c r="AF24" i="13"/>
  <c r="AG24" i="13" s="1"/>
  <c r="Y24" i="13"/>
  <c r="V24" i="13"/>
  <c r="T24" i="13"/>
  <c r="AH24" i="13" s="1"/>
  <c r="AI24" i="13" s="1"/>
  <c r="AM23" i="13"/>
  <c r="AK23" i="13"/>
  <c r="AF23" i="13"/>
  <c r="AG23" i="13" s="1"/>
  <c r="Y23" i="13"/>
  <c r="V23" i="13"/>
  <c r="T23" i="13"/>
  <c r="AH23" i="13" s="1"/>
  <c r="AI23" i="13" s="1"/>
  <c r="AK22" i="13"/>
  <c r="AF22" i="13"/>
  <c r="AG22" i="13" s="1"/>
  <c r="Y22" i="13"/>
  <c r="V22" i="13"/>
  <c r="T22" i="13"/>
  <c r="AM22" i="13" s="1"/>
  <c r="AK21" i="13"/>
  <c r="AF21" i="13"/>
  <c r="AG21" i="13" s="1"/>
  <c r="Y21" i="13"/>
  <c r="V21" i="13"/>
  <c r="T21" i="13"/>
  <c r="AM21" i="13" s="1"/>
  <c r="AK20" i="13"/>
  <c r="AF20" i="13"/>
  <c r="AG20" i="13" s="1"/>
  <c r="Y20" i="13"/>
  <c r="V20" i="13"/>
  <c r="AM20" i="13"/>
  <c r="AM19" i="13"/>
  <c r="AK19" i="13"/>
  <c r="AF19" i="13"/>
  <c r="AG19" i="13" s="1"/>
  <c r="Y19" i="13"/>
  <c r="V19" i="13"/>
  <c r="AH19" i="13"/>
  <c r="AI19" i="13" s="1"/>
  <c r="AM18" i="13"/>
  <c r="AK18" i="13"/>
  <c r="AF18" i="13"/>
  <c r="AG18" i="13" s="1"/>
  <c r="Y18" i="13"/>
  <c r="V18" i="13"/>
  <c r="AD18" i="13"/>
  <c r="AM17" i="13"/>
  <c r="AK17" i="13"/>
  <c r="AG17" i="13"/>
  <c r="AF17" i="13"/>
  <c r="Y17" i="13"/>
  <c r="V17" i="13"/>
  <c r="AE17" i="13"/>
  <c r="AK16" i="13"/>
  <c r="AF16" i="13"/>
  <c r="AG16" i="13" s="1"/>
  <c r="Y16" i="13"/>
  <c r="V16" i="13"/>
  <c r="AE16" i="13"/>
  <c r="AM15" i="13"/>
  <c r="AL15" i="13"/>
  <c r="AK15" i="13"/>
  <c r="AJ15" i="13"/>
  <c r="AI15" i="13"/>
  <c r="AH15" i="13"/>
  <c r="AG15" i="13"/>
  <c r="AF15" i="13"/>
  <c r="AE15" i="13"/>
  <c r="AD15" i="13"/>
  <c r="Y15" i="13"/>
  <c r="V15" i="13"/>
  <c r="T15" i="13"/>
  <c r="AM14" i="13"/>
  <c r="AL14" i="13"/>
  <c r="AK14" i="13"/>
  <c r="AJ14" i="13"/>
  <c r="AI14" i="13"/>
  <c r="AH14" i="13"/>
  <c r="AG14" i="13"/>
  <c r="AF14" i="13"/>
  <c r="AE14" i="13"/>
  <c r="AD14" i="13"/>
  <c r="Y14" i="13"/>
  <c r="V14" i="13"/>
  <c r="T14" i="13"/>
  <c r="AM13" i="13"/>
  <c r="AL13" i="13"/>
  <c r="AK13" i="13"/>
  <c r="AJ13" i="13"/>
  <c r="AI13" i="13"/>
  <c r="AH13" i="13"/>
  <c r="AG13" i="13"/>
  <c r="AF13" i="13"/>
  <c r="AE13" i="13"/>
  <c r="AD13" i="13"/>
  <c r="Y13" i="13"/>
  <c r="V13" i="13"/>
  <c r="T13" i="13"/>
  <c r="AM12" i="13"/>
  <c r="AL12" i="13"/>
  <c r="AK12" i="13"/>
  <c r="AJ12" i="13"/>
  <c r="AI12" i="13"/>
  <c r="AH12" i="13"/>
  <c r="AG12" i="13"/>
  <c r="AF12" i="13"/>
  <c r="AE12" i="13"/>
  <c r="AD12" i="13"/>
  <c r="Y12" i="13"/>
  <c r="V12" i="13"/>
  <c r="T12" i="13"/>
  <c r="A12" i="13"/>
  <c r="AM11" i="13"/>
  <c r="AL11" i="13"/>
  <c r="AK11" i="13"/>
  <c r="AJ11" i="13"/>
  <c r="AI11" i="13"/>
  <c r="AH11" i="13"/>
  <c r="AG11" i="13"/>
  <c r="AF11" i="13"/>
  <c r="AE11" i="13"/>
  <c r="AD11" i="13"/>
  <c r="Y11" i="13"/>
  <c r="V11" i="13"/>
  <c r="T11" i="13"/>
  <c r="AM10" i="13"/>
  <c r="AL10" i="13"/>
  <c r="AK10" i="13"/>
  <c r="AJ10" i="13"/>
  <c r="AI10" i="13"/>
  <c r="AH10" i="13"/>
  <c r="AG10" i="13"/>
  <c r="AF10" i="13"/>
  <c r="AE10" i="13"/>
  <c r="AD10" i="13"/>
  <c r="Y10" i="13"/>
  <c r="V10" i="13"/>
  <c r="T10" i="13"/>
  <c r="A10" i="13"/>
  <c r="W13" i="13" s="1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T9" i="13"/>
  <c r="AM8" i="13"/>
  <c r="AL8" i="13"/>
  <c r="AK8" i="13"/>
  <c r="AJ8" i="13"/>
  <c r="AI8" i="13"/>
  <c r="AH8" i="13"/>
  <c r="AG8" i="13"/>
  <c r="AF8" i="13"/>
  <c r="AD8" i="13"/>
  <c r="AN8" i="13" s="1"/>
  <c r="Y8" i="13"/>
  <c r="V8" i="13"/>
  <c r="T8" i="13"/>
  <c r="AM7" i="13"/>
  <c r="AL7" i="13"/>
  <c r="AK7" i="13"/>
  <c r="AJ7" i="13"/>
  <c r="AI7" i="13"/>
  <c r="AH7" i="13"/>
  <c r="AG7" i="13"/>
  <c r="AF7" i="13"/>
  <c r="AD7" i="13"/>
  <c r="AN7" i="13" s="1"/>
  <c r="Y7" i="13"/>
  <c r="V7" i="13"/>
  <c r="T7" i="13"/>
  <c r="AM6" i="13"/>
  <c r="AL6" i="13"/>
  <c r="AK6" i="13"/>
  <c r="AJ6" i="13"/>
  <c r="AI6" i="13"/>
  <c r="AH6" i="13"/>
  <c r="AG6" i="13"/>
  <c r="AF6" i="13"/>
  <c r="AD6" i="13"/>
  <c r="AN6" i="13" s="1"/>
  <c r="Y6" i="13"/>
  <c r="V6" i="13"/>
  <c r="T6" i="13"/>
  <c r="A6" i="13"/>
  <c r="AM5" i="13"/>
  <c r="AL5" i="13"/>
  <c r="AK5" i="13"/>
  <c r="AJ5" i="13"/>
  <c r="AI5" i="13"/>
  <c r="AH5" i="13"/>
  <c r="AG5" i="13"/>
  <c r="AF5" i="13"/>
  <c r="AD5" i="13"/>
  <c r="AN5" i="13" s="1"/>
  <c r="Y5" i="13"/>
  <c r="V5" i="13"/>
  <c r="T5" i="13"/>
  <c r="F1" i="13"/>
  <c r="AK50" i="12"/>
  <c r="AF50" i="12"/>
  <c r="AG50" i="12" s="1"/>
  <c r="Y50" i="12"/>
  <c r="V50" i="12"/>
  <c r="T50" i="12"/>
  <c r="AD50" i="12" s="1"/>
  <c r="AM49" i="12"/>
  <c r="AK49" i="12"/>
  <c r="AF49" i="12"/>
  <c r="AG49" i="12" s="1"/>
  <c r="Y49" i="12"/>
  <c r="V49" i="12"/>
  <c r="T49" i="12"/>
  <c r="AE49" i="12" s="1"/>
  <c r="AK48" i="12"/>
  <c r="AF48" i="12"/>
  <c r="AG48" i="12" s="1"/>
  <c r="Y48" i="12"/>
  <c r="V48" i="12"/>
  <c r="T48" i="12"/>
  <c r="AE48" i="12" s="1"/>
  <c r="AK47" i="12"/>
  <c r="AF47" i="12"/>
  <c r="AG47" i="12" s="1"/>
  <c r="Y47" i="12"/>
  <c r="V47" i="12"/>
  <c r="T47" i="12"/>
  <c r="AH47" i="12" s="1"/>
  <c r="AI47" i="12" s="1"/>
  <c r="AK46" i="12"/>
  <c r="AF46" i="12"/>
  <c r="AG46" i="12" s="1"/>
  <c r="AD46" i="12"/>
  <c r="Y46" i="12"/>
  <c r="V46" i="12"/>
  <c r="T46" i="12"/>
  <c r="AH46" i="12" s="1"/>
  <c r="AI46" i="12" s="1"/>
  <c r="AM45" i="12"/>
  <c r="AK45" i="12"/>
  <c r="AF45" i="12"/>
  <c r="AG45" i="12" s="1"/>
  <c r="Y45" i="12"/>
  <c r="V45" i="12"/>
  <c r="T45" i="12"/>
  <c r="AH45" i="12" s="1"/>
  <c r="AI45" i="12" s="1"/>
  <c r="AM44" i="12"/>
  <c r="AK44" i="12"/>
  <c r="AF44" i="12"/>
  <c r="AG44" i="12" s="1"/>
  <c r="Y44" i="12"/>
  <c r="V44" i="12"/>
  <c r="T44" i="12"/>
  <c r="AD44" i="12" s="1"/>
  <c r="AM43" i="12"/>
  <c r="AK43" i="12"/>
  <c r="AF43" i="12"/>
  <c r="AG43" i="12" s="1"/>
  <c r="Y43" i="12"/>
  <c r="V43" i="12"/>
  <c r="T43" i="12"/>
  <c r="AH43" i="12" s="1"/>
  <c r="AI43" i="12" s="1"/>
  <c r="AM42" i="12"/>
  <c r="AK42" i="12"/>
  <c r="AF42" i="12"/>
  <c r="AG42" i="12" s="1"/>
  <c r="Y42" i="12"/>
  <c r="V42" i="12"/>
  <c r="T42" i="12"/>
  <c r="AH42" i="12" s="1"/>
  <c r="AI42" i="12" s="1"/>
  <c r="AK41" i="12"/>
  <c r="AF41" i="12"/>
  <c r="AG41" i="12" s="1"/>
  <c r="Y41" i="12"/>
  <c r="V41" i="12"/>
  <c r="T41" i="12"/>
  <c r="AD41" i="12" s="1"/>
  <c r="AK40" i="12"/>
  <c r="AF40" i="12"/>
  <c r="AG40" i="12" s="1"/>
  <c r="Y40" i="12"/>
  <c r="V40" i="12"/>
  <c r="T40" i="12"/>
  <c r="AE40" i="12" s="1"/>
  <c r="AK39" i="12"/>
  <c r="AH39" i="12"/>
  <c r="AI39" i="12" s="1"/>
  <c r="AF39" i="12"/>
  <c r="AG39" i="12" s="1"/>
  <c r="Y39" i="12"/>
  <c r="V39" i="12"/>
  <c r="T39" i="12"/>
  <c r="AE39" i="12" s="1"/>
  <c r="AK38" i="12"/>
  <c r="AF38" i="12"/>
  <c r="AG38" i="12" s="1"/>
  <c r="Y38" i="12"/>
  <c r="V38" i="12"/>
  <c r="T38" i="12"/>
  <c r="AH38" i="12" s="1"/>
  <c r="AI38" i="12" s="1"/>
  <c r="AK37" i="12"/>
  <c r="AF37" i="12"/>
  <c r="AG37" i="12" s="1"/>
  <c r="AE37" i="12"/>
  <c r="Y37" i="12"/>
  <c r="V37" i="12"/>
  <c r="T37" i="12"/>
  <c r="AD37" i="12" s="1"/>
  <c r="AK36" i="12"/>
  <c r="AF36" i="12"/>
  <c r="AG36" i="12" s="1"/>
  <c r="Y36" i="12"/>
  <c r="V36" i="12"/>
  <c r="T36" i="12"/>
  <c r="AH36" i="12" s="1"/>
  <c r="AI36" i="12" s="1"/>
  <c r="AK35" i="12"/>
  <c r="AF35" i="12"/>
  <c r="AG35" i="12" s="1"/>
  <c r="Y35" i="12"/>
  <c r="V35" i="12"/>
  <c r="T35" i="12"/>
  <c r="AM35" i="12" s="1"/>
  <c r="AK34" i="12"/>
  <c r="AF34" i="12"/>
  <c r="AG34" i="12" s="1"/>
  <c r="Y34" i="12"/>
  <c r="V34" i="12"/>
  <c r="T34" i="12"/>
  <c r="AM34" i="12" s="1"/>
  <c r="AK33" i="12"/>
  <c r="AF33" i="12"/>
  <c r="AG33" i="12" s="1"/>
  <c r="Y33" i="12"/>
  <c r="V33" i="12"/>
  <c r="T33" i="12"/>
  <c r="AM33" i="12" s="1"/>
  <c r="AK32" i="12"/>
  <c r="AF32" i="12"/>
  <c r="AG32" i="12" s="1"/>
  <c r="Y32" i="12"/>
  <c r="V32" i="12"/>
  <c r="T32" i="12"/>
  <c r="AE32" i="12" s="1"/>
  <c r="AK31" i="12"/>
  <c r="AF31" i="12"/>
  <c r="AG31" i="12" s="1"/>
  <c r="Y31" i="12"/>
  <c r="V31" i="12"/>
  <c r="T31" i="12"/>
  <c r="AD31" i="12" s="1"/>
  <c r="AK30" i="12"/>
  <c r="AF30" i="12"/>
  <c r="AG30" i="12" s="1"/>
  <c r="Y30" i="12"/>
  <c r="V30" i="12"/>
  <c r="T30" i="12"/>
  <c r="AE30" i="12" s="1"/>
  <c r="AK29" i="12"/>
  <c r="AF29" i="12"/>
  <c r="AG29" i="12" s="1"/>
  <c r="Y29" i="12"/>
  <c r="V29" i="12"/>
  <c r="T29" i="12"/>
  <c r="AH29" i="12" s="1"/>
  <c r="AI29" i="12" s="1"/>
  <c r="AM28" i="12"/>
  <c r="AL28" i="12"/>
  <c r="AK28" i="12"/>
  <c r="AJ28" i="12"/>
  <c r="AI28" i="12"/>
  <c r="AH28" i="12"/>
  <c r="AG28" i="12"/>
  <c r="AF28" i="12"/>
  <c r="AE28" i="12"/>
  <c r="AD28" i="12"/>
  <c r="AN28" i="12" s="1"/>
  <c r="Y28" i="12"/>
  <c r="V28" i="12"/>
  <c r="T28" i="12"/>
  <c r="AM27" i="12"/>
  <c r="AL27" i="12"/>
  <c r="AK27" i="12"/>
  <c r="AJ27" i="12"/>
  <c r="AI27" i="12"/>
  <c r="AH27" i="12"/>
  <c r="AG27" i="12"/>
  <c r="AF27" i="12"/>
  <c r="AE27" i="12"/>
  <c r="AD27" i="12"/>
  <c r="Y27" i="12"/>
  <c r="V27" i="12"/>
  <c r="T27" i="12"/>
  <c r="AM26" i="12"/>
  <c r="AL26" i="12"/>
  <c r="AK26" i="12"/>
  <c r="AJ26" i="12"/>
  <c r="AI26" i="12"/>
  <c r="AH26" i="12"/>
  <c r="AG26" i="12"/>
  <c r="AF26" i="12"/>
  <c r="AE26" i="12"/>
  <c r="AD26" i="12"/>
  <c r="Y26" i="12"/>
  <c r="V26" i="12"/>
  <c r="T26" i="12"/>
  <c r="AM25" i="12"/>
  <c r="AL25" i="12"/>
  <c r="AK25" i="12"/>
  <c r="AJ25" i="12"/>
  <c r="AI25" i="12"/>
  <c r="AH25" i="12"/>
  <c r="AG25" i="12"/>
  <c r="AF25" i="12"/>
  <c r="AE25" i="12"/>
  <c r="AD25" i="12"/>
  <c r="Y25" i="12"/>
  <c r="V25" i="12"/>
  <c r="T25" i="12"/>
  <c r="AM24" i="12"/>
  <c r="AL24" i="12"/>
  <c r="AK24" i="12"/>
  <c r="AJ24" i="12"/>
  <c r="AI24" i="12"/>
  <c r="AH24" i="12"/>
  <c r="AG24" i="12"/>
  <c r="AF24" i="12"/>
  <c r="AE24" i="12"/>
  <c r="AD24" i="12"/>
  <c r="Y24" i="12"/>
  <c r="V24" i="12"/>
  <c r="T24" i="12"/>
  <c r="AM23" i="12"/>
  <c r="AL23" i="12"/>
  <c r="AK23" i="12"/>
  <c r="AJ23" i="12"/>
  <c r="AI23" i="12"/>
  <c r="AH23" i="12"/>
  <c r="AG23" i="12"/>
  <c r="AF23" i="12"/>
  <c r="AE23" i="12"/>
  <c r="AD23" i="12"/>
  <c r="Y23" i="12"/>
  <c r="V23" i="12"/>
  <c r="T23" i="12"/>
  <c r="AM22" i="12"/>
  <c r="AL22" i="12"/>
  <c r="AK22" i="12"/>
  <c r="AJ22" i="12"/>
  <c r="AI22" i="12"/>
  <c r="AH22" i="12"/>
  <c r="AG22" i="12"/>
  <c r="AF22" i="12"/>
  <c r="AE22" i="12"/>
  <c r="AD22" i="12"/>
  <c r="Y22" i="12"/>
  <c r="V22" i="12"/>
  <c r="T22" i="12"/>
  <c r="AM21" i="12"/>
  <c r="AL21" i="12"/>
  <c r="AK21" i="12"/>
  <c r="AJ21" i="12"/>
  <c r="AI21" i="12"/>
  <c r="AH21" i="12"/>
  <c r="AG21" i="12"/>
  <c r="AF21" i="12"/>
  <c r="AE21" i="12"/>
  <c r="AD21" i="12"/>
  <c r="Y21" i="12"/>
  <c r="V21" i="12"/>
  <c r="T21" i="12"/>
  <c r="AM20" i="12"/>
  <c r="AL20" i="12"/>
  <c r="AK20" i="12"/>
  <c r="AJ20" i="12"/>
  <c r="AI20" i="12"/>
  <c r="AH20" i="12"/>
  <c r="AG20" i="12"/>
  <c r="AF20" i="12"/>
  <c r="AE20" i="12"/>
  <c r="AD20" i="12"/>
  <c r="Y20" i="12"/>
  <c r="V20" i="12"/>
  <c r="T20" i="12"/>
  <c r="AM19" i="12"/>
  <c r="AL19" i="12"/>
  <c r="AK19" i="12"/>
  <c r="AJ19" i="12"/>
  <c r="AI19" i="12"/>
  <c r="AH19" i="12"/>
  <c r="AG19" i="12"/>
  <c r="AF19" i="12"/>
  <c r="AE19" i="12"/>
  <c r="AD19" i="12"/>
  <c r="Y19" i="12"/>
  <c r="V19" i="12"/>
  <c r="T19" i="12"/>
  <c r="AM18" i="12"/>
  <c r="AL18" i="12"/>
  <c r="AK18" i="12"/>
  <c r="AJ18" i="12"/>
  <c r="AI18" i="12"/>
  <c r="AH18" i="12"/>
  <c r="AG18" i="12"/>
  <c r="AF18" i="12"/>
  <c r="AE18" i="12"/>
  <c r="AD18" i="12"/>
  <c r="Y18" i="12"/>
  <c r="V18" i="12"/>
  <c r="T18" i="12"/>
  <c r="AM17" i="12"/>
  <c r="AL17" i="12"/>
  <c r="AK17" i="12"/>
  <c r="AJ17" i="12"/>
  <c r="AI17" i="12"/>
  <c r="AH17" i="12"/>
  <c r="AG17" i="12"/>
  <c r="AF17" i="12"/>
  <c r="AE17" i="12"/>
  <c r="AD17" i="12"/>
  <c r="Y17" i="12"/>
  <c r="V17" i="12"/>
  <c r="T17" i="12"/>
  <c r="AM16" i="12"/>
  <c r="AL16" i="12"/>
  <c r="AK16" i="12"/>
  <c r="AJ16" i="12"/>
  <c r="AI16" i="12"/>
  <c r="AH16" i="12"/>
  <c r="AG16" i="12"/>
  <c r="AF16" i="12"/>
  <c r="AE16" i="12"/>
  <c r="AD16" i="12"/>
  <c r="Y16" i="12"/>
  <c r="V16" i="12"/>
  <c r="T16" i="12"/>
  <c r="AM15" i="12"/>
  <c r="AL15" i="12"/>
  <c r="AK15" i="12"/>
  <c r="AJ15" i="12"/>
  <c r="AI15" i="12"/>
  <c r="AH15" i="12"/>
  <c r="AG15" i="12"/>
  <c r="AF15" i="12"/>
  <c r="AE15" i="12"/>
  <c r="AD15" i="12"/>
  <c r="Y15" i="12"/>
  <c r="V15" i="12"/>
  <c r="T15" i="12"/>
  <c r="AM14" i="12"/>
  <c r="AL14" i="12"/>
  <c r="AK14" i="12"/>
  <c r="AJ14" i="12"/>
  <c r="AI14" i="12"/>
  <c r="AH14" i="12"/>
  <c r="AG14" i="12"/>
  <c r="AF14" i="12"/>
  <c r="AE14" i="12"/>
  <c r="AD14" i="12"/>
  <c r="Y14" i="12"/>
  <c r="V14" i="12"/>
  <c r="T14" i="12"/>
  <c r="AM13" i="12"/>
  <c r="AL13" i="12"/>
  <c r="AK13" i="12"/>
  <c r="AJ13" i="12"/>
  <c r="AI13" i="12"/>
  <c r="AH13" i="12"/>
  <c r="AG13" i="12"/>
  <c r="AF13" i="12"/>
  <c r="AE13" i="12"/>
  <c r="AD13" i="12"/>
  <c r="Y13" i="12"/>
  <c r="V13" i="12"/>
  <c r="T13" i="12"/>
  <c r="AM12" i="12"/>
  <c r="AL12" i="12"/>
  <c r="AK12" i="12"/>
  <c r="AJ12" i="12"/>
  <c r="AI12" i="12"/>
  <c r="AH12" i="12"/>
  <c r="AG12" i="12"/>
  <c r="AF12" i="12"/>
  <c r="AE12" i="12"/>
  <c r="AD12" i="12"/>
  <c r="AN12" i="12" s="1"/>
  <c r="Y12" i="12"/>
  <c r="V12" i="12"/>
  <c r="T12" i="12"/>
  <c r="A12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T11" i="12"/>
  <c r="AM10" i="12"/>
  <c r="AL10" i="12"/>
  <c r="AK10" i="12"/>
  <c r="AJ10" i="12"/>
  <c r="AI10" i="12"/>
  <c r="AH10" i="12"/>
  <c r="AG10" i="12"/>
  <c r="AF10" i="12"/>
  <c r="AE10" i="12"/>
  <c r="AD10" i="12"/>
  <c r="Y10" i="12"/>
  <c r="V10" i="12"/>
  <c r="T10" i="12"/>
  <c r="A10" i="12"/>
  <c r="AM9" i="12"/>
  <c r="AL9" i="12"/>
  <c r="AK9" i="12"/>
  <c r="AJ9" i="12"/>
  <c r="AI9" i="12"/>
  <c r="AH9" i="12"/>
  <c r="AG9" i="12"/>
  <c r="AF9" i="12"/>
  <c r="AE9" i="12"/>
  <c r="AD9" i="12"/>
  <c r="AN9" i="12" s="1"/>
  <c r="Y9" i="12"/>
  <c r="W9" i="12"/>
  <c r="V9" i="12"/>
  <c r="T9" i="12"/>
  <c r="AM8" i="12"/>
  <c r="AL8" i="12"/>
  <c r="AK8" i="12"/>
  <c r="AJ8" i="12"/>
  <c r="AI8" i="12"/>
  <c r="AH8" i="12"/>
  <c r="AG8" i="12"/>
  <c r="AF8" i="12"/>
  <c r="AD8" i="12"/>
  <c r="AN8" i="12" s="1"/>
  <c r="Y8" i="12"/>
  <c r="V8" i="12"/>
  <c r="T8" i="12"/>
  <c r="AM7" i="12"/>
  <c r="AL7" i="12"/>
  <c r="AK7" i="12"/>
  <c r="AJ7" i="12"/>
  <c r="AI7" i="12"/>
  <c r="AH7" i="12"/>
  <c r="AG7" i="12"/>
  <c r="AF7" i="12"/>
  <c r="AD7" i="12"/>
  <c r="AN7" i="12" s="1"/>
  <c r="Y7" i="12"/>
  <c r="V7" i="12"/>
  <c r="T7" i="12"/>
  <c r="AM6" i="12"/>
  <c r="AL6" i="12"/>
  <c r="AK6" i="12"/>
  <c r="AJ6" i="12"/>
  <c r="AI6" i="12"/>
  <c r="AH6" i="12"/>
  <c r="AG6" i="12"/>
  <c r="AF6" i="12"/>
  <c r="AD6" i="12"/>
  <c r="AN6" i="12" s="1"/>
  <c r="Y6" i="12"/>
  <c r="V6" i="12"/>
  <c r="T6" i="12"/>
  <c r="A6" i="12"/>
  <c r="AM5" i="12"/>
  <c r="AL5" i="12"/>
  <c r="AK5" i="12"/>
  <c r="AJ5" i="12"/>
  <c r="AI5" i="12"/>
  <c r="AH5" i="12"/>
  <c r="AG5" i="12"/>
  <c r="AF5" i="12"/>
  <c r="AD5" i="12"/>
  <c r="AN5" i="12" s="1"/>
  <c r="Y5" i="12"/>
  <c r="V5" i="12"/>
  <c r="T5" i="12"/>
  <c r="F1" i="12"/>
  <c r="AM24" i="6"/>
  <c r="AK24" i="6"/>
  <c r="AF24" i="6"/>
  <c r="AG24" i="6" s="1"/>
  <c r="Y24" i="6"/>
  <c r="V24" i="6"/>
  <c r="T24" i="6"/>
  <c r="AD24" i="6" s="1"/>
  <c r="AK23" i="6"/>
  <c r="AF23" i="6"/>
  <c r="AG23" i="6" s="1"/>
  <c r="Y23" i="6"/>
  <c r="V23" i="6"/>
  <c r="T23" i="6"/>
  <c r="AE23" i="6" s="1"/>
  <c r="AM22" i="6"/>
  <c r="AK22" i="6"/>
  <c r="AF22" i="6"/>
  <c r="AG22" i="6" s="1"/>
  <c r="Y22" i="6"/>
  <c r="V22" i="6"/>
  <c r="T22" i="6"/>
  <c r="AE22" i="6" s="1"/>
  <c r="AM21" i="6"/>
  <c r="AK21" i="6"/>
  <c r="AH21" i="6"/>
  <c r="AI21" i="6" s="1"/>
  <c r="AF21" i="6"/>
  <c r="AG21" i="6" s="1"/>
  <c r="Y21" i="6"/>
  <c r="V21" i="6"/>
  <c r="T21" i="6"/>
  <c r="AE21" i="6" s="1"/>
  <c r="AK20" i="6"/>
  <c r="AF20" i="6"/>
  <c r="AG20" i="6" s="1"/>
  <c r="Y20" i="6"/>
  <c r="V20" i="6"/>
  <c r="T20" i="6"/>
  <c r="AH20" i="6" s="1"/>
  <c r="AI20" i="6" s="1"/>
  <c r="AK19" i="6"/>
  <c r="AF19" i="6"/>
  <c r="AG19" i="6" s="1"/>
  <c r="Y19" i="6"/>
  <c r="V19" i="6"/>
  <c r="T19" i="6"/>
  <c r="AH19" i="6" s="1"/>
  <c r="AI19" i="6" s="1"/>
  <c r="AM18" i="6"/>
  <c r="AK18" i="6"/>
  <c r="AF18" i="6"/>
  <c r="AG18" i="6" s="1"/>
  <c r="Y18" i="6"/>
  <c r="V18" i="6"/>
  <c r="T18" i="6"/>
  <c r="AH18" i="6" s="1"/>
  <c r="AI18" i="6" s="1"/>
  <c r="AK17" i="6"/>
  <c r="AF17" i="6"/>
  <c r="AG17" i="6" s="1"/>
  <c r="Y17" i="6"/>
  <c r="V17" i="6"/>
  <c r="T17" i="6"/>
  <c r="AH17" i="6" s="1"/>
  <c r="AI17" i="6" s="1"/>
  <c r="AK16" i="6"/>
  <c r="AH16" i="6"/>
  <c r="AI16" i="6" s="1"/>
  <c r="AF16" i="6"/>
  <c r="AG16" i="6" s="1"/>
  <c r="Y16" i="6"/>
  <c r="V16" i="6"/>
  <c r="T16" i="6"/>
  <c r="AM16" i="6" s="1"/>
  <c r="AK15" i="6"/>
  <c r="AH15" i="6"/>
  <c r="AI15" i="6" s="1"/>
  <c r="AF15" i="6"/>
  <c r="AG15" i="6" s="1"/>
  <c r="Y15" i="6"/>
  <c r="V15" i="6"/>
  <c r="T15" i="6"/>
  <c r="AM15" i="6" s="1"/>
  <c r="AK14" i="6"/>
  <c r="AF14" i="6"/>
  <c r="AG14" i="6" s="1"/>
  <c r="Y14" i="6"/>
  <c r="V14" i="6"/>
  <c r="T14" i="6"/>
  <c r="AM14" i="6" s="1"/>
  <c r="AM13" i="6"/>
  <c r="AK13" i="6"/>
  <c r="AF13" i="6"/>
  <c r="AG13" i="6" s="1"/>
  <c r="Y13" i="6"/>
  <c r="V13" i="6"/>
  <c r="T13" i="6"/>
  <c r="AE13" i="6" s="1"/>
  <c r="AM12" i="6"/>
  <c r="AL12" i="6"/>
  <c r="AK12" i="6"/>
  <c r="AJ12" i="6"/>
  <c r="AI12" i="6"/>
  <c r="AH12" i="6"/>
  <c r="AG12" i="6"/>
  <c r="AF12" i="6"/>
  <c r="AE12" i="6"/>
  <c r="AD12" i="6"/>
  <c r="Y12" i="6"/>
  <c r="V12" i="6"/>
  <c r="T12" i="6"/>
  <c r="A12" i="6"/>
  <c r="AM11" i="6"/>
  <c r="AL11" i="6"/>
  <c r="AK11" i="6"/>
  <c r="AJ11" i="6"/>
  <c r="AI11" i="6"/>
  <c r="AH11" i="6"/>
  <c r="AG11" i="6"/>
  <c r="AF11" i="6"/>
  <c r="AE11" i="6"/>
  <c r="AD11" i="6"/>
  <c r="Y11" i="6"/>
  <c r="V11" i="6"/>
  <c r="T11" i="6"/>
  <c r="AM10" i="6"/>
  <c r="AL10" i="6"/>
  <c r="AK10" i="6"/>
  <c r="AJ10" i="6"/>
  <c r="AI10" i="6"/>
  <c r="AH10" i="6"/>
  <c r="AG10" i="6"/>
  <c r="AF10" i="6"/>
  <c r="AE10" i="6"/>
  <c r="AD10" i="6"/>
  <c r="Y10" i="6"/>
  <c r="V10" i="6"/>
  <c r="T10" i="6"/>
  <c r="A10" i="6"/>
  <c r="U5" i="6" s="1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T9" i="6"/>
  <c r="AM8" i="6"/>
  <c r="AL8" i="6"/>
  <c r="AK8" i="6"/>
  <c r="AJ8" i="6"/>
  <c r="AI8" i="6"/>
  <c r="AH8" i="6"/>
  <c r="AG8" i="6"/>
  <c r="AF8" i="6"/>
  <c r="AD8" i="6"/>
  <c r="AN8" i="6" s="1"/>
  <c r="Y8" i="6"/>
  <c r="V8" i="6"/>
  <c r="T8" i="6"/>
  <c r="AM7" i="6"/>
  <c r="AL7" i="6"/>
  <c r="AK7" i="6"/>
  <c r="AJ7" i="6"/>
  <c r="AI7" i="6"/>
  <c r="AH7" i="6"/>
  <c r="AG7" i="6"/>
  <c r="AF7" i="6"/>
  <c r="AD7" i="6"/>
  <c r="AN7" i="6" s="1"/>
  <c r="Y7" i="6"/>
  <c r="V7" i="6"/>
  <c r="T7" i="6"/>
  <c r="AN6" i="6"/>
  <c r="AM6" i="6"/>
  <c r="AL6" i="6"/>
  <c r="AK6" i="6"/>
  <c r="AJ6" i="6"/>
  <c r="AI6" i="6"/>
  <c r="AH6" i="6"/>
  <c r="AG6" i="6"/>
  <c r="AF6" i="6"/>
  <c r="AD6" i="6"/>
  <c r="Y6" i="6"/>
  <c r="V6" i="6"/>
  <c r="T6" i="6"/>
  <c r="A6" i="6"/>
  <c r="AM5" i="6"/>
  <c r="AL5" i="6"/>
  <c r="AK5" i="6"/>
  <c r="AJ5" i="6"/>
  <c r="AI5" i="6"/>
  <c r="AH5" i="6"/>
  <c r="AG5" i="6"/>
  <c r="AF5" i="6"/>
  <c r="AD5" i="6"/>
  <c r="AN5" i="6" s="1"/>
  <c r="Y5" i="6"/>
  <c r="V5" i="6"/>
  <c r="T5" i="6"/>
  <c r="F1" i="6"/>
  <c r="AK52" i="5"/>
  <c r="AF52" i="5"/>
  <c r="AG52" i="5" s="1"/>
  <c r="Y52" i="5"/>
  <c r="V52" i="5"/>
  <c r="T52" i="5"/>
  <c r="AH52" i="5" s="1"/>
  <c r="AI52" i="5" s="1"/>
  <c r="AK51" i="5"/>
  <c r="AF51" i="5"/>
  <c r="AG51" i="5" s="1"/>
  <c r="Y51" i="5"/>
  <c r="V51" i="5"/>
  <c r="T51" i="5"/>
  <c r="AH51" i="5" s="1"/>
  <c r="AI51" i="5" s="1"/>
  <c r="AK50" i="5"/>
  <c r="AF50" i="5"/>
  <c r="AG50" i="5" s="1"/>
  <c r="Y50" i="5"/>
  <c r="V50" i="5"/>
  <c r="T50" i="5"/>
  <c r="AH50" i="5" s="1"/>
  <c r="AI50" i="5" s="1"/>
  <c r="AM49" i="5"/>
  <c r="AK49" i="5"/>
  <c r="AF49" i="5"/>
  <c r="AG49" i="5" s="1"/>
  <c r="Y49" i="5"/>
  <c r="V49" i="5"/>
  <c r="T49" i="5"/>
  <c r="AH49" i="5" s="1"/>
  <c r="AI49" i="5" s="1"/>
  <c r="AK48" i="5"/>
  <c r="AF48" i="5"/>
  <c r="AG48" i="5" s="1"/>
  <c r="Y48" i="5"/>
  <c r="V48" i="5"/>
  <c r="T48" i="5"/>
  <c r="AM48" i="5" s="1"/>
  <c r="AK47" i="5"/>
  <c r="AF47" i="5"/>
  <c r="AG47" i="5" s="1"/>
  <c r="AD47" i="5"/>
  <c r="Y47" i="5"/>
  <c r="V47" i="5"/>
  <c r="T47" i="5"/>
  <c r="AM47" i="5" s="1"/>
  <c r="AK46" i="5"/>
  <c r="AF46" i="5"/>
  <c r="AG46" i="5" s="1"/>
  <c r="Y46" i="5"/>
  <c r="V46" i="5"/>
  <c r="T46" i="5"/>
  <c r="AM46" i="5" s="1"/>
  <c r="AK45" i="5"/>
  <c r="AF45" i="5"/>
  <c r="AG45" i="5" s="1"/>
  <c r="Y45" i="5"/>
  <c r="V45" i="5"/>
  <c r="T45" i="5"/>
  <c r="AD45" i="5" s="1"/>
  <c r="AK44" i="5"/>
  <c r="AF44" i="5"/>
  <c r="AG44" i="5" s="1"/>
  <c r="Y44" i="5"/>
  <c r="V44" i="5"/>
  <c r="T44" i="5"/>
  <c r="AM44" i="5" s="1"/>
  <c r="AK43" i="5"/>
  <c r="AF43" i="5"/>
  <c r="AG43" i="5" s="1"/>
  <c r="AE43" i="5"/>
  <c r="Y43" i="5"/>
  <c r="V43" i="5"/>
  <c r="T43" i="5"/>
  <c r="AD43" i="5" s="1"/>
  <c r="AK42" i="5"/>
  <c r="AF42" i="5"/>
  <c r="AG42" i="5" s="1"/>
  <c r="Y42" i="5"/>
  <c r="V42" i="5"/>
  <c r="T42" i="5"/>
  <c r="AM42" i="5" s="1"/>
  <c r="AK41" i="5"/>
  <c r="AF41" i="5"/>
  <c r="AG41" i="5" s="1"/>
  <c r="Y41" i="5"/>
  <c r="V41" i="5"/>
  <c r="T41" i="5"/>
  <c r="AD41" i="5" s="1"/>
  <c r="AK40" i="5"/>
  <c r="AF40" i="5"/>
  <c r="AG40" i="5" s="1"/>
  <c r="AJ40" i="5" s="1"/>
  <c r="Y40" i="5"/>
  <c r="V40" i="5"/>
  <c r="T40" i="5"/>
  <c r="AH40" i="5" s="1"/>
  <c r="AI40" i="5" s="1"/>
  <c r="AK39" i="5"/>
  <c r="AF39" i="5"/>
  <c r="AG39" i="5" s="1"/>
  <c r="Y39" i="5"/>
  <c r="V39" i="5"/>
  <c r="T39" i="5"/>
  <c r="AH39" i="5" s="1"/>
  <c r="AI39" i="5" s="1"/>
  <c r="AK38" i="5"/>
  <c r="AF38" i="5"/>
  <c r="AG38" i="5" s="1"/>
  <c r="Y38" i="5"/>
  <c r="V38" i="5"/>
  <c r="T38" i="5"/>
  <c r="AM38" i="5" s="1"/>
  <c r="AK37" i="5"/>
  <c r="AF37" i="5"/>
  <c r="AG37" i="5" s="1"/>
  <c r="Y37" i="5"/>
  <c r="V37" i="5"/>
  <c r="T37" i="5"/>
  <c r="AM37" i="5" s="1"/>
  <c r="AM36" i="5"/>
  <c r="AK36" i="5"/>
  <c r="AF36" i="5"/>
  <c r="AG36" i="5" s="1"/>
  <c r="Y36" i="5"/>
  <c r="V36" i="5"/>
  <c r="T36" i="5"/>
  <c r="AH36" i="5" s="1"/>
  <c r="AI36" i="5" s="1"/>
  <c r="AK35" i="5"/>
  <c r="AH35" i="5"/>
  <c r="AI35" i="5" s="1"/>
  <c r="AF35" i="5"/>
  <c r="AG35" i="5" s="1"/>
  <c r="Y35" i="5"/>
  <c r="V35" i="5"/>
  <c r="T35" i="5"/>
  <c r="AD35" i="5" s="1"/>
  <c r="AK34" i="5"/>
  <c r="AF34" i="5"/>
  <c r="AG34" i="5" s="1"/>
  <c r="Y34" i="5"/>
  <c r="V34" i="5"/>
  <c r="T34" i="5"/>
  <c r="AE34" i="5" s="1"/>
  <c r="AM33" i="5"/>
  <c r="AL33" i="5"/>
  <c r="AK33" i="5"/>
  <c r="AJ33" i="5"/>
  <c r="AI33" i="5"/>
  <c r="AH33" i="5"/>
  <c r="AG33" i="5"/>
  <c r="AF33" i="5"/>
  <c r="AE33" i="5"/>
  <c r="AD33" i="5"/>
  <c r="Y33" i="5"/>
  <c r="V33" i="5"/>
  <c r="T33" i="5"/>
  <c r="AM32" i="5"/>
  <c r="AL32" i="5"/>
  <c r="AK32" i="5"/>
  <c r="AJ32" i="5"/>
  <c r="AI32" i="5"/>
  <c r="AH32" i="5"/>
  <c r="AG32" i="5"/>
  <c r="AF32" i="5"/>
  <c r="AE32" i="5"/>
  <c r="AD32" i="5"/>
  <c r="Y32" i="5"/>
  <c r="V32" i="5"/>
  <c r="T32" i="5"/>
  <c r="AM31" i="5"/>
  <c r="AL31" i="5"/>
  <c r="AK31" i="5"/>
  <c r="AJ31" i="5"/>
  <c r="AI31" i="5"/>
  <c r="AH31" i="5"/>
  <c r="AG31" i="5"/>
  <c r="AF31" i="5"/>
  <c r="AE31" i="5"/>
  <c r="AD31" i="5"/>
  <c r="Y31" i="5"/>
  <c r="V31" i="5"/>
  <c r="T31" i="5"/>
  <c r="AM30" i="5"/>
  <c r="AL30" i="5"/>
  <c r="AK30" i="5"/>
  <c r="AJ30" i="5"/>
  <c r="AI30" i="5"/>
  <c r="AH30" i="5"/>
  <c r="AG30" i="5"/>
  <c r="AF30" i="5"/>
  <c r="AE30" i="5"/>
  <c r="AD30" i="5"/>
  <c r="Y30" i="5"/>
  <c r="V30" i="5"/>
  <c r="T30" i="5"/>
  <c r="AM29" i="5"/>
  <c r="AL29" i="5"/>
  <c r="AK29" i="5"/>
  <c r="AJ29" i="5"/>
  <c r="AI29" i="5"/>
  <c r="AH29" i="5"/>
  <c r="AG29" i="5"/>
  <c r="AF29" i="5"/>
  <c r="AE29" i="5"/>
  <c r="AD29" i="5"/>
  <c r="Y29" i="5"/>
  <c r="V29" i="5"/>
  <c r="T29" i="5"/>
  <c r="AM28" i="5"/>
  <c r="AL28" i="5"/>
  <c r="AK28" i="5"/>
  <c r="AJ28" i="5"/>
  <c r="AI28" i="5"/>
  <c r="AH28" i="5"/>
  <c r="AG28" i="5"/>
  <c r="AF28" i="5"/>
  <c r="AE28" i="5"/>
  <c r="AD28" i="5"/>
  <c r="Y28" i="5"/>
  <c r="V28" i="5"/>
  <c r="T28" i="5"/>
  <c r="AM27" i="5"/>
  <c r="AL27" i="5"/>
  <c r="AK27" i="5"/>
  <c r="AJ27" i="5"/>
  <c r="AI27" i="5"/>
  <c r="AH27" i="5"/>
  <c r="AG27" i="5"/>
  <c r="AF27" i="5"/>
  <c r="AE27" i="5"/>
  <c r="AD27" i="5"/>
  <c r="Y27" i="5"/>
  <c r="V27" i="5"/>
  <c r="T27" i="5"/>
  <c r="AM26" i="5"/>
  <c r="AL26" i="5"/>
  <c r="AK26" i="5"/>
  <c r="AJ26" i="5"/>
  <c r="AI26" i="5"/>
  <c r="AH26" i="5"/>
  <c r="AG26" i="5"/>
  <c r="AF26" i="5"/>
  <c r="AE26" i="5"/>
  <c r="AD26" i="5"/>
  <c r="Y26" i="5"/>
  <c r="V26" i="5"/>
  <c r="T26" i="5"/>
  <c r="AM25" i="5"/>
  <c r="AL25" i="5"/>
  <c r="AK25" i="5"/>
  <c r="AJ25" i="5"/>
  <c r="AI25" i="5"/>
  <c r="AH25" i="5"/>
  <c r="AG25" i="5"/>
  <c r="AF25" i="5"/>
  <c r="AE25" i="5"/>
  <c r="AD25" i="5"/>
  <c r="Y25" i="5"/>
  <c r="V25" i="5"/>
  <c r="T25" i="5"/>
  <c r="AM24" i="5"/>
  <c r="AL24" i="5"/>
  <c r="AK24" i="5"/>
  <c r="AJ24" i="5"/>
  <c r="AI24" i="5"/>
  <c r="AH24" i="5"/>
  <c r="AG24" i="5"/>
  <c r="AF24" i="5"/>
  <c r="AE24" i="5"/>
  <c r="AD24" i="5"/>
  <c r="Y24" i="5"/>
  <c r="V24" i="5"/>
  <c r="T24" i="5"/>
  <c r="AM23" i="5"/>
  <c r="AL23" i="5"/>
  <c r="AK23" i="5"/>
  <c r="AJ23" i="5"/>
  <c r="AI23" i="5"/>
  <c r="AH23" i="5"/>
  <c r="AG23" i="5"/>
  <c r="AF23" i="5"/>
  <c r="AE23" i="5"/>
  <c r="AD23" i="5"/>
  <c r="Y23" i="5"/>
  <c r="V23" i="5"/>
  <c r="T23" i="5"/>
  <c r="AM22" i="5"/>
  <c r="AL22" i="5"/>
  <c r="AK22" i="5"/>
  <c r="AJ22" i="5"/>
  <c r="AI22" i="5"/>
  <c r="AH22" i="5"/>
  <c r="AG22" i="5"/>
  <c r="AF22" i="5"/>
  <c r="AE22" i="5"/>
  <c r="AD22" i="5"/>
  <c r="Y22" i="5"/>
  <c r="V22" i="5"/>
  <c r="T22" i="5"/>
  <c r="AM21" i="5"/>
  <c r="AL21" i="5"/>
  <c r="AK21" i="5"/>
  <c r="AJ21" i="5"/>
  <c r="AI21" i="5"/>
  <c r="AH21" i="5"/>
  <c r="AG21" i="5"/>
  <c r="AF21" i="5"/>
  <c r="AE21" i="5"/>
  <c r="AD21" i="5"/>
  <c r="Y21" i="5"/>
  <c r="V21" i="5"/>
  <c r="T21" i="5"/>
  <c r="AM20" i="5"/>
  <c r="AL20" i="5"/>
  <c r="AK20" i="5"/>
  <c r="AJ20" i="5"/>
  <c r="AI20" i="5"/>
  <c r="AH20" i="5"/>
  <c r="AG20" i="5"/>
  <c r="AF20" i="5"/>
  <c r="AE20" i="5"/>
  <c r="AD20" i="5"/>
  <c r="Y20" i="5"/>
  <c r="V20" i="5"/>
  <c r="T20" i="5"/>
  <c r="AM19" i="5"/>
  <c r="AL19" i="5"/>
  <c r="AK19" i="5"/>
  <c r="AJ19" i="5"/>
  <c r="AI19" i="5"/>
  <c r="AH19" i="5"/>
  <c r="AG19" i="5"/>
  <c r="AF19" i="5"/>
  <c r="AE19" i="5"/>
  <c r="AD19" i="5"/>
  <c r="AN19" i="5" s="1"/>
  <c r="Y19" i="5"/>
  <c r="V19" i="5"/>
  <c r="T19" i="5"/>
  <c r="AM18" i="5"/>
  <c r="AL18" i="5"/>
  <c r="AK18" i="5"/>
  <c r="AJ18" i="5"/>
  <c r="AI18" i="5"/>
  <c r="AH18" i="5"/>
  <c r="AG18" i="5"/>
  <c r="AF18" i="5"/>
  <c r="AE18" i="5"/>
  <c r="AD18" i="5"/>
  <c r="Y18" i="5"/>
  <c r="V18" i="5"/>
  <c r="T18" i="5"/>
  <c r="AM17" i="5"/>
  <c r="AL17" i="5"/>
  <c r="AK17" i="5"/>
  <c r="AJ17" i="5"/>
  <c r="AI17" i="5"/>
  <c r="AH17" i="5"/>
  <c r="AG17" i="5"/>
  <c r="AF17" i="5"/>
  <c r="AE17" i="5"/>
  <c r="AD17" i="5"/>
  <c r="Y17" i="5"/>
  <c r="V17" i="5"/>
  <c r="T17" i="5"/>
  <c r="AM16" i="5"/>
  <c r="AL16" i="5"/>
  <c r="AK16" i="5"/>
  <c r="AJ16" i="5"/>
  <c r="AI16" i="5"/>
  <c r="AH16" i="5"/>
  <c r="AG16" i="5"/>
  <c r="AF16" i="5"/>
  <c r="AE16" i="5"/>
  <c r="AD16" i="5"/>
  <c r="Y16" i="5"/>
  <c r="V16" i="5"/>
  <c r="T16" i="5"/>
  <c r="AM15" i="5"/>
  <c r="AL15" i="5"/>
  <c r="AK15" i="5"/>
  <c r="AJ15" i="5"/>
  <c r="AI15" i="5"/>
  <c r="AH15" i="5"/>
  <c r="AG15" i="5"/>
  <c r="AF15" i="5"/>
  <c r="AE15" i="5"/>
  <c r="AD15" i="5"/>
  <c r="Y15" i="5"/>
  <c r="V15" i="5"/>
  <c r="T15" i="5"/>
  <c r="AM14" i="5"/>
  <c r="AL14" i="5"/>
  <c r="AK14" i="5"/>
  <c r="AJ14" i="5"/>
  <c r="AI14" i="5"/>
  <c r="AH14" i="5"/>
  <c r="AG14" i="5"/>
  <c r="AF14" i="5"/>
  <c r="AE14" i="5"/>
  <c r="AD14" i="5"/>
  <c r="Y14" i="5"/>
  <c r="V14" i="5"/>
  <c r="T14" i="5"/>
  <c r="AM13" i="5"/>
  <c r="AL13" i="5"/>
  <c r="AK13" i="5"/>
  <c r="AJ13" i="5"/>
  <c r="AI13" i="5"/>
  <c r="AH13" i="5"/>
  <c r="AG13" i="5"/>
  <c r="AF13" i="5"/>
  <c r="AE13" i="5"/>
  <c r="AD13" i="5"/>
  <c r="Y13" i="5"/>
  <c r="V13" i="5"/>
  <c r="T13" i="5"/>
  <c r="AM12" i="5"/>
  <c r="AL12" i="5"/>
  <c r="AK12" i="5"/>
  <c r="AJ12" i="5"/>
  <c r="AI12" i="5"/>
  <c r="AH12" i="5"/>
  <c r="AG12" i="5"/>
  <c r="AF12" i="5"/>
  <c r="AE12" i="5"/>
  <c r="AD12" i="5"/>
  <c r="Y12" i="5"/>
  <c r="V12" i="5"/>
  <c r="T12" i="5"/>
  <c r="A12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T11" i="5"/>
  <c r="AM10" i="5"/>
  <c r="AL10" i="5"/>
  <c r="AK10" i="5"/>
  <c r="AJ10" i="5"/>
  <c r="AI10" i="5"/>
  <c r="AH10" i="5"/>
  <c r="AG10" i="5"/>
  <c r="AF10" i="5"/>
  <c r="AE10" i="5"/>
  <c r="AD10" i="5"/>
  <c r="AN10" i="5" s="1"/>
  <c r="Y10" i="5"/>
  <c r="V10" i="5"/>
  <c r="T10" i="5"/>
  <c r="A10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T9" i="5"/>
  <c r="AM8" i="5"/>
  <c r="AL8" i="5"/>
  <c r="AK8" i="5"/>
  <c r="AJ8" i="5"/>
  <c r="AI8" i="5"/>
  <c r="AH8" i="5"/>
  <c r="AG8" i="5"/>
  <c r="AF8" i="5"/>
  <c r="AD8" i="5"/>
  <c r="AN8" i="5" s="1"/>
  <c r="Y8" i="5"/>
  <c r="V8" i="5"/>
  <c r="T8" i="5"/>
  <c r="AM7" i="5"/>
  <c r="AL7" i="5"/>
  <c r="AK7" i="5"/>
  <c r="AJ7" i="5"/>
  <c r="AI7" i="5"/>
  <c r="AH7" i="5"/>
  <c r="AG7" i="5"/>
  <c r="AF7" i="5"/>
  <c r="AD7" i="5"/>
  <c r="AN7" i="5" s="1"/>
  <c r="Y7" i="5"/>
  <c r="V7" i="5"/>
  <c r="T7" i="5"/>
  <c r="AM6" i="5"/>
  <c r="AL6" i="5"/>
  <c r="AK6" i="5"/>
  <c r="AJ6" i="5"/>
  <c r="AI6" i="5"/>
  <c r="AH6" i="5"/>
  <c r="AG6" i="5"/>
  <c r="AF6" i="5"/>
  <c r="AD6" i="5"/>
  <c r="AN6" i="5" s="1"/>
  <c r="Y6" i="5"/>
  <c r="V6" i="5"/>
  <c r="T6" i="5"/>
  <c r="A6" i="5"/>
  <c r="AM5" i="5"/>
  <c r="AL5" i="5"/>
  <c r="AK5" i="5"/>
  <c r="AJ5" i="5"/>
  <c r="AI5" i="5"/>
  <c r="AH5" i="5"/>
  <c r="AG5" i="5"/>
  <c r="AF5" i="5"/>
  <c r="AD5" i="5"/>
  <c r="AN5" i="5" s="1"/>
  <c r="Y5" i="5"/>
  <c r="V5" i="5"/>
  <c r="T5" i="5"/>
  <c r="F1" i="5"/>
  <c r="AK23" i="3"/>
  <c r="AF23" i="3"/>
  <c r="AG23" i="3" s="1"/>
  <c r="Y23" i="3"/>
  <c r="V23" i="3"/>
  <c r="T23" i="3"/>
  <c r="AM23" i="3" s="1"/>
  <c r="AK22" i="3"/>
  <c r="AF22" i="3"/>
  <c r="AG22" i="3" s="1"/>
  <c r="Y22" i="3"/>
  <c r="V22" i="3"/>
  <c r="T22" i="3"/>
  <c r="AD22" i="3" s="1"/>
  <c r="AK21" i="3"/>
  <c r="AF21" i="3"/>
  <c r="AG21" i="3" s="1"/>
  <c r="Y21" i="3"/>
  <c r="V21" i="3"/>
  <c r="T21" i="3"/>
  <c r="AE21" i="3" s="1"/>
  <c r="AM20" i="3"/>
  <c r="AK20" i="3"/>
  <c r="AF20" i="3"/>
  <c r="AG20" i="3" s="1"/>
  <c r="Y20" i="3"/>
  <c r="V20" i="3"/>
  <c r="T20" i="3"/>
  <c r="AE20" i="3" s="1"/>
  <c r="AK19" i="3"/>
  <c r="AF19" i="3"/>
  <c r="AG19" i="3" s="1"/>
  <c r="Y19" i="3"/>
  <c r="V19" i="3"/>
  <c r="T19" i="3"/>
  <c r="AH19" i="3" s="1"/>
  <c r="AI19" i="3" s="1"/>
  <c r="AK18" i="3"/>
  <c r="AF18" i="3"/>
  <c r="AG18" i="3" s="1"/>
  <c r="Y18" i="3"/>
  <c r="V18" i="3"/>
  <c r="T18" i="3"/>
  <c r="AH18" i="3" s="1"/>
  <c r="AI18" i="3" s="1"/>
  <c r="AK17" i="3"/>
  <c r="AF17" i="3"/>
  <c r="AG17" i="3" s="1"/>
  <c r="Y17" i="3"/>
  <c r="V17" i="3"/>
  <c r="T17" i="3"/>
  <c r="AH17" i="3" s="1"/>
  <c r="AI17" i="3" s="1"/>
  <c r="AK16" i="3"/>
  <c r="AF16" i="3"/>
  <c r="AG16" i="3" s="1"/>
  <c r="Y16" i="3"/>
  <c r="V16" i="3"/>
  <c r="T16" i="3"/>
  <c r="AH16" i="3" s="1"/>
  <c r="AI16" i="3" s="1"/>
  <c r="AK15" i="3"/>
  <c r="AF15" i="3"/>
  <c r="AG15" i="3" s="1"/>
  <c r="Y15" i="3"/>
  <c r="V15" i="3"/>
  <c r="T15" i="3"/>
  <c r="AH15" i="3" s="1"/>
  <c r="AI15" i="3" s="1"/>
  <c r="AM14" i="3"/>
  <c r="AL14" i="3"/>
  <c r="AK14" i="3"/>
  <c r="AJ14" i="3"/>
  <c r="AI14" i="3"/>
  <c r="AH14" i="3"/>
  <c r="AG14" i="3"/>
  <c r="AF14" i="3"/>
  <c r="AE14" i="3"/>
  <c r="AD14" i="3"/>
  <c r="AN14" i="3" s="1"/>
  <c r="Y14" i="3"/>
  <c r="V14" i="3"/>
  <c r="T14" i="3"/>
  <c r="AM13" i="3"/>
  <c r="AL13" i="3"/>
  <c r="AK13" i="3"/>
  <c r="AJ13" i="3"/>
  <c r="AI13" i="3"/>
  <c r="AH13" i="3"/>
  <c r="AG13" i="3"/>
  <c r="AF13" i="3"/>
  <c r="AE13" i="3"/>
  <c r="AD13" i="3"/>
  <c r="Y13" i="3"/>
  <c r="V13" i="3"/>
  <c r="T13" i="3"/>
  <c r="AM12" i="3"/>
  <c r="AL12" i="3"/>
  <c r="AK12" i="3"/>
  <c r="AJ12" i="3"/>
  <c r="AI12" i="3"/>
  <c r="AH12" i="3"/>
  <c r="AG12" i="3"/>
  <c r="AF12" i="3"/>
  <c r="AE12" i="3"/>
  <c r="AN12" i="3" s="1"/>
  <c r="AD12" i="3"/>
  <c r="Y12" i="3"/>
  <c r="V12" i="3"/>
  <c r="T12" i="3"/>
  <c r="A12" i="3"/>
  <c r="AM11" i="3"/>
  <c r="AL11" i="3"/>
  <c r="AK11" i="3"/>
  <c r="AJ11" i="3"/>
  <c r="AI11" i="3"/>
  <c r="AH11" i="3"/>
  <c r="AG11" i="3"/>
  <c r="AF11" i="3"/>
  <c r="AE11" i="3"/>
  <c r="AD11" i="3"/>
  <c r="AN11" i="3" s="1"/>
  <c r="Y11" i="3"/>
  <c r="V11" i="3"/>
  <c r="T11" i="3"/>
  <c r="AM10" i="3"/>
  <c r="AL10" i="3"/>
  <c r="AK10" i="3"/>
  <c r="AJ10" i="3"/>
  <c r="AI10" i="3"/>
  <c r="AH10" i="3"/>
  <c r="AG10" i="3"/>
  <c r="AF10" i="3"/>
  <c r="AE10" i="3"/>
  <c r="AD10" i="3"/>
  <c r="Y10" i="3"/>
  <c r="V10" i="3"/>
  <c r="T10" i="3"/>
  <c r="A10" i="3"/>
  <c r="AM9" i="3"/>
  <c r="AL9" i="3"/>
  <c r="AK9" i="3"/>
  <c r="AJ9" i="3"/>
  <c r="AI9" i="3"/>
  <c r="AH9" i="3"/>
  <c r="AG9" i="3"/>
  <c r="AF9" i="3"/>
  <c r="AE9" i="3"/>
  <c r="AD9" i="3"/>
  <c r="AN9" i="3" s="1"/>
  <c r="Y9" i="3"/>
  <c r="W9" i="3"/>
  <c r="V9" i="3"/>
  <c r="T9" i="3"/>
  <c r="AM8" i="3"/>
  <c r="AL8" i="3"/>
  <c r="AK8" i="3"/>
  <c r="AJ8" i="3"/>
  <c r="AI8" i="3"/>
  <c r="AH8" i="3"/>
  <c r="AG8" i="3"/>
  <c r="AF8" i="3"/>
  <c r="AD8" i="3"/>
  <c r="AN8" i="3" s="1"/>
  <c r="Y8" i="3"/>
  <c r="V8" i="3"/>
  <c r="T8" i="3"/>
  <c r="AM7" i="3"/>
  <c r="AL7" i="3"/>
  <c r="AK7" i="3"/>
  <c r="AJ7" i="3"/>
  <c r="AI7" i="3"/>
  <c r="AH7" i="3"/>
  <c r="AG7" i="3"/>
  <c r="AF7" i="3"/>
  <c r="AD7" i="3"/>
  <c r="AN7" i="3" s="1"/>
  <c r="Y7" i="3"/>
  <c r="V7" i="3"/>
  <c r="T7" i="3"/>
  <c r="AM6" i="3"/>
  <c r="AL6" i="3"/>
  <c r="AK6" i="3"/>
  <c r="AJ6" i="3"/>
  <c r="AI6" i="3"/>
  <c r="AH6" i="3"/>
  <c r="AG6" i="3"/>
  <c r="AF6" i="3"/>
  <c r="AD6" i="3"/>
  <c r="AN6" i="3" s="1"/>
  <c r="Y6" i="3"/>
  <c r="V6" i="3"/>
  <c r="T6" i="3"/>
  <c r="A6" i="3"/>
  <c r="AM5" i="3"/>
  <c r="AL5" i="3"/>
  <c r="AK5" i="3"/>
  <c r="AJ5" i="3"/>
  <c r="AI5" i="3"/>
  <c r="AH5" i="3"/>
  <c r="AG5" i="3"/>
  <c r="AF5" i="3"/>
  <c r="AD5" i="3"/>
  <c r="AN5" i="3" s="1"/>
  <c r="Y5" i="3"/>
  <c r="V5" i="3"/>
  <c r="T5" i="3"/>
  <c r="F1" i="3"/>
  <c r="AM232" i="65"/>
  <c r="AK232" i="65"/>
  <c r="AF232" i="65"/>
  <c r="AG232" i="65" s="1"/>
  <c r="Y232" i="65"/>
  <c r="V232" i="65"/>
  <c r="T232" i="65"/>
  <c r="AH232" i="65" s="1"/>
  <c r="AI232" i="65" s="1"/>
  <c r="AM231" i="65"/>
  <c r="AK231" i="65"/>
  <c r="AF231" i="65"/>
  <c r="AG231" i="65" s="1"/>
  <c r="Y231" i="65"/>
  <c r="V231" i="65"/>
  <c r="T231" i="65"/>
  <c r="AH231" i="65" s="1"/>
  <c r="AI231" i="65" s="1"/>
  <c r="AM230" i="65"/>
  <c r="AK230" i="65"/>
  <c r="AF230" i="65"/>
  <c r="AG230" i="65" s="1"/>
  <c r="Y230" i="65"/>
  <c r="V230" i="65"/>
  <c r="T230" i="65"/>
  <c r="AH230" i="65" s="1"/>
  <c r="AI230" i="65" s="1"/>
  <c r="AM229" i="65"/>
  <c r="AK229" i="65"/>
  <c r="AF229" i="65"/>
  <c r="AG229" i="65" s="1"/>
  <c r="Y229" i="65"/>
  <c r="V229" i="65"/>
  <c r="T229" i="65"/>
  <c r="AH229" i="65" s="1"/>
  <c r="AI229" i="65" s="1"/>
  <c r="AM228" i="65"/>
  <c r="AK228" i="65"/>
  <c r="AF228" i="65"/>
  <c r="AG228" i="65" s="1"/>
  <c r="Y228" i="65"/>
  <c r="V228" i="65"/>
  <c r="T228" i="65"/>
  <c r="AH228" i="65" s="1"/>
  <c r="AI228" i="65" s="1"/>
  <c r="AM227" i="65"/>
  <c r="AK227" i="65"/>
  <c r="AF227" i="65"/>
  <c r="AG227" i="65" s="1"/>
  <c r="Y227" i="65"/>
  <c r="V227" i="65"/>
  <c r="T227" i="65"/>
  <c r="AH227" i="65" s="1"/>
  <c r="AI227" i="65" s="1"/>
  <c r="AM226" i="65"/>
  <c r="AK226" i="65"/>
  <c r="AG226" i="65"/>
  <c r="AF226" i="65"/>
  <c r="Y226" i="65"/>
  <c r="V226" i="65"/>
  <c r="T226" i="65"/>
  <c r="AH226" i="65" s="1"/>
  <c r="AI226" i="65" s="1"/>
  <c r="AM225" i="65"/>
  <c r="AK225" i="65"/>
  <c r="AF225" i="65"/>
  <c r="AG225" i="65" s="1"/>
  <c r="Y225" i="65"/>
  <c r="V225" i="65"/>
  <c r="T225" i="65"/>
  <c r="AH225" i="65" s="1"/>
  <c r="AI225" i="65" s="1"/>
  <c r="AM224" i="65"/>
  <c r="AK224" i="65"/>
  <c r="AF224" i="65"/>
  <c r="AG224" i="65" s="1"/>
  <c r="Y224" i="65"/>
  <c r="V224" i="65"/>
  <c r="T224" i="65"/>
  <c r="AH224" i="65" s="1"/>
  <c r="AI224" i="65" s="1"/>
  <c r="AM223" i="65"/>
  <c r="AK223" i="65"/>
  <c r="AF223" i="65"/>
  <c r="AG223" i="65" s="1"/>
  <c r="Y223" i="65"/>
  <c r="V223" i="65"/>
  <c r="T223" i="65"/>
  <c r="AH223" i="65" s="1"/>
  <c r="AI223" i="65" s="1"/>
  <c r="AM222" i="65"/>
  <c r="AK222" i="65"/>
  <c r="AF222" i="65"/>
  <c r="AG222" i="65" s="1"/>
  <c r="Y222" i="65"/>
  <c r="V222" i="65"/>
  <c r="T222" i="65"/>
  <c r="AD222" i="65" s="1"/>
  <c r="AM221" i="65"/>
  <c r="AK221" i="65"/>
  <c r="AF221" i="65"/>
  <c r="AG221" i="65" s="1"/>
  <c r="Y221" i="65"/>
  <c r="V221" i="65"/>
  <c r="T221" i="65"/>
  <c r="AE221" i="65" s="1"/>
  <c r="AM220" i="65"/>
  <c r="AK220" i="65"/>
  <c r="AG220" i="65"/>
  <c r="AF220" i="65"/>
  <c r="Y220" i="65"/>
  <c r="V220" i="65"/>
  <c r="T220" i="65"/>
  <c r="AE220" i="65" s="1"/>
  <c r="AM219" i="65"/>
  <c r="AK219" i="65"/>
  <c r="AF219" i="65"/>
  <c r="AG219" i="65" s="1"/>
  <c r="Y219" i="65"/>
  <c r="V219" i="65"/>
  <c r="T219" i="65"/>
  <c r="AH219" i="65" s="1"/>
  <c r="AI219" i="65" s="1"/>
  <c r="AM218" i="65"/>
  <c r="AK218" i="65"/>
  <c r="AF218" i="65"/>
  <c r="AG218" i="65" s="1"/>
  <c r="Y218" i="65"/>
  <c r="V218" i="65"/>
  <c r="T218" i="65"/>
  <c r="AH218" i="65" s="1"/>
  <c r="AI218" i="65" s="1"/>
  <c r="AM217" i="65"/>
  <c r="AK217" i="65"/>
  <c r="AF217" i="65"/>
  <c r="AG217" i="65" s="1"/>
  <c r="Y217" i="65"/>
  <c r="V217" i="65"/>
  <c r="T217" i="65"/>
  <c r="AH217" i="65" s="1"/>
  <c r="AI217" i="65" s="1"/>
  <c r="AM216" i="65"/>
  <c r="AK216" i="65"/>
  <c r="AF216" i="65"/>
  <c r="AG216" i="65" s="1"/>
  <c r="Y216" i="65"/>
  <c r="V216" i="65"/>
  <c r="T216" i="65"/>
  <c r="AH216" i="65" s="1"/>
  <c r="AI216" i="65" s="1"/>
  <c r="AM215" i="65"/>
  <c r="AK215" i="65"/>
  <c r="AF215" i="65"/>
  <c r="AG215" i="65" s="1"/>
  <c r="Y215" i="65"/>
  <c r="V215" i="65"/>
  <c r="T215" i="65"/>
  <c r="AH215" i="65" s="1"/>
  <c r="AI215" i="65" s="1"/>
  <c r="AM214" i="65"/>
  <c r="AK214" i="65"/>
  <c r="AF214" i="65"/>
  <c r="AG214" i="65" s="1"/>
  <c r="Y214" i="65"/>
  <c r="V214" i="65"/>
  <c r="T214" i="65"/>
  <c r="AH214" i="65" s="1"/>
  <c r="AI214" i="65" s="1"/>
  <c r="AM213" i="65"/>
  <c r="AK213" i="65"/>
  <c r="AF213" i="65"/>
  <c r="AG213" i="65" s="1"/>
  <c r="Y213" i="65"/>
  <c r="V213" i="65"/>
  <c r="T213" i="65"/>
  <c r="AE213" i="65" s="1"/>
  <c r="AM212" i="65"/>
  <c r="AK212" i="65"/>
  <c r="AF212" i="65"/>
  <c r="AG212" i="65" s="1"/>
  <c r="Y212" i="65"/>
  <c r="V212" i="65"/>
  <c r="T212" i="65"/>
  <c r="AH212" i="65" s="1"/>
  <c r="AI212" i="65" s="1"/>
  <c r="AK211" i="65"/>
  <c r="AF211" i="65"/>
  <c r="AG211" i="65" s="1"/>
  <c r="Y211" i="65"/>
  <c r="V211" i="65"/>
  <c r="T211" i="65"/>
  <c r="AM211" i="65" s="1"/>
  <c r="AK210" i="65"/>
  <c r="AF210" i="65"/>
  <c r="AG210" i="65" s="1"/>
  <c r="Y210" i="65"/>
  <c r="V210" i="65"/>
  <c r="T210" i="65"/>
  <c r="AE210" i="65" s="1"/>
  <c r="AM209" i="65"/>
  <c r="AK209" i="65"/>
  <c r="AF209" i="65"/>
  <c r="AG209" i="65" s="1"/>
  <c r="Y209" i="65"/>
  <c r="V209" i="65"/>
  <c r="T209" i="65"/>
  <c r="AH209" i="65" s="1"/>
  <c r="AI209" i="65" s="1"/>
  <c r="AM208" i="65"/>
  <c r="AK208" i="65"/>
  <c r="AF208" i="65"/>
  <c r="AG208" i="65" s="1"/>
  <c r="Y208" i="65"/>
  <c r="V208" i="65"/>
  <c r="T208" i="65"/>
  <c r="AD208" i="65" s="1"/>
  <c r="AK207" i="65"/>
  <c r="AF207" i="65"/>
  <c r="AG207" i="65" s="1"/>
  <c r="Y207" i="65"/>
  <c r="V207" i="65"/>
  <c r="T207" i="65"/>
  <c r="AM207" i="65" s="1"/>
  <c r="AM206" i="65"/>
  <c r="AK206" i="65"/>
  <c r="AF206" i="65"/>
  <c r="AG206" i="65" s="1"/>
  <c r="Y206" i="65"/>
  <c r="V206" i="65"/>
  <c r="T206" i="65"/>
  <c r="AE206" i="65" s="1"/>
  <c r="AM205" i="65"/>
  <c r="AK205" i="65"/>
  <c r="AF205" i="65"/>
  <c r="AG205" i="65" s="1"/>
  <c r="Y205" i="65"/>
  <c r="V205" i="65"/>
  <c r="T205" i="65"/>
  <c r="AH205" i="65" s="1"/>
  <c r="AI205" i="65" s="1"/>
  <c r="AM204" i="65"/>
  <c r="AK204" i="65"/>
  <c r="AF204" i="65"/>
  <c r="AG204" i="65" s="1"/>
  <c r="Y204" i="65"/>
  <c r="V204" i="65"/>
  <c r="T204" i="65"/>
  <c r="AD204" i="65" s="1"/>
  <c r="AM203" i="65"/>
  <c r="AK203" i="65"/>
  <c r="AF203" i="65"/>
  <c r="AG203" i="65" s="1"/>
  <c r="Y203" i="65"/>
  <c r="V203" i="65"/>
  <c r="T203" i="65"/>
  <c r="AH203" i="65" s="1"/>
  <c r="AI203" i="65" s="1"/>
  <c r="AK202" i="65"/>
  <c r="AF202" i="65"/>
  <c r="AG202" i="65" s="1"/>
  <c r="Y202" i="65"/>
  <c r="V202" i="65"/>
  <c r="T202" i="65"/>
  <c r="AE202" i="65" s="1"/>
  <c r="AM201" i="65"/>
  <c r="AK201" i="65"/>
  <c r="AF201" i="65"/>
  <c r="AG201" i="65" s="1"/>
  <c r="Y201" i="65"/>
  <c r="V201" i="65"/>
  <c r="T201" i="65"/>
  <c r="AH201" i="65" s="1"/>
  <c r="AI201" i="65" s="1"/>
  <c r="AM200" i="65"/>
  <c r="AK200" i="65"/>
  <c r="AF200" i="65"/>
  <c r="AG200" i="65" s="1"/>
  <c r="Y200" i="65"/>
  <c r="V200" i="65"/>
  <c r="T200" i="65"/>
  <c r="AD200" i="65" s="1"/>
  <c r="AM199" i="65"/>
  <c r="AK199" i="65"/>
  <c r="AF199" i="65"/>
  <c r="AG199" i="65" s="1"/>
  <c r="Y199" i="65"/>
  <c r="V199" i="65"/>
  <c r="T199" i="65"/>
  <c r="AH199" i="65" s="1"/>
  <c r="AI199" i="65" s="1"/>
  <c r="AK198" i="65"/>
  <c r="AF198" i="65"/>
  <c r="AG198" i="65" s="1"/>
  <c r="Y198" i="65"/>
  <c r="V198" i="65"/>
  <c r="T198" i="65"/>
  <c r="AE198" i="65" s="1"/>
  <c r="AM197" i="65"/>
  <c r="AK197" i="65"/>
  <c r="AF197" i="65"/>
  <c r="AG197" i="65" s="1"/>
  <c r="Y197" i="65"/>
  <c r="V197" i="65"/>
  <c r="T197" i="65"/>
  <c r="AH197" i="65" s="1"/>
  <c r="AI197" i="65" s="1"/>
  <c r="AM196" i="65"/>
  <c r="AK196" i="65"/>
  <c r="AF196" i="65"/>
  <c r="AG196" i="65" s="1"/>
  <c r="Y196" i="65"/>
  <c r="V196" i="65"/>
  <c r="T196" i="65"/>
  <c r="AD196" i="65" s="1"/>
  <c r="AM195" i="65"/>
  <c r="AK195" i="65"/>
  <c r="AF195" i="65"/>
  <c r="AG195" i="65" s="1"/>
  <c r="Y195" i="65"/>
  <c r="V195" i="65"/>
  <c r="T195" i="65"/>
  <c r="AH195" i="65" s="1"/>
  <c r="AI195" i="65" s="1"/>
  <c r="AK194" i="65"/>
  <c r="AF194" i="65"/>
  <c r="AG194" i="65" s="1"/>
  <c r="Y194" i="65"/>
  <c r="V194" i="65"/>
  <c r="T194" i="65"/>
  <c r="AE194" i="65" s="1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H191" i="65" s="1"/>
  <c r="AI191" i="65" s="1"/>
  <c r="AK190" i="65"/>
  <c r="AF190" i="65"/>
  <c r="AG190" i="65" s="1"/>
  <c r="Y190" i="65"/>
  <c r="V190" i="65"/>
  <c r="T190" i="65"/>
  <c r="AE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D188" i="65" s="1"/>
  <c r="AK187" i="65"/>
  <c r="AF187" i="65"/>
  <c r="AG187" i="65" s="1"/>
  <c r="Y187" i="65"/>
  <c r="V187" i="65"/>
  <c r="T187" i="65"/>
  <c r="AM187" i="65" s="1"/>
  <c r="AK186" i="65"/>
  <c r="AF186" i="65"/>
  <c r="AG186" i="65" s="1"/>
  <c r="Y186" i="65"/>
  <c r="V186" i="65"/>
  <c r="T186" i="65"/>
  <c r="AE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D184" i="65" s="1"/>
  <c r="AM183" i="65"/>
  <c r="AK183" i="65"/>
  <c r="AF183" i="65"/>
  <c r="AG183" i="65" s="1"/>
  <c r="Y183" i="65"/>
  <c r="V183" i="65"/>
  <c r="T183" i="65"/>
  <c r="AH183" i="65" s="1"/>
  <c r="AI183" i="65" s="1"/>
  <c r="AK182" i="65"/>
  <c r="AF182" i="65"/>
  <c r="AG182" i="65" s="1"/>
  <c r="Y182" i="65"/>
  <c r="V182" i="65"/>
  <c r="T182" i="65"/>
  <c r="AE182" i="65" s="1"/>
  <c r="A12" i="65"/>
  <c r="A10" i="65"/>
  <c r="A6" i="65"/>
  <c r="F1" i="65"/>
  <c r="I46" i="67"/>
  <c r="I54" i="68"/>
  <c r="A8" i="64"/>
  <c r="A8" i="36"/>
  <c r="I65" i="67"/>
  <c r="A8" i="63"/>
  <c r="A8" i="44"/>
  <c r="A8" i="13"/>
  <c r="A8" i="49"/>
  <c r="A8" i="18"/>
  <c r="A8" i="46"/>
  <c r="A8" i="15"/>
  <c r="A8" i="40"/>
  <c r="A8" i="6"/>
  <c r="A8" i="39"/>
  <c r="A8" i="5"/>
  <c r="A8" i="45"/>
  <c r="A8" i="14"/>
  <c r="A8" i="3"/>
  <c r="I45" i="67"/>
  <c r="A8" i="56"/>
  <c r="A8" i="25"/>
  <c r="A8" i="37"/>
  <c r="A8" i="61"/>
  <c r="A8" i="51"/>
  <c r="A8" i="52"/>
  <c r="A8" i="21"/>
  <c r="A8" i="75"/>
  <c r="A8" i="74"/>
  <c r="A8" i="19"/>
  <c r="A8" i="66"/>
  <c r="A8" i="65"/>
  <c r="A8" i="28"/>
  <c r="A8" i="73"/>
  <c r="A8" i="70"/>
  <c r="A8" i="47"/>
  <c r="A8" i="16"/>
  <c r="A8" i="41"/>
  <c r="A8" i="12"/>
  <c r="A8" i="26"/>
  <c r="A8" i="27"/>
  <c r="A8" i="38"/>
  <c r="I52" i="68"/>
  <c r="A8" i="55"/>
  <c r="A8" i="24"/>
  <c r="A8" i="59"/>
  <c r="A8" i="57"/>
  <c r="A8" i="29"/>
  <c r="A8" i="53"/>
  <c r="A8" i="54"/>
  <c r="A8" i="23"/>
  <c r="A8" i="58"/>
  <c r="A8" i="30"/>
  <c r="A8" i="71"/>
  <c r="A8" i="72"/>
  <c r="A8" i="69"/>
  <c r="T66" i="67"/>
  <c r="S66" i="67"/>
  <c r="P66" i="67"/>
  <c r="M66" i="67"/>
  <c r="L66" i="67"/>
  <c r="K66" i="67"/>
  <c r="J66" i="67"/>
  <c r="I64" i="67"/>
  <c r="H61" i="67"/>
  <c r="T60" i="67"/>
  <c r="S60" i="67"/>
  <c r="P60" i="67"/>
  <c r="M60" i="67"/>
  <c r="L60" i="67"/>
  <c r="K60" i="67"/>
  <c r="J60" i="67"/>
  <c r="H60" i="67"/>
  <c r="I59" i="67"/>
  <c r="T55" i="67"/>
  <c r="S55" i="67"/>
  <c r="M55" i="67"/>
  <c r="L55" i="67"/>
  <c r="K55" i="67"/>
  <c r="J55" i="67"/>
  <c r="H55" i="67"/>
  <c r="I50" i="67"/>
  <c r="I47" i="67"/>
  <c r="I42" i="67"/>
  <c r="M40" i="67"/>
  <c r="L40" i="67"/>
  <c r="K40" i="67"/>
  <c r="J40" i="67"/>
  <c r="T39" i="67"/>
  <c r="S39" i="67"/>
  <c r="P39" i="67"/>
  <c r="H39" i="67"/>
  <c r="P38" i="67"/>
  <c r="I38" i="67"/>
  <c r="H38" i="67"/>
  <c r="M37" i="67"/>
  <c r="T36" i="67"/>
  <c r="S36" i="67"/>
  <c r="P36" i="67"/>
  <c r="L36" i="67"/>
  <c r="K36" i="67"/>
  <c r="J36" i="67"/>
  <c r="H36" i="67"/>
  <c r="T35" i="67"/>
  <c r="S35" i="67"/>
  <c r="P35" i="67"/>
  <c r="L35" i="67"/>
  <c r="J35" i="67"/>
  <c r="H35" i="67"/>
  <c r="S33" i="67"/>
  <c r="P33" i="67"/>
  <c r="L33" i="67"/>
  <c r="H33" i="67"/>
  <c r="P32" i="67"/>
  <c r="L32" i="67"/>
  <c r="J32" i="67"/>
  <c r="P31" i="67"/>
  <c r="L31" i="67"/>
  <c r="J31" i="67"/>
  <c r="H31" i="67"/>
  <c r="P30" i="67"/>
  <c r="L30" i="67"/>
  <c r="H30" i="67"/>
  <c r="S28" i="67"/>
  <c r="P28" i="67"/>
  <c r="L28" i="67"/>
  <c r="K28" i="67"/>
  <c r="J28" i="67"/>
  <c r="H28" i="67"/>
  <c r="P27" i="67"/>
  <c r="L27" i="67"/>
  <c r="J27" i="67"/>
  <c r="P26" i="67"/>
  <c r="L26" i="67"/>
  <c r="H26" i="67"/>
  <c r="P25" i="67"/>
  <c r="L25" i="67"/>
  <c r="H25" i="67"/>
  <c r="T24" i="67"/>
  <c r="S24" i="67"/>
  <c r="P24" i="67"/>
  <c r="L24" i="67"/>
  <c r="K24" i="67"/>
  <c r="J24" i="67"/>
  <c r="H24" i="67"/>
  <c r="F24" i="67"/>
  <c r="P23" i="67"/>
  <c r="L23" i="67"/>
  <c r="J23" i="67"/>
  <c r="M22" i="67"/>
  <c r="M21" i="67"/>
  <c r="P19" i="67"/>
  <c r="L19" i="67"/>
  <c r="J19" i="67"/>
  <c r="H19" i="67"/>
  <c r="P18" i="67"/>
  <c r="L18" i="67"/>
  <c r="J18" i="67"/>
  <c r="P17" i="67"/>
  <c r="L17" i="67"/>
  <c r="J17" i="67"/>
  <c r="T16" i="67"/>
  <c r="S16" i="67"/>
  <c r="P16" i="67"/>
  <c r="L16" i="67"/>
  <c r="J16" i="67"/>
  <c r="H16" i="67"/>
  <c r="P15" i="67"/>
  <c r="L15" i="67"/>
  <c r="H15" i="67"/>
  <c r="P14" i="67"/>
  <c r="L14" i="67"/>
  <c r="J14" i="67"/>
  <c r="H14" i="67"/>
  <c r="P13" i="67"/>
  <c r="L13" i="67"/>
  <c r="K13" i="67"/>
  <c r="J13" i="67"/>
  <c r="H13" i="67"/>
  <c r="P12" i="67"/>
  <c r="L12" i="67"/>
  <c r="J12" i="67"/>
  <c r="H12" i="67"/>
  <c r="P11" i="67"/>
  <c r="O11" i="67"/>
  <c r="N11" i="67"/>
  <c r="L11" i="67"/>
  <c r="I11" i="67"/>
  <c r="H11" i="67"/>
  <c r="R10" i="67"/>
  <c r="Q10" i="67"/>
  <c r="P9" i="67"/>
  <c r="L9" i="67"/>
  <c r="P8" i="67"/>
  <c r="L8" i="67"/>
  <c r="J8" i="67"/>
  <c r="H8" i="67"/>
  <c r="M7" i="67"/>
  <c r="P6" i="67"/>
  <c r="L6" i="67"/>
  <c r="H6" i="67"/>
  <c r="C2" i="67"/>
  <c r="T74" i="68"/>
  <c r="S74" i="68"/>
  <c r="P74" i="68"/>
  <c r="M74" i="68"/>
  <c r="L74" i="68"/>
  <c r="K74" i="68"/>
  <c r="J74" i="68"/>
  <c r="I73" i="68"/>
  <c r="T69" i="68"/>
  <c r="S69" i="68"/>
  <c r="P69" i="68"/>
  <c r="M69" i="68"/>
  <c r="L69" i="68"/>
  <c r="K69" i="68"/>
  <c r="J69" i="68"/>
  <c r="H69" i="68"/>
  <c r="I67" i="68"/>
  <c r="P63" i="68"/>
  <c r="M63" i="68"/>
  <c r="I60" i="68"/>
  <c r="M48" i="68"/>
  <c r="S47" i="68"/>
  <c r="U47" i="68" s="1"/>
  <c r="F42" i="2" s="1"/>
  <c r="J47" i="68"/>
  <c r="H47" i="68"/>
  <c r="F47" i="68"/>
  <c r="S46" i="68"/>
  <c r="P46" i="68"/>
  <c r="L46" i="68"/>
  <c r="J46" i="68"/>
  <c r="H46" i="68"/>
  <c r="C43" i="2" s="1"/>
  <c r="P45" i="68"/>
  <c r="L45" i="68"/>
  <c r="J45" i="68"/>
  <c r="H45" i="68"/>
  <c r="C41" i="2" s="1"/>
  <c r="M44" i="68"/>
  <c r="P43" i="68"/>
  <c r="L43" i="68"/>
  <c r="J43" i="68"/>
  <c r="H43" i="68"/>
  <c r="C39" i="2" s="1"/>
  <c r="P42" i="68"/>
  <c r="L42" i="68"/>
  <c r="J42" i="68"/>
  <c r="H42" i="68"/>
  <c r="M41" i="68"/>
  <c r="T40" i="68"/>
  <c r="E36" i="2" s="1"/>
  <c r="S40" i="68"/>
  <c r="P40" i="68"/>
  <c r="L40" i="68"/>
  <c r="K40" i="68"/>
  <c r="J40" i="68"/>
  <c r="H40" i="68"/>
  <c r="C36" i="2" s="1"/>
  <c r="F40" i="68"/>
  <c r="P39" i="68"/>
  <c r="L39" i="68"/>
  <c r="J39" i="68"/>
  <c r="I39" i="68"/>
  <c r="P38" i="68"/>
  <c r="L38" i="68"/>
  <c r="H38" i="68"/>
  <c r="C34" i="2" s="1"/>
  <c r="P37" i="68"/>
  <c r="L37" i="68"/>
  <c r="J37" i="68"/>
  <c r="P36" i="68"/>
  <c r="L36" i="68"/>
  <c r="J36" i="68"/>
  <c r="H36" i="68"/>
  <c r="C32" i="2" s="1"/>
  <c r="P35" i="68"/>
  <c r="L35" i="68"/>
  <c r="J35" i="68"/>
  <c r="H35" i="68"/>
  <c r="M34" i="68"/>
  <c r="P33" i="68"/>
  <c r="L33" i="68"/>
  <c r="J33" i="68"/>
  <c r="P32" i="68"/>
  <c r="L32" i="68"/>
  <c r="K32" i="68"/>
  <c r="J32" i="68"/>
  <c r="H32" i="68"/>
  <c r="C29" i="2" s="1"/>
  <c r="S31" i="68"/>
  <c r="P31" i="68"/>
  <c r="L31" i="68"/>
  <c r="K31" i="68"/>
  <c r="J31" i="68"/>
  <c r="H31" i="68"/>
  <c r="F31" i="68"/>
  <c r="P30" i="68"/>
  <c r="L30" i="68"/>
  <c r="J30" i="68"/>
  <c r="P29" i="68"/>
  <c r="L29" i="68"/>
  <c r="J29" i="68"/>
  <c r="H29" i="68"/>
  <c r="S28" i="68"/>
  <c r="P28" i="68"/>
  <c r="L28" i="68"/>
  <c r="K28" i="68"/>
  <c r="J28" i="68"/>
  <c r="H28" i="68"/>
  <c r="F28" i="68"/>
  <c r="P27" i="68"/>
  <c r="L27" i="68"/>
  <c r="J27" i="68"/>
  <c r="H27" i="68"/>
  <c r="P26" i="68"/>
  <c r="L26" i="68"/>
  <c r="J26" i="68"/>
  <c r="H26" i="68"/>
  <c r="P25" i="68"/>
  <c r="L25" i="68"/>
  <c r="H25" i="68"/>
  <c r="M22" i="68"/>
  <c r="M23" i="68" s="1"/>
  <c r="P21" i="68"/>
  <c r="L21" i="68"/>
  <c r="H21" i="68"/>
  <c r="C22" i="2" s="1"/>
  <c r="P20" i="68"/>
  <c r="L20" i="68"/>
  <c r="J20" i="68"/>
  <c r="H20" i="68"/>
  <c r="C21" i="2" s="1"/>
  <c r="P19" i="68"/>
  <c r="L19" i="68"/>
  <c r="P18" i="68"/>
  <c r="L18" i="68"/>
  <c r="J18" i="68"/>
  <c r="H18" i="68"/>
  <c r="C19" i="2" s="1"/>
  <c r="S17" i="68"/>
  <c r="P17" i="68"/>
  <c r="L17" i="68"/>
  <c r="J17" i="68"/>
  <c r="H17" i="68"/>
  <c r="C18" i="2" s="1"/>
  <c r="P15" i="68"/>
  <c r="L15" i="68"/>
  <c r="J15" i="68"/>
  <c r="H15" i="68"/>
  <c r="P14" i="68"/>
  <c r="L14" i="68"/>
  <c r="P13" i="68"/>
  <c r="L13" i="68"/>
  <c r="J13" i="68"/>
  <c r="H13" i="68"/>
  <c r="C14" i="2" s="1"/>
  <c r="P12" i="68"/>
  <c r="L12" i="68"/>
  <c r="J12" i="68"/>
  <c r="H12" i="68"/>
  <c r="P11" i="68"/>
  <c r="L11" i="68"/>
  <c r="J11" i="68"/>
  <c r="H11" i="68"/>
  <c r="C12" i="2" s="1"/>
  <c r="P10" i="68"/>
  <c r="L10" i="68"/>
  <c r="H10" i="68"/>
  <c r="C11" i="2" s="1"/>
  <c r="P9" i="68"/>
  <c r="L9" i="68"/>
  <c r="J9" i="68"/>
  <c r="H9" i="68"/>
  <c r="C10" i="2" s="1"/>
  <c r="P8" i="68"/>
  <c r="L8" i="68"/>
  <c r="J8" i="68"/>
  <c r="H8" i="68"/>
  <c r="M7" i="68"/>
  <c r="P6" i="68"/>
  <c r="L6" i="68"/>
  <c r="C2" i="68"/>
  <c r="C50" i="2"/>
  <c r="C46" i="2"/>
  <c r="C45" i="2"/>
  <c r="B43" i="2"/>
  <c r="K41" i="2"/>
  <c r="C42" i="2"/>
  <c r="B41" i="2"/>
  <c r="M39" i="2"/>
  <c r="K39" i="2"/>
  <c r="M38" i="2"/>
  <c r="K38" i="2"/>
  <c r="B38" i="2"/>
  <c r="K36" i="2"/>
  <c r="K35" i="2"/>
  <c r="K37" i="2" s="1"/>
  <c r="M33" i="2"/>
  <c r="K30" i="2"/>
  <c r="J30" i="2"/>
  <c r="J29" i="2"/>
  <c r="J28" i="2"/>
  <c r="K27" i="2"/>
  <c r="J27" i="2"/>
  <c r="C28" i="2"/>
  <c r="C26" i="2"/>
  <c r="J24" i="2"/>
  <c r="J23" i="2"/>
  <c r="K20" i="2"/>
  <c r="K14" i="2"/>
  <c r="C13" i="2"/>
  <c r="K12" i="2"/>
  <c r="K11" i="2"/>
  <c r="AL5" i="16" l="1"/>
  <c r="AJ5" i="16"/>
  <c r="AM5" i="16"/>
  <c r="AN5" i="16" s="1"/>
  <c r="C16" i="2"/>
  <c r="H22" i="68"/>
  <c r="H23" i="68" s="1"/>
  <c r="H70" i="68" s="1"/>
  <c r="AL5" i="47"/>
  <c r="AJ5" i="47"/>
  <c r="AN5" i="47"/>
  <c r="L11" i="2"/>
  <c r="M16" i="2"/>
  <c r="M35" i="2"/>
  <c r="M37" i="2" s="1"/>
  <c r="K33" i="2"/>
  <c r="J61" i="67"/>
  <c r="K9" i="2"/>
  <c r="R11" i="67"/>
  <c r="K61" i="67"/>
  <c r="N45" i="67"/>
  <c r="L61" i="67"/>
  <c r="M61" i="67"/>
  <c r="K15" i="2"/>
  <c r="P61" i="67"/>
  <c r="N65" i="67"/>
  <c r="K24" i="2"/>
  <c r="S61" i="67"/>
  <c r="T61" i="67"/>
  <c r="S37" i="67"/>
  <c r="U10" i="67"/>
  <c r="K13" i="2"/>
  <c r="K16" i="2"/>
  <c r="M36" i="2"/>
  <c r="N59" i="67"/>
  <c r="K26" i="2"/>
  <c r="V10" i="67"/>
  <c r="K28" i="2"/>
  <c r="N42" i="67"/>
  <c r="O46" i="67"/>
  <c r="K6" i="2"/>
  <c r="O50" i="67"/>
  <c r="J37" i="67"/>
  <c r="AD12" i="34"/>
  <c r="AE12" i="34"/>
  <c r="AJ13" i="34"/>
  <c r="AH14" i="34"/>
  <c r="AI14" i="34" s="1"/>
  <c r="AL14" i="34" s="1"/>
  <c r="AD10" i="34"/>
  <c r="AH16" i="34"/>
  <c r="AI16" i="34" s="1"/>
  <c r="AL16" i="34" s="1"/>
  <c r="AD19" i="34"/>
  <c r="AL22" i="34"/>
  <c r="AH10" i="34"/>
  <c r="AI10" i="34" s="1"/>
  <c r="AL10" i="34" s="1"/>
  <c r="AE19" i="34"/>
  <c r="AL23" i="34"/>
  <c r="AD6" i="34"/>
  <c r="AN6" i="34" s="1"/>
  <c r="AJ20" i="34"/>
  <c r="AL12" i="34"/>
  <c r="AJ12" i="34"/>
  <c r="AL13" i="34"/>
  <c r="AJ22" i="34"/>
  <c r="AL17" i="34"/>
  <c r="AL19" i="34"/>
  <c r="AL7" i="34"/>
  <c r="AL18" i="34"/>
  <c r="AL21" i="34"/>
  <c r="AJ15" i="34"/>
  <c r="AH17" i="34"/>
  <c r="AI17" i="34" s="1"/>
  <c r="AJ17" i="34" s="1"/>
  <c r="AE20" i="34"/>
  <c r="AD21" i="34"/>
  <c r="AJ16" i="34"/>
  <c r="AE21" i="34"/>
  <c r="AD22" i="34"/>
  <c r="AJ6" i="34"/>
  <c r="AJ7" i="34"/>
  <c r="AD9" i="34"/>
  <c r="AE22" i="34"/>
  <c r="AD23" i="34"/>
  <c r="AJ18" i="34"/>
  <c r="AE23" i="34"/>
  <c r="AD13" i="34"/>
  <c r="AJ19" i="34"/>
  <c r="AE13" i="34"/>
  <c r="AD14" i="34"/>
  <c r="AD15" i="34"/>
  <c r="AJ21" i="34"/>
  <c r="AE11" i="34"/>
  <c r="AN11" i="34" s="1"/>
  <c r="AD16" i="34"/>
  <c r="C38" i="2"/>
  <c r="AE9" i="34"/>
  <c r="U14" i="34"/>
  <c r="A14" i="34"/>
  <c r="A18" i="65"/>
  <c r="AH9" i="22"/>
  <c r="AI9" i="22" s="1"/>
  <c r="AL14" i="70"/>
  <c r="AJ14" i="70"/>
  <c r="AJ10" i="70"/>
  <c r="AL10" i="70"/>
  <c r="AL13" i="70"/>
  <c r="AJ13" i="70"/>
  <c r="AJ9" i="70"/>
  <c r="AL9" i="70"/>
  <c r="AL12" i="70"/>
  <c r="AL21" i="70"/>
  <c r="AJ21" i="70"/>
  <c r="AL6" i="70"/>
  <c r="AJ6" i="70"/>
  <c r="AL11" i="70"/>
  <c r="AD5" i="70"/>
  <c r="AN5" i="70" s="1"/>
  <c r="AJ11" i="70"/>
  <c r="AH12" i="70"/>
  <c r="AI12" i="70" s="1"/>
  <c r="AJ12" i="70" s="1"/>
  <c r="AJ20" i="70"/>
  <c r="AH22" i="70"/>
  <c r="AI22" i="70" s="1"/>
  <c r="AL22" i="70" s="1"/>
  <c r="AM9" i="70"/>
  <c r="AN9" i="70" s="1"/>
  <c r="AD6" i="70"/>
  <c r="AN6" i="70" s="1"/>
  <c r="AD7" i="70"/>
  <c r="AN7" i="70" s="1"/>
  <c r="AD8" i="70"/>
  <c r="AN8" i="70" s="1"/>
  <c r="AM10" i="70"/>
  <c r="AD9" i="70"/>
  <c r="AH5" i="70"/>
  <c r="AI5" i="70" s="1"/>
  <c r="AL5" i="70" s="1"/>
  <c r="AE9" i="70"/>
  <c r="AD10" i="70"/>
  <c r="AJ5" i="70"/>
  <c r="AM12" i="70"/>
  <c r="AJ7" i="70"/>
  <c r="AJ8" i="70"/>
  <c r="AD11" i="70"/>
  <c r="AN11" i="70" s="1"/>
  <c r="AD20" i="70"/>
  <c r="AD21" i="70"/>
  <c r="AN13" i="70"/>
  <c r="AJ17" i="70"/>
  <c r="AD13" i="22"/>
  <c r="W11" i="22"/>
  <c r="U105" i="22"/>
  <c r="U104" i="22"/>
  <c r="W105" i="22"/>
  <c r="X105" i="22" s="1"/>
  <c r="W104" i="22"/>
  <c r="X104" i="22" s="1"/>
  <c r="AE26" i="22"/>
  <c r="AD25" i="22"/>
  <c r="AE38" i="22"/>
  <c r="AN38" i="22" s="1"/>
  <c r="AH19" i="70"/>
  <c r="AI19" i="70" s="1"/>
  <c r="AD19" i="70"/>
  <c r="AN19" i="70" s="1"/>
  <c r="AL17" i="70"/>
  <c r="AJ18" i="70"/>
  <c r="AL18" i="70"/>
  <c r="AM18" i="70"/>
  <c r="AD17" i="70"/>
  <c r="AE17" i="70"/>
  <c r="AD18" i="70"/>
  <c r="AE18" i="70"/>
  <c r="U21" i="70"/>
  <c r="U24" i="70"/>
  <c r="W26" i="70"/>
  <c r="X26" i="70" s="1"/>
  <c r="U36" i="70"/>
  <c r="W38" i="70"/>
  <c r="X38" i="70" s="1"/>
  <c r="U23" i="70"/>
  <c r="W25" i="70"/>
  <c r="X25" i="70" s="1"/>
  <c r="U35" i="70"/>
  <c r="W37" i="70"/>
  <c r="X37" i="70" s="1"/>
  <c r="W24" i="70"/>
  <c r="X24" i="70" s="1"/>
  <c r="U34" i="70"/>
  <c r="W36" i="70"/>
  <c r="X36" i="70" s="1"/>
  <c r="W23" i="70"/>
  <c r="X23" i="70" s="1"/>
  <c r="U33" i="70"/>
  <c r="W35" i="70"/>
  <c r="X35" i="70" s="1"/>
  <c r="U45" i="70"/>
  <c r="U32" i="70"/>
  <c r="W34" i="70"/>
  <c r="X34" i="70" s="1"/>
  <c r="U44" i="70"/>
  <c r="W27" i="70"/>
  <c r="X27" i="70" s="1"/>
  <c r="U31" i="70"/>
  <c r="W33" i="70"/>
  <c r="X33" i="70" s="1"/>
  <c r="U43" i="70"/>
  <c r="W45" i="70"/>
  <c r="X45" i="70" s="1"/>
  <c r="W39" i="70"/>
  <c r="X39" i="70" s="1"/>
  <c r="U30" i="70"/>
  <c r="W32" i="70"/>
  <c r="X32" i="70" s="1"/>
  <c r="U42" i="70"/>
  <c r="W44" i="70"/>
  <c r="X44" i="70" s="1"/>
  <c r="U29" i="70"/>
  <c r="W31" i="70"/>
  <c r="X31" i="70" s="1"/>
  <c r="U41" i="70"/>
  <c r="W43" i="70"/>
  <c r="X43" i="70" s="1"/>
  <c r="U25" i="70"/>
  <c r="U28" i="70"/>
  <c r="W30" i="70"/>
  <c r="X30" i="70" s="1"/>
  <c r="U40" i="70"/>
  <c r="W42" i="70"/>
  <c r="X42" i="70" s="1"/>
  <c r="U27" i="70"/>
  <c r="W29" i="70"/>
  <c r="X29" i="70" s="1"/>
  <c r="U39" i="70"/>
  <c r="W41" i="70"/>
  <c r="X41" i="70" s="1"/>
  <c r="U26" i="70"/>
  <c r="W28" i="70"/>
  <c r="X28" i="70" s="1"/>
  <c r="U38" i="70"/>
  <c r="W40" i="70"/>
  <c r="X40" i="70" s="1"/>
  <c r="U37" i="70"/>
  <c r="W16" i="70"/>
  <c r="X16" i="70" s="1"/>
  <c r="AH6" i="22"/>
  <c r="AI6" i="22" s="1"/>
  <c r="AD21" i="22"/>
  <c r="AE23" i="22"/>
  <c r="AD8" i="22"/>
  <c r="AE50" i="22"/>
  <c r="AH7" i="22"/>
  <c r="AI7" i="22" s="1"/>
  <c r="AJ7" i="22" s="1"/>
  <c r="AH20" i="22"/>
  <c r="AI20" i="22" s="1"/>
  <c r="AE14" i="22"/>
  <c r="AD33" i="22"/>
  <c r="AD45" i="22"/>
  <c r="AE47" i="22"/>
  <c r="AD49" i="22"/>
  <c r="W9" i="22"/>
  <c r="AH14" i="22"/>
  <c r="AI14" i="22" s="1"/>
  <c r="AL14" i="22" s="1"/>
  <c r="AD37" i="22"/>
  <c r="AH47" i="22"/>
  <c r="AI47" i="22" s="1"/>
  <c r="AD5" i="22"/>
  <c r="AN5" i="22" s="1"/>
  <c r="AD10" i="22"/>
  <c r="AD15" i="22"/>
  <c r="AE17" i="22"/>
  <c r="AN17" i="22" s="1"/>
  <c r="AJ21" i="22"/>
  <c r="AE35" i="22"/>
  <c r="AN35" i="22" s="1"/>
  <c r="AH38" i="22"/>
  <c r="AI38" i="22" s="1"/>
  <c r="AL38" i="22" s="1"/>
  <c r="AD51" i="22"/>
  <c r="AD8" i="69"/>
  <c r="AD62" i="69"/>
  <c r="AN62" i="69" s="1"/>
  <c r="AN7" i="22"/>
  <c r="AD9" i="22"/>
  <c r="AE10" i="22"/>
  <c r="AH26" i="22"/>
  <c r="AI26" i="22" s="1"/>
  <c r="AJ26" i="22" s="1"/>
  <c r="AE53" i="22"/>
  <c r="AN53" i="22" s="1"/>
  <c r="AE9" i="22"/>
  <c r="AH17" i="22"/>
  <c r="AI17" i="22" s="1"/>
  <c r="AL17" i="22" s="1"/>
  <c r="AD19" i="22"/>
  <c r="AE32" i="22"/>
  <c r="AH35" i="22"/>
  <c r="AI35" i="22" s="1"/>
  <c r="AJ35" i="22" s="1"/>
  <c r="AE44" i="22"/>
  <c r="A14" i="69"/>
  <c r="K26" i="68" s="1"/>
  <c r="AE28" i="69"/>
  <c r="AN8" i="22"/>
  <c r="AH10" i="22"/>
  <c r="AI10" i="22" s="1"/>
  <c r="AJ10" i="22" s="1"/>
  <c r="AJ27" i="22"/>
  <c r="AJ30" i="22"/>
  <c r="AJ42" i="22"/>
  <c r="AH53" i="22"/>
  <c r="AI53" i="22" s="1"/>
  <c r="AL53" i="22" s="1"/>
  <c r="AE16" i="69"/>
  <c r="AH32" i="22"/>
  <c r="AI32" i="22" s="1"/>
  <c r="AL32" i="22" s="1"/>
  <c r="AM14" i="69"/>
  <c r="AE18" i="69"/>
  <c r="AH28" i="69"/>
  <c r="AI28" i="69" s="1"/>
  <c r="AJ28" i="69" s="1"/>
  <c r="AH44" i="22"/>
  <c r="AI44" i="22" s="1"/>
  <c r="AH23" i="22"/>
  <c r="AI23" i="22" s="1"/>
  <c r="AD27" i="22"/>
  <c r="AD39" i="22"/>
  <c r="AJ45" i="22"/>
  <c r="AH50" i="22"/>
  <c r="AI50" i="22" s="1"/>
  <c r="AJ50" i="22" s="1"/>
  <c r="AH16" i="69"/>
  <c r="AI16" i="69" s="1"/>
  <c r="AL16" i="69" s="1"/>
  <c r="AE29" i="22"/>
  <c r="AJ33" i="22"/>
  <c r="AE41" i="22"/>
  <c r="W52" i="69"/>
  <c r="X52" i="69" s="1"/>
  <c r="U50" i="69"/>
  <c r="W40" i="69"/>
  <c r="X40" i="69" s="1"/>
  <c r="U38" i="69"/>
  <c r="W53" i="69"/>
  <c r="X53" i="69" s="1"/>
  <c r="U51" i="69"/>
  <c r="W41" i="69"/>
  <c r="X41" i="69" s="1"/>
  <c r="U39" i="69"/>
  <c r="U37" i="69"/>
  <c r="W54" i="69"/>
  <c r="X54" i="69" s="1"/>
  <c r="U52" i="69"/>
  <c r="W42" i="69"/>
  <c r="X42" i="69" s="1"/>
  <c r="U40" i="69"/>
  <c r="W55" i="69"/>
  <c r="X55" i="69" s="1"/>
  <c r="U53" i="69"/>
  <c r="W43" i="69"/>
  <c r="X43" i="69" s="1"/>
  <c r="U41" i="69"/>
  <c r="W56" i="69"/>
  <c r="X56" i="69" s="1"/>
  <c r="U54" i="69"/>
  <c r="W44" i="69"/>
  <c r="X44" i="69" s="1"/>
  <c r="U42" i="69"/>
  <c r="W57" i="69"/>
  <c r="X57" i="69" s="1"/>
  <c r="U55" i="69"/>
  <c r="W45" i="69"/>
  <c r="X45" i="69" s="1"/>
  <c r="U43" i="69"/>
  <c r="U48" i="69"/>
  <c r="U49" i="69"/>
  <c r="W58" i="69"/>
  <c r="X58" i="69" s="1"/>
  <c r="U56" i="69"/>
  <c r="W46" i="69"/>
  <c r="X46" i="69" s="1"/>
  <c r="U44" i="69"/>
  <c r="W59" i="69"/>
  <c r="X59" i="69" s="1"/>
  <c r="U57" i="69"/>
  <c r="W47" i="69"/>
  <c r="X47" i="69" s="1"/>
  <c r="U45" i="69"/>
  <c r="W50" i="69"/>
  <c r="X50" i="69" s="1"/>
  <c r="W38" i="69"/>
  <c r="X38" i="69" s="1"/>
  <c r="W39" i="69"/>
  <c r="X39" i="69" s="1"/>
  <c r="U58" i="69"/>
  <c r="W48" i="69"/>
  <c r="X48" i="69" s="1"/>
  <c r="U46" i="69"/>
  <c r="W51" i="69"/>
  <c r="X51" i="69" s="1"/>
  <c r="U59" i="69"/>
  <c r="W49" i="69"/>
  <c r="X49" i="69" s="1"/>
  <c r="U47" i="69"/>
  <c r="W37" i="69"/>
  <c r="X37" i="69" s="1"/>
  <c r="AE20" i="22"/>
  <c r="AD31" i="22"/>
  <c r="AD43" i="22"/>
  <c r="AH29" i="22"/>
  <c r="AI29" i="22" s="1"/>
  <c r="AL29" i="22" s="1"/>
  <c r="AH41" i="22"/>
  <c r="AI41" i="22" s="1"/>
  <c r="AL41" i="22" s="1"/>
  <c r="AH25" i="69"/>
  <c r="AI25" i="69" s="1"/>
  <c r="AH27" i="69"/>
  <c r="AI27" i="69" s="1"/>
  <c r="AL6" i="22"/>
  <c r="AJ6" i="22"/>
  <c r="AL47" i="22"/>
  <c r="AJ47" i="22"/>
  <c r="AL11" i="69"/>
  <c r="AJ11" i="69"/>
  <c r="AJ23" i="69"/>
  <c r="AL23" i="69"/>
  <c r="AJ60" i="69"/>
  <c r="AL13" i="22"/>
  <c r="AJ13" i="22"/>
  <c r="AL45" i="22"/>
  <c r="AL6" i="69"/>
  <c r="AJ33" i="69"/>
  <c r="AL33" i="69"/>
  <c r="AL35" i="69"/>
  <c r="AL33" i="22"/>
  <c r="AL21" i="69"/>
  <c r="AJ21" i="69"/>
  <c r="AL5" i="22"/>
  <c r="AJ5" i="22"/>
  <c r="AL40" i="22"/>
  <c r="AJ40" i="22"/>
  <c r="AL19" i="69"/>
  <c r="AJ19" i="69"/>
  <c r="AL62" i="69"/>
  <c r="AJ62" i="69"/>
  <c r="AL10" i="22"/>
  <c r="AL64" i="69"/>
  <c r="AJ19" i="22"/>
  <c r="AL19" i="22"/>
  <c r="AL44" i="22"/>
  <c r="AJ44" i="22"/>
  <c r="AL24" i="69"/>
  <c r="AJ24" i="69"/>
  <c r="AL66" i="69"/>
  <c r="AJ66" i="69"/>
  <c r="AL8" i="22"/>
  <c r="AJ8" i="22"/>
  <c r="AJ9" i="22"/>
  <c r="AL37" i="22"/>
  <c r="AJ37" i="22"/>
  <c r="AJ12" i="69"/>
  <c r="AL12" i="69"/>
  <c r="AL36" i="69"/>
  <c r="AJ36" i="69"/>
  <c r="AL21" i="22"/>
  <c r="AL23" i="22"/>
  <c r="AJ23" i="22"/>
  <c r="AL50" i="22"/>
  <c r="AJ22" i="69"/>
  <c r="AL22" i="69"/>
  <c r="AJ34" i="69"/>
  <c r="AL34" i="69"/>
  <c r="AJ14" i="22"/>
  <c r="AL61" i="69"/>
  <c r="AJ61" i="69"/>
  <c r="AL7" i="22"/>
  <c r="AL52" i="22"/>
  <c r="AJ52" i="22"/>
  <c r="AL63" i="69"/>
  <c r="AJ63" i="69"/>
  <c r="AL27" i="22"/>
  <c r="AJ29" i="22"/>
  <c r="AL9" i="69"/>
  <c r="AJ9" i="69"/>
  <c r="AL25" i="69"/>
  <c r="AJ25" i="69"/>
  <c r="AL27" i="69"/>
  <c r="AJ27" i="69"/>
  <c r="AJ18" i="22"/>
  <c r="AL20" i="22"/>
  <c r="AJ20" i="22"/>
  <c r="AJ31" i="22"/>
  <c r="AL31" i="22"/>
  <c r="AJ43" i="22"/>
  <c r="AL43" i="22"/>
  <c r="AL13" i="69"/>
  <c r="AJ13" i="69"/>
  <c r="AL15" i="69"/>
  <c r="AJ15" i="69"/>
  <c r="AL65" i="69"/>
  <c r="AJ67" i="69"/>
  <c r="AL67" i="69"/>
  <c r="AL9" i="22"/>
  <c r="AH11" i="22"/>
  <c r="AI11" i="22" s="1"/>
  <c r="AL11" i="22" s="1"/>
  <c r="AE13" i="22"/>
  <c r="AD14" i="22"/>
  <c r="AL18" i="22"/>
  <c r="AH22" i="22"/>
  <c r="AI22" i="22" s="1"/>
  <c r="AL22" i="22" s="1"/>
  <c r="AE25" i="22"/>
  <c r="AD26" i="22"/>
  <c r="AM29" i="22"/>
  <c r="AL30" i="22"/>
  <c r="AH34" i="22"/>
  <c r="AI34" i="22" s="1"/>
  <c r="AJ34" i="22" s="1"/>
  <c r="AE37" i="22"/>
  <c r="AN37" i="22" s="1"/>
  <c r="AM41" i="22"/>
  <c r="AL42" i="22"/>
  <c r="AH46" i="22"/>
  <c r="AI46" i="22" s="1"/>
  <c r="AL46" i="22" s="1"/>
  <c r="AE49" i="22"/>
  <c r="AN7" i="69"/>
  <c r="AN8" i="69"/>
  <c r="AM11" i="69"/>
  <c r="AH14" i="69"/>
  <c r="AI14" i="69" s="1"/>
  <c r="AL14" i="69" s="1"/>
  <c r="AE17" i="69"/>
  <c r="AD18" i="69"/>
  <c r="AM21" i="69"/>
  <c r="AH26" i="69"/>
  <c r="AI26" i="69" s="1"/>
  <c r="AL26" i="69" s="1"/>
  <c r="AE29" i="69"/>
  <c r="AD30" i="69"/>
  <c r="AN30" i="69" s="1"/>
  <c r="AJ35" i="69"/>
  <c r="AE62" i="69"/>
  <c r="AD63" i="69"/>
  <c r="AM18" i="22"/>
  <c r="AM30" i="22"/>
  <c r="AM42" i="22"/>
  <c r="AH5" i="69"/>
  <c r="AI5" i="69" s="1"/>
  <c r="AL5" i="69" s="1"/>
  <c r="AM22" i="69"/>
  <c r="AN22" i="69" s="1"/>
  <c r="U33" i="69"/>
  <c r="AH60" i="69"/>
  <c r="AI60" i="69" s="1"/>
  <c r="AL60" i="69" s="1"/>
  <c r="AE63" i="69"/>
  <c r="AN63" i="69" s="1"/>
  <c r="AD64" i="69"/>
  <c r="AN6" i="22"/>
  <c r="AH12" i="22"/>
  <c r="AI12" i="22" s="1"/>
  <c r="AL12" i="22" s="1"/>
  <c r="AE15" i="22"/>
  <c r="AN15" i="22" s="1"/>
  <c r="AD16" i="22"/>
  <c r="AM19" i="22"/>
  <c r="AH24" i="22"/>
  <c r="AI24" i="22" s="1"/>
  <c r="AL24" i="22" s="1"/>
  <c r="AE27" i="22"/>
  <c r="AN27" i="22" s="1"/>
  <c r="AD28" i="22"/>
  <c r="AM31" i="22"/>
  <c r="AH36" i="22"/>
  <c r="AI36" i="22" s="1"/>
  <c r="AL36" i="22" s="1"/>
  <c r="AE39" i="22"/>
  <c r="AD40" i="22"/>
  <c r="AM43" i="22"/>
  <c r="AH48" i="22"/>
  <c r="AI48" i="22" s="1"/>
  <c r="AL48" i="22" s="1"/>
  <c r="AE51" i="22"/>
  <c r="AD52" i="22"/>
  <c r="AD10" i="69"/>
  <c r="AM12" i="69"/>
  <c r="AJ14" i="69"/>
  <c r="AD20" i="69"/>
  <c r="AM23" i="69"/>
  <c r="AD32" i="69"/>
  <c r="AM34" i="69"/>
  <c r="AE64" i="69"/>
  <c r="AD65" i="69"/>
  <c r="AE16" i="22"/>
  <c r="AM20" i="22"/>
  <c r="AH25" i="22"/>
  <c r="AI25" i="22" s="1"/>
  <c r="AL25" i="22" s="1"/>
  <c r="AE28" i="22"/>
  <c r="AE40" i="22"/>
  <c r="AM44" i="22"/>
  <c r="AH49" i="22"/>
  <c r="AI49" i="22" s="1"/>
  <c r="AL49" i="22" s="1"/>
  <c r="AE52" i="22"/>
  <c r="AH7" i="69"/>
  <c r="AI7" i="69" s="1"/>
  <c r="AL7" i="69" s="1"/>
  <c r="AH8" i="69"/>
  <c r="AI8" i="69" s="1"/>
  <c r="AL8" i="69" s="1"/>
  <c r="AE10" i="69"/>
  <c r="AD11" i="69"/>
  <c r="AM13" i="69"/>
  <c r="AH17" i="69"/>
  <c r="AI17" i="69" s="1"/>
  <c r="AL17" i="69" s="1"/>
  <c r="AE20" i="69"/>
  <c r="AD21" i="69"/>
  <c r="AM24" i="69"/>
  <c r="AH29" i="69"/>
  <c r="AI29" i="69" s="1"/>
  <c r="AL29" i="69" s="1"/>
  <c r="AE32" i="69"/>
  <c r="AM35" i="69"/>
  <c r="AE65" i="69"/>
  <c r="AN65" i="69" s="1"/>
  <c r="AD66" i="69"/>
  <c r="AD18" i="22"/>
  <c r="AD30" i="22"/>
  <c r="AD42" i="22"/>
  <c r="AM45" i="22"/>
  <c r="AJ6" i="69"/>
  <c r="AE11" i="69"/>
  <c r="AJ16" i="69"/>
  <c r="AH18" i="69"/>
  <c r="AI18" i="69" s="1"/>
  <c r="AL18" i="69" s="1"/>
  <c r="AE21" i="69"/>
  <c r="AD22" i="69"/>
  <c r="AM25" i="69"/>
  <c r="AH30" i="69"/>
  <c r="AI30" i="69" s="1"/>
  <c r="AL30" i="69" s="1"/>
  <c r="AD33" i="69"/>
  <c r="AM36" i="69"/>
  <c r="AE66" i="69"/>
  <c r="AD67" i="69"/>
  <c r="AN67" i="69" s="1"/>
  <c r="AM11" i="22"/>
  <c r="AH15" i="22"/>
  <c r="AI15" i="22" s="1"/>
  <c r="AJ15" i="22" s="1"/>
  <c r="AE18" i="22"/>
  <c r="AM22" i="22"/>
  <c r="AE30" i="22"/>
  <c r="AH39" i="22"/>
  <c r="AI39" i="22" s="1"/>
  <c r="AJ39" i="22" s="1"/>
  <c r="AE42" i="22"/>
  <c r="AM46" i="22"/>
  <c r="AH51" i="22"/>
  <c r="AI51" i="22" s="1"/>
  <c r="AJ51" i="22" s="1"/>
  <c r="AD12" i="69"/>
  <c r="U14" i="69"/>
  <c r="AE22" i="69"/>
  <c r="AD23" i="69"/>
  <c r="AM26" i="69"/>
  <c r="AH31" i="69"/>
  <c r="AI31" i="69" s="1"/>
  <c r="AL31" i="69" s="1"/>
  <c r="AE33" i="69"/>
  <c r="AD34" i="69"/>
  <c r="AE67" i="69"/>
  <c r="AH16" i="22"/>
  <c r="AI16" i="22" s="1"/>
  <c r="AL16" i="22" s="1"/>
  <c r="AE19" i="22"/>
  <c r="AM23" i="22"/>
  <c r="AH28" i="22"/>
  <c r="AI28" i="22" s="1"/>
  <c r="AL28" i="22" s="1"/>
  <c r="AE31" i="22"/>
  <c r="AE43" i="22"/>
  <c r="AM47" i="22"/>
  <c r="AN47" i="22" s="1"/>
  <c r="AM5" i="69"/>
  <c r="AN5" i="69" s="1"/>
  <c r="AH10" i="69"/>
  <c r="AI10" i="69" s="1"/>
  <c r="AL10" i="69" s="1"/>
  <c r="AE12" i="69"/>
  <c r="AD13" i="69"/>
  <c r="AM15" i="69"/>
  <c r="AH20" i="69"/>
  <c r="AI20" i="69" s="1"/>
  <c r="AL20" i="69" s="1"/>
  <c r="AE23" i="69"/>
  <c r="AD24" i="69"/>
  <c r="AM27" i="69"/>
  <c r="AH32" i="69"/>
  <c r="AI32" i="69" s="1"/>
  <c r="AL32" i="69" s="1"/>
  <c r="AE34" i="69"/>
  <c r="AD35" i="69"/>
  <c r="AM24" i="22"/>
  <c r="AM48" i="22"/>
  <c r="AE13" i="69"/>
  <c r="AM16" i="69"/>
  <c r="AN16" i="69" s="1"/>
  <c r="AE24" i="69"/>
  <c r="AD25" i="69"/>
  <c r="AM28" i="69"/>
  <c r="AN28" i="69" s="1"/>
  <c r="AJ31" i="69"/>
  <c r="AE35" i="69"/>
  <c r="AD36" i="69"/>
  <c r="AN36" i="69" s="1"/>
  <c r="AJ64" i="69"/>
  <c r="AD11" i="22"/>
  <c r="AN11" i="22" s="1"/>
  <c r="AE21" i="22"/>
  <c r="AD22" i="22"/>
  <c r="AE33" i="22"/>
  <c r="AD34" i="22"/>
  <c r="AE45" i="22"/>
  <c r="AD46" i="22"/>
  <c r="AJ10" i="69"/>
  <c r="AD14" i="69"/>
  <c r="AD26" i="69"/>
  <c r="AJ65" i="69"/>
  <c r="AD15" i="69"/>
  <c r="AD27" i="69"/>
  <c r="AD60" i="69"/>
  <c r="AD12" i="22"/>
  <c r="AN12" i="22" s="1"/>
  <c r="AD24" i="22"/>
  <c r="AD36" i="22"/>
  <c r="AD48" i="22"/>
  <c r="U40" i="3"/>
  <c r="W42" i="3"/>
  <c r="X42" i="3" s="1"/>
  <c r="U52" i="3"/>
  <c r="W54" i="3"/>
  <c r="X54" i="3" s="1"/>
  <c r="U64" i="3"/>
  <c r="W66" i="3"/>
  <c r="X66" i="3" s="1"/>
  <c r="U76" i="3"/>
  <c r="W78" i="3"/>
  <c r="X78" i="3" s="1"/>
  <c r="U88" i="3"/>
  <c r="W90" i="3"/>
  <c r="X90" i="3" s="1"/>
  <c r="U39" i="3"/>
  <c r="W41" i="3"/>
  <c r="X41" i="3" s="1"/>
  <c r="U51" i="3"/>
  <c r="W53" i="3"/>
  <c r="X53" i="3" s="1"/>
  <c r="U63" i="3"/>
  <c r="W65" i="3"/>
  <c r="X65" i="3" s="1"/>
  <c r="U75" i="3"/>
  <c r="W77" i="3"/>
  <c r="X77" i="3" s="1"/>
  <c r="U87" i="3"/>
  <c r="W89" i="3"/>
  <c r="X89" i="3" s="1"/>
  <c r="W40" i="3"/>
  <c r="X40" i="3" s="1"/>
  <c r="U50" i="3"/>
  <c r="W52" i="3"/>
  <c r="X52" i="3" s="1"/>
  <c r="U62" i="3"/>
  <c r="W64" i="3"/>
  <c r="X64" i="3" s="1"/>
  <c r="U74" i="3"/>
  <c r="W76" i="3"/>
  <c r="X76" i="3" s="1"/>
  <c r="U86" i="3"/>
  <c r="W88" i="3"/>
  <c r="X88" i="3" s="1"/>
  <c r="W39" i="3"/>
  <c r="X39" i="3" s="1"/>
  <c r="U49" i="3"/>
  <c r="W51" i="3"/>
  <c r="X51" i="3" s="1"/>
  <c r="U61" i="3"/>
  <c r="W63" i="3"/>
  <c r="X63" i="3" s="1"/>
  <c r="U73" i="3"/>
  <c r="W75" i="3"/>
  <c r="X75" i="3" s="1"/>
  <c r="U85" i="3"/>
  <c r="W87" i="3"/>
  <c r="X87" i="3" s="1"/>
  <c r="U97" i="3"/>
  <c r="W99" i="3"/>
  <c r="X99" i="3" s="1"/>
  <c r="U48" i="3"/>
  <c r="W50" i="3"/>
  <c r="X50" i="3" s="1"/>
  <c r="U60" i="3"/>
  <c r="W62" i="3"/>
  <c r="X62" i="3" s="1"/>
  <c r="U72" i="3"/>
  <c r="W74" i="3"/>
  <c r="X74" i="3" s="1"/>
  <c r="U84" i="3"/>
  <c r="W86" i="3"/>
  <c r="X86" i="3" s="1"/>
  <c r="U47" i="3"/>
  <c r="W49" i="3"/>
  <c r="X49" i="3" s="1"/>
  <c r="U59" i="3"/>
  <c r="W61" i="3"/>
  <c r="X61" i="3" s="1"/>
  <c r="U71" i="3"/>
  <c r="W73" i="3"/>
  <c r="X73" i="3" s="1"/>
  <c r="U46" i="3"/>
  <c r="W48" i="3"/>
  <c r="X48" i="3" s="1"/>
  <c r="U58" i="3"/>
  <c r="W60" i="3"/>
  <c r="X60" i="3" s="1"/>
  <c r="U70" i="3"/>
  <c r="W72" i="3"/>
  <c r="X72" i="3" s="1"/>
  <c r="U82" i="3"/>
  <c r="W84" i="3"/>
  <c r="X84" i="3" s="1"/>
  <c r="U45" i="3"/>
  <c r="W47" i="3"/>
  <c r="X47" i="3" s="1"/>
  <c r="U57" i="3"/>
  <c r="W59" i="3"/>
  <c r="X59" i="3" s="1"/>
  <c r="U69" i="3"/>
  <c r="W71" i="3"/>
  <c r="X71" i="3" s="1"/>
  <c r="U81" i="3"/>
  <c r="W83" i="3"/>
  <c r="X83" i="3" s="1"/>
  <c r="U43" i="3"/>
  <c r="W45" i="3"/>
  <c r="X45" i="3" s="1"/>
  <c r="U55" i="3"/>
  <c r="W57" i="3"/>
  <c r="X57" i="3" s="1"/>
  <c r="U41" i="3"/>
  <c r="W43" i="3"/>
  <c r="X43" i="3" s="1"/>
  <c r="U53" i="3"/>
  <c r="W55" i="3"/>
  <c r="X55" i="3" s="1"/>
  <c r="U65" i="3"/>
  <c r="W67" i="3"/>
  <c r="X67" i="3" s="1"/>
  <c r="W80" i="3"/>
  <c r="X80" i="3" s="1"/>
  <c r="W91" i="3"/>
  <c r="X91" i="3" s="1"/>
  <c r="W94" i="3"/>
  <c r="X94" i="3" s="1"/>
  <c r="U107" i="3"/>
  <c r="W109" i="3"/>
  <c r="X109" i="3" s="1"/>
  <c r="U119" i="3"/>
  <c r="W121" i="3"/>
  <c r="X121" i="3" s="1"/>
  <c r="U131" i="3"/>
  <c r="W133" i="3"/>
  <c r="X133" i="3" s="1"/>
  <c r="W44" i="3"/>
  <c r="X44" i="3" s="1"/>
  <c r="U78" i="3"/>
  <c r="W79" i="3"/>
  <c r="X79" i="3" s="1"/>
  <c r="W81" i="3"/>
  <c r="X81" i="3" s="1"/>
  <c r="U83" i="3"/>
  <c r="W98" i="3"/>
  <c r="X98" i="3" s="1"/>
  <c r="U106" i="3"/>
  <c r="W108" i="3"/>
  <c r="X108" i="3" s="1"/>
  <c r="U118" i="3"/>
  <c r="W120" i="3"/>
  <c r="X120" i="3" s="1"/>
  <c r="U68" i="3"/>
  <c r="U77" i="3"/>
  <c r="W82" i="3"/>
  <c r="X82" i="3" s="1"/>
  <c r="U89" i="3"/>
  <c r="U92" i="3"/>
  <c r="U105" i="3"/>
  <c r="W107" i="3"/>
  <c r="X107" i="3" s="1"/>
  <c r="U117" i="3"/>
  <c r="W119" i="3"/>
  <c r="X119" i="3" s="1"/>
  <c r="U129" i="3"/>
  <c r="W131" i="3"/>
  <c r="X131" i="3" s="1"/>
  <c r="U54" i="3"/>
  <c r="W69" i="3"/>
  <c r="X69" i="3" s="1"/>
  <c r="U96" i="3"/>
  <c r="W97" i="3"/>
  <c r="X97" i="3" s="1"/>
  <c r="U104" i="3"/>
  <c r="W106" i="3"/>
  <c r="X106" i="3" s="1"/>
  <c r="U116" i="3"/>
  <c r="W118" i="3"/>
  <c r="X118" i="3" s="1"/>
  <c r="U128" i="3"/>
  <c r="W130" i="3"/>
  <c r="X130" i="3" s="1"/>
  <c r="U140" i="3"/>
  <c r="W68" i="3"/>
  <c r="X68" i="3" s="1"/>
  <c r="W70" i="3"/>
  <c r="X70" i="3" s="1"/>
  <c r="W92" i="3"/>
  <c r="X92" i="3" s="1"/>
  <c r="U103" i="3"/>
  <c r="W105" i="3"/>
  <c r="X105" i="3" s="1"/>
  <c r="U115" i="3"/>
  <c r="W117" i="3"/>
  <c r="X117" i="3" s="1"/>
  <c r="U67" i="3"/>
  <c r="U95" i="3"/>
  <c r="W96" i="3"/>
  <c r="X96" i="3" s="1"/>
  <c r="U102" i="3"/>
  <c r="W104" i="3"/>
  <c r="X104" i="3" s="1"/>
  <c r="U114" i="3"/>
  <c r="W116" i="3"/>
  <c r="X116" i="3" s="1"/>
  <c r="U126" i="3"/>
  <c r="W128" i="3"/>
  <c r="X128" i="3" s="1"/>
  <c r="U42" i="3"/>
  <c r="U90" i="3"/>
  <c r="U93" i="3"/>
  <c r="U101" i="3"/>
  <c r="W103" i="3"/>
  <c r="X103" i="3" s="1"/>
  <c r="U113" i="3"/>
  <c r="W115" i="3"/>
  <c r="X115" i="3" s="1"/>
  <c r="U56" i="3"/>
  <c r="W58" i="3"/>
  <c r="X58" i="3" s="1"/>
  <c r="W95" i="3"/>
  <c r="X95" i="3" s="1"/>
  <c r="U100" i="3"/>
  <c r="W102" i="3"/>
  <c r="X102" i="3" s="1"/>
  <c r="U112" i="3"/>
  <c r="W114" i="3"/>
  <c r="X114" i="3" s="1"/>
  <c r="U124" i="3"/>
  <c r="W126" i="3"/>
  <c r="X126" i="3" s="1"/>
  <c r="U66" i="3"/>
  <c r="W93" i="3"/>
  <c r="X93" i="3" s="1"/>
  <c r="W101" i="3"/>
  <c r="X101" i="3" s="1"/>
  <c r="U111" i="3"/>
  <c r="W113" i="3"/>
  <c r="X113" i="3" s="1"/>
  <c r="W56" i="3"/>
  <c r="X56" i="3" s="1"/>
  <c r="U99" i="3"/>
  <c r="W100" i="3"/>
  <c r="X100" i="3" s="1"/>
  <c r="U110" i="3"/>
  <c r="W112" i="3"/>
  <c r="X112" i="3" s="1"/>
  <c r="U122" i="3"/>
  <c r="U80" i="3"/>
  <c r="W85" i="3"/>
  <c r="X85" i="3" s="1"/>
  <c r="U91" i="3"/>
  <c r="U94" i="3"/>
  <c r="U109" i="3"/>
  <c r="W111" i="3"/>
  <c r="X111" i="3" s="1"/>
  <c r="U79" i="3"/>
  <c r="U123" i="3"/>
  <c r="W136" i="3"/>
  <c r="X136" i="3" s="1"/>
  <c r="U142" i="3"/>
  <c r="W144" i="3"/>
  <c r="X144" i="3" s="1"/>
  <c r="U154" i="3"/>
  <c r="W156" i="3"/>
  <c r="X156" i="3" s="1"/>
  <c r="U166" i="3"/>
  <c r="W168" i="3"/>
  <c r="X168" i="3" s="1"/>
  <c r="U178" i="3"/>
  <c r="W180" i="3"/>
  <c r="X180" i="3" s="1"/>
  <c r="U120" i="3"/>
  <c r="U121" i="3"/>
  <c r="U133" i="3"/>
  <c r="U141" i="3"/>
  <c r="W143" i="3"/>
  <c r="X143" i="3" s="1"/>
  <c r="U153" i="3"/>
  <c r="W155" i="3"/>
  <c r="X155" i="3" s="1"/>
  <c r="U165" i="3"/>
  <c r="W167" i="3"/>
  <c r="X167" i="3" s="1"/>
  <c r="U177" i="3"/>
  <c r="W46" i="3"/>
  <c r="X46" i="3" s="1"/>
  <c r="W122" i="3"/>
  <c r="X122" i="3" s="1"/>
  <c r="W123" i="3"/>
  <c r="X123" i="3" s="1"/>
  <c r="U135" i="3"/>
  <c r="W142" i="3"/>
  <c r="X142" i="3" s="1"/>
  <c r="U152" i="3"/>
  <c r="W154" i="3"/>
  <c r="X154" i="3" s="1"/>
  <c r="U164" i="3"/>
  <c r="W166" i="3"/>
  <c r="X166" i="3" s="1"/>
  <c r="U176" i="3"/>
  <c r="W178" i="3"/>
  <c r="X178" i="3" s="1"/>
  <c r="U130" i="3"/>
  <c r="U137" i="3"/>
  <c r="W141" i="3"/>
  <c r="X141" i="3" s="1"/>
  <c r="U151" i="3"/>
  <c r="W153" i="3"/>
  <c r="X153" i="3" s="1"/>
  <c r="U163" i="3"/>
  <c r="W165" i="3"/>
  <c r="X165" i="3" s="1"/>
  <c r="U175" i="3"/>
  <c r="W177" i="3"/>
  <c r="X177" i="3" s="1"/>
  <c r="W135" i="3"/>
  <c r="X135" i="3" s="1"/>
  <c r="U150" i="3"/>
  <c r="W152" i="3"/>
  <c r="X152" i="3" s="1"/>
  <c r="U44" i="3"/>
  <c r="U108" i="3"/>
  <c r="W124" i="3"/>
  <c r="X124" i="3" s="1"/>
  <c r="U125" i="3"/>
  <c r="U132" i="3"/>
  <c r="W137" i="3"/>
  <c r="X137" i="3" s="1"/>
  <c r="U139" i="3"/>
  <c r="W140" i="3"/>
  <c r="X140" i="3" s="1"/>
  <c r="U149" i="3"/>
  <c r="W151" i="3"/>
  <c r="X151" i="3" s="1"/>
  <c r="U161" i="3"/>
  <c r="W163" i="3"/>
  <c r="X163" i="3" s="1"/>
  <c r="U173" i="3"/>
  <c r="U148" i="3"/>
  <c r="W150" i="3"/>
  <c r="X150" i="3" s="1"/>
  <c r="U160" i="3"/>
  <c r="W162" i="3"/>
  <c r="X162" i="3" s="1"/>
  <c r="U172" i="3"/>
  <c r="W174" i="3"/>
  <c r="X174" i="3" s="1"/>
  <c r="W125" i="3"/>
  <c r="X125" i="3" s="1"/>
  <c r="W132" i="3"/>
  <c r="X132" i="3" s="1"/>
  <c r="W139" i="3"/>
  <c r="X139" i="3" s="1"/>
  <c r="U147" i="3"/>
  <c r="W149" i="3"/>
  <c r="X149" i="3" s="1"/>
  <c r="U134" i="3"/>
  <c r="U146" i="3"/>
  <c r="W148" i="3"/>
  <c r="X148" i="3" s="1"/>
  <c r="U158" i="3"/>
  <c r="W160" i="3"/>
  <c r="X160" i="3" s="1"/>
  <c r="U127" i="3"/>
  <c r="U138" i="3"/>
  <c r="U145" i="3"/>
  <c r="W147" i="3"/>
  <c r="X147" i="3" s="1"/>
  <c r="U157" i="3"/>
  <c r="W159" i="3"/>
  <c r="X159" i="3" s="1"/>
  <c r="U98" i="3"/>
  <c r="W134" i="3"/>
  <c r="X134" i="3" s="1"/>
  <c r="U136" i="3"/>
  <c r="U144" i="3"/>
  <c r="W146" i="3"/>
  <c r="X146" i="3" s="1"/>
  <c r="U156" i="3"/>
  <c r="W158" i="3"/>
  <c r="X158" i="3" s="1"/>
  <c r="W169" i="3"/>
  <c r="X169" i="3" s="1"/>
  <c r="U170" i="3"/>
  <c r="U182" i="3"/>
  <c r="U191" i="3"/>
  <c r="W193" i="3"/>
  <c r="X193" i="3" s="1"/>
  <c r="U203" i="3"/>
  <c r="W205" i="3"/>
  <c r="X205" i="3" s="1"/>
  <c r="U215" i="3"/>
  <c r="W217" i="3"/>
  <c r="X217" i="3" s="1"/>
  <c r="U227" i="3"/>
  <c r="W229" i="3"/>
  <c r="X229" i="3" s="1"/>
  <c r="W127" i="3"/>
  <c r="X127" i="3" s="1"/>
  <c r="W129" i="3"/>
  <c r="X129" i="3" s="1"/>
  <c r="W164" i="3"/>
  <c r="X164" i="3" s="1"/>
  <c r="U190" i="3"/>
  <c r="W192" i="3"/>
  <c r="X192" i="3" s="1"/>
  <c r="U202" i="3"/>
  <c r="W204" i="3"/>
  <c r="X204" i="3" s="1"/>
  <c r="U214" i="3"/>
  <c r="W216" i="3"/>
  <c r="X216" i="3" s="1"/>
  <c r="W170" i="3"/>
  <c r="X170" i="3" s="1"/>
  <c r="W182" i="3"/>
  <c r="X182" i="3" s="1"/>
  <c r="U184" i="3"/>
  <c r="U189" i="3"/>
  <c r="W191" i="3"/>
  <c r="X191" i="3" s="1"/>
  <c r="U201" i="3"/>
  <c r="W203" i="3"/>
  <c r="X203" i="3" s="1"/>
  <c r="U213" i="3"/>
  <c r="W215" i="3"/>
  <c r="X215" i="3" s="1"/>
  <c r="U225" i="3"/>
  <c r="W227" i="3"/>
  <c r="X227" i="3" s="1"/>
  <c r="U237" i="3"/>
  <c r="W239" i="3"/>
  <c r="X239" i="3" s="1"/>
  <c r="U171" i="3"/>
  <c r="U179" i="3"/>
  <c r="U188" i="3"/>
  <c r="W190" i="3"/>
  <c r="X190" i="3" s="1"/>
  <c r="U200" i="3"/>
  <c r="W202" i="3"/>
  <c r="X202" i="3" s="1"/>
  <c r="U212" i="3"/>
  <c r="W214" i="3"/>
  <c r="X214" i="3" s="1"/>
  <c r="U224" i="3"/>
  <c r="W226" i="3"/>
  <c r="X226" i="3" s="1"/>
  <c r="W145" i="3"/>
  <c r="X145" i="3" s="1"/>
  <c r="U155" i="3"/>
  <c r="W184" i="3"/>
  <c r="X184" i="3" s="1"/>
  <c r="U187" i="3"/>
  <c r="W189" i="3"/>
  <c r="X189" i="3" s="1"/>
  <c r="U199" i="3"/>
  <c r="W201" i="3"/>
  <c r="X201" i="3" s="1"/>
  <c r="W138" i="3"/>
  <c r="X138" i="3" s="1"/>
  <c r="W171" i="3"/>
  <c r="X171" i="3" s="1"/>
  <c r="W175" i="3"/>
  <c r="X175" i="3" s="1"/>
  <c r="W179" i="3"/>
  <c r="X179" i="3" s="1"/>
  <c r="U186" i="3"/>
  <c r="W188" i="3"/>
  <c r="X188" i="3" s="1"/>
  <c r="U198" i="3"/>
  <c r="W200" i="3"/>
  <c r="X200" i="3" s="1"/>
  <c r="U210" i="3"/>
  <c r="W212" i="3"/>
  <c r="X212" i="3" s="1"/>
  <c r="U222" i="3"/>
  <c r="W224" i="3"/>
  <c r="X224" i="3" s="1"/>
  <c r="U167" i="3"/>
  <c r="U181" i="3"/>
  <c r="W187" i="3"/>
  <c r="X187" i="3" s="1"/>
  <c r="U197" i="3"/>
  <c r="W199" i="3"/>
  <c r="X199" i="3" s="1"/>
  <c r="U209" i="3"/>
  <c r="W211" i="3"/>
  <c r="X211" i="3" s="1"/>
  <c r="U159" i="3"/>
  <c r="U162" i="3"/>
  <c r="W186" i="3"/>
  <c r="X186" i="3" s="1"/>
  <c r="U196" i="3"/>
  <c r="W198" i="3"/>
  <c r="X198" i="3" s="1"/>
  <c r="U208" i="3"/>
  <c r="W210" i="3"/>
  <c r="X210" i="3" s="1"/>
  <c r="W172" i="3"/>
  <c r="X172" i="3" s="1"/>
  <c r="W181" i="3"/>
  <c r="X181" i="3" s="1"/>
  <c r="U183" i="3"/>
  <c r="U195" i="3"/>
  <c r="W197" i="3"/>
  <c r="X197" i="3" s="1"/>
  <c r="U207" i="3"/>
  <c r="W209" i="3"/>
  <c r="X209" i="3" s="1"/>
  <c r="W161" i="3"/>
  <c r="X161" i="3" s="1"/>
  <c r="U168" i="3"/>
  <c r="U185" i="3"/>
  <c r="U194" i="3"/>
  <c r="W196" i="3"/>
  <c r="X196" i="3" s="1"/>
  <c r="U206" i="3"/>
  <c r="W208" i="3"/>
  <c r="X208" i="3" s="1"/>
  <c r="U218" i="3"/>
  <c r="U169" i="3"/>
  <c r="W173" i="3"/>
  <c r="X173" i="3" s="1"/>
  <c r="U174" i="3"/>
  <c r="W183" i="3"/>
  <c r="X183" i="3" s="1"/>
  <c r="U193" i="3"/>
  <c r="W195" i="3"/>
  <c r="X195" i="3" s="1"/>
  <c r="U205" i="3"/>
  <c r="W207" i="3"/>
  <c r="X207" i="3" s="1"/>
  <c r="W218" i="3"/>
  <c r="X218" i="3" s="1"/>
  <c r="U228" i="3"/>
  <c r="U233" i="3"/>
  <c r="U242" i="3"/>
  <c r="W244" i="3"/>
  <c r="X244" i="3" s="1"/>
  <c r="U254" i="3"/>
  <c r="W256" i="3"/>
  <c r="X256" i="3" s="1"/>
  <c r="U266" i="3"/>
  <c r="W268" i="3"/>
  <c r="X268" i="3" s="1"/>
  <c r="U278" i="3"/>
  <c r="W280" i="3"/>
  <c r="X280" i="3" s="1"/>
  <c r="U290" i="3"/>
  <c r="W292" i="3"/>
  <c r="X292" i="3" s="1"/>
  <c r="U219" i="3"/>
  <c r="W222" i="3"/>
  <c r="X222" i="3" s="1"/>
  <c r="U236" i="3"/>
  <c r="W237" i="3"/>
  <c r="X237" i="3" s="1"/>
  <c r="U241" i="3"/>
  <c r="W243" i="3"/>
  <c r="X243" i="3" s="1"/>
  <c r="U253" i="3"/>
  <c r="W255" i="3"/>
  <c r="X255" i="3" s="1"/>
  <c r="U265" i="3"/>
  <c r="W267" i="3"/>
  <c r="X267" i="3" s="1"/>
  <c r="U277" i="3"/>
  <c r="W279" i="3"/>
  <c r="X279" i="3" s="1"/>
  <c r="U211" i="3"/>
  <c r="U223" i="3"/>
  <c r="W228" i="3"/>
  <c r="X228" i="3" s="1"/>
  <c r="W233" i="3"/>
  <c r="X233" i="3" s="1"/>
  <c r="W242" i="3"/>
  <c r="X242" i="3" s="1"/>
  <c r="U252" i="3"/>
  <c r="W254" i="3"/>
  <c r="X254" i="3" s="1"/>
  <c r="U264" i="3"/>
  <c r="W266" i="3"/>
  <c r="X266" i="3" s="1"/>
  <c r="U276" i="3"/>
  <c r="W278" i="3"/>
  <c r="X278" i="3" s="1"/>
  <c r="U288" i="3"/>
  <c r="W290" i="3"/>
  <c r="X290" i="3" s="1"/>
  <c r="W185" i="3"/>
  <c r="X185" i="3" s="1"/>
  <c r="W219" i="3"/>
  <c r="X219" i="3" s="1"/>
  <c r="U230" i="3"/>
  <c r="U235" i="3"/>
  <c r="W236" i="3"/>
  <c r="X236" i="3" s="1"/>
  <c r="W241" i="3"/>
  <c r="X241" i="3" s="1"/>
  <c r="U251" i="3"/>
  <c r="W253" i="3"/>
  <c r="X253" i="3" s="1"/>
  <c r="U263" i="3"/>
  <c r="W265" i="3"/>
  <c r="X265" i="3" s="1"/>
  <c r="U275" i="3"/>
  <c r="W277" i="3"/>
  <c r="X277" i="3" s="1"/>
  <c r="U287" i="3"/>
  <c r="W289" i="3"/>
  <c r="X289" i="3" s="1"/>
  <c r="W194" i="3"/>
  <c r="X194" i="3" s="1"/>
  <c r="W223" i="3"/>
  <c r="X223" i="3" s="1"/>
  <c r="U240" i="3"/>
  <c r="U250" i="3"/>
  <c r="W252" i="3"/>
  <c r="X252" i="3" s="1"/>
  <c r="U262" i="3"/>
  <c r="W264" i="3"/>
  <c r="X264" i="3" s="1"/>
  <c r="U204" i="3"/>
  <c r="U220" i="3"/>
  <c r="W230" i="3"/>
  <c r="X230" i="3" s="1"/>
  <c r="U232" i="3"/>
  <c r="W235" i="3"/>
  <c r="X235" i="3" s="1"/>
  <c r="U249" i="3"/>
  <c r="W251" i="3"/>
  <c r="X251" i="3" s="1"/>
  <c r="U261" i="3"/>
  <c r="W263" i="3"/>
  <c r="X263" i="3" s="1"/>
  <c r="U273" i="3"/>
  <c r="W275" i="3"/>
  <c r="X275" i="3" s="1"/>
  <c r="U285" i="3"/>
  <c r="W287" i="3"/>
  <c r="X287" i="3" s="1"/>
  <c r="U143" i="3"/>
  <c r="W225" i="3"/>
  <c r="X225" i="3" s="1"/>
  <c r="W240" i="3"/>
  <c r="X240" i="3" s="1"/>
  <c r="U248" i="3"/>
  <c r="W250" i="3"/>
  <c r="X250" i="3" s="1"/>
  <c r="U260" i="3"/>
  <c r="W262" i="3"/>
  <c r="X262" i="3" s="1"/>
  <c r="U272" i="3"/>
  <c r="W274" i="3"/>
  <c r="X274" i="3" s="1"/>
  <c r="U216" i="3"/>
  <c r="W220" i="3"/>
  <c r="X220" i="3" s="1"/>
  <c r="W232" i="3"/>
  <c r="X232" i="3" s="1"/>
  <c r="U234" i="3"/>
  <c r="U239" i="3"/>
  <c r="U247" i="3"/>
  <c r="W249" i="3"/>
  <c r="X249" i="3" s="1"/>
  <c r="U259" i="3"/>
  <c r="W261" i="3"/>
  <c r="X261" i="3" s="1"/>
  <c r="W110" i="3"/>
  <c r="X110" i="3" s="1"/>
  <c r="U180" i="3"/>
  <c r="W213" i="3"/>
  <c r="X213" i="3" s="1"/>
  <c r="U221" i="3"/>
  <c r="U229" i="3"/>
  <c r="U246" i="3"/>
  <c r="W248" i="3"/>
  <c r="X248" i="3" s="1"/>
  <c r="U258" i="3"/>
  <c r="W260" i="3"/>
  <c r="X260" i="3" s="1"/>
  <c r="U270" i="3"/>
  <c r="W272" i="3"/>
  <c r="X272" i="3" s="1"/>
  <c r="W157" i="3"/>
  <c r="X157" i="3" s="1"/>
  <c r="U217" i="3"/>
  <c r="U231" i="3"/>
  <c r="W234" i="3"/>
  <c r="X234" i="3" s="1"/>
  <c r="U238" i="3"/>
  <c r="U245" i="3"/>
  <c r="W247" i="3"/>
  <c r="X247" i="3" s="1"/>
  <c r="U257" i="3"/>
  <c r="W259" i="3"/>
  <c r="X259" i="3" s="1"/>
  <c r="W221" i="3"/>
  <c r="X221" i="3" s="1"/>
  <c r="U244" i="3"/>
  <c r="W246" i="3"/>
  <c r="X246" i="3" s="1"/>
  <c r="U256" i="3"/>
  <c r="W258" i="3"/>
  <c r="X258" i="3" s="1"/>
  <c r="U268" i="3"/>
  <c r="W270" i="3"/>
  <c r="X270" i="3" s="1"/>
  <c r="W238" i="3"/>
  <c r="X238" i="3" s="1"/>
  <c r="W293" i="3"/>
  <c r="X293" i="3" s="1"/>
  <c r="U303" i="3"/>
  <c r="W305" i="3"/>
  <c r="X305" i="3" s="1"/>
  <c r="U315" i="3"/>
  <c r="W317" i="3"/>
  <c r="X317" i="3" s="1"/>
  <c r="U327" i="3"/>
  <c r="W329" i="3"/>
  <c r="X329" i="3" s="1"/>
  <c r="U281" i="3"/>
  <c r="W283" i="3"/>
  <c r="X283" i="3" s="1"/>
  <c r="U286" i="3"/>
  <c r="U295" i="3"/>
  <c r="U302" i="3"/>
  <c r="W304" i="3"/>
  <c r="X304" i="3" s="1"/>
  <c r="U314" i="3"/>
  <c r="W316" i="3"/>
  <c r="X316" i="3" s="1"/>
  <c r="U326" i="3"/>
  <c r="W328" i="3"/>
  <c r="X328" i="3" s="1"/>
  <c r="U301" i="3"/>
  <c r="W303" i="3"/>
  <c r="X303" i="3" s="1"/>
  <c r="U313" i="3"/>
  <c r="W315" i="3"/>
  <c r="X315" i="3" s="1"/>
  <c r="U325" i="3"/>
  <c r="W327" i="3"/>
  <c r="X327" i="3" s="1"/>
  <c r="W176" i="3"/>
  <c r="X176" i="3" s="1"/>
  <c r="W245" i="3"/>
  <c r="X245" i="3" s="1"/>
  <c r="U255" i="3"/>
  <c r="U267" i="3"/>
  <c r="W281" i="3"/>
  <c r="X281" i="3" s="1"/>
  <c r="U284" i="3"/>
  <c r="W286" i="3"/>
  <c r="X286" i="3" s="1"/>
  <c r="U292" i="3"/>
  <c r="W295" i="3"/>
  <c r="X295" i="3" s="1"/>
  <c r="U300" i="3"/>
  <c r="W302" i="3"/>
  <c r="X302" i="3" s="1"/>
  <c r="U312" i="3"/>
  <c r="W314" i="3"/>
  <c r="X314" i="3" s="1"/>
  <c r="U324" i="3"/>
  <c r="W326" i="3"/>
  <c r="X326" i="3" s="1"/>
  <c r="U336" i="3"/>
  <c r="W338" i="3"/>
  <c r="X338" i="3" s="1"/>
  <c r="U192" i="3"/>
  <c r="W231" i="3"/>
  <c r="X231" i="3" s="1"/>
  <c r="U299" i="3"/>
  <c r="W301" i="3"/>
  <c r="X301" i="3" s="1"/>
  <c r="U311" i="3"/>
  <c r="W313" i="3"/>
  <c r="X313" i="3" s="1"/>
  <c r="U279" i="3"/>
  <c r="U282" i="3"/>
  <c r="W284" i="3"/>
  <c r="X284" i="3" s="1"/>
  <c r="W288" i="3"/>
  <c r="X288" i="3" s="1"/>
  <c r="U294" i="3"/>
  <c r="U298" i="3"/>
  <c r="W300" i="3"/>
  <c r="X300" i="3" s="1"/>
  <c r="U310" i="3"/>
  <c r="W312" i="3"/>
  <c r="X312" i="3" s="1"/>
  <c r="U322" i="3"/>
  <c r="W324" i="3"/>
  <c r="X324" i="3" s="1"/>
  <c r="U334" i="3"/>
  <c r="W336" i="3"/>
  <c r="X336" i="3" s="1"/>
  <c r="W206" i="3"/>
  <c r="X206" i="3" s="1"/>
  <c r="U297" i="3"/>
  <c r="W299" i="3"/>
  <c r="X299" i="3" s="1"/>
  <c r="U309" i="3"/>
  <c r="W311" i="3"/>
  <c r="X311" i="3" s="1"/>
  <c r="U321" i="3"/>
  <c r="U269" i="3"/>
  <c r="U271" i="3"/>
  <c r="W276" i="3"/>
  <c r="X276" i="3" s="1"/>
  <c r="W282" i="3"/>
  <c r="X282" i="3" s="1"/>
  <c r="W294" i="3"/>
  <c r="X294" i="3" s="1"/>
  <c r="W298" i="3"/>
  <c r="X298" i="3" s="1"/>
  <c r="U308" i="3"/>
  <c r="W310" i="3"/>
  <c r="X310" i="3" s="1"/>
  <c r="U320" i="3"/>
  <c r="W322" i="3"/>
  <c r="X322" i="3" s="1"/>
  <c r="U226" i="3"/>
  <c r="W257" i="3"/>
  <c r="X257" i="3" s="1"/>
  <c r="U274" i="3"/>
  <c r="U291" i="3"/>
  <c r="U296" i="3"/>
  <c r="W297" i="3"/>
  <c r="X297" i="3" s="1"/>
  <c r="U307" i="3"/>
  <c r="W309" i="3"/>
  <c r="X309" i="3" s="1"/>
  <c r="U319" i="3"/>
  <c r="W321" i="3"/>
  <c r="X321" i="3" s="1"/>
  <c r="U331" i="3"/>
  <c r="W333" i="3"/>
  <c r="X333" i="3" s="1"/>
  <c r="W269" i="3"/>
  <c r="X269" i="3" s="1"/>
  <c r="W271" i="3"/>
  <c r="X271" i="3" s="1"/>
  <c r="U289" i="3"/>
  <c r="U306" i="3"/>
  <c r="W308" i="3"/>
  <c r="X308" i="3" s="1"/>
  <c r="U318" i="3"/>
  <c r="U243" i="3"/>
  <c r="W273" i="3"/>
  <c r="X273" i="3" s="1"/>
  <c r="U280" i="3"/>
  <c r="W285" i="3"/>
  <c r="X285" i="3" s="1"/>
  <c r="W291" i="3"/>
  <c r="X291" i="3" s="1"/>
  <c r="U293" i="3"/>
  <c r="W296" i="3"/>
  <c r="X296" i="3" s="1"/>
  <c r="U305" i="3"/>
  <c r="W307" i="3"/>
  <c r="X307" i="3" s="1"/>
  <c r="U317" i="3"/>
  <c r="W318" i="3"/>
  <c r="X318" i="3" s="1"/>
  <c r="U323" i="3"/>
  <c r="U343" i="3"/>
  <c r="W345" i="3"/>
  <c r="X345" i="3" s="1"/>
  <c r="W347" i="3"/>
  <c r="X347" i="3" s="1"/>
  <c r="W319" i="3"/>
  <c r="X319" i="3" s="1"/>
  <c r="U342" i="3"/>
  <c r="W344" i="3"/>
  <c r="X344" i="3" s="1"/>
  <c r="U304" i="3"/>
  <c r="W320" i="3"/>
  <c r="X320" i="3" s="1"/>
  <c r="W323" i="3"/>
  <c r="X323" i="3" s="1"/>
  <c r="W331" i="3"/>
  <c r="X331" i="3" s="1"/>
  <c r="W343" i="3"/>
  <c r="X343" i="3" s="1"/>
  <c r="U349" i="3"/>
  <c r="W351" i="3"/>
  <c r="X351" i="3" s="1"/>
  <c r="W346" i="3"/>
  <c r="X346" i="3" s="1"/>
  <c r="U332" i="3"/>
  <c r="U337" i="3"/>
  <c r="W342" i="3"/>
  <c r="X342" i="3" s="1"/>
  <c r="U351" i="3"/>
  <c r="U348" i="3"/>
  <c r="U338" i="3"/>
  <c r="U328" i="3"/>
  <c r="U341" i="3"/>
  <c r="U344" i="3"/>
  <c r="W332" i="3"/>
  <c r="X332" i="3" s="1"/>
  <c r="U333" i="3"/>
  <c r="W337" i="3"/>
  <c r="X337" i="3" s="1"/>
  <c r="U340" i="3"/>
  <c r="U350" i="3"/>
  <c r="W341" i="3"/>
  <c r="X341" i="3" s="1"/>
  <c r="W348" i="3"/>
  <c r="X348" i="3" s="1"/>
  <c r="W330" i="3"/>
  <c r="X330" i="3" s="1"/>
  <c r="W306" i="3"/>
  <c r="X306" i="3" s="1"/>
  <c r="U316" i="3"/>
  <c r="U329" i="3"/>
  <c r="W340" i="3"/>
  <c r="X340" i="3" s="1"/>
  <c r="W350" i="3"/>
  <c r="X350" i="3" s="1"/>
  <c r="U345" i="3"/>
  <c r="W335" i="3"/>
  <c r="X335" i="3" s="1"/>
  <c r="W334" i="3"/>
  <c r="X334" i="3" s="1"/>
  <c r="U339" i="3"/>
  <c r="U347" i="3"/>
  <c r="W349" i="3"/>
  <c r="X349" i="3" s="1"/>
  <c r="W325" i="3"/>
  <c r="X325" i="3" s="1"/>
  <c r="U330" i="3"/>
  <c r="U335" i="3"/>
  <c r="U346" i="3"/>
  <c r="U283" i="3"/>
  <c r="W339" i="3"/>
  <c r="X339" i="3" s="1"/>
  <c r="C9" i="2"/>
  <c r="U14" i="65"/>
  <c r="W16" i="65"/>
  <c r="X16" i="65" s="1"/>
  <c r="U26" i="65"/>
  <c r="W28" i="65"/>
  <c r="X28" i="65" s="1"/>
  <c r="U38" i="65"/>
  <c r="W40" i="65"/>
  <c r="X40" i="65" s="1"/>
  <c r="U50" i="65"/>
  <c r="U5" i="65"/>
  <c r="W6" i="65"/>
  <c r="X6" i="65" s="1"/>
  <c r="U13" i="65"/>
  <c r="W15" i="65"/>
  <c r="X15" i="65" s="1"/>
  <c r="U25" i="65"/>
  <c r="W27" i="65"/>
  <c r="X27" i="65" s="1"/>
  <c r="U37" i="65"/>
  <c r="W39" i="65"/>
  <c r="X39" i="65" s="1"/>
  <c r="U49" i="65"/>
  <c r="W51" i="65"/>
  <c r="X51" i="65" s="1"/>
  <c r="U12" i="65"/>
  <c r="W14" i="65"/>
  <c r="X14" i="65" s="1"/>
  <c r="U24" i="65"/>
  <c r="W26" i="65"/>
  <c r="X26" i="65" s="1"/>
  <c r="U36" i="65"/>
  <c r="W38" i="65"/>
  <c r="X38" i="65" s="1"/>
  <c r="U48" i="65"/>
  <c r="W50" i="65"/>
  <c r="X50" i="65" s="1"/>
  <c r="U60" i="65"/>
  <c r="W62" i="65"/>
  <c r="X62" i="65" s="1"/>
  <c r="W5" i="65"/>
  <c r="X5" i="65" s="1"/>
  <c r="U11" i="65"/>
  <c r="U10" i="65"/>
  <c r="W12" i="65"/>
  <c r="X12" i="65" s="1"/>
  <c r="U22" i="65"/>
  <c r="W24" i="65"/>
  <c r="X24" i="65" s="1"/>
  <c r="U34" i="65"/>
  <c r="W36" i="65"/>
  <c r="X36" i="65" s="1"/>
  <c r="U46" i="65"/>
  <c r="W48" i="65"/>
  <c r="X48" i="65" s="1"/>
  <c r="U9" i="65"/>
  <c r="W11" i="65"/>
  <c r="X11" i="65" s="1"/>
  <c r="U21" i="65"/>
  <c r="W23" i="65"/>
  <c r="X23" i="65" s="1"/>
  <c r="U33" i="65"/>
  <c r="W35" i="65"/>
  <c r="X35" i="65" s="1"/>
  <c r="U45" i="65"/>
  <c r="W47" i="65"/>
  <c r="X47" i="65" s="1"/>
  <c r="U57" i="65"/>
  <c r="W59" i="65"/>
  <c r="X59" i="65" s="1"/>
  <c r="W10" i="65"/>
  <c r="X10" i="65" s="1"/>
  <c r="U20" i="65"/>
  <c r="W22" i="65"/>
  <c r="X22" i="65" s="1"/>
  <c r="U32" i="65"/>
  <c r="W34" i="65"/>
  <c r="X34" i="65" s="1"/>
  <c r="U44" i="65"/>
  <c r="W46" i="65"/>
  <c r="X46" i="65" s="1"/>
  <c r="U56" i="65"/>
  <c r="W58" i="65"/>
  <c r="X58" i="65" s="1"/>
  <c r="U8" i="65"/>
  <c r="W9" i="65"/>
  <c r="X9" i="65" s="1"/>
  <c r="U19" i="65"/>
  <c r="W21" i="65"/>
  <c r="X21" i="65" s="1"/>
  <c r="U31" i="65"/>
  <c r="W33" i="65"/>
  <c r="X33" i="65" s="1"/>
  <c r="U18" i="65"/>
  <c r="W20" i="65"/>
  <c r="X20" i="65" s="1"/>
  <c r="U30" i="65"/>
  <c r="W32" i="65"/>
  <c r="X32" i="65" s="1"/>
  <c r="U42" i="65"/>
  <c r="W44" i="65"/>
  <c r="X44" i="65" s="1"/>
  <c r="U7" i="65"/>
  <c r="W8" i="65"/>
  <c r="X8" i="65" s="1"/>
  <c r="U17" i="65"/>
  <c r="W19" i="65"/>
  <c r="X19" i="65" s="1"/>
  <c r="U29" i="65"/>
  <c r="W31" i="65"/>
  <c r="X31" i="65" s="1"/>
  <c r="U41" i="65"/>
  <c r="W43" i="65"/>
  <c r="X43" i="65" s="1"/>
  <c r="U53" i="65"/>
  <c r="W55" i="65"/>
  <c r="X55" i="65" s="1"/>
  <c r="U65" i="65"/>
  <c r="U16" i="65"/>
  <c r="W18" i="65"/>
  <c r="X18" i="65" s="1"/>
  <c r="U28" i="65"/>
  <c r="W30" i="65"/>
  <c r="X30" i="65" s="1"/>
  <c r="U40" i="65"/>
  <c r="W42" i="65"/>
  <c r="X42" i="65" s="1"/>
  <c r="U6" i="65"/>
  <c r="W7" i="65"/>
  <c r="X7" i="65" s="1"/>
  <c r="U15" i="65"/>
  <c r="W17" i="65"/>
  <c r="X17" i="65" s="1"/>
  <c r="U27" i="65"/>
  <c r="W29" i="65"/>
  <c r="X29" i="65" s="1"/>
  <c r="W69" i="65"/>
  <c r="X69" i="65" s="1"/>
  <c r="U79" i="65"/>
  <c r="W81" i="65"/>
  <c r="X81" i="65" s="1"/>
  <c r="U91" i="65"/>
  <c r="W93" i="65"/>
  <c r="X93" i="65" s="1"/>
  <c r="U103" i="65"/>
  <c r="W105" i="65"/>
  <c r="X105" i="65" s="1"/>
  <c r="U23" i="65"/>
  <c r="U39" i="65"/>
  <c r="W41" i="65"/>
  <c r="X41" i="65" s="1"/>
  <c r="W49" i="65"/>
  <c r="X49" i="65" s="1"/>
  <c r="U55" i="65"/>
  <c r="U77" i="65"/>
  <c r="W79" i="65"/>
  <c r="X79" i="65" s="1"/>
  <c r="U89" i="65"/>
  <c r="W91" i="65"/>
  <c r="X91" i="65" s="1"/>
  <c r="U101" i="65"/>
  <c r="W103" i="65"/>
  <c r="X103" i="65" s="1"/>
  <c r="U51" i="65"/>
  <c r="W57" i="65"/>
  <c r="X57" i="65" s="1"/>
  <c r="U61" i="65"/>
  <c r="U63" i="65"/>
  <c r="U66" i="65"/>
  <c r="W67" i="65"/>
  <c r="X67" i="65" s="1"/>
  <c r="U76" i="65"/>
  <c r="W78" i="65"/>
  <c r="X78" i="65" s="1"/>
  <c r="U88" i="65"/>
  <c r="U52" i="65"/>
  <c r="U75" i="65"/>
  <c r="W77" i="65"/>
  <c r="X77" i="65" s="1"/>
  <c r="W37" i="65"/>
  <c r="X37" i="65" s="1"/>
  <c r="W61" i="65"/>
  <c r="X61" i="65" s="1"/>
  <c r="W63" i="65"/>
  <c r="X63" i="65" s="1"/>
  <c r="W66" i="65"/>
  <c r="X66" i="65" s="1"/>
  <c r="U74" i="65"/>
  <c r="W76" i="65"/>
  <c r="X76" i="65" s="1"/>
  <c r="W52" i="65"/>
  <c r="X52" i="65" s="1"/>
  <c r="U73" i="65"/>
  <c r="W75" i="65"/>
  <c r="X75" i="65" s="1"/>
  <c r="U47" i="65"/>
  <c r="U58" i="65"/>
  <c r="W65" i="65"/>
  <c r="X65" i="65" s="1"/>
  <c r="U71" i="65"/>
  <c r="W73" i="65"/>
  <c r="X73" i="65" s="1"/>
  <c r="U83" i="65"/>
  <c r="W85" i="65"/>
  <c r="X85" i="65" s="1"/>
  <c r="U95" i="65"/>
  <c r="W97" i="65"/>
  <c r="X97" i="65" s="1"/>
  <c r="W13" i="65"/>
  <c r="X13" i="65" s="1"/>
  <c r="W25" i="65"/>
  <c r="X25" i="65" s="1"/>
  <c r="U43" i="65"/>
  <c r="W53" i="65"/>
  <c r="X53" i="65" s="1"/>
  <c r="U54" i="65"/>
  <c r="W60" i="65"/>
  <c r="X60" i="65" s="1"/>
  <c r="U62" i="65"/>
  <c r="U64" i="65"/>
  <c r="U70" i="65"/>
  <c r="W72" i="65"/>
  <c r="X72" i="65" s="1"/>
  <c r="U82" i="65"/>
  <c r="W84" i="65"/>
  <c r="X84" i="65" s="1"/>
  <c r="W45" i="65"/>
  <c r="X45" i="65" s="1"/>
  <c r="W54" i="65"/>
  <c r="X54" i="65" s="1"/>
  <c r="W64" i="65"/>
  <c r="X64" i="65" s="1"/>
  <c r="U68" i="65"/>
  <c r="W70" i="65"/>
  <c r="X70" i="65" s="1"/>
  <c r="W80" i="65"/>
  <c r="X80" i="65" s="1"/>
  <c r="W88" i="65"/>
  <c r="X88" i="65" s="1"/>
  <c r="U92" i="65"/>
  <c r="W99" i="65"/>
  <c r="X99" i="65" s="1"/>
  <c r="U102" i="65"/>
  <c r="U114" i="65"/>
  <c r="W116" i="65"/>
  <c r="X116" i="65" s="1"/>
  <c r="U126" i="65"/>
  <c r="W128" i="65"/>
  <c r="X128" i="65" s="1"/>
  <c r="W86" i="65"/>
  <c r="X86" i="65" s="1"/>
  <c r="W90" i="65"/>
  <c r="X90" i="65" s="1"/>
  <c r="W106" i="65"/>
  <c r="X106" i="65" s="1"/>
  <c r="U113" i="65"/>
  <c r="W115" i="65"/>
  <c r="X115" i="65" s="1"/>
  <c r="U125" i="65"/>
  <c r="W127" i="65"/>
  <c r="X127" i="65" s="1"/>
  <c r="U72" i="65"/>
  <c r="W92" i="65"/>
  <c r="X92" i="65" s="1"/>
  <c r="U94" i="65"/>
  <c r="W102" i="65"/>
  <c r="X102" i="65" s="1"/>
  <c r="U105" i="65"/>
  <c r="U112" i="65"/>
  <c r="W114" i="65"/>
  <c r="X114" i="65" s="1"/>
  <c r="U124" i="65"/>
  <c r="W126" i="65"/>
  <c r="X126" i="65" s="1"/>
  <c r="U136" i="65"/>
  <c r="W138" i="65"/>
  <c r="X138" i="65" s="1"/>
  <c r="U35" i="65"/>
  <c r="W82" i="65"/>
  <c r="X82" i="65" s="1"/>
  <c r="U87" i="65"/>
  <c r="U111" i="65"/>
  <c r="W113" i="65"/>
  <c r="X113" i="65" s="1"/>
  <c r="U123" i="65"/>
  <c r="W125" i="65"/>
  <c r="X125" i="65" s="1"/>
  <c r="U135" i="65"/>
  <c r="W137" i="65"/>
  <c r="X137" i="65" s="1"/>
  <c r="U59" i="65"/>
  <c r="W94" i="65"/>
  <c r="X94" i="65" s="1"/>
  <c r="U96" i="65"/>
  <c r="U98" i="65"/>
  <c r="U110" i="65"/>
  <c r="W112" i="65"/>
  <c r="X112" i="65" s="1"/>
  <c r="W83" i="65"/>
  <c r="X83" i="65" s="1"/>
  <c r="W87" i="65"/>
  <c r="X87" i="65" s="1"/>
  <c r="W101" i="65"/>
  <c r="X101" i="65" s="1"/>
  <c r="U109" i="65"/>
  <c r="W111" i="65"/>
  <c r="X111" i="65" s="1"/>
  <c r="U121" i="65"/>
  <c r="W123" i="65"/>
  <c r="X123" i="65" s="1"/>
  <c r="W71" i="65"/>
  <c r="X71" i="65" s="1"/>
  <c r="U84" i="65"/>
  <c r="U93" i="65"/>
  <c r="W96" i="65"/>
  <c r="X96" i="65" s="1"/>
  <c r="W98" i="65"/>
  <c r="X98" i="65" s="1"/>
  <c r="U100" i="65"/>
  <c r="U104" i="65"/>
  <c r="U108" i="65"/>
  <c r="W110" i="65"/>
  <c r="X110" i="65" s="1"/>
  <c r="U120" i="65"/>
  <c r="W122" i="65"/>
  <c r="X122" i="65" s="1"/>
  <c r="U69" i="65"/>
  <c r="U85" i="65"/>
  <c r="W89" i="65"/>
  <c r="X89" i="65" s="1"/>
  <c r="U107" i="65"/>
  <c r="W109" i="65"/>
  <c r="X109" i="65" s="1"/>
  <c r="W100" i="65"/>
  <c r="X100" i="65" s="1"/>
  <c r="W104" i="65"/>
  <c r="X104" i="65" s="1"/>
  <c r="W108" i="65"/>
  <c r="X108" i="65" s="1"/>
  <c r="U118" i="65"/>
  <c r="W120" i="65"/>
  <c r="X120" i="65" s="1"/>
  <c r="W107" i="65"/>
  <c r="X107" i="65" s="1"/>
  <c r="U117" i="65"/>
  <c r="W119" i="65"/>
  <c r="X119" i="65" s="1"/>
  <c r="U129" i="65"/>
  <c r="W56" i="65"/>
  <c r="X56" i="65" s="1"/>
  <c r="U67" i="65"/>
  <c r="U80" i="65"/>
  <c r="W95" i="65"/>
  <c r="X95" i="65" s="1"/>
  <c r="U97" i="65"/>
  <c r="U99" i="65"/>
  <c r="U90" i="65"/>
  <c r="W130" i="65"/>
  <c r="X130" i="65" s="1"/>
  <c r="U133" i="65"/>
  <c r="U144" i="65"/>
  <c r="W146" i="65"/>
  <c r="X146" i="65" s="1"/>
  <c r="U156" i="65"/>
  <c r="W158" i="65"/>
  <c r="X158" i="65" s="1"/>
  <c r="U168" i="65"/>
  <c r="W170" i="65"/>
  <c r="X170" i="65" s="1"/>
  <c r="U86" i="65"/>
  <c r="U122" i="65"/>
  <c r="W140" i="65"/>
  <c r="X140" i="65" s="1"/>
  <c r="U143" i="65"/>
  <c r="W145" i="65"/>
  <c r="X145" i="65" s="1"/>
  <c r="U155" i="65"/>
  <c r="W157" i="65"/>
  <c r="X157" i="65" s="1"/>
  <c r="U167" i="65"/>
  <c r="W169" i="65"/>
  <c r="X169" i="65" s="1"/>
  <c r="U128" i="65"/>
  <c r="U131" i="65"/>
  <c r="W133" i="65"/>
  <c r="X133" i="65" s="1"/>
  <c r="U139" i="65"/>
  <c r="W144" i="65"/>
  <c r="X144" i="65" s="1"/>
  <c r="U154" i="65"/>
  <c r="W156" i="65"/>
  <c r="X156" i="65" s="1"/>
  <c r="U166" i="65"/>
  <c r="W168" i="65"/>
  <c r="X168" i="65" s="1"/>
  <c r="U178" i="65"/>
  <c r="W180" i="65"/>
  <c r="X180" i="65" s="1"/>
  <c r="W68" i="65"/>
  <c r="X68" i="65" s="1"/>
  <c r="U116" i="65"/>
  <c r="W121" i="65"/>
  <c r="X121" i="65" s="1"/>
  <c r="W143" i="65"/>
  <c r="X143" i="65" s="1"/>
  <c r="U153" i="65"/>
  <c r="W155" i="65"/>
  <c r="X155" i="65" s="1"/>
  <c r="U165" i="65"/>
  <c r="W167" i="65"/>
  <c r="X167" i="65" s="1"/>
  <c r="U119" i="65"/>
  <c r="W131" i="65"/>
  <c r="X131" i="65" s="1"/>
  <c r="W136" i="65"/>
  <c r="X136" i="65" s="1"/>
  <c r="W139" i="65"/>
  <c r="X139" i="65" s="1"/>
  <c r="U142" i="65"/>
  <c r="U152" i="65"/>
  <c r="W154" i="65"/>
  <c r="X154" i="65" s="1"/>
  <c r="U81" i="65"/>
  <c r="W117" i="65"/>
  <c r="X117" i="65" s="1"/>
  <c r="W118" i="65"/>
  <c r="X118" i="65" s="1"/>
  <c r="U151" i="65"/>
  <c r="W153" i="65"/>
  <c r="X153" i="65" s="1"/>
  <c r="U163" i="65"/>
  <c r="W165" i="65"/>
  <c r="X165" i="65" s="1"/>
  <c r="U115" i="65"/>
  <c r="W129" i="65"/>
  <c r="X129" i="65" s="1"/>
  <c r="W142" i="65"/>
  <c r="X142" i="65" s="1"/>
  <c r="U150" i="65"/>
  <c r="W152" i="65"/>
  <c r="X152" i="65" s="1"/>
  <c r="U162" i="65"/>
  <c r="W164" i="65"/>
  <c r="X164" i="65" s="1"/>
  <c r="U106" i="65"/>
  <c r="U132" i="65"/>
  <c r="U134" i="65"/>
  <c r="W135" i="65"/>
  <c r="X135" i="65" s="1"/>
  <c r="U138" i="65"/>
  <c r="U149" i="65"/>
  <c r="W151" i="65"/>
  <c r="X151" i="65" s="1"/>
  <c r="W124" i="65"/>
  <c r="X124" i="65" s="1"/>
  <c r="U141" i="65"/>
  <c r="U148" i="65"/>
  <c r="W150" i="65"/>
  <c r="X150" i="65" s="1"/>
  <c r="U160" i="65"/>
  <c r="U78" i="65"/>
  <c r="W132" i="65"/>
  <c r="X132" i="65" s="1"/>
  <c r="W134" i="65"/>
  <c r="X134" i="65" s="1"/>
  <c r="U147" i="65"/>
  <c r="W149" i="65"/>
  <c r="X149" i="65" s="1"/>
  <c r="W74" i="65"/>
  <c r="X74" i="65" s="1"/>
  <c r="U127" i="65"/>
  <c r="U130" i="65"/>
  <c r="W141" i="65"/>
  <c r="X141" i="65" s="1"/>
  <c r="U146" i="65"/>
  <c r="W166" i="65"/>
  <c r="X166" i="65" s="1"/>
  <c r="U181" i="65"/>
  <c r="U173" i="65"/>
  <c r="U137" i="65"/>
  <c r="U157" i="65"/>
  <c r="U169" i="65"/>
  <c r="W171" i="65"/>
  <c r="X171" i="65" s="1"/>
  <c r="W173" i="65"/>
  <c r="X173" i="65" s="1"/>
  <c r="W177" i="65"/>
  <c r="X177" i="65" s="1"/>
  <c r="W160" i="65"/>
  <c r="X160" i="65" s="1"/>
  <c r="W175" i="65"/>
  <c r="X175" i="65" s="1"/>
  <c r="U145" i="65"/>
  <c r="U176" i="65"/>
  <c r="U177" i="65"/>
  <c r="U140" i="65"/>
  <c r="U172" i="65"/>
  <c r="U174" i="65"/>
  <c r="W181" i="65"/>
  <c r="X181" i="65" s="1"/>
  <c r="U179" i="65"/>
  <c r="U170" i="65"/>
  <c r="W176" i="65"/>
  <c r="X176" i="65" s="1"/>
  <c r="U180" i="65"/>
  <c r="W174" i="65"/>
  <c r="X174" i="65" s="1"/>
  <c r="U175" i="65"/>
  <c r="W148" i="65"/>
  <c r="X148" i="65" s="1"/>
  <c r="U161" i="65"/>
  <c r="W172" i="65"/>
  <c r="X172" i="65" s="1"/>
  <c r="W147" i="65"/>
  <c r="X147" i="65" s="1"/>
  <c r="W161" i="65"/>
  <c r="X161" i="65" s="1"/>
  <c r="W162" i="65"/>
  <c r="X162" i="65" s="1"/>
  <c r="U159" i="65"/>
  <c r="W179" i="65"/>
  <c r="X179" i="65" s="1"/>
  <c r="W178" i="65"/>
  <c r="X178" i="65" s="1"/>
  <c r="W163" i="65"/>
  <c r="X163" i="65" s="1"/>
  <c r="U164" i="65"/>
  <c r="U158" i="65"/>
  <c r="W159" i="65"/>
  <c r="X159" i="65" s="1"/>
  <c r="U171" i="65"/>
  <c r="AE193" i="65"/>
  <c r="AL205" i="65"/>
  <c r="AL214" i="65"/>
  <c r="AD218" i="65"/>
  <c r="H6" i="68"/>
  <c r="C6" i="2" s="1"/>
  <c r="AL231" i="65"/>
  <c r="AH192" i="65"/>
  <c r="AI192" i="65" s="1"/>
  <c r="AE204" i="65"/>
  <c r="AN204" i="65" s="1"/>
  <c r="AE218" i="65"/>
  <c r="AJ226" i="65"/>
  <c r="AE224" i="65"/>
  <c r="AE197" i="65"/>
  <c r="AD199" i="65"/>
  <c r="AL193" i="65"/>
  <c r="AJ231" i="65"/>
  <c r="AL219" i="65"/>
  <c r="AJ219" i="65"/>
  <c r="AL232" i="65"/>
  <c r="AJ232" i="65"/>
  <c r="AE188" i="65"/>
  <c r="AE192" i="65"/>
  <c r="AD207" i="65"/>
  <c r="AD231" i="65"/>
  <c r="AD211" i="65"/>
  <c r="AD219" i="65"/>
  <c r="AD220" i="65"/>
  <c r="AH221" i="65"/>
  <c r="AI221" i="65" s="1"/>
  <c r="AE231" i="65"/>
  <c r="AD232" i="65"/>
  <c r="AN232" i="65" s="1"/>
  <c r="AD213" i="65"/>
  <c r="AE219" i="65"/>
  <c r="AE223" i="65"/>
  <c r="AN223" i="65" s="1"/>
  <c r="AE232" i="65"/>
  <c r="AL217" i="65"/>
  <c r="AJ225" i="65"/>
  <c r="AL226" i="65"/>
  <c r="AL189" i="65"/>
  <c r="AH213" i="65"/>
  <c r="AI213" i="65" s="1"/>
  <c r="AL213" i="65" s="1"/>
  <c r="AH220" i="65"/>
  <c r="AI220" i="65" s="1"/>
  <c r="AL220" i="65" s="1"/>
  <c r="AJ205" i="65"/>
  <c r="AD183" i="65"/>
  <c r="AE208" i="65"/>
  <c r="AD217" i="65"/>
  <c r="AD225" i="65"/>
  <c r="AE185" i="65"/>
  <c r="AE212" i="65"/>
  <c r="AJ214" i="65"/>
  <c r="AE217" i="65"/>
  <c r="AN217" i="65" s="1"/>
  <c r="AL216" i="65"/>
  <c r="AL201" i="65"/>
  <c r="AD203" i="65"/>
  <c r="AD224" i="65"/>
  <c r="O52" i="68"/>
  <c r="O60" i="68"/>
  <c r="O73" i="68"/>
  <c r="O67" i="68"/>
  <c r="O54" i="68"/>
  <c r="R38" i="67"/>
  <c r="AL7" i="63"/>
  <c r="AJ7" i="63"/>
  <c r="AN6" i="63"/>
  <c r="U20" i="63"/>
  <c r="AJ6" i="63"/>
  <c r="U13" i="63"/>
  <c r="U24" i="63"/>
  <c r="W16" i="63"/>
  <c r="W20" i="63"/>
  <c r="W5" i="63"/>
  <c r="U10" i="63"/>
  <c r="W13" i="63"/>
  <c r="U17" i="63"/>
  <c r="U21" i="63"/>
  <c r="W24" i="63"/>
  <c r="H40" i="67"/>
  <c r="W10" i="63"/>
  <c r="U14" i="63"/>
  <c r="W17" i="63"/>
  <c r="W21" i="63"/>
  <c r="W6" i="63"/>
  <c r="U7" i="63"/>
  <c r="U11" i="63"/>
  <c r="U18" i="63"/>
  <c r="U22" i="63"/>
  <c r="AJ8" i="62"/>
  <c r="AL8" i="62"/>
  <c r="AL7" i="62"/>
  <c r="AJ7" i="62"/>
  <c r="AD7" i="62"/>
  <c r="AN7" i="62" s="1"/>
  <c r="AD8" i="62"/>
  <c r="AN8" i="62" s="1"/>
  <c r="U23" i="62"/>
  <c r="W15" i="62"/>
  <c r="W19" i="62"/>
  <c r="X19" i="62" s="1"/>
  <c r="W12" i="62"/>
  <c r="X12" i="62" s="1"/>
  <c r="K35" i="67"/>
  <c r="U13" i="61"/>
  <c r="AJ6" i="61"/>
  <c r="W16" i="61"/>
  <c r="W20" i="61"/>
  <c r="W24" i="61"/>
  <c r="U10" i="61"/>
  <c r="W13" i="61"/>
  <c r="U17" i="61"/>
  <c r="U21" i="61"/>
  <c r="W5" i="61"/>
  <c r="X5" i="61" s="1"/>
  <c r="W10" i="61"/>
  <c r="U14" i="61"/>
  <c r="W17" i="61"/>
  <c r="W21" i="61"/>
  <c r="U11" i="61"/>
  <c r="U18" i="61"/>
  <c r="U22" i="61"/>
  <c r="W6" i="61"/>
  <c r="U7" i="61"/>
  <c r="W14" i="61"/>
  <c r="U15" i="61"/>
  <c r="W18" i="61"/>
  <c r="X18" i="61" s="1"/>
  <c r="W22" i="61"/>
  <c r="AN6" i="61"/>
  <c r="W7" i="61"/>
  <c r="U8" i="61"/>
  <c r="U19" i="61"/>
  <c r="U23" i="61"/>
  <c r="U12" i="61"/>
  <c r="W15" i="61"/>
  <c r="AE11" i="60"/>
  <c r="U24" i="60"/>
  <c r="W11" i="60"/>
  <c r="W17" i="60"/>
  <c r="W5" i="60"/>
  <c r="U10" i="60"/>
  <c r="AD11" i="60"/>
  <c r="AH14" i="60"/>
  <c r="AI14" i="60" s="1"/>
  <c r="AE17" i="60"/>
  <c r="AH22" i="60"/>
  <c r="AI22" i="60" s="1"/>
  <c r="W6" i="60"/>
  <c r="U7" i="60"/>
  <c r="AE10" i="60"/>
  <c r="AE16" i="60"/>
  <c r="AD24" i="60"/>
  <c r="W9" i="60"/>
  <c r="AH10" i="60"/>
  <c r="AI10" i="60" s="1"/>
  <c r="J33" i="67"/>
  <c r="AE24" i="60"/>
  <c r="A14" i="60"/>
  <c r="AL12" i="60"/>
  <c r="AD15" i="60"/>
  <c r="AH21" i="60"/>
  <c r="AI21" i="60" s="1"/>
  <c r="AL18" i="60"/>
  <c r="AM16" i="59"/>
  <c r="AE18" i="59"/>
  <c r="AN18" i="59" s="1"/>
  <c r="AM23" i="59"/>
  <c r="AH18" i="59"/>
  <c r="AI18" i="59" s="1"/>
  <c r="AD17" i="59"/>
  <c r="AM20" i="59"/>
  <c r="S32" i="67" s="1"/>
  <c r="AM22" i="59"/>
  <c r="AL14" i="59"/>
  <c r="AM24" i="59"/>
  <c r="AL23" i="59"/>
  <c r="AH17" i="59"/>
  <c r="AI17" i="59" s="1"/>
  <c r="AL17" i="59" s="1"/>
  <c r="AJ14" i="59"/>
  <c r="U24" i="59"/>
  <c r="A14" i="59"/>
  <c r="AD19" i="59"/>
  <c r="AH24" i="59"/>
  <c r="AI24" i="59" s="1"/>
  <c r="AE19" i="59"/>
  <c r="AN19" i="59" s="1"/>
  <c r="U5" i="58"/>
  <c r="AM11" i="58"/>
  <c r="W18" i="58"/>
  <c r="U11" i="58"/>
  <c r="U17" i="58"/>
  <c r="W22" i="58"/>
  <c r="U23" i="58"/>
  <c r="U10" i="58"/>
  <c r="A14" i="58"/>
  <c r="U18" i="58"/>
  <c r="W5" i="58"/>
  <c r="AD11" i="58"/>
  <c r="AD14" i="58"/>
  <c r="U6" i="58"/>
  <c r="W10" i="58"/>
  <c r="AE11" i="58"/>
  <c r="AE14" i="58"/>
  <c r="U19" i="58"/>
  <c r="W24" i="58"/>
  <c r="W6" i="58"/>
  <c r="U7" i="58"/>
  <c r="AD10" i="58"/>
  <c r="W13" i="58"/>
  <c r="W19" i="58"/>
  <c r="W7" i="58"/>
  <c r="U8" i="58"/>
  <c r="AH10" i="58"/>
  <c r="AI10" i="58" s="1"/>
  <c r="AE13" i="58"/>
  <c r="U21" i="58"/>
  <c r="W8" i="58"/>
  <c r="U9" i="58"/>
  <c r="AH13" i="58"/>
  <c r="AI13" i="58" s="1"/>
  <c r="W15" i="58"/>
  <c r="AJ41" i="57"/>
  <c r="J30" i="67"/>
  <c r="AE45" i="57"/>
  <c r="AD38" i="57"/>
  <c r="AM43" i="57"/>
  <c r="AH45" i="57"/>
  <c r="AI45" i="57" s="1"/>
  <c r="AM36" i="57"/>
  <c r="AM47" i="57"/>
  <c r="AD42" i="57"/>
  <c r="A14" i="57"/>
  <c r="K30" i="67" s="1"/>
  <c r="AM44" i="57"/>
  <c r="S30" i="67" s="1"/>
  <c r="W23" i="57"/>
  <c r="AH38" i="57"/>
  <c r="AI38" i="57" s="1"/>
  <c r="W47" i="57"/>
  <c r="U10" i="57"/>
  <c r="AD40" i="57"/>
  <c r="AE40" i="57"/>
  <c r="AD44" i="57"/>
  <c r="W11" i="57"/>
  <c r="W43" i="57"/>
  <c r="X43" i="57" s="1"/>
  <c r="AE43" i="57"/>
  <c r="AD46" i="57"/>
  <c r="AD36" i="57"/>
  <c r="AM10" i="55"/>
  <c r="AH12" i="55"/>
  <c r="AI12" i="55" s="1"/>
  <c r="AD14" i="55"/>
  <c r="AH18" i="55"/>
  <c r="AI18" i="55" s="1"/>
  <c r="AL18" i="55" s="1"/>
  <c r="AM16" i="55"/>
  <c r="AM9" i="55"/>
  <c r="AE15" i="55"/>
  <c r="AM13" i="55"/>
  <c r="AD19" i="55"/>
  <c r="AN19" i="55" s="1"/>
  <c r="AL10" i="55"/>
  <c r="U10" i="55"/>
  <c r="AH11" i="55"/>
  <c r="AI11" i="55" s="1"/>
  <c r="U14" i="55"/>
  <c r="AD20" i="55"/>
  <c r="U6" i="55"/>
  <c r="AE20" i="55"/>
  <c r="W10" i="55"/>
  <c r="AE22" i="55"/>
  <c r="AJ18" i="55"/>
  <c r="W9" i="55"/>
  <c r="X9" i="55" s="1"/>
  <c r="A14" i="55"/>
  <c r="AD9" i="55"/>
  <c r="U24" i="55"/>
  <c r="AD13" i="55"/>
  <c r="AD16" i="55"/>
  <c r="AL9" i="55"/>
  <c r="AD12" i="55"/>
  <c r="AE18" i="55"/>
  <c r="AN18" i="55" s="1"/>
  <c r="H27" i="67"/>
  <c r="AD23" i="55"/>
  <c r="W11" i="54"/>
  <c r="AM8" i="54"/>
  <c r="AE10" i="54"/>
  <c r="W9" i="54"/>
  <c r="AL11" i="54"/>
  <c r="AN17" i="54"/>
  <c r="J26" i="67"/>
  <c r="A14" i="54"/>
  <c r="AL12" i="54"/>
  <c r="AN8" i="54"/>
  <c r="W23" i="54"/>
  <c r="X23" i="54" s="1"/>
  <c r="AL19" i="54"/>
  <c r="AD11" i="54"/>
  <c r="AD12" i="54"/>
  <c r="AE15" i="54"/>
  <c r="AE11" i="54"/>
  <c r="AE12" i="54"/>
  <c r="AH22" i="54"/>
  <c r="AI22" i="54" s="1"/>
  <c r="AE24" i="54"/>
  <c r="AH15" i="54"/>
  <c r="AI15" i="54" s="1"/>
  <c r="U18" i="54"/>
  <c r="AD10" i="54"/>
  <c r="AN10" i="54" s="1"/>
  <c r="AE19" i="54"/>
  <c r="AH24" i="54"/>
  <c r="AI24" i="54" s="1"/>
  <c r="AH14" i="54"/>
  <c r="AI14" i="54" s="1"/>
  <c r="AL14" i="54" s="1"/>
  <c r="AE21" i="54"/>
  <c r="W14" i="73"/>
  <c r="W18" i="73"/>
  <c r="J25" i="67"/>
  <c r="AD7" i="73"/>
  <c r="AN7" i="73" s="1"/>
  <c r="K25" i="67"/>
  <c r="W9" i="73"/>
  <c r="W22" i="73"/>
  <c r="X22" i="73" s="1"/>
  <c r="AL6" i="73"/>
  <c r="U15" i="73"/>
  <c r="K37" i="67"/>
  <c r="K32" i="2"/>
  <c r="K34" i="2" s="1"/>
  <c r="L37" i="67"/>
  <c r="P40" i="67"/>
  <c r="AH35" i="53"/>
  <c r="AI35" i="53" s="1"/>
  <c r="AD48" i="53"/>
  <c r="AD52" i="53"/>
  <c r="AE45" i="53"/>
  <c r="AD54" i="53"/>
  <c r="AL45" i="53"/>
  <c r="AE54" i="53"/>
  <c r="AM52" i="53"/>
  <c r="AE36" i="53"/>
  <c r="AM54" i="53"/>
  <c r="AD35" i="53"/>
  <c r="AE42" i="53"/>
  <c r="AH38" i="53"/>
  <c r="AI38" i="53" s="1"/>
  <c r="AJ48" i="53"/>
  <c r="AH42" i="53"/>
  <c r="AI42" i="53" s="1"/>
  <c r="AL54" i="53"/>
  <c r="AN33" i="53"/>
  <c r="AD34" i="53"/>
  <c r="A14" i="53"/>
  <c r="AE48" i="53"/>
  <c r="AD53" i="53"/>
  <c r="AD40" i="53"/>
  <c r="AE53" i="53"/>
  <c r="AJ45" i="53"/>
  <c r="AL48" i="53"/>
  <c r="AH31" i="53"/>
  <c r="AI31" i="53" s="1"/>
  <c r="AJ31" i="53" s="1"/>
  <c r="AD42" i="53"/>
  <c r="AD47" i="53"/>
  <c r="AH50" i="53"/>
  <c r="AI50" i="53" s="1"/>
  <c r="AH33" i="53"/>
  <c r="AI33" i="53" s="1"/>
  <c r="AE39" i="53"/>
  <c r="AH52" i="53"/>
  <c r="AI52" i="53" s="1"/>
  <c r="AL52" i="53" s="1"/>
  <c r="U52" i="53"/>
  <c r="AH36" i="53"/>
  <c r="AI36" i="53" s="1"/>
  <c r="AD38" i="53"/>
  <c r="AH39" i="53"/>
  <c r="AI39" i="53" s="1"/>
  <c r="AD55" i="53"/>
  <c r="AJ35" i="53"/>
  <c r="AD41" i="53"/>
  <c r="AE55" i="53"/>
  <c r="AE41" i="53"/>
  <c r="AM16" i="52"/>
  <c r="AH9" i="52"/>
  <c r="AI9" i="52" s="1"/>
  <c r="AL9" i="52" s="1"/>
  <c r="AE11" i="52"/>
  <c r="AM9" i="52"/>
  <c r="AM11" i="52"/>
  <c r="U5" i="52"/>
  <c r="AM13" i="52"/>
  <c r="W23" i="52"/>
  <c r="AH14" i="52"/>
  <c r="AI14" i="52" s="1"/>
  <c r="AJ14" i="52" s="1"/>
  <c r="AD19" i="52"/>
  <c r="AH11" i="52"/>
  <c r="AI11" i="52" s="1"/>
  <c r="W16" i="52"/>
  <c r="AE19" i="52"/>
  <c r="AD16" i="52"/>
  <c r="A14" i="52"/>
  <c r="AD15" i="52"/>
  <c r="AH18" i="52"/>
  <c r="AI18" i="52" s="1"/>
  <c r="AL18" i="52" s="1"/>
  <c r="AE15" i="52"/>
  <c r="AD12" i="52"/>
  <c r="AJ9" i="52"/>
  <c r="AE12" i="52"/>
  <c r="AN12" i="52" s="1"/>
  <c r="AM21" i="51"/>
  <c r="AM23" i="51"/>
  <c r="AM22" i="51"/>
  <c r="AM24" i="51"/>
  <c r="AH21" i="51"/>
  <c r="AI21" i="51" s="1"/>
  <c r="AL21" i="51" s="1"/>
  <c r="AE23" i="51"/>
  <c r="A14" i="51"/>
  <c r="AE18" i="51"/>
  <c r="U24" i="51"/>
  <c r="AD24" i="51"/>
  <c r="AE24" i="51"/>
  <c r="AD19" i="51"/>
  <c r="AE19" i="51"/>
  <c r="U8" i="49"/>
  <c r="W5" i="49"/>
  <c r="U6" i="49"/>
  <c r="U7" i="49"/>
  <c r="W6" i="49"/>
  <c r="W7" i="49"/>
  <c r="U5" i="49"/>
  <c r="H17" i="67"/>
  <c r="W11" i="49"/>
  <c r="W9" i="49"/>
  <c r="AN8" i="49"/>
  <c r="U11" i="49"/>
  <c r="W14" i="49"/>
  <c r="U12" i="49"/>
  <c r="U22" i="49"/>
  <c r="K17" i="67"/>
  <c r="W15" i="49"/>
  <c r="K16" i="67"/>
  <c r="F16" i="67"/>
  <c r="W12" i="75"/>
  <c r="U16" i="75"/>
  <c r="U20" i="75"/>
  <c r="U24" i="75"/>
  <c r="U28" i="75"/>
  <c r="U32" i="75"/>
  <c r="U36" i="75"/>
  <c r="U40" i="75"/>
  <c r="U44" i="75"/>
  <c r="U48" i="75"/>
  <c r="U52" i="75"/>
  <c r="U56" i="75"/>
  <c r="W63" i="75"/>
  <c r="W67" i="75"/>
  <c r="U13" i="75"/>
  <c r="U60" i="75"/>
  <c r="U64" i="75"/>
  <c r="AJ6" i="75"/>
  <c r="W16" i="75"/>
  <c r="W20" i="75"/>
  <c r="X20" i="75" s="1"/>
  <c r="W24" i="75"/>
  <c r="W28" i="75"/>
  <c r="W32" i="75"/>
  <c r="W36" i="75"/>
  <c r="W40" i="75"/>
  <c r="W44" i="75"/>
  <c r="W48" i="75"/>
  <c r="W52" i="75"/>
  <c r="W56" i="75"/>
  <c r="U10" i="75"/>
  <c r="W13" i="75"/>
  <c r="U17" i="75"/>
  <c r="U21" i="75"/>
  <c r="U25" i="75"/>
  <c r="U29" i="75"/>
  <c r="U33" i="75"/>
  <c r="U37" i="75"/>
  <c r="U41" i="75"/>
  <c r="U45" i="75"/>
  <c r="U49" i="75"/>
  <c r="U53" i="75"/>
  <c r="U57" i="75"/>
  <c r="W60" i="75"/>
  <c r="W64" i="75"/>
  <c r="U61" i="75"/>
  <c r="U65" i="75"/>
  <c r="W10" i="75"/>
  <c r="U14" i="75"/>
  <c r="W17" i="75"/>
  <c r="W21" i="75"/>
  <c r="W25" i="75"/>
  <c r="W29" i="75"/>
  <c r="W33" i="75"/>
  <c r="W37" i="75"/>
  <c r="W41" i="75"/>
  <c r="W45" i="75"/>
  <c r="X45" i="75" s="1"/>
  <c r="W49" i="75"/>
  <c r="W53" i="75"/>
  <c r="W57" i="75"/>
  <c r="U11" i="75"/>
  <c r="U18" i="75"/>
  <c r="U22" i="75"/>
  <c r="U26" i="75"/>
  <c r="U30" i="75"/>
  <c r="U34" i="75"/>
  <c r="U38" i="75"/>
  <c r="U42" i="75"/>
  <c r="U46" i="75"/>
  <c r="U50" i="75"/>
  <c r="U54" i="75"/>
  <c r="U58" i="75"/>
  <c r="W61" i="75"/>
  <c r="W65" i="75"/>
  <c r="W6" i="75"/>
  <c r="U7" i="75"/>
  <c r="W14" i="75"/>
  <c r="U62" i="75"/>
  <c r="U66" i="75"/>
  <c r="U15" i="75"/>
  <c r="W18" i="75"/>
  <c r="X18" i="75" s="1"/>
  <c r="W22" i="75"/>
  <c r="W26" i="75"/>
  <c r="W30" i="75"/>
  <c r="W34" i="75"/>
  <c r="W38" i="75"/>
  <c r="W42" i="75"/>
  <c r="W46" i="75"/>
  <c r="W50" i="75"/>
  <c r="W54" i="75"/>
  <c r="W58" i="75"/>
  <c r="AN6" i="75"/>
  <c r="W7" i="75"/>
  <c r="U8" i="75"/>
  <c r="U19" i="75"/>
  <c r="U23" i="75"/>
  <c r="U27" i="75"/>
  <c r="U31" i="75"/>
  <c r="U35" i="75"/>
  <c r="U39" i="75"/>
  <c r="U43" i="75"/>
  <c r="U47" i="75"/>
  <c r="U51" i="75"/>
  <c r="U55" i="75"/>
  <c r="U59" i="75"/>
  <c r="W62" i="75"/>
  <c r="W66" i="75"/>
  <c r="U12" i="75"/>
  <c r="W15" i="75"/>
  <c r="U63" i="75"/>
  <c r="U67" i="75"/>
  <c r="W62" i="47"/>
  <c r="J15" i="67"/>
  <c r="AD50" i="46"/>
  <c r="AM48" i="46"/>
  <c r="AL45" i="46"/>
  <c r="AD47" i="46"/>
  <c r="AM47" i="46"/>
  <c r="AM49" i="46"/>
  <c r="AH72" i="46"/>
  <c r="AI72" i="46" s="1"/>
  <c r="AM80" i="46"/>
  <c r="AM82" i="46"/>
  <c r="AM72" i="46"/>
  <c r="AM76" i="46"/>
  <c r="AE51" i="46"/>
  <c r="AD57" i="46"/>
  <c r="AE57" i="46"/>
  <c r="AE20" i="45"/>
  <c r="AM22" i="45"/>
  <c r="AM19" i="45"/>
  <c r="AM21" i="45"/>
  <c r="S13" i="67"/>
  <c r="U24" i="45"/>
  <c r="AD20" i="45"/>
  <c r="AD19" i="45"/>
  <c r="AE19" i="45"/>
  <c r="AJ14" i="44"/>
  <c r="AM15" i="44"/>
  <c r="AH17" i="44"/>
  <c r="AI17" i="44" s="1"/>
  <c r="AE19" i="44"/>
  <c r="AM16" i="44"/>
  <c r="AM18" i="44"/>
  <c r="AL14" i="44"/>
  <c r="AH23" i="44"/>
  <c r="AI23" i="44" s="1"/>
  <c r="AD14" i="44"/>
  <c r="AE14" i="44"/>
  <c r="AE20" i="44"/>
  <c r="W12" i="44"/>
  <c r="A14" i="44"/>
  <c r="U16" i="44"/>
  <c r="AE16" i="44"/>
  <c r="AD18" i="44"/>
  <c r="AD21" i="44"/>
  <c r="AD23" i="44"/>
  <c r="AE18" i="44"/>
  <c r="AM20" i="43"/>
  <c r="AM22" i="43"/>
  <c r="U16" i="43"/>
  <c r="AM19" i="43"/>
  <c r="A14" i="43"/>
  <c r="AM16" i="43"/>
  <c r="AD20" i="43"/>
  <c r="AE20" i="43"/>
  <c r="AD22" i="43"/>
  <c r="AD21" i="43"/>
  <c r="S11" i="67"/>
  <c r="AE18" i="43"/>
  <c r="AE21" i="43"/>
  <c r="J11" i="67"/>
  <c r="AD17" i="43"/>
  <c r="AE17" i="43"/>
  <c r="AH18" i="43"/>
  <c r="AI18" i="43" s="1"/>
  <c r="AJ18" i="43" s="1"/>
  <c r="K11" i="67"/>
  <c r="U18" i="43"/>
  <c r="AE16" i="43"/>
  <c r="AL6" i="41"/>
  <c r="AJ6" i="41"/>
  <c r="W8" i="41"/>
  <c r="U9" i="41"/>
  <c r="W19" i="41"/>
  <c r="W23" i="41"/>
  <c r="W12" i="41"/>
  <c r="U16" i="41"/>
  <c r="U20" i="41"/>
  <c r="U24" i="41"/>
  <c r="U13" i="41"/>
  <c r="U5" i="41"/>
  <c r="A16" i="41" s="1"/>
  <c r="W16" i="41"/>
  <c r="W20" i="41"/>
  <c r="W24" i="41"/>
  <c r="U17" i="41"/>
  <c r="U21" i="41"/>
  <c r="W10" i="41"/>
  <c r="U14" i="41"/>
  <c r="W17" i="41"/>
  <c r="W21" i="41"/>
  <c r="U11" i="41"/>
  <c r="U18" i="41"/>
  <c r="U22" i="41"/>
  <c r="W6" i="41"/>
  <c r="U7" i="41"/>
  <c r="W14" i="41"/>
  <c r="U15" i="41"/>
  <c r="W18" i="41"/>
  <c r="W22" i="41"/>
  <c r="W7" i="41"/>
  <c r="U8" i="41"/>
  <c r="U19" i="41"/>
  <c r="U23" i="41"/>
  <c r="U12" i="41"/>
  <c r="J9" i="67"/>
  <c r="U9" i="40"/>
  <c r="AE22" i="40"/>
  <c r="W8" i="39"/>
  <c r="U9" i="39"/>
  <c r="AD11" i="39"/>
  <c r="AM20" i="39"/>
  <c r="AD15" i="39"/>
  <c r="AE15" i="39"/>
  <c r="AM15" i="39"/>
  <c r="W12" i="39"/>
  <c r="AM19" i="39"/>
  <c r="AH10" i="39"/>
  <c r="AI10" i="39" s="1"/>
  <c r="AD18" i="39"/>
  <c r="AE18" i="39"/>
  <c r="AM14" i="39"/>
  <c r="AM12" i="39"/>
  <c r="AM18" i="39"/>
  <c r="W43" i="39"/>
  <c r="AH11" i="39"/>
  <c r="AI11" i="39" s="1"/>
  <c r="U19" i="39"/>
  <c r="W31" i="39"/>
  <c r="W39" i="39"/>
  <c r="U47" i="39"/>
  <c r="AE10" i="39"/>
  <c r="AH14" i="39"/>
  <c r="AI14" i="39" s="1"/>
  <c r="AH17" i="39"/>
  <c r="AI17" i="39" s="1"/>
  <c r="AL17" i="39" s="1"/>
  <c r="AD22" i="39"/>
  <c r="AL25" i="39"/>
  <c r="U40" i="39"/>
  <c r="W19" i="39"/>
  <c r="AE22" i="39"/>
  <c r="AH25" i="39"/>
  <c r="AI25" i="39" s="1"/>
  <c r="U27" i="39"/>
  <c r="AD31" i="39"/>
  <c r="W47" i="39"/>
  <c r="U35" i="39"/>
  <c r="U48" i="39"/>
  <c r="W27" i="39"/>
  <c r="W7" i="39"/>
  <c r="U8" i="39"/>
  <c r="U12" i="39"/>
  <c r="W35" i="39"/>
  <c r="U43" i="39"/>
  <c r="W15" i="39"/>
  <c r="U23" i="39"/>
  <c r="U36" i="39"/>
  <c r="A14" i="39"/>
  <c r="W23" i="39"/>
  <c r="AN26" i="39"/>
  <c r="W50" i="39"/>
  <c r="AL29" i="39"/>
  <c r="AE11" i="39"/>
  <c r="AD14" i="39"/>
  <c r="AE17" i="39"/>
  <c r="AH29" i="39"/>
  <c r="AI29" i="39" s="1"/>
  <c r="U31" i="39"/>
  <c r="U39" i="39"/>
  <c r="AE25" i="39"/>
  <c r="J6" i="67"/>
  <c r="K46" i="68"/>
  <c r="AH7" i="38"/>
  <c r="AI7" i="38" s="1"/>
  <c r="W23" i="38"/>
  <c r="AD8" i="38"/>
  <c r="W17" i="37"/>
  <c r="W15" i="37"/>
  <c r="U16" i="37"/>
  <c r="W24" i="37"/>
  <c r="S45" i="68"/>
  <c r="S48" i="68" s="1"/>
  <c r="U12" i="37"/>
  <c r="U20" i="37"/>
  <c r="K45" i="68"/>
  <c r="W12" i="37"/>
  <c r="U21" i="37"/>
  <c r="K43" i="68"/>
  <c r="AJ9" i="35"/>
  <c r="AL9" i="35"/>
  <c r="AL10" i="35"/>
  <c r="AJ10" i="35"/>
  <c r="U13" i="35"/>
  <c r="W16" i="35"/>
  <c r="W20" i="35"/>
  <c r="W24" i="35"/>
  <c r="S43" i="68"/>
  <c r="AD9" i="35"/>
  <c r="U10" i="35"/>
  <c r="A16" i="35" s="1"/>
  <c r="W13" i="35"/>
  <c r="U17" i="35"/>
  <c r="U21" i="35"/>
  <c r="AE9" i="35"/>
  <c r="W10" i="35"/>
  <c r="U14" i="35"/>
  <c r="W17" i="35"/>
  <c r="W21" i="35"/>
  <c r="U11" i="35"/>
  <c r="U18" i="35"/>
  <c r="U22" i="35"/>
  <c r="J44" i="68"/>
  <c r="AD10" i="35"/>
  <c r="W14" i="35"/>
  <c r="L44" i="68"/>
  <c r="U15" i="35"/>
  <c r="W18" i="35"/>
  <c r="W22" i="35"/>
  <c r="U19" i="35"/>
  <c r="U23" i="35"/>
  <c r="U12" i="35"/>
  <c r="W15" i="35"/>
  <c r="AJ9" i="34"/>
  <c r="AL9" i="34"/>
  <c r="AJ10" i="34"/>
  <c r="AH11" i="34"/>
  <c r="AI11" i="34" s="1"/>
  <c r="AJ11" i="34" s="1"/>
  <c r="U21" i="34"/>
  <c r="W17" i="34"/>
  <c r="X17" i="34" s="1"/>
  <c r="U6" i="34"/>
  <c r="W10" i="34"/>
  <c r="X10" i="34" s="1"/>
  <c r="AN10" i="34"/>
  <c r="W11" i="34"/>
  <c r="W7" i="34"/>
  <c r="K42" i="68"/>
  <c r="W21" i="34"/>
  <c r="W14" i="69"/>
  <c r="U21" i="69"/>
  <c r="U27" i="69"/>
  <c r="U10" i="69"/>
  <c r="W34" i="69"/>
  <c r="U66" i="69"/>
  <c r="W9" i="69"/>
  <c r="W26" i="69"/>
  <c r="W15" i="69"/>
  <c r="X15" i="69" s="1"/>
  <c r="W65" i="69"/>
  <c r="U5" i="69"/>
  <c r="W10" i="69"/>
  <c r="U29" i="69"/>
  <c r="U17" i="69"/>
  <c r="W22" i="69"/>
  <c r="W36" i="69"/>
  <c r="W5" i="69"/>
  <c r="X5" i="69" s="1"/>
  <c r="W11" i="69"/>
  <c r="U23" i="69"/>
  <c r="W17" i="69"/>
  <c r="X17" i="69" s="1"/>
  <c r="W30" i="69"/>
  <c r="X30" i="69" s="1"/>
  <c r="U7" i="69"/>
  <c r="U12" i="69"/>
  <c r="U31" i="69"/>
  <c r="W18" i="69"/>
  <c r="U25" i="69"/>
  <c r="U62" i="69"/>
  <c r="W8" i="69"/>
  <c r="U9" i="69"/>
  <c r="U19" i="69"/>
  <c r="AE144" i="32"/>
  <c r="AH110" i="32"/>
  <c r="AI110" i="32" s="1"/>
  <c r="AE92" i="32"/>
  <c r="A14" i="32"/>
  <c r="AD94" i="32"/>
  <c r="AD109" i="32"/>
  <c r="AH164" i="32"/>
  <c r="AI164" i="32" s="1"/>
  <c r="AH90" i="32"/>
  <c r="AI90" i="32" s="1"/>
  <c r="AL90" i="32" s="1"/>
  <c r="AM96" i="32"/>
  <c r="AH123" i="32"/>
  <c r="AI123" i="32" s="1"/>
  <c r="AE132" i="32"/>
  <c r="AM119" i="32"/>
  <c r="AJ154" i="32"/>
  <c r="AL129" i="32"/>
  <c r="AL131" i="32"/>
  <c r="AD93" i="32"/>
  <c r="AJ144" i="32"/>
  <c r="AH87" i="32"/>
  <c r="AI87" i="32" s="1"/>
  <c r="AH89" i="32"/>
  <c r="AI89" i="32" s="1"/>
  <c r="AL89" i="32" s="1"/>
  <c r="AE93" i="32"/>
  <c r="AD110" i="32"/>
  <c r="AD116" i="32"/>
  <c r="AH122" i="32"/>
  <c r="AI122" i="32" s="1"/>
  <c r="AE135" i="32"/>
  <c r="AL122" i="32"/>
  <c r="AJ122" i="32"/>
  <c r="K39" i="68"/>
  <c r="AL110" i="32"/>
  <c r="AD102" i="32"/>
  <c r="AE109" i="32"/>
  <c r="AE115" i="32"/>
  <c r="AH132" i="32"/>
  <c r="AI132" i="32" s="1"/>
  <c r="AH156" i="32"/>
  <c r="AI156" i="32" s="1"/>
  <c r="AL156" i="32" s="1"/>
  <c r="AH167" i="32"/>
  <c r="AI167" i="32" s="1"/>
  <c r="AL167" i="32" s="1"/>
  <c r="AD98" i="32"/>
  <c r="AH99" i="32"/>
  <c r="AI99" i="32" s="1"/>
  <c r="AL99" i="32" s="1"/>
  <c r="AJ110" i="32"/>
  <c r="AH113" i="32"/>
  <c r="AI113" i="32" s="1"/>
  <c r="AD117" i="32"/>
  <c r="AD125" i="32"/>
  <c r="AD137" i="32"/>
  <c r="AL144" i="32"/>
  <c r="AD155" i="32"/>
  <c r="AD160" i="32"/>
  <c r="AD171" i="32"/>
  <c r="AE98" i="32"/>
  <c r="AD104" i="32"/>
  <c r="AE112" i="32"/>
  <c r="AD121" i="32"/>
  <c r="AD127" i="32"/>
  <c r="AL135" i="32"/>
  <c r="AE137" i="32"/>
  <c r="AD146" i="32"/>
  <c r="AE160" i="32"/>
  <c r="AE171" i="32"/>
  <c r="AD88" i="32"/>
  <c r="AL95" i="32"/>
  <c r="AE104" i="32"/>
  <c r="AE121" i="32"/>
  <c r="AE127" i="32"/>
  <c r="AH135" i="32"/>
  <c r="AI135" i="32" s="1"/>
  <c r="AD139" i="32"/>
  <c r="AE143" i="32"/>
  <c r="AD148" i="32"/>
  <c r="AH155" i="32"/>
  <c r="AI155" i="32" s="1"/>
  <c r="AL97" i="32"/>
  <c r="AH98" i="32"/>
  <c r="AI98" i="32" s="1"/>
  <c r="AE101" i="32"/>
  <c r="AH102" i="32"/>
  <c r="AI102" i="32" s="1"/>
  <c r="AD106" i="32"/>
  <c r="AL118" i="32"/>
  <c r="AH125" i="32"/>
  <c r="AI125" i="32" s="1"/>
  <c r="AL125" i="32" s="1"/>
  <c r="AE148" i="32"/>
  <c r="AH88" i="32"/>
  <c r="AI88" i="32" s="1"/>
  <c r="AL88" i="32" s="1"/>
  <c r="AH112" i="32"/>
  <c r="AI112" i="32" s="1"/>
  <c r="AL120" i="32"/>
  <c r="AH121" i="32"/>
  <c r="AI121" i="32" s="1"/>
  <c r="AE124" i="32"/>
  <c r="AD133" i="32"/>
  <c r="AH143" i="32"/>
  <c r="AI143" i="32" s="1"/>
  <c r="AH146" i="32"/>
  <c r="AI146" i="32" s="1"/>
  <c r="AD150" i="32"/>
  <c r="AD154" i="32"/>
  <c r="AD157" i="32"/>
  <c r="AD168" i="32"/>
  <c r="AL101" i="32"/>
  <c r="AE133" i="32"/>
  <c r="AL142" i="32"/>
  <c r="AE154" i="32"/>
  <c r="AL163" i="32"/>
  <c r="AJ165" i="32"/>
  <c r="AD170" i="32"/>
  <c r="AD87" i="32"/>
  <c r="AD90" i="32"/>
  <c r="AH101" i="32"/>
  <c r="AI101" i="32" s="1"/>
  <c r="AE116" i="32"/>
  <c r="AE159" i="32"/>
  <c r="AE170" i="32"/>
  <c r="AE87" i="32"/>
  <c r="AE90" i="32"/>
  <c r="AD100" i="32"/>
  <c r="AL107" i="32"/>
  <c r="AE110" i="32"/>
  <c r="AH111" i="32"/>
  <c r="AI111" i="32" s="1"/>
  <c r="AH124" i="32"/>
  <c r="AI124" i="32" s="1"/>
  <c r="AL124" i="32" s="1"/>
  <c r="AD138" i="32"/>
  <c r="AL153" i="32"/>
  <c r="AH157" i="32"/>
  <c r="AI157" i="32" s="1"/>
  <c r="AD161" i="32"/>
  <c r="AH168" i="32"/>
  <c r="AI168" i="32" s="1"/>
  <c r="AL168" i="32" s="1"/>
  <c r="W170" i="32"/>
  <c r="AD92" i="32"/>
  <c r="AD99" i="32"/>
  <c r="AD105" i="32"/>
  <c r="AD123" i="32"/>
  <c r="AD128" i="32"/>
  <c r="AD132" i="32"/>
  <c r="AH133" i="32"/>
  <c r="AI133" i="32" s="1"/>
  <c r="AL133" i="32" s="1"/>
  <c r="AE138" i="32"/>
  <c r="AH145" i="32"/>
  <c r="AI145" i="32" s="1"/>
  <c r="AE156" i="32"/>
  <c r="AH57" i="31"/>
  <c r="AI57" i="31" s="1"/>
  <c r="AJ57" i="31" s="1"/>
  <c r="AM57" i="31"/>
  <c r="AH45" i="31"/>
  <c r="AI45" i="31" s="1"/>
  <c r="AJ45" i="31" s="1"/>
  <c r="AH47" i="31"/>
  <c r="AI47" i="31" s="1"/>
  <c r="AD35" i="31"/>
  <c r="AH36" i="31"/>
  <c r="AI36" i="31" s="1"/>
  <c r="AH48" i="31"/>
  <c r="AI48" i="31" s="1"/>
  <c r="AE35" i="31"/>
  <c r="AD38" i="31"/>
  <c r="AE47" i="31"/>
  <c r="AN47" i="31" s="1"/>
  <c r="AD50" i="31"/>
  <c r="AE59" i="31"/>
  <c r="AE38" i="31"/>
  <c r="AH59" i="31"/>
  <c r="AI59" i="31" s="1"/>
  <c r="U59" i="31"/>
  <c r="U17" i="31"/>
  <c r="A14" i="31"/>
  <c r="AH32" i="31"/>
  <c r="AI32" i="31" s="1"/>
  <c r="AJ32" i="31" s="1"/>
  <c r="AE34" i="31"/>
  <c r="AH44" i="31"/>
  <c r="AI44" i="31" s="1"/>
  <c r="AJ44" i="31" s="1"/>
  <c r="AE46" i="31"/>
  <c r="AD49" i="31"/>
  <c r="AL53" i="31"/>
  <c r="AH56" i="31"/>
  <c r="AI56" i="31" s="1"/>
  <c r="AJ56" i="31" s="1"/>
  <c r="AE49" i="31"/>
  <c r="AH34" i="31"/>
  <c r="AI34" i="31" s="1"/>
  <c r="AH46" i="31"/>
  <c r="AI46" i="31" s="1"/>
  <c r="AH58" i="31"/>
  <c r="AI58" i="31" s="1"/>
  <c r="W11" i="31"/>
  <c r="J38" i="68"/>
  <c r="J41" i="68" s="1"/>
  <c r="AD36" i="31"/>
  <c r="AN36" i="31" s="1"/>
  <c r="AH37" i="31"/>
  <c r="AI37" i="31" s="1"/>
  <c r="AL37" i="31" s="1"/>
  <c r="AD48" i="31"/>
  <c r="AH49" i="31"/>
  <c r="AI49" i="31" s="1"/>
  <c r="AH31" i="31"/>
  <c r="AI31" i="31" s="1"/>
  <c r="AE36" i="31"/>
  <c r="AH43" i="31"/>
  <c r="AI43" i="31" s="1"/>
  <c r="AE48" i="31"/>
  <c r="AM22" i="30"/>
  <c r="AH23" i="30"/>
  <c r="AI23" i="30" s="1"/>
  <c r="AL23" i="30" s="1"/>
  <c r="K37" i="68"/>
  <c r="H37" i="68"/>
  <c r="C33" i="2" s="1"/>
  <c r="AH22" i="30"/>
  <c r="AI22" i="30" s="1"/>
  <c r="AD24" i="30"/>
  <c r="W22" i="30"/>
  <c r="U22" i="30"/>
  <c r="W8" i="30"/>
  <c r="U9" i="30"/>
  <c r="AH24" i="30"/>
  <c r="AI24" i="30" s="1"/>
  <c r="X23" i="25"/>
  <c r="I19" i="68"/>
  <c r="I33" i="67"/>
  <c r="I26" i="67"/>
  <c r="I16" i="67"/>
  <c r="I12" i="67"/>
  <c r="X22" i="50"/>
  <c r="AA22" i="50" s="1"/>
  <c r="AC22" i="50" s="1"/>
  <c r="AP22" i="50" s="1"/>
  <c r="I19" i="67"/>
  <c r="I35" i="67"/>
  <c r="AH51" i="29"/>
  <c r="AI51" i="29" s="1"/>
  <c r="AM49" i="29"/>
  <c r="AM62" i="29"/>
  <c r="AH57" i="29"/>
  <c r="AI57" i="29" s="1"/>
  <c r="AM55" i="29"/>
  <c r="AD73" i="29"/>
  <c r="AM59" i="29"/>
  <c r="AH67" i="29"/>
  <c r="AI67" i="29" s="1"/>
  <c r="AL56" i="29"/>
  <c r="AE60" i="29"/>
  <c r="AM67" i="29"/>
  <c r="AM54" i="29"/>
  <c r="AN54" i="29" s="1"/>
  <c r="AM56" i="29"/>
  <c r="AJ60" i="29"/>
  <c r="AE72" i="29"/>
  <c r="AD51" i="29"/>
  <c r="AM58" i="29"/>
  <c r="AE62" i="29"/>
  <c r="AE66" i="29"/>
  <c r="AL70" i="29"/>
  <c r="AE74" i="29"/>
  <c r="AH49" i="29"/>
  <c r="AI49" i="29" s="1"/>
  <c r="AM60" i="29"/>
  <c r="AD59" i="29"/>
  <c r="AD71" i="29"/>
  <c r="AH79" i="29"/>
  <c r="AI79" i="29" s="1"/>
  <c r="AL79" i="29" s="1"/>
  <c r="AH69" i="29"/>
  <c r="AI69" i="29" s="1"/>
  <c r="AD83" i="29"/>
  <c r="AN83" i="29" s="1"/>
  <c r="A14" i="29"/>
  <c r="AH59" i="29"/>
  <c r="AI59" i="29" s="1"/>
  <c r="AH71" i="29"/>
  <c r="AI71" i="29" s="1"/>
  <c r="AE78" i="29"/>
  <c r="AN78" i="29" s="1"/>
  <c r="U8" i="29"/>
  <c r="AH83" i="29"/>
  <c r="AI83" i="29" s="1"/>
  <c r="AD53" i="29"/>
  <c r="AH73" i="29"/>
  <c r="AI73" i="29" s="1"/>
  <c r="U80" i="29"/>
  <c r="AE50" i="29"/>
  <c r="AD55" i="29"/>
  <c r="AH61" i="29"/>
  <c r="AI61" i="29" s="1"/>
  <c r="AD75" i="29"/>
  <c r="AD77" i="29"/>
  <c r="U10" i="29"/>
  <c r="AH75" i="29"/>
  <c r="AI75" i="29" s="1"/>
  <c r="AH55" i="29"/>
  <c r="AI55" i="29" s="1"/>
  <c r="AD49" i="29"/>
  <c r="AH63" i="29"/>
  <c r="AI63" i="29" s="1"/>
  <c r="AD42" i="28"/>
  <c r="AD35" i="28"/>
  <c r="AE40" i="28"/>
  <c r="AH45" i="28"/>
  <c r="AI45" i="28" s="1"/>
  <c r="AE47" i="28"/>
  <c r="AH40" i="28"/>
  <c r="AI40" i="28" s="1"/>
  <c r="AE42" i="28"/>
  <c r="AD39" i="28"/>
  <c r="AL41" i="28"/>
  <c r="AE39" i="28"/>
  <c r="AH44" i="28"/>
  <c r="AI44" i="28" s="1"/>
  <c r="AE46" i="28"/>
  <c r="U46" i="28"/>
  <c r="AD48" i="28"/>
  <c r="AE48" i="28"/>
  <c r="AH36" i="28"/>
  <c r="AI36" i="28" s="1"/>
  <c r="AL36" i="28" s="1"/>
  <c r="AD38" i="28"/>
  <c r="K35" i="68"/>
  <c r="AD40" i="28"/>
  <c r="AD47" i="28"/>
  <c r="H33" i="68"/>
  <c r="C30" i="2" s="1"/>
  <c r="W9" i="27"/>
  <c r="W13" i="27"/>
  <c r="W11" i="27"/>
  <c r="U5" i="27"/>
  <c r="W15" i="27"/>
  <c r="K33" i="68"/>
  <c r="U10" i="27"/>
  <c r="AE16" i="26"/>
  <c r="AM14" i="26"/>
  <c r="W11" i="26"/>
  <c r="W6" i="26"/>
  <c r="U7" i="26"/>
  <c r="U21" i="26"/>
  <c r="W7" i="26"/>
  <c r="U8" i="26"/>
  <c r="W21" i="26"/>
  <c r="W8" i="26"/>
  <c r="U9" i="26"/>
  <c r="U24" i="26"/>
  <c r="W13" i="26"/>
  <c r="W17" i="26"/>
  <c r="U5" i="26"/>
  <c r="AJ14" i="26"/>
  <c r="U18" i="26"/>
  <c r="U10" i="26"/>
  <c r="W5" i="26"/>
  <c r="W14" i="26"/>
  <c r="U6" i="26"/>
  <c r="W10" i="26"/>
  <c r="W16" i="26"/>
  <c r="X16" i="26" s="1"/>
  <c r="U11" i="26"/>
  <c r="W20" i="26"/>
  <c r="AH19" i="24"/>
  <c r="AI19" i="24" s="1"/>
  <c r="AJ24" i="24"/>
  <c r="AE22" i="24"/>
  <c r="AH22" i="24"/>
  <c r="AI22" i="24" s="1"/>
  <c r="AL22" i="24" s="1"/>
  <c r="AD25" i="24"/>
  <c r="AE25" i="24"/>
  <c r="AD24" i="24"/>
  <c r="AD18" i="24"/>
  <c r="AH21" i="24"/>
  <c r="AI21" i="24" s="1"/>
  <c r="AE24" i="24"/>
  <c r="AH20" i="24"/>
  <c r="AI20" i="24" s="1"/>
  <c r="AL20" i="24" s="1"/>
  <c r="AD23" i="24"/>
  <c r="W8" i="24"/>
  <c r="A14" i="24"/>
  <c r="W23" i="24"/>
  <c r="AD28" i="24"/>
  <c r="W23" i="23"/>
  <c r="K29" i="68"/>
  <c r="U12" i="70"/>
  <c r="U6" i="70"/>
  <c r="W6" i="70"/>
  <c r="U7" i="70"/>
  <c r="U14" i="70"/>
  <c r="U20" i="70"/>
  <c r="W14" i="70"/>
  <c r="X14" i="70" s="1"/>
  <c r="W10" i="70"/>
  <c r="A14" i="70"/>
  <c r="W15" i="70"/>
  <c r="AD58" i="22"/>
  <c r="U90" i="22"/>
  <c r="W92" i="22"/>
  <c r="X92" i="22" s="1"/>
  <c r="U102" i="22"/>
  <c r="U110" i="22"/>
  <c r="W107" i="22"/>
  <c r="X107" i="22" s="1"/>
  <c r="U89" i="22"/>
  <c r="W91" i="22"/>
  <c r="X91" i="22" s="1"/>
  <c r="U101" i="22"/>
  <c r="W103" i="22"/>
  <c r="X103" i="22" s="1"/>
  <c r="U109" i="22"/>
  <c r="W109" i="22"/>
  <c r="X109" i="22" s="1"/>
  <c r="W90" i="22"/>
  <c r="X90" i="22" s="1"/>
  <c r="U100" i="22"/>
  <c r="W102" i="22"/>
  <c r="X102" i="22" s="1"/>
  <c r="U108" i="22"/>
  <c r="W110" i="22"/>
  <c r="X110" i="22" s="1"/>
  <c r="U99" i="22"/>
  <c r="U107" i="22"/>
  <c r="W89" i="22"/>
  <c r="X89" i="22" s="1"/>
  <c r="W101" i="22"/>
  <c r="X101" i="22" s="1"/>
  <c r="U98" i="22"/>
  <c r="W100" i="22"/>
  <c r="X100" i="22" s="1"/>
  <c r="U106" i="22"/>
  <c r="W108" i="22"/>
  <c r="X108" i="22" s="1"/>
  <c r="U97" i="22"/>
  <c r="W99" i="22"/>
  <c r="X99" i="22" s="1"/>
  <c r="U96" i="22"/>
  <c r="W98" i="22"/>
  <c r="X98" i="22" s="1"/>
  <c r="W106" i="22"/>
  <c r="X106" i="22" s="1"/>
  <c r="U95" i="22"/>
  <c r="W97" i="22"/>
  <c r="X97" i="22" s="1"/>
  <c r="U94" i="22"/>
  <c r="W96" i="22"/>
  <c r="X96" i="22" s="1"/>
  <c r="W93" i="22"/>
  <c r="X93" i="22" s="1"/>
  <c r="U93" i="22"/>
  <c r="W95" i="22"/>
  <c r="X95" i="22" s="1"/>
  <c r="U103" i="22"/>
  <c r="U92" i="22"/>
  <c r="W94" i="22"/>
  <c r="X94" i="22" s="1"/>
  <c r="U91" i="22"/>
  <c r="AH54" i="22"/>
  <c r="AI54" i="22" s="1"/>
  <c r="AJ54" i="22" s="1"/>
  <c r="AM62" i="22"/>
  <c r="AM64" i="22"/>
  <c r="AD62" i="22"/>
  <c r="AE62" i="22"/>
  <c r="W67" i="22"/>
  <c r="AH60" i="22"/>
  <c r="AI60" i="22" s="1"/>
  <c r="AL60" i="22" s="1"/>
  <c r="AE63" i="22"/>
  <c r="W52" i="22"/>
  <c r="X52" i="22" s="1"/>
  <c r="AE67" i="22"/>
  <c r="AH63" i="22"/>
  <c r="AI63" i="22" s="1"/>
  <c r="W32" i="22"/>
  <c r="X32" i="22" s="1"/>
  <c r="W44" i="22"/>
  <c r="X44" i="22" s="1"/>
  <c r="A14" i="22"/>
  <c r="AD54" i="22"/>
  <c r="AE54" i="22"/>
  <c r="AH59" i="22"/>
  <c r="AI59" i="22" s="1"/>
  <c r="AD61" i="22"/>
  <c r="U5" i="22"/>
  <c r="AE61" i="22"/>
  <c r="AE68" i="22"/>
  <c r="AE58" i="22"/>
  <c r="W7" i="22"/>
  <c r="X7" i="22" s="1"/>
  <c r="AH58" i="22"/>
  <c r="AI58" i="22" s="1"/>
  <c r="AL58" i="22" s="1"/>
  <c r="AD63" i="22"/>
  <c r="A14" i="21"/>
  <c r="U22" i="21"/>
  <c r="U15" i="21"/>
  <c r="U5" i="21"/>
  <c r="J21" i="68"/>
  <c r="AH13" i="21"/>
  <c r="AI13" i="21" s="1"/>
  <c r="AL13" i="21" s="1"/>
  <c r="U10" i="21"/>
  <c r="W18" i="21"/>
  <c r="AE21" i="21"/>
  <c r="AN21" i="21" s="1"/>
  <c r="U6" i="21"/>
  <c r="W10" i="21"/>
  <c r="U11" i="21"/>
  <c r="W12" i="21"/>
  <c r="AH15" i="21"/>
  <c r="AI15" i="21" s="1"/>
  <c r="AE18" i="21"/>
  <c r="AH21" i="21"/>
  <c r="AI21" i="21" s="1"/>
  <c r="W17" i="21"/>
  <c r="W6" i="21"/>
  <c r="U7" i="21"/>
  <c r="W11" i="21"/>
  <c r="W14" i="21"/>
  <c r="X14" i="21" s="1"/>
  <c r="K21" i="68"/>
  <c r="AE17" i="21"/>
  <c r="W7" i="21"/>
  <c r="U8" i="21"/>
  <c r="AL19" i="21"/>
  <c r="AH20" i="21"/>
  <c r="AI20" i="21" s="1"/>
  <c r="W16" i="21"/>
  <c r="AH17" i="21"/>
  <c r="AI17" i="21" s="1"/>
  <c r="U19" i="21"/>
  <c r="W22" i="21"/>
  <c r="W8" i="21"/>
  <c r="X8" i="21" s="1"/>
  <c r="U9" i="21"/>
  <c r="AD74" i="20"/>
  <c r="AD63" i="20"/>
  <c r="AM61" i="20"/>
  <c r="AD69" i="20"/>
  <c r="AL66" i="20"/>
  <c r="AD58" i="20"/>
  <c r="AL62" i="20"/>
  <c r="AM62" i="20"/>
  <c r="AE70" i="20"/>
  <c r="AJ65" i="20"/>
  <c r="AM68" i="20"/>
  <c r="AM80" i="20"/>
  <c r="AH61" i="20"/>
  <c r="AI61" i="20" s="1"/>
  <c r="A14" i="20"/>
  <c r="AD70" i="20"/>
  <c r="AH71" i="20"/>
  <c r="AI71" i="20" s="1"/>
  <c r="AJ71" i="20" s="1"/>
  <c r="AH58" i="20"/>
  <c r="AI58" i="20" s="1"/>
  <c r="AE63" i="20"/>
  <c r="AN63" i="20" s="1"/>
  <c r="AD75" i="20"/>
  <c r="AD77" i="20"/>
  <c r="AD65" i="20"/>
  <c r="AL70" i="20"/>
  <c r="W79" i="20"/>
  <c r="AH70" i="20"/>
  <c r="AI70" i="20" s="1"/>
  <c r="AJ67" i="20"/>
  <c r="AD59" i="20"/>
  <c r="AE74" i="20"/>
  <c r="AE76" i="20"/>
  <c r="AE61" i="20"/>
  <c r="AE64" i="20"/>
  <c r="AD71" i="20"/>
  <c r="AH59" i="20"/>
  <c r="AI59" i="20" s="1"/>
  <c r="AJ59" i="20" s="1"/>
  <c r="U19" i="19"/>
  <c r="H19" i="68"/>
  <c r="C20" i="2" s="1"/>
  <c r="U21" i="19"/>
  <c r="W12" i="19"/>
  <c r="U5" i="19"/>
  <c r="W14" i="19"/>
  <c r="W9" i="19"/>
  <c r="W7" i="19"/>
  <c r="U8" i="19"/>
  <c r="AH15" i="19"/>
  <c r="AI15" i="19" s="1"/>
  <c r="W23" i="19"/>
  <c r="W8" i="19"/>
  <c r="X8" i="19" s="1"/>
  <c r="U9" i="19"/>
  <c r="AH18" i="19"/>
  <c r="AI18" i="19" s="1"/>
  <c r="AL18" i="19" s="1"/>
  <c r="U24" i="19"/>
  <c r="U16" i="19"/>
  <c r="AD21" i="19"/>
  <c r="U10" i="19"/>
  <c r="U15" i="19"/>
  <c r="W16" i="19"/>
  <c r="W20" i="19"/>
  <c r="AH21" i="19"/>
  <c r="AI21" i="19" s="1"/>
  <c r="A14" i="19"/>
  <c r="W15" i="19"/>
  <c r="W5" i="19"/>
  <c r="W11" i="19"/>
  <c r="J19" i="68"/>
  <c r="W18" i="19"/>
  <c r="W19" i="19"/>
  <c r="U6" i="19"/>
  <c r="AD15" i="19"/>
  <c r="U12" i="19"/>
  <c r="AE18" i="19"/>
  <c r="AL12" i="18"/>
  <c r="AM11" i="18"/>
  <c r="W17" i="18"/>
  <c r="U14" i="18"/>
  <c r="W10" i="18"/>
  <c r="AD13" i="18"/>
  <c r="U22" i="18"/>
  <c r="AE13" i="18"/>
  <c r="W15" i="18"/>
  <c r="U11" i="18"/>
  <c r="A14" i="18"/>
  <c r="U18" i="18"/>
  <c r="AE11" i="18"/>
  <c r="AN6" i="74"/>
  <c r="T17" i="68"/>
  <c r="E18" i="2" s="1"/>
  <c r="K17" i="68"/>
  <c r="AL6" i="74"/>
  <c r="AJ6" i="74"/>
  <c r="W8" i="74"/>
  <c r="X8" i="74" s="1"/>
  <c r="U9" i="74"/>
  <c r="W19" i="74"/>
  <c r="W23" i="74"/>
  <c r="U13" i="74"/>
  <c r="U5" i="74"/>
  <c r="A16" i="74" s="1"/>
  <c r="W16" i="74"/>
  <c r="W20" i="74"/>
  <c r="W24" i="74"/>
  <c r="W13" i="74"/>
  <c r="U17" i="74"/>
  <c r="U21" i="74"/>
  <c r="W10" i="74"/>
  <c r="U14" i="74"/>
  <c r="W17" i="74"/>
  <c r="W21" i="74"/>
  <c r="W6" i="74"/>
  <c r="U7" i="74"/>
  <c r="W14" i="74"/>
  <c r="U15" i="74"/>
  <c r="W18" i="74"/>
  <c r="W22" i="74"/>
  <c r="W7" i="74"/>
  <c r="U8" i="74"/>
  <c r="U19" i="74"/>
  <c r="U23" i="74"/>
  <c r="U12" i="74"/>
  <c r="W15" i="74"/>
  <c r="S15" i="68"/>
  <c r="W10" i="16"/>
  <c r="AM146" i="15"/>
  <c r="AM165" i="15"/>
  <c r="AM153" i="15"/>
  <c r="AM157" i="15"/>
  <c r="AM159" i="15"/>
  <c r="AE145" i="15"/>
  <c r="AM134" i="15"/>
  <c r="W101" i="15"/>
  <c r="AH133" i="15"/>
  <c r="AI133" i="15" s="1"/>
  <c r="AM152" i="15"/>
  <c r="AM156" i="15"/>
  <c r="AM158" i="15"/>
  <c r="AM162" i="15"/>
  <c r="AD144" i="15"/>
  <c r="AL157" i="15"/>
  <c r="AM133" i="15"/>
  <c r="AE165" i="15"/>
  <c r="AD180" i="15"/>
  <c r="AL232" i="15"/>
  <c r="AJ232" i="15"/>
  <c r="AL234" i="15"/>
  <c r="AJ234" i="15"/>
  <c r="J14" i="68"/>
  <c r="U54" i="15"/>
  <c r="W64" i="15"/>
  <c r="AD138" i="15"/>
  <c r="AE140" i="15"/>
  <c r="AE142" i="15"/>
  <c r="AH190" i="15"/>
  <c r="AI190" i="15" s="1"/>
  <c r="AH231" i="15"/>
  <c r="AI231" i="15" s="1"/>
  <c r="AL231" i="15" s="1"/>
  <c r="AE234" i="15"/>
  <c r="U45" i="15"/>
  <c r="AH126" i="15"/>
  <c r="AI126" i="15" s="1"/>
  <c r="AH233" i="15"/>
  <c r="AI233" i="15" s="1"/>
  <c r="AJ233" i="15" s="1"/>
  <c r="AL153" i="15"/>
  <c r="W35" i="15"/>
  <c r="AH122" i="15"/>
  <c r="AI122" i="15" s="1"/>
  <c r="AJ122" i="15" s="1"/>
  <c r="AE193" i="15"/>
  <c r="AN193" i="15" s="1"/>
  <c r="AD224" i="15"/>
  <c r="AH145" i="15"/>
  <c r="AI145" i="15" s="1"/>
  <c r="AE149" i="15"/>
  <c r="AE173" i="15"/>
  <c r="AH214" i="15"/>
  <c r="AI214" i="15" s="1"/>
  <c r="AD157" i="15"/>
  <c r="AD181" i="15"/>
  <c r="AD231" i="15"/>
  <c r="W503" i="15"/>
  <c r="X503" i="15" s="1"/>
  <c r="U19" i="15"/>
  <c r="AE157" i="15"/>
  <c r="AD161" i="15"/>
  <c r="W167" i="15"/>
  <c r="AH175" i="15"/>
  <c r="AI175" i="15" s="1"/>
  <c r="AH183" i="15"/>
  <c r="AI183" i="15" s="1"/>
  <c r="AD232" i="15"/>
  <c r="W85" i="15"/>
  <c r="AE190" i="15"/>
  <c r="AD233" i="15"/>
  <c r="AD132" i="15"/>
  <c r="W5" i="14"/>
  <c r="W13" i="14"/>
  <c r="W7" i="14"/>
  <c r="U8" i="14"/>
  <c r="AE20" i="14"/>
  <c r="U10" i="14"/>
  <c r="AD19" i="14"/>
  <c r="AE19" i="14"/>
  <c r="AL22" i="14"/>
  <c r="W23" i="14"/>
  <c r="AD20" i="14"/>
  <c r="A14" i="14"/>
  <c r="W5" i="13"/>
  <c r="U6" i="13"/>
  <c r="AD20" i="13"/>
  <c r="AE20" i="13"/>
  <c r="AH17" i="13"/>
  <c r="AI17" i="13" s="1"/>
  <c r="AL17" i="13" s="1"/>
  <c r="AD19" i="13"/>
  <c r="U21" i="13"/>
  <c r="AE19" i="13"/>
  <c r="AH16" i="13"/>
  <c r="AI16" i="13" s="1"/>
  <c r="AJ16" i="13" s="1"/>
  <c r="A14" i="13"/>
  <c r="AE18" i="13"/>
  <c r="AN18" i="13" s="1"/>
  <c r="AM50" i="12"/>
  <c r="AD36" i="12"/>
  <c r="AH35" i="12"/>
  <c r="AI35" i="12" s="1"/>
  <c r="AH13" i="6"/>
  <c r="AI13" i="6" s="1"/>
  <c r="AD20" i="6"/>
  <c r="AM20" i="6"/>
  <c r="AD15" i="6"/>
  <c r="AL15" i="6"/>
  <c r="AL21" i="6"/>
  <c r="AJ21" i="6"/>
  <c r="AE14" i="6"/>
  <c r="AE19" i="6"/>
  <c r="AH23" i="6"/>
  <c r="AI23" i="6" s="1"/>
  <c r="AL23" i="6" s="1"/>
  <c r="A14" i="6"/>
  <c r="AH22" i="6"/>
  <c r="AI22" i="6" s="1"/>
  <c r="AL22" i="6" s="1"/>
  <c r="AL16" i="6"/>
  <c r="AE24" i="6"/>
  <c r="W23" i="6"/>
  <c r="AE15" i="6"/>
  <c r="U10" i="6"/>
  <c r="AH24" i="6"/>
  <c r="AI24" i="6" s="1"/>
  <c r="AL24" i="6" s="1"/>
  <c r="J10" i="68"/>
  <c r="AD14" i="6"/>
  <c r="AD19" i="6"/>
  <c r="AL35" i="5"/>
  <c r="AH42" i="5"/>
  <c r="AI42" i="5" s="1"/>
  <c r="AJ42" i="5" s="1"/>
  <c r="AD36" i="5"/>
  <c r="AH44" i="5"/>
  <c r="AI44" i="5" s="1"/>
  <c r="AE46" i="5"/>
  <c r="W50" i="5"/>
  <c r="AE36" i="5"/>
  <c r="U20" i="5"/>
  <c r="AD42" i="5"/>
  <c r="AE35" i="5"/>
  <c r="AE42" i="5"/>
  <c r="AH43" i="5"/>
  <c r="AI43" i="5" s="1"/>
  <c r="AL43" i="5" s="1"/>
  <c r="AE45" i="5"/>
  <c r="AL42" i="5"/>
  <c r="A14" i="5"/>
  <c r="AD34" i="5"/>
  <c r="AD37" i="5"/>
  <c r="AE41" i="5"/>
  <c r="AL50" i="5"/>
  <c r="AD44" i="5"/>
  <c r="AH41" i="5"/>
  <c r="AI41" i="5" s="1"/>
  <c r="AE44" i="5"/>
  <c r="AN44" i="5" s="1"/>
  <c r="AH34" i="5"/>
  <c r="AI34" i="5" s="1"/>
  <c r="AL34" i="5" s="1"/>
  <c r="AL40" i="5"/>
  <c r="AD46" i="5"/>
  <c r="AM15" i="3"/>
  <c r="A14" i="3"/>
  <c r="U205" i="65"/>
  <c r="J6" i="68"/>
  <c r="U6" i="62"/>
  <c r="AH6" i="62"/>
  <c r="AI6" i="62" s="1"/>
  <c r="AM6" i="62"/>
  <c r="AJ215" i="65"/>
  <c r="AL215" i="65"/>
  <c r="AL218" i="65"/>
  <c r="AJ218" i="65"/>
  <c r="AJ228" i="65"/>
  <c r="AL224" i="65"/>
  <c r="AJ224" i="65"/>
  <c r="AL230" i="65"/>
  <c r="AJ230" i="65"/>
  <c r="AL212" i="65"/>
  <c r="AJ212" i="65"/>
  <c r="AL225" i="65"/>
  <c r="AJ217" i="65"/>
  <c r="AJ227" i="65"/>
  <c r="AJ216" i="65"/>
  <c r="AL221" i="65"/>
  <c r="AL229" i="65"/>
  <c r="AL223" i="65"/>
  <c r="AJ223" i="65"/>
  <c r="AH200" i="65"/>
  <c r="AI200" i="65" s="1"/>
  <c r="AD212" i="65"/>
  <c r="AE222" i="65"/>
  <c r="AN222" i="65" s="1"/>
  <c r="AD223" i="65"/>
  <c r="AL227" i="65"/>
  <c r="AJ229" i="65"/>
  <c r="AL228" i="65"/>
  <c r="U209" i="65"/>
  <c r="AN213" i="65"/>
  <c r="A14" i="65"/>
  <c r="AD187" i="65"/>
  <c r="AL197" i="65"/>
  <c r="AD214" i="65"/>
  <c r="AN214" i="65" s="1"/>
  <c r="AH222" i="65"/>
  <c r="AI222" i="65" s="1"/>
  <c r="AJ222" i="65" s="1"/>
  <c r="AE225" i="65"/>
  <c r="AD226" i="65"/>
  <c r="AH204" i="65"/>
  <c r="AI204" i="65" s="1"/>
  <c r="AJ204" i="65" s="1"/>
  <c r="AE214" i="65"/>
  <c r="AD215" i="65"/>
  <c r="AJ221" i="65"/>
  <c r="AE226" i="65"/>
  <c r="AD227" i="65"/>
  <c r="AE189" i="65"/>
  <c r="AE196" i="65"/>
  <c r="AE209" i="65"/>
  <c r="AE215" i="65"/>
  <c r="AD216" i="65"/>
  <c r="AE227" i="65"/>
  <c r="AD228" i="65"/>
  <c r="AE184" i="65"/>
  <c r="AJ189" i="65"/>
  <c r="AD191" i="65"/>
  <c r="AE201" i="65"/>
  <c r="AL209" i="65"/>
  <c r="AE216" i="65"/>
  <c r="AN216" i="65" s="1"/>
  <c r="AE228" i="65"/>
  <c r="AD229" i="65"/>
  <c r="AH196" i="65"/>
  <c r="AI196" i="65" s="1"/>
  <c r="AE229" i="65"/>
  <c r="AD230" i="65"/>
  <c r="AH184" i="65"/>
  <c r="AI184" i="65" s="1"/>
  <c r="AJ184" i="65" s="1"/>
  <c r="AE230" i="65"/>
  <c r="AJ193" i="65"/>
  <c r="AD195" i="65"/>
  <c r="AE200" i="65"/>
  <c r="AE205" i="65"/>
  <c r="AH208" i="65"/>
  <c r="AI208" i="65" s="1"/>
  <c r="AD221" i="65"/>
  <c r="AL185" i="65"/>
  <c r="AH188" i="65"/>
  <c r="AI188" i="65" s="1"/>
  <c r="AL188" i="65" s="1"/>
  <c r="U197" i="65"/>
  <c r="U213" i="65"/>
  <c r="U10" i="66"/>
  <c r="U43" i="66"/>
  <c r="W45" i="66"/>
  <c r="X45" i="66" s="1"/>
  <c r="U55" i="66"/>
  <c r="W57" i="66"/>
  <c r="X57" i="66" s="1"/>
  <c r="U67" i="66"/>
  <c r="W69" i="66"/>
  <c r="X69" i="66" s="1"/>
  <c r="U79" i="66"/>
  <c r="W81" i="66"/>
  <c r="X81" i="66" s="1"/>
  <c r="U91" i="66"/>
  <c r="W93" i="66"/>
  <c r="X93" i="66" s="1"/>
  <c r="U42" i="66"/>
  <c r="W44" i="66"/>
  <c r="X44" i="66" s="1"/>
  <c r="U54" i="66"/>
  <c r="W56" i="66"/>
  <c r="X56" i="66" s="1"/>
  <c r="U66" i="66"/>
  <c r="W68" i="66"/>
  <c r="X68" i="66" s="1"/>
  <c r="U78" i="66"/>
  <c r="W80" i="66"/>
  <c r="X80" i="66" s="1"/>
  <c r="U90" i="66"/>
  <c r="W92" i="66"/>
  <c r="X92" i="66" s="1"/>
  <c r="W43" i="66"/>
  <c r="X43" i="66" s="1"/>
  <c r="U53" i="66"/>
  <c r="W55" i="66"/>
  <c r="X55" i="66" s="1"/>
  <c r="U65" i="66"/>
  <c r="W67" i="66"/>
  <c r="X67" i="66" s="1"/>
  <c r="U77" i="66"/>
  <c r="W79" i="66"/>
  <c r="X79" i="66" s="1"/>
  <c r="U89" i="66"/>
  <c r="W91" i="66"/>
  <c r="X91" i="66" s="1"/>
  <c r="W42" i="66"/>
  <c r="X42" i="66" s="1"/>
  <c r="U52" i="66"/>
  <c r="W54" i="66"/>
  <c r="X54" i="66" s="1"/>
  <c r="U64" i="66"/>
  <c r="W66" i="66"/>
  <c r="X66" i="66" s="1"/>
  <c r="U76" i="66"/>
  <c r="W78" i="66"/>
  <c r="X78" i="66" s="1"/>
  <c r="U88" i="66"/>
  <c r="U51" i="66"/>
  <c r="W53" i="66"/>
  <c r="X53" i="66" s="1"/>
  <c r="U63" i="66"/>
  <c r="W65" i="66"/>
  <c r="X65" i="66" s="1"/>
  <c r="U75" i="66"/>
  <c r="W77" i="66"/>
  <c r="X77" i="66" s="1"/>
  <c r="U87" i="66"/>
  <c r="U50" i="66"/>
  <c r="W52" i="66"/>
  <c r="X52" i="66" s="1"/>
  <c r="U62" i="66"/>
  <c r="W64" i="66"/>
  <c r="X64" i="66" s="1"/>
  <c r="U74" i="66"/>
  <c r="W76" i="66"/>
  <c r="X76" i="66" s="1"/>
  <c r="U49" i="66"/>
  <c r="W51" i="66"/>
  <c r="X51" i="66" s="1"/>
  <c r="U61" i="66"/>
  <c r="W63" i="66"/>
  <c r="X63" i="66" s="1"/>
  <c r="U73" i="66"/>
  <c r="W75" i="66"/>
  <c r="X75" i="66" s="1"/>
  <c r="U85" i="66"/>
  <c r="W87" i="66"/>
  <c r="X87" i="66" s="1"/>
  <c r="U97" i="66"/>
  <c r="U48" i="66"/>
  <c r="W50" i="66"/>
  <c r="X50" i="66" s="1"/>
  <c r="U60" i="66"/>
  <c r="W62" i="66"/>
  <c r="X62" i="66" s="1"/>
  <c r="U72" i="66"/>
  <c r="U47" i="66"/>
  <c r="W49" i="66"/>
  <c r="X49" i="66" s="1"/>
  <c r="U59" i="66"/>
  <c r="W61" i="66"/>
  <c r="X61" i="66" s="1"/>
  <c r="U71" i="66"/>
  <c r="W73" i="66"/>
  <c r="X73" i="66" s="1"/>
  <c r="U83" i="66"/>
  <c r="W85" i="66"/>
  <c r="X85" i="66" s="1"/>
  <c r="U46" i="66"/>
  <c r="W48" i="66"/>
  <c r="X48" i="66" s="1"/>
  <c r="U58" i="66"/>
  <c r="W60" i="66"/>
  <c r="X60" i="66" s="1"/>
  <c r="U70" i="66"/>
  <c r="W72" i="66"/>
  <c r="X72" i="66" s="1"/>
  <c r="U44" i="66"/>
  <c r="W46" i="66"/>
  <c r="X46" i="66" s="1"/>
  <c r="U56" i="66"/>
  <c r="W58" i="66"/>
  <c r="X58" i="66" s="1"/>
  <c r="U68" i="66"/>
  <c r="W70" i="66"/>
  <c r="X70" i="66" s="1"/>
  <c r="U45" i="66"/>
  <c r="W88" i="66"/>
  <c r="X88" i="66" s="1"/>
  <c r="U101" i="66"/>
  <c r="W103" i="66"/>
  <c r="X103" i="66" s="1"/>
  <c r="U113" i="66"/>
  <c r="W115" i="66"/>
  <c r="X115" i="66" s="1"/>
  <c r="U125" i="66"/>
  <c r="W127" i="66"/>
  <c r="X127" i="66" s="1"/>
  <c r="U137" i="66"/>
  <c r="W139" i="66"/>
  <c r="X139" i="66" s="1"/>
  <c r="U94" i="66"/>
  <c r="W97" i="66"/>
  <c r="X97" i="66" s="1"/>
  <c r="U100" i="66"/>
  <c r="W102" i="66"/>
  <c r="X102" i="66" s="1"/>
  <c r="U112" i="66"/>
  <c r="W114" i="66"/>
  <c r="X114" i="66" s="1"/>
  <c r="U124" i="66"/>
  <c r="W126" i="66"/>
  <c r="X126" i="66" s="1"/>
  <c r="U136" i="66"/>
  <c r="W138" i="66"/>
  <c r="X138" i="66" s="1"/>
  <c r="W59" i="66"/>
  <c r="X59" i="66" s="1"/>
  <c r="U69" i="66"/>
  <c r="W74" i="66"/>
  <c r="X74" i="66" s="1"/>
  <c r="U82" i="66"/>
  <c r="W90" i="66"/>
  <c r="X90" i="66" s="1"/>
  <c r="U92" i="66"/>
  <c r="W101" i="66"/>
  <c r="X101" i="66" s="1"/>
  <c r="U111" i="66"/>
  <c r="W113" i="66"/>
  <c r="X113" i="66" s="1"/>
  <c r="U81" i="66"/>
  <c r="W94" i="66"/>
  <c r="X94" i="66" s="1"/>
  <c r="W100" i="66"/>
  <c r="X100" i="66" s="1"/>
  <c r="U110" i="66"/>
  <c r="W112" i="66"/>
  <c r="X112" i="66" s="1"/>
  <c r="U122" i="66"/>
  <c r="W124" i="66"/>
  <c r="X124" i="66" s="1"/>
  <c r="W82" i="66"/>
  <c r="X82" i="66" s="1"/>
  <c r="U84" i="66"/>
  <c r="U96" i="66"/>
  <c r="U99" i="66"/>
  <c r="U109" i="66"/>
  <c r="W111" i="66"/>
  <c r="X111" i="66" s="1"/>
  <c r="U121" i="66"/>
  <c r="W123" i="66"/>
  <c r="X123" i="66" s="1"/>
  <c r="U80" i="66"/>
  <c r="W83" i="66"/>
  <c r="X83" i="66" s="1"/>
  <c r="U86" i="66"/>
  <c r="W89" i="66"/>
  <c r="X89" i="66" s="1"/>
  <c r="U108" i="66"/>
  <c r="W110" i="66"/>
  <c r="X110" i="66" s="1"/>
  <c r="U120" i="66"/>
  <c r="W122" i="66"/>
  <c r="X122" i="66" s="1"/>
  <c r="W84" i="66"/>
  <c r="X84" i="66" s="1"/>
  <c r="W96" i="66"/>
  <c r="X96" i="66" s="1"/>
  <c r="W99" i="66"/>
  <c r="X99" i="66" s="1"/>
  <c r="U107" i="66"/>
  <c r="W109" i="66"/>
  <c r="X109" i="66" s="1"/>
  <c r="U119" i="66"/>
  <c r="W121" i="66"/>
  <c r="X121" i="66" s="1"/>
  <c r="U131" i="66"/>
  <c r="W133" i="66"/>
  <c r="X133" i="66" s="1"/>
  <c r="U143" i="66"/>
  <c r="W47" i="66"/>
  <c r="X47" i="66" s="1"/>
  <c r="W86" i="66"/>
  <c r="X86" i="66" s="1"/>
  <c r="U106" i="66"/>
  <c r="W108" i="66"/>
  <c r="X108" i="66" s="1"/>
  <c r="U93" i="66"/>
  <c r="U95" i="66"/>
  <c r="U98" i="66"/>
  <c r="U105" i="66"/>
  <c r="W107" i="66"/>
  <c r="X107" i="66" s="1"/>
  <c r="U117" i="66"/>
  <c r="W119" i="66"/>
  <c r="X119" i="66" s="1"/>
  <c r="U102" i="66"/>
  <c r="W104" i="66"/>
  <c r="X104" i="66" s="1"/>
  <c r="U114" i="66"/>
  <c r="W116" i="66"/>
  <c r="X116" i="66" s="1"/>
  <c r="U126" i="66"/>
  <c r="W128" i="66"/>
  <c r="X128" i="66" s="1"/>
  <c r="W106" i="66"/>
  <c r="X106" i="66" s="1"/>
  <c r="U133" i="66"/>
  <c r="U138" i="66"/>
  <c r="W143" i="66"/>
  <c r="X143" i="66" s="1"/>
  <c r="U151" i="66"/>
  <c r="W153" i="66"/>
  <c r="X153" i="66" s="1"/>
  <c r="U163" i="66"/>
  <c r="W95" i="66"/>
  <c r="X95" i="66" s="1"/>
  <c r="U118" i="66"/>
  <c r="U150" i="66"/>
  <c r="W71" i="66"/>
  <c r="X71" i="66" s="1"/>
  <c r="W135" i="66"/>
  <c r="X135" i="66" s="1"/>
  <c r="W140" i="66"/>
  <c r="X140" i="66" s="1"/>
  <c r="W152" i="66"/>
  <c r="X152" i="66" s="1"/>
  <c r="U162" i="66"/>
  <c r="W125" i="66"/>
  <c r="X125" i="66" s="1"/>
  <c r="U142" i="66"/>
  <c r="U149" i="66"/>
  <c r="W151" i="66"/>
  <c r="X151" i="66" s="1"/>
  <c r="U161" i="66"/>
  <c r="W163" i="66"/>
  <c r="X163" i="66" s="1"/>
  <c r="W105" i="66"/>
  <c r="X105" i="66" s="1"/>
  <c r="W118" i="66"/>
  <c r="X118" i="66" s="1"/>
  <c r="U148" i="66"/>
  <c r="U160" i="66"/>
  <c r="W162" i="66"/>
  <c r="X162" i="66" s="1"/>
  <c r="W150" i="66"/>
  <c r="X150" i="66" s="1"/>
  <c r="U104" i="66"/>
  <c r="W117" i="66"/>
  <c r="X117" i="66" s="1"/>
  <c r="U123" i="66"/>
  <c r="W131" i="66"/>
  <c r="X131" i="66" s="1"/>
  <c r="W142" i="66"/>
  <c r="X142" i="66" s="1"/>
  <c r="U147" i="66"/>
  <c r="W149" i="66"/>
  <c r="X149" i="66" s="1"/>
  <c r="U159" i="66"/>
  <c r="W161" i="66"/>
  <c r="X161" i="66" s="1"/>
  <c r="U156" i="66"/>
  <c r="U153" i="66"/>
  <c r="U116" i="66"/>
  <c r="U127" i="66"/>
  <c r="U128" i="66"/>
  <c r="U134" i="66"/>
  <c r="U146" i="66"/>
  <c r="W148" i="66"/>
  <c r="X148" i="66" s="1"/>
  <c r="U158" i="66"/>
  <c r="W160" i="66"/>
  <c r="X160" i="66" s="1"/>
  <c r="W158" i="66"/>
  <c r="X158" i="66" s="1"/>
  <c r="W137" i="66"/>
  <c r="X137" i="66" s="1"/>
  <c r="U139" i="66"/>
  <c r="U141" i="66"/>
  <c r="U145" i="66"/>
  <c r="W147" i="66"/>
  <c r="X147" i="66" s="1"/>
  <c r="U157" i="66"/>
  <c r="W159" i="66"/>
  <c r="X159" i="66" s="1"/>
  <c r="W136" i="66"/>
  <c r="X136" i="66" s="1"/>
  <c r="W155" i="66"/>
  <c r="X155" i="66" s="1"/>
  <c r="W130" i="66"/>
  <c r="X130" i="66" s="1"/>
  <c r="W120" i="66"/>
  <c r="X120" i="66" s="1"/>
  <c r="U129" i="66"/>
  <c r="U132" i="66"/>
  <c r="W134" i="66"/>
  <c r="X134" i="66" s="1"/>
  <c r="U144" i="66"/>
  <c r="W146" i="66"/>
  <c r="X146" i="66" s="1"/>
  <c r="U103" i="66"/>
  <c r="U115" i="66"/>
  <c r="W141" i="66"/>
  <c r="X141" i="66" s="1"/>
  <c r="W145" i="66"/>
  <c r="X145" i="66" s="1"/>
  <c r="U155" i="66"/>
  <c r="W157" i="66"/>
  <c r="X157" i="66" s="1"/>
  <c r="W129" i="66"/>
  <c r="X129" i="66" s="1"/>
  <c r="U130" i="66"/>
  <c r="W132" i="66"/>
  <c r="X132" i="66" s="1"/>
  <c r="W144" i="66"/>
  <c r="X144" i="66" s="1"/>
  <c r="U154" i="66"/>
  <c r="W156" i="66"/>
  <c r="X156" i="66" s="1"/>
  <c r="W98" i="66"/>
  <c r="X98" i="66" s="1"/>
  <c r="U57" i="66"/>
  <c r="U152" i="66"/>
  <c r="U140" i="66"/>
  <c r="W154" i="66"/>
  <c r="X154" i="66" s="1"/>
  <c r="U135" i="66"/>
  <c r="U221" i="65"/>
  <c r="AL195" i="65"/>
  <c r="AJ195" i="65"/>
  <c r="AJ201" i="65"/>
  <c r="AL183" i="65"/>
  <c r="AJ183" i="65"/>
  <c r="U185" i="65"/>
  <c r="AJ200" i="65"/>
  <c r="AL200" i="65"/>
  <c r="U225" i="65"/>
  <c r="AJ188" i="65"/>
  <c r="AL203" i="65"/>
  <c r="AJ203" i="65"/>
  <c r="W231" i="65"/>
  <c r="W227" i="65"/>
  <c r="X227" i="65" s="1"/>
  <c r="W223" i="65"/>
  <c r="X223" i="65" s="1"/>
  <c r="W219" i="65"/>
  <c r="X219" i="65" s="1"/>
  <c r="W215" i="65"/>
  <c r="W211" i="65"/>
  <c r="W207" i="65"/>
  <c r="X207" i="65" s="1"/>
  <c r="W203" i="65"/>
  <c r="X203" i="65" s="1"/>
  <c r="W199" i="65"/>
  <c r="X199" i="65" s="1"/>
  <c r="W195" i="65"/>
  <c r="W191" i="65"/>
  <c r="X191" i="65" s="1"/>
  <c r="W187" i="65"/>
  <c r="X187" i="65" s="1"/>
  <c r="W183" i="65"/>
  <c r="U231" i="65"/>
  <c r="U227" i="65"/>
  <c r="U223" i="65"/>
  <c r="U219" i="65"/>
  <c r="U215" i="65"/>
  <c r="U211" i="65"/>
  <c r="U207" i="65"/>
  <c r="U203" i="65"/>
  <c r="U199" i="65"/>
  <c r="U195" i="65"/>
  <c r="U191" i="65"/>
  <c r="U187" i="65"/>
  <c r="U183" i="65"/>
  <c r="W230" i="65"/>
  <c r="X230" i="65" s="1"/>
  <c r="W226" i="65"/>
  <c r="X226" i="65" s="1"/>
  <c r="AC226" i="65" s="1"/>
  <c r="AP226" i="65" s="1"/>
  <c r="W222" i="65"/>
  <c r="W218" i="65"/>
  <c r="X218" i="65" s="1"/>
  <c r="W214" i="65"/>
  <c r="X214" i="65" s="1"/>
  <c r="W210" i="65"/>
  <c r="W206" i="65"/>
  <c r="X206" i="65" s="1"/>
  <c r="AC206" i="65" s="1"/>
  <c r="W202" i="65"/>
  <c r="X202" i="65" s="1"/>
  <c r="W198" i="65"/>
  <c r="X198" i="65" s="1"/>
  <c r="W194" i="65"/>
  <c r="X194" i="65" s="1"/>
  <c r="AC194" i="65" s="1"/>
  <c r="W190" i="65"/>
  <c r="X190" i="65" s="1"/>
  <c r="AC190" i="65" s="1"/>
  <c r="W186" i="65"/>
  <c r="X186" i="65" s="1"/>
  <c r="W182" i="65"/>
  <c r="U230" i="65"/>
  <c r="U226" i="65"/>
  <c r="U222" i="65"/>
  <c r="U218" i="65"/>
  <c r="U214" i="65"/>
  <c r="U210" i="65"/>
  <c r="U206" i="65"/>
  <c r="U202" i="65"/>
  <c r="U198" i="65"/>
  <c r="U194" i="65"/>
  <c r="U190" i="65"/>
  <c r="U186" i="65"/>
  <c r="U182" i="65"/>
  <c r="W229" i="65"/>
  <c r="X229" i="65" s="1"/>
  <c r="W225" i="65"/>
  <c r="W221" i="65"/>
  <c r="X221" i="65" s="1"/>
  <c r="W217" i="65"/>
  <c r="X217" i="65" s="1"/>
  <c r="W213" i="65"/>
  <c r="X213" i="65" s="1"/>
  <c r="W209" i="65"/>
  <c r="X209" i="65" s="1"/>
  <c r="W205" i="65"/>
  <c r="W201" i="65"/>
  <c r="X201" i="65" s="1"/>
  <c r="W197" i="65"/>
  <c r="W193" i="65"/>
  <c r="X193" i="65" s="1"/>
  <c r="W189" i="65"/>
  <c r="X189" i="65" s="1"/>
  <c r="X185" i="65"/>
  <c r="W232" i="65"/>
  <c r="X232" i="65" s="1"/>
  <c r="W228" i="65"/>
  <c r="W224" i="65"/>
  <c r="X224" i="65" s="1"/>
  <c r="W220" i="65"/>
  <c r="X220" i="65" s="1"/>
  <c r="W216" i="65"/>
  <c r="X216" i="65" s="1"/>
  <c r="W212" i="65"/>
  <c r="W208" i="65"/>
  <c r="W204" i="65"/>
  <c r="X204" i="65" s="1"/>
  <c r="W200" i="65"/>
  <c r="X200" i="65" s="1"/>
  <c r="W196" i="65"/>
  <c r="X196" i="65" s="1"/>
  <c r="W192" i="65"/>
  <c r="X192" i="65" s="1"/>
  <c r="W188" i="65"/>
  <c r="X188" i="65" s="1"/>
  <c r="W184" i="65"/>
  <c r="X184" i="65" s="1"/>
  <c r="U232" i="65"/>
  <c r="U228" i="65"/>
  <c r="U224" i="65"/>
  <c r="U220" i="65"/>
  <c r="U216" i="65"/>
  <c r="U212" i="65"/>
  <c r="U208" i="65"/>
  <c r="U204" i="65"/>
  <c r="U200" i="65"/>
  <c r="U196" i="65"/>
  <c r="U192" i="65"/>
  <c r="U188" i="65"/>
  <c r="U184" i="65"/>
  <c r="AL191" i="65"/>
  <c r="AJ191" i="65"/>
  <c r="U193" i="65"/>
  <c r="AJ197" i="65"/>
  <c r="AJ209" i="65"/>
  <c r="U217" i="65"/>
  <c r="AJ192" i="65"/>
  <c r="AL192" i="65"/>
  <c r="AJ185" i="65"/>
  <c r="AJ196" i="65"/>
  <c r="AL196" i="65"/>
  <c r="AJ208" i="65"/>
  <c r="AL208" i="65"/>
  <c r="AL199" i="65"/>
  <c r="AJ199" i="65"/>
  <c r="U201" i="65"/>
  <c r="U229" i="65"/>
  <c r="U189" i="65"/>
  <c r="AH182" i="65"/>
  <c r="AI182" i="65" s="1"/>
  <c r="AL182" i="65" s="1"/>
  <c r="AE183" i="65"/>
  <c r="AN183" i="65" s="1"/>
  <c r="AH186" i="65"/>
  <c r="AI186" i="65" s="1"/>
  <c r="AL186" i="65" s="1"/>
  <c r="AE187" i="65"/>
  <c r="AH190" i="65"/>
  <c r="AI190" i="65" s="1"/>
  <c r="AL190" i="65" s="1"/>
  <c r="AE191" i="65"/>
  <c r="AN191" i="65" s="1"/>
  <c r="AH194" i="65"/>
  <c r="AI194" i="65" s="1"/>
  <c r="AL194" i="65" s="1"/>
  <c r="AE195" i="65"/>
  <c r="AH198" i="65"/>
  <c r="AI198" i="65" s="1"/>
  <c r="AL198" i="65" s="1"/>
  <c r="AE199" i="65"/>
  <c r="AH202" i="65"/>
  <c r="AI202" i="65" s="1"/>
  <c r="AL202" i="65" s="1"/>
  <c r="AE203" i="65"/>
  <c r="AH206" i="65"/>
  <c r="AI206" i="65" s="1"/>
  <c r="AL206" i="65" s="1"/>
  <c r="AE207" i="65"/>
  <c r="AN207" i="65" s="1"/>
  <c r="AH210" i="65"/>
  <c r="AI210" i="65" s="1"/>
  <c r="AL210" i="65" s="1"/>
  <c r="AE211" i="65"/>
  <c r="AM193" i="65"/>
  <c r="AH187" i="65"/>
  <c r="AI187" i="65" s="1"/>
  <c r="AJ187" i="65" s="1"/>
  <c r="AH207" i="65"/>
  <c r="AI207" i="65" s="1"/>
  <c r="AJ207" i="65" s="1"/>
  <c r="AH211" i="65"/>
  <c r="AI211" i="65" s="1"/>
  <c r="AL211" i="65" s="1"/>
  <c r="AM182" i="65"/>
  <c r="AN182" i="65" s="1"/>
  <c r="AD185" i="65"/>
  <c r="AN185" i="65" s="1"/>
  <c r="AM186" i="65"/>
  <c r="AD189" i="65"/>
  <c r="AN189" i="65" s="1"/>
  <c r="AM190" i="65"/>
  <c r="AD193" i="65"/>
  <c r="AN193" i="65" s="1"/>
  <c r="AM194" i="65"/>
  <c r="AD197" i="65"/>
  <c r="AN197" i="65" s="1"/>
  <c r="AM198" i="65"/>
  <c r="AN198" i="65" s="1"/>
  <c r="AD201" i="65"/>
  <c r="AM202" i="65"/>
  <c r="AD205" i="65"/>
  <c r="AD209" i="65"/>
  <c r="AM210" i="65"/>
  <c r="AD182" i="65"/>
  <c r="AD186" i="65"/>
  <c r="AN186" i="65" s="1"/>
  <c r="AD190" i="65"/>
  <c r="AD194" i="65"/>
  <c r="AN194" i="65" s="1"/>
  <c r="AD198" i="65"/>
  <c r="AD202" i="65"/>
  <c r="AN202" i="65" s="1"/>
  <c r="AD206" i="65"/>
  <c r="AN206" i="65" s="1"/>
  <c r="AD210" i="65"/>
  <c r="U8" i="66"/>
  <c r="W13" i="66"/>
  <c r="X13" i="66" s="1"/>
  <c r="W37" i="66"/>
  <c r="A14" i="66"/>
  <c r="W6" i="66"/>
  <c r="X6" i="66" s="1"/>
  <c r="U7" i="66"/>
  <c r="W29" i="66"/>
  <c r="W21" i="66"/>
  <c r="X21" i="66" s="1"/>
  <c r="W41" i="66"/>
  <c r="X41" i="66" s="1"/>
  <c r="U14" i="66"/>
  <c r="W33" i="66"/>
  <c r="X33" i="66" s="1"/>
  <c r="W25" i="66"/>
  <c r="W10" i="66"/>
  <c r="U6" i="66"/>
  <c r="W17" i="66"/>
  <c r="W5" i="66"/>
  <c r="W16" i="66"/>
  <c r="X16" i="66" s="1"/>
  <c r="W20" i="66"/>
  <c r="W24" i="66"/>
  <c r="W28" i="66"/>
  <c r="W32" i="66"/>
  <c r="X32" i="66" s="1"/>
  <c r="W36" i="66"/>
  <c r="W40" i="66"/>
  <c r="U17" i="66"/>
  <c r="U21" i="66"/>
  <c r="U25" i="66"/>
  <c r="U29" i="66"/>
  <c r="U33" i="66"/>
  <c r="U37" i="66"/>
  <c r="U41" i="66"/>
  <c r="U11" i="66"/>
  <c r="U18" i="66"/>
  <c r="U22" i="66"/>
  <c r="U26" i="66"/>
  <c r="U30" i="66"/>
  <c r="U34" i="66"/>
  <c r="U38" i="66"/>
  <c r="W7" i="66"/>
  <c r="W14" i="66"/>
  <c r="U15" i="66"/>
  <c r="W18" i="66"/>
  <c r="X18" i="66" s="1"/>
  <c r="W22" i="66"/>
  <c r="X22" i="66" s="1"/>
  <c r="W26" i="66"/>
  <c r="X26" i="66" s="1"/>
  <c r="W30" i="66"/>
  <c r="W34" i="66"/>
  <c r="X34" i="66" s="1"/>
  <c r="W38" i="66"/>
  <c r="X38" i="66" s="1"/>
  <c r="U19" i="66"/>
  <c r="U23" i="66"/>
  <c r="U27" i="66"/>
  <c r="U31" i="66"/>
  <c r="U35" i="66"/>
  <c r="U39" i="66"/>
  <c r="W8" i="66"/>
  <c r="X8" i="66" s="1"/>
  <c r="U12" i="66"/>
  <c r="W15" i="66"/>
  <c r="U9" i="66"/>
  <c r="W19" i="66"/>
  <c r="X19" i="66" s="1"/>
  <c r="W23" i="66"/>
  <c r="W27" i="66"/>
  <c r="W31" i="66"/>
  <c r="X31" i="66" s="1"/>
  <c r="W35" i="66"/>
  <c r="W39" i="66"/>
  <c r="U5" i="66"/>
  <c r="W12" i="66"/>
  <c r="U16" i="66"/>
  <c r="U20" i="66"/>
  <c r="U24" i="66"/>
  <c r="U28" i="66"/>
  <c r="U32" i="66"/>
  <c r="U36" i="66"/>
  <c r="U40" i="66"/>
  <c r="U169" i="66"/>
  <c r="W171" i="66"/>
  <c r="X171" i="66" s="1"/>
  <c r="U181" i="66"/>
  <c r="W183" i="66"/>
  <c r="X183" i="66" s="1"/>
  <c r="W181" i="66"/>
  <c r="X181" i="66" s="1"/>
  <c r="U168" i="66"/>
  <c r="W170" i="66"/>
  <c r="X170" i="66" s="1"/>
  <c r="U180" i="66"/>
  <c r="W182" i="66"/>
  <c r="X182" i="66" s="1"/>
  <c r="U167" i="66"/>
  <c r="W169" i="66"/>
  <c r="X169" i="66" s="1"/>
  <c r="U179" i="66"/>
  <c r="U166" i="66"/>
  <c r="W168" i="66"/>
  <c r="X168" i="66" s="1"/>
  <c r="U178" i="66"/>
  <c r="W180" i="66"/>
  <c r="X180" i="66" s="1"/>
  <c r="W179" i="66"/>
  <c r="X179" i="66" s="1"/>
  <c r="U165" i="66"/>
  <c r="W167" i="66"/>
  <c r="X167" i="66" s="1"/>
  <c r="U177" i="66"/>
  <c r="U164" i="66"/>
  <c r="W166" i="66"/>
  <c r="X166" i="66" s="1"/>
  <c r="U176" i="66"/>
  <c r="W165" i="66"/>
  <c r="X165" i="66" s="1"/>
  <c r="U175" i="66"/>
  <c r="W177" i="66"/>
  <c r="X177" i="66" s="1"/>
  <c r="U187" i="66"/>
  <c r="W164" i="66"/>
  <c r="X164" i="66" s="1"/>
  <c r="U174" i="66"/>
  <c r="W176" i="66"/>
  <c r="X176" i="66" s="1"/>
  <c r="U173" i="66"/>
  <c r="W175" i="66"/>
  <c r="X175" i="66" s="1"/>
  <c r="U185" i="66"/>
  <c r="U172" i="66"/>
  <c r="W174" i="66"/>
  <c r="X174" i="66" s="1"/>
  <c r="U183" i="66"/>
  <c r="W186" i="66"/>
  <c r="X186" i="66" s="1"/>
  <c r="U170" i="66"/>
  <c r="W178" i="66"/>
  <c r="X178" i="66" s="1"/>
  <c r="W187" i="66"/>
  <c r="X187" i="66" s="1"/>
  <c r="U184" i="66"/>
  <c r="W184" i="66"/>
  <c r="X184" i="66" s="1"/>
  <c r="U182" i="66"/>
  <c r="W185" i="66"/>
  <c r="X185" i="66" s="1"/>
  <c r="U186" i="66"/>
  <c r="W173" i="66"/>
  <c r="X173" i="66" s="1"/>
  <c r="W172" i="66"/>
  <c r="X172" i="66" s="1"/>
  <c r="U171" i="66"/>
  <c r="U13" i="66"/>
  <c r="AN6" i="62"/>
  <c r="T38" i="67"/>
  <c r="AL6" i="62"/>
  <c r="AJ6" i="62"/>
  <c r="U13" i="62"/>
  <c r="U16" i="62"/>
  <c r="U20" i="62"/>
  <c r="U24" i="62"/>
  <c r="U10" i="62"/>
  <c r="W13" i="62"/>
  <c r="W16" i="62"/>
  <c r="W20" i="62"/>
  <c r="X20" i="62" s="1"/>
  <c r="W24" i="62"/>
  <c r="U17" i="62"/>
  <c r="U21" i="62"/>
  <c r="W10" i="62"/>
  <c r="W6" i="62"/>
  <c r="U7" i="62"/>
  <c r="U11" i="62"/>
  <c r="U14" i="62"/>
  <c r="W17" i="62"/>
  <c r="W21" i="62"/>
  <c r="U18" i="62"/>
  <c r="U22" i="62"/>
  <c r="W7" i="62"/>
  <c r="W11" i="62"/>
  <c r="W14" i="62"/>
  <c r="U8" i="62"/>
  <c r="U15" i="62"/>
  <c r="W18" i="62"/>
  <c r="W22" i="62"/>
  <c r="X22" i="62" s="1"/>
  <c r="U12" i="62"/>
  <c r="U19" i="62"/>
  <c r="A14" i="47"/>
  <c r="W6" i="47"/>
  <c r="U7" i="47"/>
  <c r="U14" i="47"/>
  <c r="U48" i="47"/>
  <c r="AH7" i="47"/>
  <c r="AI7" i="47" s="1"/>
  <c r="U41" i="47"/>
  <c r="AM7" i="47"/>
  <c r="U5" i="47"/>
  <c r="W33" i="47"/>
  <c r="X33" i="47" s="1"/>
  <c r="U10" i="47"/>
  <c r="U21" i="47"/>
  <c r="U28" i="47"/>
  <c r="W61" i="47"/>
  <c r="W41" i="47"/>
  <c r="U49" i="47"/>
  <c r="U56" i="47"/>
  <c r="U6" i="47"/>
  <c r="W10" i="47"/>
  <c r="W15" i="47"/>
  <c r="W21" i="47"/>
  <c r="X21" i="47" s="1"/>
  <c r="U29" i="47"/>
  <c r="U36" i="47"/>
  <c r="U16" i="47"/>
  <c r="W49" i="47"/>
  <c r="U57" i="47"/>
  <c r="U64" i="47"/>
  <c r="W29" i="47"/>
  <c r="U37" i="47"/>
  <c r="U44" i="47"/>
  <c r="U17" i="47"/>
  <c r="U24" i="47"/>
  <c r="W57" i="47"/>
  <c r="W7" i="47"/>
  <c r="X7" i="47" s="1"/>
  <c r="U12" i="47"/>
  <c r="W37" i="47"/>
  <c r="X37" i="47" s="1"/>
  <c r="U45" i="47"/>
  <c r="U52" i="47"/>
  <c r="W17" i="47"/>
  <c r="U25" i="47"/>
  <c r="U32" i="47"/>
  <c r="U67" i="47"/>
  <c r="W12" i="47"/>
  <c r="W45" i="47"/>
  <c r="U53" i="47"/>
  <c r="U60" i="47"/>
  <c r="W25" i="47"/>
  <c r="X25" i="47" s="1"/>
  <c r="U33" i="47"/>
  <c r="U40" i="47"/>
  <c r="W67" i="47"/>
  <c r="W13" i="47"/>
  <c r="U20" i="47"/>
  <c r="W53" i="47"/>
  <c r="U61" i="47"/>
  <c r="U7" i="34"/>
  <c r="U11" i="34"/>
  <c r="U18" i="34"/>
  <c r="U22" i="34"/>
  <c r="W14" i="34"/>
  <c r="U8" i="34"/>
  <c r="U15" i="34"/>
  <c r="W18" i="34"/>
  <c r="W22" i="34"/>
  <c r="X22" i="34" s="1"/>
  <c r="U19" i="34"/>
  <c r="U23" i="34"/>
  <c r="X8" i="34"/>
  <c r="U12" i="34"/>
  <c r="W15" i="34"/>
  <c r="U9" i="34"/>
  <c r="W19" i="34"/>
  <c r="W23" i="34"/>
  <c r="AD8" i="34"/>
  <c r="W12" i="34"/>
  <c r="U16" i="34"/>
  <c r="U20" i="34"/>
  <c r="AE8" i="34"/>
  <c r="U13" i="34"/>
  <c r="W16" i="34"/>
  <c r="X16" i="34" s="1"/>
  <c r="W20" i="34"/>
  <c r="X20" i="34" s="1"/>
  <c r="U10" i="34"/>
  <c r="W13" i="34"/>
  <c r="U17" i="34"/>
  <c r="N46" i="67"/>
  <c r="Q11" i="67"/>
  <c r="P37" i="67"/>
  <c r="AN14" i="31"/>
  <c r="AN40" i="39"/>
  <c r="AN34" i="47"/>
  <c r="AN21" i="52"/>
  <c r="AN13" i="53"/>
  <c r="AN25" i="53"/>
  <c r="AN23" i="71"/>
  <c r="AN17" i="57"/>
  <c r="AN29" i="57"/>
  <c r="AN18" i="12"/>
  <c r="AN18" i="14"/>
  <c r="AN37" i="29"/>
  <c r="AN26" i="31"/>
  <c r="AN21" i="37"/>
  <c r="AN23" i="42"/>
  <c r="AN18" i="45"/>
  <c r="AN12" i="46"/>
  <c r="AN24" i="46"/>
  <c r="AN52" i="75"/>
  <c r="AN24" i="54"/>
  <c r="AN11" i="58"/>
  <c r="AN17" i="58"/>
  <c r="AN13" i="59"/>
  <c r="AN19" i="12"/>
  <c r="AN14" i="13"/>
  <c r="AN277" i="15"/>
  <c r="AN337" i="15"/>
  <c r="AN9" i="19"/>
  <c r="AN17" i="20"/>
  <c r="AN15" i="72"/>
  <c r="AN12" i="24"/>
  <c r="AN12" i="27"/>
  <c r="AN72" i="32"/>
  <c r="AN12" i="34"/>
  <c r="AN9" i="35"/>
  <c r="AN14" i="37"/>
  <c r="AN16" i="66"/>
  <c r="AN20" i="66"/>
  <c r="AN24" i="66"/>
  <c r="AN28" i="66"/>
  <c r="AN32" i="66"/>
  <c r="AN36" i="66"/>
  <c r="AN40" i="66"/>
  <c r="AN20" i="41"/>
  <c r="AN13" i="43"/>
  <c r="AN36" i="46"/>
  <c r="AN21" i="47"/>
  <c r="AN11" i="49"/>
  <c r="AN19" i="49"/>
  <c r="AN10" i="50"/>
  <c r="AN18" i="56"/>
  <c r="AN22" i="56"/>
  <c r="AN19" i="57"/>
  <c r="AN23" i="58"/>
  <c r="AN11" i="5"/>
  <c r="AN10" i="12"/>
  <c r="AN15" i="13"/>
  <c r="AN10" i="18"/>
  <c r="AN16" i="18"/>
  <c r="AN24" i="18"/>
  <c r="AN14" i="19"/>
  <c r="AN9" i="20"/>
  <c r="AN22" i="63"/>
  <c r="AN13" i="64"/>
  <c r="AN24" i="21"/>
  <c r="AN12" i="23"/>
  <c r="AN24" i="26"/>
  <c r="AN13" i="32"/>
  <c r="AN12" i="36"/>
  <c r="AN19" i="38"/>
  <c r="AN10" i="66"/>
  <c r="AN14" i="43"/>
  <c r="AN10" i="75"/>
  <c r="AN41" i="75"/>
  <c r="AN16" i="15"/>
  <c r="AN268" i="15"/>
  <c r="AN376" i="15"/>
  <c r="AN484" i="15"/>
  <c r="AN19" i="69"/>
  <c r="AN25" i="69"/>
  <c r="AN9" i="72"/>
  <c r="AN10" i="25"/>
  <c r="AN13" i="27"/>
  <c r="AN51" i="32"/>
  <c r="AN16" i="46"/>
  <c r="AN30" i="47"/>
  <c r="AN195" i="65"/>
  <c r="AN203" i="65"/>
  <c r="AN9" i="13"/>
  <c r="AN84" i="15"/>
  <c r="AN10" i="70"/>
  <c r="AN16" i="24"/>
  <c r="AN24" i="37"/>
  <c r="AN7" i="66"/>
  <c r="AN11" i="44"/>
  <c r="AN13" i="45"/>
  <c r="AN40" i="46"/>
  <c r="AN24" i="47"/>
  <c r="AN37" i="47"/>
  <c r="AN65" i="47"/>
  <c r="AN38" i="75"/>
  <c r="AN12" i="56"/>
  <c r="AN14" i="61"/>
  <c r="AN52" i="15"/>
  <c r="AN73" i="15"/>
  <c r="AN451" i="15"/>
  <c r="AN11" i="19"/>
  <c r="AN22" i="28"/>
  <c r="AN12" i="44"/>
  <c r="AN12" i="47"/>
  <c r="AN18" i="47"/>
  <c r="AN66" i="47"/>
  <c r="AN10" i="53"/>
  <c r="AN21" i="53"/>
  <c r="AN13" i="57"/>
  <c r="AN25" i="57"/>
  <c r="AN10" i="62"/>
  <c r="AN184" i="65"/>
  <c r="AN192" i="65"/>
  <c r="AN196" i="65"/>
  <c r="AN11" i="13"/>
  <c r="AN20" i="15"/>
  <c r="AN86" i="15"/>
  <c r="AN24" i="20"/>
  <c r="AN36" i="20"/>
  <c r="AN48" i="20"/>
  <c r="AN55" i="32"/>
  <c r="AN79" i="32"/>
  <c r="AN15" i="41"/>
  <c r="AN20" i="46"/>
  <c r="AN19" i="47"/>
  <c r="AN25" i="47"/>
  <c r="AN46" i="47"/>
  <c r="AN47" i="75"/>
  <c r="AN41" i="22"/>
  <c r="AN17" i="70"/>
  <c r="AN17" i="30"/>
  <c r="AN23" i="33"/>
  <c r="AN18" i="34"/>
  <c r="AN22" i="34"/>
  <c r="AN19" i="37"/>
  <c r="AN13" i="38"/>
  <c r="AN15" i="66"/>
  <c r="AN51" i="75"/>
  <c r="AN18" i="52"/>
  <c r="AN23" i="53"/>
  <c r="AN53" i="53"/>
  <c r="AN9" i="5"/>
  <c r="AN29" i="5"/>
  <c r="AN43" i="15"/>
  <c r="AN44" i="15"/>
  <c r="AN76" i="15"/>
  <c r="AN358" i="15"/>
  <c r="AN20" i="23"/>
  <c r="AN21" i="32"/>
  <c r="AN33" i="47"/>
  <c r="AN16" i="57"/>
  <c r="AN28" i="57"/>
  <c r="AN23" i="61"/>
  <c r="AN11" i="62"/>
  <c r="AN15" i="64"/>
  <c r="W6" i="16"/>
  <c r="AN7" i="16"/>
  <c r="AJ20" i="60"/>
  <c r="AL20" i="60"/>
  <c r="AJ13" i="60"/>
  <c r="AL13" i="60"/>
  <c r="AL22" i="60"/>
  <c r="AJ22" i="60"/>
  <c r="AL11" i="60"/>
  <c r="AJ11" i="60"/>
  <c r="AL17" i="60"/>
  <c r="AJ17" i="60"/>
  <c r="AL10" i="60"/>
  <c r="AJ10" i="60"/>
  <c r="AL16" i="60"/>
  <c r="AJ16" i="60"/>
  <c r="AJ19" i="60"/>
  <c r="AL19" i="60"/>
  <c r="AL21" i="60"/>
  <c r="AJ21" i="60"/>
  <c r="AL24" i="60"/>
  <c r="AJ24" i="60"/>
  <c r="AL9" i="60"/>
  <c r="AJ9" i="60"/>
  <c r="AL15" i="60"/>
  <c r="AJ15" i="60"/>
  <c r="AL23" i="60"/>
  <c r="AJ23" i="60"/>
  <c r="AJ12" i="60"/>
  <c r="AL14" i="60"/>
  <c r="AJ14" i="60"/>
  <c r="U18" i="60"/>
  <c r="AN24" i="60"/>
  <c r="AD12" i="60"/>
  <c r="W13" i="60"/>
  <c r="AD18" i="60"/>
  <c r="AE12" i="60"/>
  <c r="AE18" i="60"/>
  <c r="AN18" i="60" s="1"/>
  <c r="AD19" i="60"/>
  <c r="AD13" i="60"/>
  <c r="U14" i="60"/>
  <c r="AE19" i="60"/>
  <c r="AD20" i="60"/>
  <c r="W21" i="60"/>
  <c r="AD9" i="60"/>
  <c r="AE13" i="60"/>
  <c r="AE20" i="60"/>
  <c r="U22" i="60"/>
  <c r="AE9" i="60"/>
  <c r="W14" i="60"/>
  <c r="AD21" i="60"/>
  <c r="W10" i="60"/>
  <c r="U11" i="60"/>
  <c r="AD14" i="60"/>
  <c r="AD22" i="60"/>
  <c r="AN22" i="60" s="1"/>
  <c r="U15" i="60"/>
  <c r="W18" i="60"/>
  <c r="W22" i="60"/>
  <c r="W7" i="60"/>
  <c r="U8" i="60"/>
  <c r="U19" i="60"/>
  <c r="U23" i="60"/>
  <c r="U12" i="60"/>
  <c r="W15" i="60"/>
  <c r="W8" i="60"/>
  <c r="X8" i="60" s="1"/>
  <c r="U9" i="60"/>
  <c r="W19" i="60"/>
  <c r="W23" i="60"/>
  <c r="W12" i="60"/>
  <c r="U16" i="60"/>
  <c r="U20" i="60"/>
  <c r="U26" i="60"/>
  <c r="W28" i="60"/>
  <c r="X28" i="60" s="1"/>
  <c r="U38" i="60"/>
  <c r="W40" i="60"/>
  <c r="X40" i="60" s="1"/>
  <c r="U50" i="60"/>
  <c r="W52" i="60"/>
  <c r="X52" i="60" s="1"/>
  <c r="U62" i="60"/>
  <c r="W64" i="60"/>
  <c r="X64" i="60" s="1"/>
  <c r="U74" i="60"/>
  <c r="W76" i="60"/>
  <c r="X76" i="60" s="1"/>
  <c r="U25" i="60"/>
  <c r="W27" i="60"/>
  <c r="X27" i="60" s="1"/>
  <c r="U37" i="60"/>
  <c r="W39" i="60"/>
  <c r="X39" i="60" s="1"/>
  <c r="U49" i="60"/>
  <c r="W51" i="60"/>
  <c r="X51" i="60" s="1"/>
  <c r="U61" i="60"/>
  <c r="W63" i="60"/>
  <c r="X63" i="60" s="1"/>
  <c r="U73" i="60"/>
  <c r="W26" i="60"/>
  <c r="X26" i="60" s="1"/>
  <c r="U36" i="60"/>
  <c r="W38" i="60"/>
  <c r="X38" i="60" s="1"/>
  <c r="U48" i="60"/>
  <c r="W50" i="60"/>
  <c r="X50" i="60" s="1"/>
  <c r="U60" i="60"/>
  <c r="W62" i="60"/>
  <c r="X62" i="60" s="1"/>
  <c r="U72" i="60"/>
  <c r="W74" i="60"/>
  <c r="X74" i="60" s="1"/>
  <c r="U84" i="60"/>
  <c r="W25" i="60"/>
  <c r="X25" i="60" s="1"/>
  <c r="U35" i="60"/>
  <c r="W37" i="60"/>
  <c r="X37" i="60" s="1"/>
  <c r="U47" i="60"/>
  <c r="W49" i="60"/>
  <c r="X49" i="60" s="1"/>
  <c r="U59" i="60"/>
  <c r="W61" i="60"/>
  <c r="X61" i="60" s="1"/>
  <c r="U34" i="60"/>
  <c r="W36" i="60"/>
  <c r="X36" i="60" s="1"/>
  <c r="U46" i="60"/>
  <c r="W48" i="60"/>
  <c r="X48" i="60" s="1"/>
  <c r="U58" i="60"/>
  <c r="W60" i="60"/>
  <c r="X60" i="60" s="1"/>
  <c r="U33" i="60"/>
  <c r="W35" i="60"/>
  <c r="X35" i="60" s="1"/>
  <c r="U45" i="60"/>
  <c r="W47" i="60"/>
  <c r="X47" i="60" s="1"/>
  <c r="U57" i="60"/>
  <c r="W59" i="60"/>
  <c r="X59" i="60" s="1"/>
  <c r="U69" i="60"/>
  <c r="W71" i="60"/>
  <c r="X71" i="60" s="1"/>
  <c r="U81" i="60"/>
  <c r="W83" i="60"/>
  <c r="X83" i="60" s="1"/>
  <c r="U32" i="60"/>
  <c r="W34" i="60"/>
  <c r="X34" i="60" s="1"/>
  <c r="U44" i="60"/>
  <c r="W46" i="60"/>
  <c r="X46" i="60" s="1"/>
  <c r="U56" i="60"/>
  <c r="W58" i="60"/>
  <c r="X58" i="60" s="1"/>
  <c r="U68" i="60"/>
  <c r="W70" i="60"/>
  <c r="X70" i="60" s="1"/>
  <c r="U31" i="60"/>
  <c r="W33" i="60"/>
  <c r="X33" i="60" s="1"/>
  <c r="U43" i="60"/>
  <c r="W45" i="60"/>
  <c r="X45" i="60" s="1"/>
  <c r="U55" i="60"/>
  <c r="W57" i="60"/>
  <c r="X57" i="60" s="1"/>
  <c r="U67" i="60"/>
  <c r="W69" i="60"/>
  <c r="X69" i="60" s="1"/>
  <c r="U79" i="60"/>
  <c r="U30" i="60"/>
  <c r="W32" i="60"/>
  <c r="X32" i="60" s="1"/>
  <c r="U42" i="60"/>
  <c r="W44" i="60"/>
  <c r="X44" i="60" s="1"/>
  <c r="U54" i="60"/>
  <c r="W56" i="60"/>
  <c r="X56" i="60" s="1"/>
  <c r="U66" i="60"/>
  <c r="W68" i="60"/>
  <c r="X68" i="60" s="1"/>
  <c r="U29" i="60"/>
  <c r="W31" i="60"/>
  <c r="X31" i="60" s="1"/>
  <c r="U41" i="60"/>
  <c r="W43" i="60"/>
  <c r="X43" i="60" s="1"/>
  <c r="U53" i="60"/>
  <c r="W55" i="60"/>
  <c r="X55" i="60" s="1"/>
  <c r="U27" i="60"/>
  <c r="W29" i="60"/>
  <c r="X29" i="60" s="1"/>
  <c r="U39" i="60"/>
  <c r="W41" i="60"/>
  <c r="X41" i="60" s="1"/>
  <c r="U51" i="60"/>
  <c r="W53" i="60"/>
  <c r="X53" i="60" s="1"/>
  <c r="W79" i="60"/>
  <c r="X79" i="60" s="1"/>
  <c r="W81" i="60"/>
  <c r="X81" i="60" s="1"/>
  <c r="U92" i="60"/>
  <c r="W94" i="60"/>
  <c r="X94" i="60" s="1"/>
  <c r="W77" i="60"/>
  <c r="X77" i="60" s="1"/>
  <c r="W84" i="60"/>
  <c r="X84" i="60" s="1"/>
  <c r="U91" i="60"/>
  <c r="W93" i="60"/>
  <c r="X93" i="60" s="1"/>
  <c r="U103" i="60"/>
  <c r="W105" i="60"/>
  <c r="X105" i="60" s="1"/>
  <c r="U115" i="60"/>
  <c r="W117" i="60"/>
  <c r="X117" i="60" s="1"/>
  <c r="W54" i="60"/>
  <c r="X54" i="60" s="1"/>
  <c r="U65" i="60"/>
  <c r="W66" i="60"/>
  <c r="X66" i="60" s="1"/>
  <c r="U70" i="60"/>
  <c r="U90" i="60"/>
  <c r="W92" i="60"/>
  <c r="X92" i="60" s="1"/>
  <c r="U102" i="60"/>
  <c r="W104" i="60"/>
  <c r="X104" i="60" s="1"/>
  <c r="U114" i="60"/>
  <c r="W116" i="60"/>
  <c r="X116" i="60" s="1"/>
  <c r="U126" i="60"/>
  <c r="W128" i="60"/>
  <c r="X128" i="60" s="1"/>
  <c r="U40" i="60"/>
  <c r="W67" i="60"/>
  <c r="X67" i="60" s="1"/>
  <c r="U71" i="60"/>
  <c r="U78" i="60"/>
  <c r="U80" i="60"/>
  <c r="U83" i="60"/>
  <c r="U89" i="60"/>
  <c r="W91" i="60"/>
  <c r="X91" i="60" s="1"/>
  <c r="U101" i="60"/>
  <c r="W65" i="60"/>
  <c r="X65" i="60" s="1"/>
  <c r="U88" i="60"/>
  <c r="W90" i="60"/>
  <c r="X90" i="60" s="1"/>
  <c r="U100" i="60"/>
  <c r="W102" i="60"/>
  <c r="X102" i="60" s="1"/>
  <c r="W30" i="60"/>
  <c r="X30" i="60" s="1"/>
  <c r="U64" i="60"/>
  <c r="U75" i="60"/>
  <c r="W78" i="60"/>
  <c r="X78" i="60" s="1"/>
  <c r="W80" i="60"/>
  <c r="X80" i="60" s="1"/>
  <c r="U87" i="60"/>
  <c r="W89" i="60"/>
  <c r="X89" i="60" s="1"/>
  <c r="U99" i="60"/>
  <c r="W101" i="60"/>
  <c r="X101" i="60" s="1"/>
  <c r="U111" i="60"/>
  <c r="W113" i="60"/>
  <c r="X113" i="60" s="1"/>
  <c r="U123" i="60"/>
  <c r="W125" i="60"/>
  <c r="X125" i="60" s="1"/>
  <c r="U82" i="60"/>
  <c r="U86" i="60"/>
  <c r="W88" i="60"/>
  <c r="X88" i="60" s="1"/>
  <c r="U98" i="60"/>
  <c r="W100" i="60"/>
  <c r="X100" i="60" s="1"/>
  <c r="U110" i="60"/>
  <c r="W112" i="60"/>
  <c r="X112" i="60" s="1"/>
  <c r="W75" i="60"/>
  <c r="X75" i="60" s="1"/>
  <c r="U85" i="60"/>
  <c r="W87" i="60"/>
  <c r="X87" i="60" s="1"/>
  <c r="U97" i="60"/>
  <c r="W99" i="60"/>
  <c r="X99" i="60" s="1"/>
  <c r="U52" i="60"/>
  <c r="W72" i="60"/>
  <c r="X72" i="60" s="1"/>
  <c r="U76" i="60"/>
  <c r="W82" i="60"/>
  <c r="X82" i="60" s="1"/>
  <c r="W86" i="60"/>
  <c r="X86" i="60" s="1"/>
  <c r="U96" i="60"/>
  <c r="W42" i="60"/>
  <c r="X42" i="60" s="1"/>
  <c r="U63" i="60"/>
  <c r="W85" i="60"/>
  <c r="X85" i="60" s="1"/>
  <c r="U95" i="60"/>
  <c r="W97" i="60"/>
  <c r="X97" i="60" s="1"/>
  <c r="U107" i="60"/>
  <c r="W109" i="60"/>
  <c r="X109" i="60" s="1"/>
  <c r="W98" i="60"/>
  <c r="X98" i="60" s="1"/>
  <c r="U104" i="60"/>
  <c r="W114" i="60"/>
  <c r="X114" i="60" s="1"/>
  <c r="W121" i="60"/>
  <c r="X121" i="60" s="1"/>
  <c r="U125" i="60"/>
  <c r="W129" i="60"/>
  <c r="X129" i="60" s="1"/>
  <c r="W123" i="60"/>
  <c r="X123" i="60" s="1"/>
  <c r="W96" i="60"/>
  <c r="X96" i="60" s="1"/>
  <c r="U116" i="60"/>
  <c r="U118" i="60"/>
  <c r="U128" i="60"/>
  <c r="U105" i="60"/>
  <c r="U106" i="60"/>
  <c r="W110" i="60"/>
  <c r="X110" i="60" s="1"/>
  <c r="U113" i="60"/>
  <c r="W118" i="60"/>
  <c r="X118" i="60" s="1"/>
  <c r="U120" i="60"/>
  <c r="U127" i="60"/>
  <c r="U94" i="60"/>
  <c r="W95" i="60"/>
  <c r="X95" i="60" s="1"/>
  <c r="U122" i="60"/>
  <c r="U124" i="60"/>
  <c r="W106" i="60"/>
  <c r="X106" i="60" s="1"/>
  <c r="W120" i="60"/>
  <c r="X120" i="60" s="1"/>
  <c r="W127" i="60"/>
  <c r="X127" i="60" s="1"/>
  <c r="U77" i="60"/>
  <c r="W115" i="60"/>
  <c r="X115" i="60" s="1"/>
  <c r="W122" i="60"/>
  <c r="X122" i="60" s="1"/>
  <c r="W124" i="60"/>
  <c r="X124" i="60" s="1"/>
  <c r="U130" i="60"/>
  <c r="W73" i="60"/>
  <c r="X73" i="60" s="1"/>
  <c r="W111" i="60"/>
  <c r="X111" i="60" s="1"/>
  <c r="U117" i="60"/>
  <c r="U93" i="60"/>
  <c r="W107" i="60"/>
  <c r="X107" i="60" s="1"/>
  <c r="U108" i="60"/>
  <c r="U119" i="60"/>
  <c r="W130" i="60"/>
  <c r="X130" i="60" s="1"/>
  <c r="U28" i="60"/>
  <c r="U121" i="60"/>
  <c r="W126" i="60"/>
  <c r="X126" i="60" s="1"/>
  <c r="U129" i="60"/>
  <c r="W103" i="60"/>
  <c r="X103" i="60" s="1"/>
  <c r="W108" i="60"/>
  <c r="X108" i="60" s="1"/>
  <c r="U109" i="60"/>
  <c r="U112" i="60"/>
  <c r="W119" i="60"/>
  <c r="X119" i="60" s="1"/>
  <c r="U13" i="60"/>
  <c r="U5" i="60"/>
  <c r="W16" i="60"/>
  <c r="W20" i="60"/>
  <c r="W24" i="60"/>
  <c r="U17" i="60"/>
  <c r="U21" i="60"/>
  <c r="AL20" i="59"/>
  <c r="AJ20" i="59"/>
  <c r="AL22" i="59"/>
  <c r="AJ22" i="59"/>
  <c r="AL16" i="59"/>
  <c r="AJ16" i="59"/>
  <c r="AL24" i="59"/>
  <c r="AJ24" i="59"/>
  <c r="AL19" i="59"/>
  <c r="AJ19" i="59"/>
  <c r="AJ21" i="59"/>
  <c r="AL21" i="59"/>
  <c r="AL15" i="59"/>
  <c r="AJ15" i="59"/>
  <c r="AL18" i="59"/>
  <c r="AJ18" i="59"/>
  <c r="W9" i="59"/>
  <c r="U10" i="59"/>
  <c r="W14" i="59"/>
  <c r="X14" i="59" s="1"/>
  <c r="U15" i="59"/>
  <c r="AD20" i="59"/>
  <c r="U22" i="59"/>
  <c r="AJ23" i="59"/>
  <c r="U11" i="59"/>
  <c r="AD14" i="59"/>
  <c r="AE20" i="59"/>
  <c r="AD21" i="59"/>
  <c r="AE14" i="59"/>
  <c r="W15" i="59"/>
  <c r="AE21" i="59"/>
  <c r="W22" i="59"/>
  <c r="H32" i="67"/>
  <c r="W11" i="59"/>
  <c r="X11" i="59" s="1"/>
  <c r="U23" i="59"/>
  <c r="AD15" i="59"/>
  <c r="AD22" i="59"/>
  <c r="W6" i="59"/>
  <c r="U7" i="59"/>
  <c r="U12" i="59"/>
  <c r="AE15" i="59"/>
  <c r="AD16" i="59"/>
  <c r="U18" i="59"/>
  <c r="AE22" i="59"/>
  <c r="AD23" i="59"/>
  <c r="W7" i="59"/>
  <c r="X7" i="59" s="1"/>
  <c r="U8" i="59"/>
  <c r="W18" i="59"/>
  <c r="X18" i="59" s="1"/>
  <c r="AD24" i="59"/>
  <c r="AN24" i="59" s="1"/>
  <c r="W13" i="59"/>
  <c r="U19" i="59"/>
  <c r="P29" i="67"/>
  <c r="W8" i="59"/>
  <c r="U9" i="59"/>
  <c r="W19" i="59"/>
  <c r="X19" i="59" s="1"/>
  <c r="W23" i="59"/>
  <c r="W12" i="59"/>
  <c r="U16" i="59"/>
  <c r="U20" i="59"/>
  <c r="U26" i="59"/>
  <c r="W28" i="59"/>
  <c r="X28" i="59" s="1"/>
  <c r="U38" i="59"/>
  <c r="W40" i="59"/>
  <c r="X40" i="59" s="1"/>
  <c r="U50" i="59"/>
  <c r="W52" i="59"/>
  <c r="X52" i="59" s="1"/>
  <c r="U62" i="59"/>
  <c r="W64" i="59"/>
  <c r="X64" i="59" s="1"/>
  <c r="W30" i="59"/>
  <c r="X30" i="59" s="1"/>
  <c r="U40" i="59"/>
  <c r="W42" i="59"/>
  <c r="X42" i="59" s="1"/>
  <c r="W54" i="59"/>
  <c r="X54" i="59" s="1"/>
  <c r="U25" i="59"/>
  <c r="W27" i="59"/>
  <c r="X27" i="59" s="1"/>
  <c r="U37" i="59"/>
  <c r="W39" i="59"/>
  <c r="X39" i="59" s="1"/>
  <c r="U49" i="59"/>
  <c r="W51" i="59"/>
  <c r="X51" i="59" s="1"/>
  <c r="U61" i="59"/>
  <c r="W63" i="59"/>
  <c r="X63" i="59" s="1"/>
  <c r="U73" i="59"/>
  <c r="U52" i="59"/>
  <c r="W26" i="59"/>
  <c r="X26" i="59" s="1"/>
  <c r="U36" i="59"/>
  <c r="W38" i="59"/>
  <c r="X38" i="59" s="1"/>
  <c r="U48" i="59"/>
  <c r="W50" i="59"/>
  <c r="X50" i="59" s="1"/>
  <c r="U60" i="59"/>
  <c r="W62" i="59"/>
  <c r="X62" i="59" s="1"/>
  <c r="U72" i="59"/>
  <c r="W25" i="59"/>
  <c r="X25" i="59" s="1"/>
  <c r="U35" i="59"/>
  <c r="W37" i="59"/>
  <c r="X37" i="59" s="1"/>
  <c r="U47" i="59"/>
  <c r="W49" i="59"/>
  <c r="X49" i="59" s="1"/>
  <c r="U59" i="59"/>
  <c r="W61" i="59"/>
  <c r="X61" i="59" s="1"/>
  <c r="U71" i="59"/>
  <c r="W73" i="59"/>
  <c r="X73" i="59" s="1"/>
  <c r="U28" i="59"/>
  <c r="U34" i="59"/>
  <c r="W36" i="59"/>
  <c r="X36" i="59" s="1"/>
  <c r="U46" i="59"/>
  <c r="W48" i="59"/>
  <c r="X48" i="59" s="1"/>
  <c r="U58" i="59"/>
  <c r="W60" i="59"/>
  <c r="X60" i="59" s="1"/>
  <c r="U70" i="59"/>
  <c r="W72" i="59"/>
  <c r="X72" i="59" s="1"/>
  <c r="U33" i="59"/>
  <c r="W35" i="59"/>
  <c r="X35" i="59" s="1"/>
  <c r="U45" i="59"/>
  <c r="W47" i="59"/>
  <c r="X47" i="59" s="1"/>
  <c r="U57" i="59"/>
  <c r="W59" i="59"/>
  <c r="X59" i="59" s="1"/>
  <c r="U69" i="59"/>
  <c r="W71" i="59"/>
  <c r="X71" i="59" s="1"/>
  <c r="U32" i="59"/>
  <c r="W34" i="59"/>
  <c r="X34" i="59" s="1"/>
  <c r="U44" i="59"/>
  <c r="W46" i="59"/>
  <c r="X46" i="59" s="1"/>
  <c r="U56" i="59"/>
  <c r="W58" i="59"/>
  <c r="X58" i="59" s="1"/>
  <c r="U68" i="59"/>
  <c r="W70" i="59"/>
  <c r="X70" i="59" s="1"/>
  <c r="U64" i="59"/>
  <c r="U31" i="59"/>
  <c r="W33" i="59"/>
  <c r="X33" i="59" s="1"/>
  <c r="U43" i="59"/>
  <c r="W45" i="59"/>
  <c r="X45" i="59" s="1"/>
  <c r="U55" i="59"/>
  <c r="W57" i="59"/>
  <c r="X57" i="59" s="1"/>
  <c r="U67" i="59"/>
  <c r="W69" i="59"/>
  <c r="X69" i="59" s="1"/>
  <c r="U30" i="59"/>
  <c r="W32" i="59"/>
  <c r="X32" i="59" s="1"/>
  <c r="U42" i="59"/>
  <c r="W44" i="59"/>
  <c r="X44" i="59" s="1"/>
  <c r="U54" i="59"/>
  <c r="W56" i="59"/>
  <c r="X56" i="59" s="1"/>
  <c r="U66" i="59"/>
  <c r="W68" i="59"/>
  <c r="X68" i="59" s="1"/>
  <c r="U29" i="59"/>
  <c r="W31" i="59"/>
  <c r="X31" i="59" s="1"/>
  <c r="U41" i="59"/>
  <c r="W43" i="59"/>
  <c r="X43" i="59" s="1"/>
  <c r="U53" i="59"/>
  <c r="W55" i="59"/>
  <c r="X55" i="59" s="1"/>
  <c r="U65" i="59"/>
  <c r="W67" i="59"/>
  <c r="X67" i="59" s="1"/>
  <c r="W66" i="59"/>
  <c r="X66" i="59" s="1"/>
  <c r="U27" i="59"/>
  <c r="W29" i="59"/>
  <c r="X29" i="59" s="1"/>
  <c r="U39" i="59"/>
  <c r="W41" i="59"/>
  <c r="X41" i="59" s="1"/>
  <c r="U51" i="59"/>
  <c r="W53" i="59"/>
  <c r="X53" i="59" s="1"/>
  <c r="U63" i="59"/>
  <c r="W65" i="59"/>
  <c r="X65" i="59" s="1"/>
  <c r="U13" i="59"/>
  <c r="U5" i="59"/>
  <c r="W16" i="59"/>
  <c r="W20" i="59"/>
  <c r="W24" i="59"/>
  <c r="U17" i="59"/>
  <c r="U21" i="59"/>
  <c r="W5" i="59"/>
  <c r="U6" i="59"/>
  <c r="W10" i="59"/>
  <c r="U14" i="59"/>
  <c r="W17" i="59"/>
  <c r="W21" i="59"/>
  <c r="AJ12" i="58"/>
  <c r="AL12" i="58"/>
  <c r="AL11" i="58"/>
  <c r="AJ11" i="58"/>
  <c r="AL14" i="58"/>
  <c r="AJ14" i="58"/>
  <c r="AL10" i="58"/>
  <c r="AJ10" i="58"/>
  <c r="AL13" i="58"/>
  <c r="AJ13" i="58"/>
  <c r="U12" i="58"/>
  <c r="U16" i="58"/>
  <c r="U20" i="58"/>
  <c r="W23" i="58"/>
  <c r="U13" i="58"/>
  <c r="U24" i="58"/>
  <c r="AD12" i="58"/>
  <c r="T31" i="67" s="1"/>
  <c r="AM13" i="58"/>
  <c r="S31" i="67" s="1"/>
  <c r="W16" i="58"/>
  <c r="W20" i="58"/>
  <c r="AE12" i="58"/>
  <c r="U14" i="58"/>
  <c r="W17" i="58"/>
  <c r="W21" i="58"/>
  <c r="J29" i="67"/>
  <c r="AN10" i="58"/>
  <c r="W14" i="58"/>
  <c r="U22" i="58"/>
  <c r="L29" i="67"/>
  <c r="W11" i="58"/>
  <c r="U15" i="58"/>
  <c r="AJ48" i="57"/>
  <c r="AL48" i="57"/>
  <c r="AL36" i="57"/>
  <c r="AJ36" i="57"/>
  <c r="AL46" i="57"/>
  <c r="AJ46" i="57"/>
  <c r="AL45" i="57"/>
  <c r="AJ45" i="57"/>
  <c r="AJ38" i="57"/>
  <c r="AL38" i="57"/>
  <c r="AL37" i="57"/>
  <c r="AJ37" i="57"/>
  <c r="AL41" i="57"/>
  <c r="AJ47" i="57"/>
  <c r="AL47" i="57"/>
  <c r="AL40" i="57"/>
  <c r="AJ40" i="57"/>
  <c r="AL44" i="57"/>
  <c r="AJ44" i="57"/>
  <c r="AJ39" i="57"/>
  <c r="AL39" i="57"/>
  <c r="W27" i="57"/>
  <c r="AH42" i="57"/>
  <c r="AI42" i="57" s="1"/>
  <c r="AJ42" i="57" s="1"/>
  <c r="AE44" i="57"/>
  <c r="AM48" i="57"/>
  <c r="W19" i="57"/>
  <c r="AE36" i="57"/>
  <c r="AN36" i="57" s="1"/>
  <c r="AD37" i="57"/>
  <c r="T30" i="67" s="1"/>
  <c r="AM39" i="57"/>
  <c r="AH43" i="57"/>
  <c r="AI43" i="57" s="1"/>
  <c r="AL43" i="57" s="1"/>
  <c r="AE46" i="57"/>
  <c r="AN46" i="57" s="1"/>
  <c r="AE37" i="57"/>
  <c r="W39" i="57"/>
  <c r="AD47" i="57"/>
  <c r="AE47" i="57"/>
  <c r="AD48" i="57"/>
  <c r="W31" i="57"/>
  <c r="AD39" i="57"/>
  <c r="AE48" i="57"/>
  <c r="AN48" i="57" s="1"/>
  <c r="W13" i="57"/>
  <c r="AE39" i="57"/>
  <c r="AN40" i="57"/>
  <c r="W8" i="57"/>
  <c r="U9" i="57"/>
  <c r="U48" i="57"/>
  <c r="W35" i="57"/>
  <c r="W12" i="57"/>
  <c r="U16" i="57"/>
  <c r="U20" i="57"/>
  <c r="U24" i="57"/>
  <c r="U28" i="57"/>
  <c r="U32" i="57"/>
  <c r="U36" i="57"/>
  <c r="U40" i="57"/>
  <c r="U44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98" i="57"/>
  <c r="W66" i="57"/>
  <c r="X66" i="57" s="1"/>
  <c r="W90" i="57"/>
  <c r="X90" i="57" s="1"/>
  <c r="U49" i="57"/>
  <c r="W51" i="57"/>
  <c r="X51" i="57" s="1"/>
  <c r="U61" i="57"/>
  <c r="W63" i="57"/>
  <c r="X63" i="57" s="1"/>
  <c r="U73" i="57"/>
  <c r="W75" i="57"/>
  <c r="X75" i="57" s="1"/>
  <c r="U85" i="57"/>
  <c r="W87" i="57"/>
  <c r="X87" i="57" s="1"/>
  <c r="U97" i="57"/>
  <c r="W50" i="57"/>
  <c r="X50" i="57" s="1"/>
  <c r="U60" i="57"/>
  <c r="W62" i="57"/>
  <c r="X62" i="57" s="1"/>
  <c r="U72" i="57"/>
  <c r="W74" i="57"/>
  <c r="X74" i="57" s="1"/>
  <c r="U84" i="57"/>
  <c r="W86" i="57"/>
  <c r="X86" i="57" s="1"/>
  <c r="U96" i="57"/>
  <c r="W98" i="57"/>
  <c r="X98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95" i="57"/>
  <c r="W97" i="57"/>
  <c r="X97" i="57" s="1"/>
  <c r="W54" i="57"/>
  <c r="X54" i="57" s="1"/>
  <c r="U58" i="57"/>
  <c r="W60" i="57"/>
  <c r="X60" i="57" s="1"/>
  <c r="U70" i="57"/>
  <c r="W72" i="57"/>
  <c r="X72" i="57" s="1"/>
  <c r="U82" i="57"/>
  <c r="W84" i="57"/>
  <c r="X84" i="57" s="1"/>
  <c r="U94" i="57"/>
  <c r="W96" i="57"/>
  <c r="X96" i="57" s="1"/>
  <c r="U52" i="57"/>
  <c r="U57" i="57"/>
  <c r="W59" i="57"/>
  <c r="X59" i="57" s="1"/>
  <c r="U69" i="57"/>
  <c r="W71" i="57"/>
  <c r="X71" i="57" s="1"/>
  <c r="U81" i="57"/>
  <c r="W83" i="57"/>
  <c r="X83" i="57" s="1"/>
  <c r="U93" i="57"/>
  <c r="W95" i="57"/>
  <c r="X95" i="57" s="1"/>
  <c r="U56" i="57"/>
  <c r="W58" i="57"/>
  <c r="X58" i="57" s="1"/>
  <c r="U68" i="57"/>
  <c r="W70" i="57"/>
  <c r="X70" i="57" s="1"/>
  <c r="U80" i="57"/>
  <c r="W82" i="57"/>
  <c r="X82" i="57" s="1"/>
  <c r="U92" i="57"/>
  <c r="W94" i="57"/>
  <c r="X94" i="57" s="1"/>
  <c r="U76" i="57"/>
  <c r="U55" i="57"/>
  <c r="W57" i="57"/>
  <c r="X57" i="57" s="1"/>
  <c r="U67" i="57"/>
  <c r="W69" i="57"/>
  <c r="X69" i="57" s="1"/>
  <c r="U79" i="57"/>
  <c r="W81" i="57"/>
  <c r="X81" i="57" s="1"/>
  <c r="U91" i="57"/>
  <c r="W93" i="57"/>
  <c r="X93" i="57" s="1"/>
  <c r="U88" i="57"/>
  <c r="U54" i="57"/>
  <c r="W56" i="57"/>
  <c r="X56" i="57" s="1"/>
  <c r="U66" i="57"/>
  <c r="W68" i="57"/>
  <c r="X68" i="57" s="1"/>
  <c r="U78" i="57"/>
  <c r="W80" i="57"/>
  <c r="X80" i="57" s="1"/>
  <c r="U90" i="57"/>
  <c r="W92" i="57"/>
  <c r="X92" i="57" s="1"/>
  <c r="U53" i="57"/>
  <c r="W55" i="57"/>
  <c r="X55" i="57" s="1"/>
  <c r="U65" i="57"/>
  <c r="W67" i="57"/>
  <c r="X67" i="57" s="1"/>
  <c r="U77" i="57"/>
  <c r="W79" i="57"/>
  <c r="X79" i="57" s="1"/>
  <c r="U89" i="57"/>
  <c r="W91" i="57"/>
  <c r="X91" i="57" s="1"/>
  <c r="U64" i="57"/>
  <c r="U51" i="57"/>
  <c r="W53" i="57"/>
  <c r="X53" i="57" s="1"/>
  <c r="U63" i="57"/>
  <c r="W65" i="57"/>
  <c r="X65" i="57" s="1"/>
  <c r="U75" i="57"/>
  <c r="W77" i="57"/>
  <c r="X77" i="57" s="1"/>
  <c r="U87" i="57"/>
  <c r="W89" i="57"/>
  <c r="X89" i="57" s="1"/>
  <c r="W78" i="57"/>
  <c r="X78" i="57" s="1"/>
  <c r="U13" i="57"/>
  <c r="U5" i="57"/>
  <c r="W16" i="57"/>
  <c r="W20" i="57"/>
  <c r="X20" i="57" s="1"/>
  <c r="W24" i="57"/>
  <c r="W28" i="57"/>
  <c r="X28" i="57" s="1"/>
  <c r="W32" i="57"/>
  <c r="W36" i="57"/>
  <c r="W40" i="57"/>
  <c r="W44" i="57"/>
  <c r="W48" i="57"/>
  <c r="X48" i="57" s="1"/>
  <c r="U17" i="57"/>
  <c r="U21" i="57"/>
  <c r="U25" i="57"/>
  <c r="U29" i="57"/>
  <c r="U33" i="57"/>
  <c r="U37" i="57"/>
  <c r="U41" i="57"/>
  <c r="U45" i="57"/>
  <c r="W5" i="57"/>
  <c r="U6" i="57"/>
  <c r="W10" i="57"/>
  <c r="U14" i="57"/>
  <c r="W17" i="57"/>
  <c r="W21" i="57"/>
  <c r="W25" i="57"/>
  <c r="W29" i="57"/>
  <c r="W33" i="57"/>
  <c r="X33" i="57" s="1"/>
  <c r="W37" i="57"/>
  <c r="W41" i="57"/>
  <c r="X41" i="57" s="1"/>
  <c r="W45" i="57"/>
  <c r="U11" i="57"/>
  <c r="U18" i="57"/>
  <c r="U22" i="57"/>
  <c r="U26" i="57"/>
  <c r="U30" i="57"/>
  <c r="U34" i="57"/>
  <c r="U38" i="57"/>
  <c r="U42" i="57"/>
  <c r="U46" i="57"/>
  <c r="W6" i="57"/>
  <c r="U7" i="57"/>
  <c r="W14" i="57"/>
  <c r="L34" i="67"/>
  <c r="U15" i="57"/>
  <c r="W18" i="57"/>
  <c r="W22" i="57"/>
  <c r="X22" i="57" s="1"/>
  <c r="W26" i="57"/>
  <c r="W30" i="57"/>
  <c r="W34" i="57"/>
  <c r="W38" i="57"/>
  <c r="W42" i="57"/>
  <c r="X42" i="57" s="1"/>
  <c r="W46" i="57"/>
  <c r="W7" i="57"/>
  <c r="X7" i="57" s="1"/>
  <c r="U8" i="57"/>
  <c r="U19" i="57"/>
  <c r="U23" i="57"/>
  <c r="U27" i="57"/>
  <c r="U31" i="57"/>
  <c r="U35" i="57"/>
  <c r="U39" i="57"/>
  <c r="U43" i="57"/>
  <c r="U47" i="57"/>
  <c r="U12" i="57"/>
  <c r="W15" i="57"/>
  <c r="AL19" i="55"/>
  <c r="AJ19" i="55"/>
  <c r="AL15" i="55"/>
  <c r="AJ15" i="55"/>
  <c r="AL16" i="55"/>
  <c r="AJ16" i="55"/>
  <c r="AL12" i="55"/>
  <c r="AJ12" i="55"/>
  <c r="AJ11" i="55"/>
  <c r="AL11" i="55"/>
  <c r="AJ17" i="55"/>
  <c r="AL17" i="55"/>
  <c r="AL20" i="55"/>
  <c r="AJ20" i="55"/>
  <c r="AL14" i="55"/>
  <c r="AJ14" i="55"/>
  <c r="AJ10" i="55"/>
  <c r="AE9" i="55"/>
  <c r="AN9" i="55" s="1"/>
  <c r="AH13" i="55"/>
  <c r="AI13" i="55" s="1"/>
  <c r="AJ13" i="55" s="1"/>
  <c r="AE14" i="55"/>
  <c r="AD15" i="55"/>
  <c r="U17" i="55"/>
  <c r="AE23" i="55"/>
  <c r="AN23" i="55" s="1"/>
  <c r="AD24" i="55"/>
  <c r="AH21" i="55"/>
  <c r="AI21" i="55" s="1"/>
  <c r="AL21" i="55" s="1"/>
  <c r="AE24" i="55"/>
  <c r="AE16" i="55"/>
  <c r="W17" i="55"/>
  <c r="AH22" i="55"/>
  <c r="AI22" i="55" s="1"/>
  <c r="AL22" i="55" s="1"/>
  <c r="AD10" i="55"/>
  <c r="AN10" i="55" s="1"/>
  <c r="AH23" i="55"/>
  <c r="AI23" i="55" s="1"/>
  <c r="AL23" i="55" s="1"/>
  <c r="AE10" i="55"/>
  <c r="AD11" i="55"/>
  <c r="AD17" i="55"/>
  <c r="AN17" i="55" s="1"/>
  <c r="AH24" i="55"/>
  <c r="AI24" i="55" s="1"/>
  <c r="AL24" i="55" s="1"/>
  <c r="AJ9" i="55"/>
  <c r="AE17" i="55"/>
  <c r="U21" i="55"/>
  <c r="AM22" i="55"/>
  <c r="AN22" i="55" s="1"/>
  <c r="AD21" i="55"/>
  <c r="AN21" i="55" s="1"/>
  <c r="W5" i="55"/>
  <c r="W21" i="55"/>
  <c r="U11" i="55"/>
  <c r="U18" i="55"/>
  <c r="U22" i="55"/>
  <c r="W6" i="55"/>
  <c r="U7" i="55"/>
  <c r="W14" i="55"/>
  <c r="W11" i="55"/>
  <c r="U15" i="55"/>
  <c r="W18" i="55"/>
  <c r="W22" i="55"/>
  <c r="X22" i="55" s="1"/>
  <c r="W7" i="55"/>
  <c r="U8" i="55"/>
  <c r="U19" i="55"/>
  <c r="U23" i="55"/>
  <c r="U12" i="55"/>
  <c r="W15" i="55"/>
  <c r="W8" i="55"/>
  <c r="U9" i="55"/>
  <c r="W19" i="55"/>
  <c r="W23" i="55"/>
  <c r="W12" i="55"/>
  <c r="U16" i="55"/>
  <c r="U20" i="55"/>
  <c r="U26" i="55"/>
  <c r="W28" i="55"/>
  <c r="X28" i="55" s="1"/>
  <c r="U38" i="55"/>
  <c r="W40" i="55"/>
  <c r="X40" i="55" s="1"/>
  <c r="U50" i="55"/>
  <c r="W52" i="55"/>
  <c r="X52" i="55" s="1"/>
  <c r="W29" i="55"/>
  <c r="X29" i="55" s="1"/>
  <c r="U51" i="55"/>
  <c r="U25" i="55"/>
  <c r="W27" i="55"/>
  <c r="X27" i="55" s="1"/>
  <c r="U37" i="55"/>
  <c r="W39" i="55"/>
  <c r="X39" i="55" s="1"/>
  <c r="U49" i="55"/>
  <c r="W51" i="55"/>
  <c r="X51" i="55" s="1"/>
  <c r="W26" i="55"/>
  <c r="X26" i="55" s="1"/>
  <c r="U36" i="55"/>
  <c r="W38" i="55"/>
  <c r="X38" i="55" s="1"/>
  <c r="U48" i="55"/>
  <c r="W50" i="55"/>
  <c r="X50" i="55" s="1"/>
  <c r="W25" i="55"/>
  <c r="X25" i="55" s="1"/>
  <c r="U35" i="55"/>
  <c r="W37" i="55"/>
  <c r="X37" i="55" s="1"/>
  <c r="U47" i="55"/>
  <c r="W49" i="55"/>
  <c r="X49" i="55" s="1"/>
  <c r="U52" i="55"/>
  <c r="U34" i="55"/>
  <c r="W36" i="55"/>
  <c r="X36" i="55" s="1"/>
  <c r="U46" i="55"/>
  <c r="W48" i="55"/>
  <c r="X48" i="55" s="1"/>
  <c r="U33" i="55"/>
  <c r="W35" i="55"/>
  <c r="X35" i="55" s="1"/>
  <c r="U45" i="55"/>
  <c r="W47" i="55"/>
  <c r="X47" i="55" s="1"/>
  <c r="W41" i="55"/>
  <c r="X41" i="55" s="1"/>
  <c r="U32" i="55"/>
  <c r="W34" i="55"/>
  <c r="X34" i="55" s="1"/>
  <c r="U44" i="55"/>
  <c r="W46" i="55"/>
  <c r="X46" i="55" s="1"/>
  <c r="U39" i="55"/>
  <c r="U31" i="55"/>
  <c r="W33" i="55"/>
  <c r="X33" i="55" s="1"/>
  <c r="U43" i="55"/>
  <c r="W45" i="55"/>
  <c r="X45" i="55" s="1"/>
  <c r="U30" i="55"/>
  <c r="W32" i="55"/>
  <c r="X32" i="55" s="1"/>
  <c r="U42" i="55"/>
  <c r="W44" i="55"/>
  <c r="X44" i="55" s="1"/>
  <c r="U27" i="55"/>
  <c r="U29" i="55"/>
  <c r="W31" i="55"/>
  <c r="X31" i="55" s="1"/>
  <c r="U41" i="55"/>
  <c r="W43" i="55"/>
  <c r="X43" i="55" s="1"/>
  <c r="U28" i="55"/>
  <c r="W30" i="55"/>
  <c r="X30" i="55" s="1"/>
  <c r="U40" i="55"/>
  <c r="W42" i="55"/>
  <c r="X42" i="55" s="1"/>
  <c r="U13" i="55"/>
  <c r="U5" i="55"/>
  <c r="W16" i="55"/>
  <c r="X16" i="55" s="1"/>
  <c r="W20" i="55"/>
  <c r="W24" i="55"/>
  <c r="AJ8" i="54"/>
  <c r="AL8" i="54"/>
  <c r="AJ20" i="54"/>
  <c r="AL20" i="54"/>
  <c r="AJ13" i="54"/>
  <c r="AL13" i="54"/>
  <c r="AL22" i="54"/>
  <c r="AL15" i="54"/>
  <c r="AJ15" i="54"/>
  <c r="AL24" i="54"/>
  <c r="AJ24" i="54"/>
  <c r="AJ12" i="54"/>
  <c r="AJ19" i="54"/>
  <c r="AL21" i="54"/>
  <c r="AJ21" i="54"/>
  <c r="AL9" i="54"/>
  <c r="AJ18" i="54"/>
  <c r="AL18" i="54"/>
  <c r="AL17" i="54"/>
  <c r="AJ17" i="54"/>
  <c r="W18" i="54"/>
  <c r="AH23" i="54"/>
  <c r="AI23" i="54" s="1"/>
  <c r="AL23" i="54" s="1"/>
  <c r="AJ9" i="54"/>
  <c r="AN11" i="54"/>
  <c r="AJ14" i="54"/>
  <c r="AJ22" i="54"/>
  <c r="AH10" i="54"/>
  <c r="AI10" i="54" s="1"/>
  <c r="AL10" i="54" s="1"/>
  <c r="AN18" i="54"/>
  <c r="AM21" i="54"/>
  <c r="AN12" i="54"/>
  <c r="W13" i="54"/>
  <c r="X13" i="54" s="1"/>
  <c r="AJ16" i="54"/>
  <c r="AD20" i="54"/>
  <c r="AD13" i="54"/>
  <c r="AE20" i="54"/>
  <c r="AD21" i="54"/>
  <c r="AE13" i="54"/>
  <c r="AN15" i="54"/>
  <c r="AD9" i="54"/>
  <c r="U10" i="54"/>
  <c r="AJ11" i="54"/>
  <c r="AD14" i="54"/>
  <c r="AN14" i="54" s="1"/>
  <c r="AD22" i="54"/>
  <c r="AN22" i="54" s="1"/>
  <c r="AD23" i="54"/>
  <c r="U11" i="54"/>
  <c r="W6" i="54"/>
  <c r="U7" i="54"/>
  <c r="W14" i="54"/>
  <c r="U22" i="54"/>
  <c r="W7" i="54"/>
  <c r="U8" i="54"/>
  <c r="U19" i="54"/>
  <c r="W22" i="54"/>
  <c r="U12" i="54"/>
  <c r="W15" i="54"/>
  <c r="X15" i="54" s="1"/>
  <c r="U23" i="54"/>
  <c r="W8" i="54"/>
  <c r="X8" i="54" s="1"/>
  <c r="U9" i="54"/>
  <c r="W19" i="54"/>
  <c r="W12" i="54"/>
  <c r="U16" i="54"/>
  <c r="U20" i="54"/>
  <c r="U26" i="54"/>
  <c r="W28" i="54"/>
  <c r="X28" i="54" s="1"/>
  <c r="U38" i="54"/>
  <c r="W40" i="54"/>
  <c r="X40" i="54" s="1"/>
  <c r="W30" i="54"/>
  <c r="X30" i="54" s="1"/>
  <c r="U25" i="54"/>
  <c r="W27" i="54"/>
  <c r="X27" i="54" s="1"/>
  <c r="U37" i="54"/>
  <c r="W39" i="54"/>
  <c r="X39" i="54" s="1"/>
  <c r="W26" i="54"/>
  <c r="X26" i="54" s="1"/>
  <c r="U36" i="54"/>
  <c r="W38" i="54"/>
  <c r="X38" i="54" s="1"/>
  <c r="W25" i="54"/>
  <c r="X25" i="54" s="1"/>
  <c r="U35" i="54"/>
  <c r="W37" i="54"/>
  <c r="X37" i="54" s="1"/>
  <c r="U40" i="54"/>
  <c r="U34" i="54"/>
  <c r="W36" i="54"/>
  <c r="X36" i="54" s="1"/>
  <c r="U28" i="54"/>
  <c r="U33" i="54"/>
  <c r="W35" i="54"/>
  <c r="X35" i="54" s="1"/>
  <c r="U32" i="54"/>
  <c r="W34" i="54"/>
  <c r="X34" i="54" s="1"/>
  <c r="U44" i="54"/>
  <c r="W42" i="54"/>
  <c r="X42" i="54" s="1"/>
  <c r="U31" i="54"/>
  <c r="W33" i="54"/>
  <c r="X33" i="54" s="1"/>
  <c r="U43" i="54"/>
  <c r="U30" i="54"/>
  <c r="W32" i="54"/>
  <c r="X32" i="54" s="1"/>
  <c r="U42" i="54"/>
  <c r="W44" i="54"/>
  <c r="X44" i="54" s="1"/>
  <c r="U29" i="54"/>
  <c r="W31" i="54"/>
  <c r="X31" i="54" s="1"/>
  <c r="U41" i="54"/>
  <c r="W43" i="54"/>
  <c r="X43" i="54" s="1"/>
  <c r="U27" i="54"/>
  <c r="W29" i="54"/>
  <c r="X29" i="54" s="1"/>
  <c r="U39" i="54"/>
  <c r="W41" i="54"/>
  <c r="X41" i="54" s="1"/>
  <c r="U13" i="54"/>
  <c r="U24" i="54"/>
  <c r="U5" i="54"/>
  <c r="W16" i="54"/>
  <c r="W20" i="54"/>
  <c r="X20" i="54" s="1"/>
  <c r="U17" i="54"/>
  <c r="U21" i="54"/>
  <c r="W24" i="54"/>
  <c r="W5" i="54"/>
  <c r="U6" i="54"/>
  <c r="W10" i="54"/>
  <c r="U14" i="54"/>
  <c r="W17" i="54"/>
  <c r="X17" i="54" s="1"/>
  <c r="W21" i="54"/>
  <c r="AL7" i="73"/>
  <c r="AL9" i="73"/>
  <c r="AJ9" i="73"/>
  <c r="AJ8" i="73"/>
  <c r="AL8" i="73"/>
  <c r="AN6" i="73"/>
  <c r="W7" i="73"/>
  <c r="U8" i="73"/>
  <c r="U19" i="73"/>
  <c r="U23" i="73"/>
  <c r="U12" i="73"/>
  <c r="W15" i="73"/>
  <c r="W8" i="73"/>
  <c r="U9" i="73"/>
  <c r="W19" i="73"/>
  <c r="X19" i="73" s="1"/>
  <c r="W23" i="73"/>
  <c r="J34" i="67"/>
  <c r="W12" i="73"/>
  <c r="U16" i="73"/>
  <c r="U20" i="73"/>
  <c r="U24" i="73"/>
  <c r="AD8" i="73"/>
  <c r="AN8" i="73" s="1"/>
  <c r="U13" i="73"/>
  <c r="P22" i="67"/>
  <c r="U5" i="73"/>
  <c r="A16" i="73" s="1"/>
  <c r="AJ6" i="73"/>
  <c r="W16" i="73"/>
  <c r="X16" i="73" s="1"/>
  <c r="W20" i="73"/>
  <c r="W24" i="73"/>
  <c r="AD9" i="73"/>
  <c r="AN9" i="73" s="1"/>
  <c r="U10" i="73"/>
  <c r="W13" i="73"/>
  <c r="U17" i="73"/>
  <c r="U21" i="73"/>
  <c r="W5" i="73"/>
  <c r="AJ7" i="73"/>
  <c r="AE9" i="73"/>
  <c r="U6" i="73"/>
  <c r="W10" i="73"/>
  <c r="X10" i="73" s="1"/>
  <c r="U14" i="73"/>
  <c r="W17" i="73"/>
  <c r="W21" i="73"/>
  <c r="X21" i="73" s="1"/>
  <c r="U11" i="73"/>
  <c r="U18" i="73"/>
  <c r="U22" i="73"/>
  <c r="W6" i="73"/>
  <c r="U7" i="73"/>
  <c r="AL34" i="53"/>
  <c r="AJ34" i="53"/>
  <c r="AL33" i="53"/>
  <c r="AJ50" i="53"/>
  <c r="AL50" i="53"/>
  <c r="AL42" i="53"/>
  <c r="AJ42" i="53"/>
  <c r="AL47" i="53"/>
  <c r="AJ47" i="53"/>
  <c r="AL36" i="53"/>
  <c r="AL39" i="53"/>
  <c r="AJ39" i="53"/>
  <c r="AL40" i="53"/>
  <c r="AJ40" i="53"/>
  <c r="AL32" i="53"/>
  <c r="AJ32" i="53"/>
  <c r="AL53" i="53"/>
  <c r="AJ53" i="53"/>
  <c r="AL38" i="53"/>
  <c r="AJ38" i="53"/>
  <c r="AJ49" i="53"/>
  <c r="AL49" i="53"/>
  <c r="AL55" i="53"/>
  <c r="AJ55" i="53"/>
  <c r="AL37" i="53"/>
  <c r="AJ37" i="53"/>
  <c r="H23" i="67"/>
  <c r="W20" i="53"/>
  <c r="W27" i="53"/>
  <c r="AJ30" i="53"/>
  <c r="AE32" i="53"/>
  <c r="U35" i="53"/>
  <c r="AL35" i="53"/>
  <c r="AJ36" i="53"/>
  <c r="AJ43" i="53"/>
  <c r="AH44" i="53"/>
  <c r="AI44" i="53" s="1"/>
  <c r="AL44" i="53" s="1"/>
  <c r="AH51" i="53"/>
  <c r="AI51" i="53" s="1"/>
  <c r="AJ51" i="53" s="1"/>
  <c r="W9" i="53"/>
  <c r="W48" i="53"/>
  <c r="X48" i="53" s="1"/>
  <c r="AM49" i="53"/>
  <c r="W55" i="53"/>
  <c r="W28" i="53"/>
  <c r="AE34" i="53"/>
  <c r="W35" i="53"/>
  <c r="AE40" i="53"/>
  <c r="AN41" i="53"/>
  <c r="U43" i="53"/>
  <c r="AH46" i="53"/>
  <c r="AI46" i="53" s="1"/>
  <c r="AL46" i="53" s="1"/>
  <c r="AM50" i="53"/>
  <c r="U10" i="53"/>
  <c r="W15" i="53"/>
  <c r="U23" i="53"/>
  <c r="AM30" i="53"/>
  <c r="AM43" i="53"/>
  <c r="W36" i="53"/>
  <c r="AM37" i="53"/>
  <c r="W43" i="53"/>
  <c r="AD49" i="53"/>
  <c r="U51" i="53"/>
  <c r="AJ52" i="53"/>
  <c r="U5" i="53"/>
  <c r="W16" i="53"/>
  <c r="W23" i="53"/>
  <c r="X23" i="53" s="1"/>
  <c r="U31" i="53"/>
  <c r="AM44" i="53"/>
  <c r="AE49" i="53"/>
  <c r="AD50" i="53"/>
  <c r="W11" i="53"/>
  <c r="AD30" i="53"/>
  <c r="AM31" i="53"/>
  <c r="AJ33" i="53"/>
  <c r="AH41" i="53"/>
  <c r="AI41" i="53" s="1"/>
  <c r="AL41" i="53" s="1"/>
  <c r="AD43" i="53"/>
  <c r="W44" i="53"/>
  <c r="W51" i="53"/>
  <c r="X51" i="53" s="1"/>
  <c r="AJ54" i="53"/>
  <c r="W5" i="53"/>
  <c r="W24" i="53"/>
  <c r="AE30" i="53"/>
  <c r="W31" i="53"/>
  <c r="AD37" i="53"/>
  <c r="U39" i="53"/>
  <c r="AE43" i="53"/>
  <c r="U12" i="53"/>
  <c r="U19" i="53"/>
  <c r="AM32" i="53"/>
  <c r="AE37" i="53"/>
  <c r="AD44" i="53"/>
  <c r="AD51" i="53"/>
  <c r="W52" i="53"/>
  <c r="W7" i="53"/>
  <c r="U8" i="53"/>
  <c r="AD31" i="53"/>
  <c r="AN31" i="53" s="1"/>
  <c r="W32" i="53"/>
  <c r="W39" i="53"/>
  <c r="AN45" i="53"/>
  <c r="U47" i="53"/>
  <c r="J22" i="67"/>
  <c r="W19" i="53"/>
  <c r="X19" i="53" s="1"/>
  <c r="U27" i="53"/>
  <c r="AD46" i="53"/>
  <c r="W8" i="53"/>
  <c r="U9" i="53"/>
  <c r="W13" i="53"/>
  <c r="W40" i="53"/>
  <c r="W47" i="53"/>
  <c r="U55" i="53"/>
  <c r="W12" i="53"/>
  <c r="U16" i="53"/>
  <c r="U20" i="53"/>
  <c r="U24" i="53"/>
  <c r="U28" i="53"/>
  <c r="U32" i="53"/>
  <c r="U36" i="53"/>
  <c r="U40" i="53"/>
  <c r="U44" i="53"/>
  <c r="U48" i="53"/>
  <c r="U57" i="53"/>
  <c r="W59" i="53"/>
  <c r="X59" i="53" s="1"/>
  <c r="U69" i="53"/>
  <c r="W71" i="53"/>
  <c r="X71" i="53" s="1"/>
  <c r="U81" i="53"/>
  <c r="W83" i="53"/>
  <c r="X83" i="53" s="1"/>
  <c r="U93" i="53"/>
  <c r="W72" i="53"/>
  <c r="X72" i="53" s="1"/>
  <c r="U56" i="53"/>
  <c r="W58" i="53"/>
  <c r="X58" i="53" s="1"/>
  <c r="U68" i="53"/>
  <c r="W70" i="53"/>
  <c r="X70" i="53" s="1"/>
  <c r="U80" i="53"/>
  <c r="W82" i="53"/>
  <c r="X82" i="53" s="1"/>
  <c r="U92" i="53"/>
  <c r="W57" i="53"/>
  <c r="X57" i="53" s="1"/>
  <c r="U67" i="53"/>
  <c r="W69" i="53"/>
  <c r="X69" i="53" s="1"/>
  <c r="U79" i="53"/>
  <c r="W81" i="53"/>
  <c r="X81" i="53" s="1"/>
  <c r="U91" i="53"/>
  <c r="W93" i="53"/>
  <c r="X93" i="53" s="1"/>
  <c r="U70" i="53"/>
  <c r="W56" i="53"/>
  <c r="X56" i="53" s="1"/>
  <c r="U66" i="53"/>
  <c r="W68" i="53"/>
  <c r="X68" i="53" s="1"/>
  <c r="U78" i="53"/>
  <c r="W80" i="53"/>
  <c r="X80" i="53" s="1"/>
  <c r="U90" i="53"/>
  <c r="W92" i="53"/>
  <c r="X92" i="53" s="1"/>
  <c r="U65" i="53"/>
  <c r="W67" i="53"/>
  <c r="X67" i="53" s="1"/>
  <c r="U77" i="53"/>
  <c r="W79" i="53"/>
  <c r="X79" i="53" s="1"/>
  <c r="U89" i="53"/>
  <c r="W91" i="53"/>
  <c r="X91" i="53" s="1"/>
  <c r="U64" i="53"/>
  <c r="W66" i="53"/>
  <c r="X66" i="53" s="1"/>
  <c r="U76" i="53"/>
  <c r="W78" i="53"/>
  <c r="X78" i="53" s="1"/>
  <c r="U88" i="53"/>
  <c r="W90" i="53"/>
  <c r="X90" i="53" s="1"/>
  <c r="W60" i="53"/>
  <c r="X60" i="53" s="1"/>
  <c r="U82" i="53"/>
  <c r="U63" i="53"/>
  <c r="W65" i="53"/>
  <c r="X65" i="53" s="1"/>
  <c r="U75" i="53"/>
  <c r="W77" i="53"/>
  <c r="X77" i="53" s="1"/>
  <c r="U87" i="53"/>
  <c r="W89" i="53"/>
  <c r="X89" i="53" s="1"/>
  <c r="U62" i="53"/>
  <c r="W64" i="53"/>
  <c r="X64" i="53" s="1"/>
  <c r="U74" i="53"/>
  <c r="W76" i="53"/>
  <c r="X76" i="53" s="1"/>
  <c r="U86" i="53"/>
  <c r="W88" i="53"/>
  <c r="X88" i="53" s="1"/>
  <c r="U58" i="53"/>
  <c r="U61" i="53"/>
  <c r="W63" i="53"/>
  <c r="X63" i="53" s="1"/>
  <c r="U73" i="53"/>
  <c r="W75" i="53"/>
  <c r="X75" i="53" s="1"/>
  <c r="U85" i="53"/>
  <c r="W87" i="53"/>
  <c r="X87" i="53" s="1"/>
  <c r="U60" i="53"/>
  <c r="W62" i="53"/>
  <c r="X62" i="53" s="1"/>
  <c r="U72" i="53"/>
  <c r="W74" i="53"/>
  <c r="X74" i="53" s="1"/>
  <c r="U84" i="53"/>
  <c r="W86" i="53"/>
  <c r="X86" i="53" s="1"/>
  <c r="U59" i="53"/>
  <c r="W61" i="53"/>
  <c r="X61" i="53" s="1"/>
  <c r="U71" i="53"/>
  <c r="W73" i="53"/>
  <c r="X73" i="53" s="1"/>
  <c r="U83" i="53"/>
  <c r="W85" i="53"/>
  <c r="X85" i="53" s="1"/>
  <c r="W84" i="53"/>
  <c r="X84" i="53" s="1"/>
  <c r="U13" i="53"/>
  <c r="L22" i="67"/>
  <c r="U17" i="53"/>
  <c r="U21" i="53"/>
  <c r="U25" i="53"/>
  <c r="U29" i="53"/>
  <c r="U33" i="53"/>
  <c r="U37" i="53"/>
  <c r="U41" i="53"/>
  <c r="U45" i="53"/>
  <c r="U49" i="53"/>
  <c r="U53" i="53"/>
  <c r="P34" i="67"/>
  <c r="U6" i="53"/>
  <c r="W10" i="53"/>
  <c r="U14" i="53"/>
  <c r="W17" i="53"/>
  <c r="W21" i="53"/>
  <c r="W25" i="53"/>
  <c r="W29" i="53"/>
  <c r="X29" i="53" s="1"/>
  <c r="W33" i="53"/>
  <c r="W37" i="53"/>
  <c r="W41" i="53"/>
  <c r="W45" i="53"/>
  <c r="W49" i="53"/>
  <c r="W53" i="53"/>
  <c r="X53" i="53" s="1"/>
  <c r="U11" i="53"/>
  <c r="U18" i="53"/>
  <c r="U22" i="53"/>
  <c r="U26" i="53"/>
  <c r="U30" i="53"/>
  <c r="U34" i="53"/>
  <c r="U38" i="53"/>
  <c r="U42" i="53"/>
  <c r="U46" i="53"/>
  <c r="U50" i="53"/>
  <c r="U54" i="53"/>
  <c r="W6" i="53"/>
  <c r="X6" i="53" s="1"/>
  <c r="U7" i="53"/>
  <c r="W14" i="53"/>
  <c r="U15" i="53"/>
  <c r="W18" i="53"/>
  <c r="W22" i="53"/>
  <c r="W26" i="53"/>
  <c r="W30" i="53"/>
  <c r="W34" i="53"/>
  <c r="W38" i="53"/>
  <c r="W42" i="53"/>
  <c r="W46" i="53"/>
  <c r="W50" i="53"/>
  <c r="X50" i="53" s="1"/>
  <c r="W54" i="53"/>
  <c r="AL19" i="52"/>
  <c r="AJ19" i="52"/>
  <c r="AL10" i="52"/>
  <c r="AJ10" i="52"/>
  <c r="AJ13" i="52"/>
  <c r="AL13" i="52"/>
  <c r="AL16" i="52"/>
  <c r="AJ16" i="52"/>
  <c r="AL15" i="52"/>
  <c r="AJ15" i="52"/>
  <c r="AJ20" i="52"/>
  <c r="AL20" i="52"/>
  <c r="AL12" i="52"/>
  <c r="AJ12" i="52"/>
  <c r="AL17" i="52"/>
  <c r="AJ17" i="52"/>
  <c r="AL11" i="52"/>
  <c r="U13" i="52"/>
  <c r="U20" i="52"/>
  <c r="U24" i="52"/>
  <c r="AN9" i="52"/>
  <c r="U10" i="52"/>
  <c r="W13" i="52"/>
  <c r="X13" i="52" s="1"/>
  <c r="U17" i="52"/>
  <c r="W20" i="52"/>
  <c r="W24" i="52"/>
  <c r="W5" i="52"/>
  <c r="AJ11" i="52"/>
  <c r="AM17" i="52"/>
  <c r="U21" i="52"/>
  <c r="U6" i="52"/>
  <c r="W10" i="52"/>
  <c r="AD13" i="52"/>
  <c r="U14" i="52"/>
  <c r="AE16" i="52"/>
  <c r="W17" i="52"/>
  <c r="AJ18" i="52"/>
  <c r="AD20" i="52"/>
  <c r="U11" i="52"/>
  <c r="AE13" i="52"/>
  <c r="AM14" i="52"/>
  <c r="S19" i="67" s="1"/>
  <c r="AE20" i="52"/>
  <c r="W21" i="52"/>
  <c r="W6" i="52"/>
  <c r="U7" i="52"/>
  <c r="AD10" i="52"/>
  <c r="W14" i="52"/>
  <c r="X14" i="52" s="1"/>
  <c r="AD17" i="52"/>
  <c r="U18" i="52"/>
  <c r="U22" i="52"/>
  <c r="AE10" i="52"/>
  <c r="W11" i="52"/>
  <c r="U15" i="52"/>
  <c r="AE17" i="52"/>
  <c r="W7" i="52"/>
  <c r="U8" i="52"/>
  <c r="AD14" i="52"/>
  <c r="W18" i="52"/>
  <c r="W22" i="52"/>
  <c r="X22" i="52" s="1"/>
  <c r="U12" i="52"/>
  <c r="W15" i="52"/>
  <c r="U19" i="52"/>
  <c r="U23" i="52"/>
  <c r="W8" i="52"/>
  <c r="U9" i="52"/>
  <c r="W12" i="52"/>
  <c r="U16" i="52"/>
  <c r="W19" i="52"/>
  <c r="AL23" i="51"/>
  <c r="AJ23" i="51"/>
  <c r="AL16" i="51"/>
  <c r="AJ16" i="51"/>
  <c r="AL18" i="51"/>
  <c r="AJ18" i="51"/>
  <c r="AL24" i="51"/>
  <c r="AJ24" i="51"/>
  <c r="AJ17" i="51"/>
  <c r="AL17" i="51"/>
  <c r="AJ19" i="51"/>
  <c r="AL19" i="51"/>
  <c r="AH20" i="51"/>
  <c r="AI20" i="51" s="1"/>
  <c r="AJ20" i="51" s="1"/>
  <c r="AE22" i="51"/>
  <c r="AD23" i="51"/>
  <c r="AN23" i="51" s="1"/>
  <c r="U10" i="51"/>
  <c r="AD16" i="51"/>
  <c r="AH22" i="51"/>
  <c r="AI22" i="51" s="1"/>
  <c r="AL22" i="51" s="1"/>
  <c r="AM19" i="51"/>
  <c r="AN19" i="51" s="1"/>
  <c r="AJ21" i="51"/>
  <c r="AD17" i="51"/>
  <c r="AM20" i="51"/>
  <c r="AE17" i="51"/>
  <c r="AD18" i="51"/>
  <c r="U21" i="51"/>
  <c r="AM17" i="51"/>
  <c r="AD20" i="51"/>
  <c r="W13" i="51"/>
  <c r="U17" i="51"/>
  <c r="H18" i="67"/>
  <c r="AD21" i="51"/>
  <c r="W9" i="51"/>
  <c r="W5" i="51"/>
  <c r="U6" i="51"/>
  <c r="W10" i="51"/>
  <c r="U14" i="51"/>
  <c r="W17" i="51"/>
  <c r="W21" i="51"/>
  <c r="U11" i="51"/>
  <c r="U18" i="51"/>
  <c r="U22" i="51"/>
  <c r="W6" i="51"/>
  <c r="U7" i="51"/>
  <c r="W14" i="51"/>
  <c r="X14" i="51" s="1"/>
  <c r="W11" i="51"/>
  <c r="U15" i="51"/>
  <c r="W18" i="51"/>
  <c r="W22" i="51"/>
  <c r="W7" i="51"/>
  <c r="U8" i="51"/>
  <c r="U19" i="51"/>
  <c r="U23" i="51"/>
  <c r="U12" i="51"/>
  <c r="W15" i="51"/>
  <c r="W8" i="51"/>
  <c r="X8" i="51" s="1"/>
  <c r="U9" i="51"/>
  <c r="W19" i="51"/>
  <c r="W23" i="51"/>
  <c r="W12" i="51"/>
  <c r="U16" i="51"/>
  <c r="U20" i="51"/>
  <c r="U26" i="51"/>
  <c r="W28" i="51"/>
  <c r="X28" i="51" s="1"/>
  <c r="U38" i="51"/>
  <c r="W40" i="51"/>
  <c r="X40" i="51" s="1"/>
  <c r="U50" i="51"/>
  <c r="W52" i="51"/>
  <c r="X52" i="51" s="1"/>
  <c r="U25" i="51"/>
  <c r="W27" i="51"/>
  <c r="X27" i="51" s="1"/>
  <c r="U37" i="51"/>
  <c r="W39" i="51"/>
  <c r="X39" i="51" s="1"/>
  <c r="U49" i="51"/>
  <c r="W51" i="51"/>
  <c r="X51" i="51" s="1"/>
  <c r="W26" i="51"/>
  <c r="X26" i="51" s="1"/>
  <c r="U36" i="51"/>
  <c r="W38" i="51"/>
  <c r="X38" i="51" s="1"/>
  <c r="U48" i="51"/>
  <c r="W50" i="51"/>
  <c r="X50" i="51" s="1"/>
  <c r="W25" i="51"/>
  <c r="X25" i="51" s="1"/>
  <c r="U35" i="51"/>
  <c r="W37" i="51"/>
  <c r="X37" i="51" s="1"/>
  <c r="U47" i="51"/>
  <c r="W49" i="51"/>
  <c r="X49" i="51" s="1"/>
  <c r="U59" i="51"/>
  <c r="W61" i="51"/>
  <c r="X61" i="51" s="1"/>
  <c r="U71" i="51"/>
  <c r="W73" i="51"/>
  <c r="X73" i="51" s="1"/>
  <c r="U83" i="51"/>
  <c r="U34" i="51"/>
  <c r="W36" i="51"/>
  <c r="X36" i="51" s="1"/>
  <c r="U46" i="51"/>
  <c r="W48" i="51"/>
  <c r="X48" i="51" s="1"/>
  <c r="U58" i="51"/>
  <c r="W60" i="51"/>
  <c r="X60" i="51" s="1"/>
  <c r="U70" i="51"/>
  <c r="W72" i="51"/>
  <c r="X72" i="51" s="1"/>
  <c r="U82" i="51"/>
  <c r="U33" i="51"/>
  <c r="W35" i="51"/>
  <c r="X35" i="51" s="1"/>
  <c r="U45" i="51"/>
  <c r="W47" i="51"/>
  <c r="X47" i="51" s="1"/>
  <c r="U32" i="51"/>
  <c r="W34" i="51"/>
  <c r="X34" i="51" s="1"/>
  <c r="U44" i="51"/>
  <c r="W46" i="51"/>
  <c r="X46" i="51" s="1"/>
  <c r="U56" i="51"/>
  <c r="U31" i="51"/>
  <c r="W33" i="51"/>
  <c r="X33" i="51" s="1"/>
  <c r="U43" i="51"/>
  <c r="W45" i="51"/>
  <c r="X45" i="51" s="1"/>
  <c r="U55" i="51"/>
  <c r="W57" i="51"/>
  <c r="X57" i="51" s="1"/>
  <c r="U30" i="51"/>
  <c r="W32" i="51"/>
  <c r="X32" i="51" s="1"/>
  <c r="U42" i="51"/>
  <c r="W44" i="51"/>
  <c r="X44" i="51" s="1"/>
  <c r="U54" i="51"/>
  <c r="W56" i="51"/>
  <c r="X56" i="51" s="1"/>
  <c r="U66" i="51"/>
  <c r="W68" i="51"/>
  <c r="X68" i="51" s="1"/>
  <c r="U29" i="51"/>
  <c r="W31" i="51"/>
  <c r="X31" i="51" s="1"/>
  <c r="U41" i="51"/>
  <c r="W43" i="51"/>
  <c r="X43" i="51" s="1"/>
  <c r="U53" i="51"/>
  <c r="W55" i="51"/>
  <c r="X55" i="51" s="1"/>
  <c r="U65" i="51"/>
  <c r="W67" i="51"/>
  <c r="X67" i="51" s="1"/>
  <c r="U77" i="51"/>
  <c r="W79" i="51"/>
  <c r="X79" i="51" s="1"/>
  <c r="U28" i="51"/>
  <c r="W30" i="51"/>
  <c r="X30" i="51" s="1"/>
  <c r="U40" i="51"/>
  <c r="W42" i="51"/>
  <c r="X42" i="51" s="1"/>
  <c r="U52" i="51"/>
  <c r="W29" i="51"/>
  <c r="X29" i="51" s="1"/>
  <c r="U90" i="51"/>
  <c r="W92" i="51"/>
  <c r="X92" i="51" s="1"/>
  <c r="W59" i="51"/>
  <c r="X59" i="51" s="1"/>
  <c r="U63" i="51"/>
  <c r="U67" i="51"/>
  <c r="U76" i="51"/>
  <c r="U89" i="51"/>
  <c r="W91" i="51"/>
  <c r="X91" i="51" s="1"/>
  <c r="U88" i="51"/>
  <c r="W41" i="51"/>
  <c r="X41" i="51" s="1"/>
  <c r="W71" i="51"/>
  <c r="X71" i="51" s="1"/>
  <c r="U74" i="51"/>
  <c r="U80" i="51"/>
  <c r="W90" i="51"/>
  <c r="X90" i="51" s="1"/>
  <c r="U57" i="51"/>
  <c r="W63" i="51"/>
  <c r="X63" i="51" s="1"/>
  <c r="W76" i="51"/>
  <c r="X76" i="51" s="1"/>
  <c r="U78" i="51"/>
  <c r="W83" i="51"/>
  <c r="X83" i="51" s="1"/>
  <c r="U87" i="51"/>
  <c r="W89" i="51"/>
  <c r="X89" i="51" s="1"/>
  <c r="U27" i="51"/>
  <c r="U60" i="51"/>
  <c r="W65" i="51"/>
  <c r="X65" i="51" s="1"/>
  <c r="W74" i="51"/>
  <c r="X74" i="51" s="1"/>
  <c r="W80" i="51"/>
  <c r="X80" i="51" s="1"/>
  <c r="U86" i="51"/>
  <c r="W88" i="51"/>
  <c r="X88" i="51" s="1"/>
  <c r="W53" i="51"/>
  <c r="X53" i="51" s="1"/>
  <c r="U68" i="51"/>
  <c r="W78" i="51"/>
  <c r="X78" i="51" s="1"/>
  <c r="U85" i="51"/>
  <c r="W87" i="51"/>
  <c r="X87" i="51" s="1"/>
  <c r="U39" i="51"/>
  <c r="W54" i="51"/>
  <c r="X54" i="51" s="1"/>
  <c r="W70" i="51"/>
  <c r="X70" i="51" s="1"/>
  <c r="U72" i="51"/>
  <c r="W86" i="51"/>
  <c r="X86" i="51" s="1"/>
  <c r="W77" i="51"/>
  <c r="X77" i="51" s="1"/>
  <c r="W81" i="51"/>
  <c r="X81" i="51" s="1"/>
  <c r="U92" i="51"/>
  <c r="U61" i="51"/>
  <c r="U64" i="51"/>
  <c r="U75" i="51"/>
  <c r="W82" i="51"/>
  <c r="X82" i="51" s="1"/>
  <c r="W85" i="51"/>
  <c r="X85" i="51" s="1"/>
  <c r="U51" i="51"/>
  <c r="W58" i="51"/>
  <c r="X58" i="51" s="1"/>
  <c r="U81" i="51"/>
  <c r="U62" i="51"/>
  <c r="W64" i="51"/>
  <c r="X64" i="51" s="1"/>
  <c r="U69" i="51"/>
  <c r="W75" i="51"/>
  <c r="X75" i="51" s="1"/>
  <c r="U79" i="51"/>
  <c r="U84" i="51"/>
  <c r="U93" i="51"/>
  <c r="W66" i="51"/>
  <c r="X66" i="51" s="1"/>
  <c r="W62" i="51"/>
  <c r="X62" i="51" s="1"/>
  <c r="W69" i="51"/>
  <c r="X69" i="51" s="1"/>
  <c r="U73" i="51"/>
  <c r="W84" i="51"/>
  <c r="X84" i="51" s="1"/>
  <c r="U91" i="51"/>
  <c r="W93" i="51"/>
  <c r="X93" i="51" s="1"/>
  <c r="U13" i="51"/>
  <c r="U5" i="51"/>
  <c r="W16" i="51"/>
  <c r="W20" i="51"/>
  <c r="W24" i="51"/>
  <c r="AJ8" i="49"/>
  <c r="AL8" i="49"/>
  <c r="AE10" i="49"/>
  <c r="U15" i="49"/>
  <c r="W18" i="49"/>
  <c r="W22" i="49"/>
  <c r="AJ9" i="49"/>
  <c r="U19" i="49"/>
  <c r="U23" i="49"/>
  <c r="AD7" i="49"/>
  <c r="W8" i="49"/>
  <c r="X8" i="49" s="1"/>
  <c r="U9" i="49"/>
  <c r="AH10" i="49"/>
  <c r="AI10" i="49" s="1"/>
  <c r="AJ10" i="49" s="1"/>
  <c r="W19" i="49"/>
  <c r="W23" i="49"/>
  <c r="AM9" i="49"/>
  <c r="S17" i="67" s="1"/>
  <c r="W12" i="49"/>
  <c r="U16" i="49"/>
  <c r="U20" i="49"/>
  <c r="U24" i="49"/>
  <c r="U13" i="49"/>
  <c r="AH7" i="49"/>
  <c r="AI7" i="49" s="1"/>
  <c r="AL7" i="49" s="1"/>
  <c r="W16" i="49"/>
  <c r="X16" i="49" s="1"/>
  <c r="W20" i="49"/>
  <c r="W24" i="49"/>
  <c r="AD9" i="49"/>
  <c r="U10" i="49"/>
  <c r="W13" i="49"/>
  <c r="U17" i="49"/>
  <c r="U21" i="49"/>
  <c r="AE9" i="49"/>
  <c r="AM10" i="49"/>
  <c r="W10" i="49"/>
  <c r="U14" i="49"/>
  <c r="W17" i="49"/>
  <c r="X17" i="49" s="1"/>
  <c r="W21" i="49"/>
  <c r="AH7" i="16"/>
  <c r="AI7" i="16" s="1"/>
  <c r="AJ7" i="16" s="1"/>
  <c r="U22" i="16"/>
  <c r="A14" i="16"/>
  <c r="U7" i="16"/>
  <c r="U18" i="16"/>
  <c r="W5" i="16"/>
  <c r="AL7" i="47"/>
  <c r="AJ7" i="47"/>
  <c r="AL8" i="47"/>
  <c r="U8" i="47"/>
  <c r="AM8" i="47"/>
  <c r="S15" i="67" s="1"/>
  <c r="U19" i="47"/>
  <c r="U23" i="47"/>
  <c r="U27" i="47"/>
  <c r="U31" i="47"/>
  <c r="U35" i="47"/>
  <c r="U39" i="47"/>
  <c r="U43" i="47"/>
  <c r="U47" i="47"/>
  <c r="U51" i="47"/>
  <c r="U55" i="47"/>
  <c r="U59" i="47"/>
  <c r="U63" i="47"/>
  <c r="W66" i="47"/>
  <c r="X66" i="47" s="1"/>
  <c r="AN7" i="47"/>
  <c r="W8" i="47"/>
  <c r="X8" i="47" s="1"/>
  <c r="U9" i="47"/>
  <c r="W19" i="47"/>
  <c r="W23" i="47"/>
  <c r="W27" i="47"/>
  <c r="W31" i="47"/>
  <c r="W35" i="47"/>
  <c r="W39" i="47"/>
  <c r="W43" i="47"/>
  <c r="W47" i="47"/>
  <c r="W51" i="47"/>
  <c r="X51" i="47" s="1"/>
  <c r="W55" i="47"/>
  <c r="X55" i="47" s="1"/>
  <c r="W59" i="47"/>
  <c r="X59" i="47" s="1"/>
  <c r="W63" i="47"/>
  <c r="AD8" i="47"/>
  <c r="U13" i="47"/>
  <c r="W16" i="47"/>
  <c r="W20" i="47"/>
  <c r="W24" i="47"/>
  <c r="W28" i="47"/>
  <c r="W32" i="47"/>
  <c r="W36" i="47"/>
  <c r="W40" i="47"/>
  <c r="X40" i="47" s="1"/>
  <c r="W44" i="47"/>
  <c r="X44" i="47" s="1"/>
  <c r="W48" i="47"/>
  <c r="X48" i="47" s="1"/>
  <c r="W52" i="47"/>
  <c r="W56" i="47"/>
  <c r="W60" i="47"/>
  <c r="W64" i="47"/>
  <c r="W5" i="47"/>
  <c r="U65" i="47"/>
  <c r="AJ8" i="47"/>
  <c r="U11" i="47"/>
  <c r="U18" i="47"/>
  <c r="U22" i="47"/>
  <c r="U26" i="47"/>
  <c r="U30" i="47"/>
  <c r="U34" i="47"/>
  <c r="U38" i="47"/>
  <c r="U42" i="47"/>
  <c r="U46" i="47"/>
  <c r="U50" i="47"/>
  <c r="U54" i="47"/>
  <c r="U58" i="47"/>
  <c r="U62" i="47"/>
  <c r="W65" i="47"/>
  <c r="W14" i="47"/>
  <c r="X14" i="47" s="1"/>
  <c r="U66" i="47"/>
  <c r="U15" i="47"/>
  <c r="W18" i="47"/>
  <c r="W22" i="47"/>
  <c r="W26" i="47"/>
  <c r="W30" i="47"/>
  <c r="W34" i="47"/>
  <c r="W38" i="47"/>
  <c r="W42" i="47"/>
  <c r="W46" i="47"/>
  <c r="W50" i="47"/>
  <c r="W54" i="47"/>
  <c r="X54" i="47" s="1"/>
  <c r="W58" i="47"/>
  <c r="X58" i="47" s="1"/>
  <c r="AE49" i="46"/>
  <c r="AL51" i="46"/>
  <c r="AH56" i="46"/>
  <c r="AI56" i="46" s="1"/>
  <c r="AD67" i="46"/>
  <c r="AH67" i="46"/>
  <c r="AI67" i="46" s="1"/>
  <c r="AL67" i="46" s="1"/>
  <c r="AE75" i="46"/>
  <c r="AH53" i="46"/>
  <c r="AI53" i="46" s="1"/>
  <c r="AJ53" i="46" s="1"/>
  <c r="AE60" i="46"/>
  <c r="AD77" i="46"/>
  <c r="AN77" i="46" s="1"/>
  <c r="AJ60" i="46"/>
  <c r="AD66" i="46"/>
  <c r="AH64" i="46"/>
  <c r="AI64" i="46" s="1"/>
  <c r="AJ64" i="46" s="1"/>
  <c r="AE66" i="46"/>
  <c r="AE72" i="46"/>
  <c r="AN72" i="46" s="1"/>
  <c r="AE47" i="46"/>
  <c r="AD59" i="46"/>
  <c r="W51" i="46"/>
  <c r="U210" i="46"/>
  <c r="W212" i="46"/>
  <c r="X212" i="46" s="1"/>
  <c r="U209" i="46"/>
  <c r="W211" i="46"/>
  <c r="X211" i="46" s="1"/>
  <c r="W214" i="46"/>
  <c r="X214" i="46" s="1"/>
  <c r="W210" i="46"/>
  <c r="X210" i="46" s="1"/>
  <c r="W209" i="46"/>
  <c r="X209" i="46" s="1"/>
  <c r="U212" i="46"/>
  <c r="U215" i="46"/>
  <c r="U214" i="46"/>
  <c r="U213" i="46"/>
  <c r="W215" i="46"/>
  <c r="X215" i="46" s="1"/>
  <c r="U211" i="46"/>
  <c r="W213" i="46"/>
  <c r="X213" i="46" s="1"/>
  <c r="AJ72" i="46"/>
  <c r="AL72" i="46"/>
  <c r="AH48" i="46"/>
  <c r="AI48" i="46" s="1"/>
  <c r="AL48" i="46" s="1"/>
  <c r="AD53" i="46"/>
  <c r="AE56" i="46"/>
  <c r="AJ52" i="46"/>
  <c r="AD46" i="46"/>
  <c r="AD61" i="46"/>
  <c r="AE68" i="46"/>
  <c r="AH77" i="46"/>
  <c r="AI77" i="46" s="1"/>
  <c r="AL77" i="46" s="1"/>
  <c r="AE79" i="46"/>
  <c r="AE46" i="46"/>
  <c r="AE58" i="46"/>
  <c r="AL60" i="46"/>
  <c r="AD76" i="46"/>
  <c r="W11" i="46"/>
  <c r="AD70" i="46"/>
  <c r="AE76" i="46"/>
  <c r="A14" i="46"/>
  <c r="AL65" i="46"/>
  <c r="AD48" i="46"/>
  <c r="AD78" i="46"/>
  <c r="AE64" i="46"/>
  <c r="AD69" i="46"/>
  <c r="AH75" i="46"/>
  <c r="AI75" i="46" s="1"/>
  <c r="AL75" i="46" s="1"/>
  <c r="AD80" i="46"/>
  <c r="AL69" i="46"/>
  <c r="AJ69" i="46"/>
  <c r="AL80" i="46"/>
  <c r="AJ80" i="46"/>
  <c r="AJ82" i="46"/>
  <c r="AL82" i="46"/>
  <c r="AL53" i="46"/>
  <c r="AL56" i="46"/>
  <c r="AJ56" i="46"/>
  <c r="AL71" i="46"/>
  <c r="AJ71" i="46"/>
  <c r="AL59" i="46"/>
  <c r="AJ59" i="46"/>
  <c r="AL64" i="46"/>
  <c r="AL50" i="46"/>
  <c r="AJ50" i="46"/>
  <c r="AL74" i="46"/>
  <c r="AL47" i="46"/>
  <c r="AL55" i="46"/>
  <c r="AL61" i="46"/>
  <c r="AJ61" i="46"/>
  <c r="AL46" i="46"/>
  <c r="AJ46" i="46"/>
  <c r="AL52" i="46"/>
  <c r="AL54" i="46"/>
  <c r="AJ54" i="46"/>
  <c r="AJ63" i="46"/>
  <c r="AL63" i="46"/>
  <c r="AL81" i="46"/>
  <c r="AJ81" i="46"/>
  <c r="AL70" i="46"/>
  <c r="AJ70" i="46"/>
  <c r="AJ62" i="46"/>
  <c r="AL62" i="46"/>
  <c r="AJ73" i="46"/>
  <c r="AL73" i="46"/>
  <c r="AL76" i="46"/>
  <c r="AJ67" i="46"/>
  <c r="AJ51" i="46"/>
  <c r="AL57" i="46"/>
  <c r="W30" i="46"/>
  <c r="AJ45" i="46"/>
  <c r="AE50" i="46"/>
  <c r="AD51" i="46"/>
  <c r="AN51" i="46" s="1"/>
  <c r="AJ55" i="46"/>
  <c r="AE59" i="46"/>
  <c r="AN59" i="46" s="1"/>
  <c r="AD60" i="46"/>
  <c r="U62" i="46"/>
  <c r="AJ65" i="46"/>
  <c r="AH66" i="46"/>
  <c r="AI66" i="46" s="1"/>
  <c r="AL66" i="46" s="1"/>
  <c r="AE69" i="46"/>
  <c r="AJ74" i="46"/>
  <c r="AE78" i="46"/>
  <c r="AD79" i="46"/>
  <c r="AM63" i="46"/>
  <c r="U82" i="46"/>
  <c r="W22" i="46"/>
  <c r="X22" i="46" s="1"/>
  <c r="AJ47" i="46"/>
  <c r="AH49" i="46"/>
  <c r="AI49" i="46" s="1"/>
  <c r="AL49" i="46" s="1"/>
  <c r="AD52" i="46"/>
  <c r="U54" i="46"/>
  <c r="AJ57" i="46"/>
  <c r="AH58" i="46"/>
  <c r="AI58" i="46" s="1"/>
  <c r="AL58" i="46" s="1"/>
  <c r="AE61" i="46"/>
  <c r="AN61" i="46" s="1"/>
  <c r="AM64" i="46"/>
  <c r="AH68" i="46"/>
  <c r="AI68" i="46" s="1"/>
  <c r="AJ68" i="46" s="1"/>
  <c r="AE70" i="46"/>
  <c r="AD71" i="46"/>
  <c r="AJ76" i="46"/>
  <c r="AE80" i="46"/>
  <c r="AD81" i="46"/>
  <c r="AE52" i="46"/>
  <c r="AD62" i="46"/>
  <c r="AM65" i="46"/>
  <c r="AE71" i="46"/>
  <c r="U74" i="46"/>
  <c r="AH78" i="46"/>
  <c r="AI78" i="46" s="1"/>
  <c r="AL78" i="46" s="1"/>
  <c r="AE81" i="46"/>
  <c r="W8" i="46"/>
  <c r="U9" i="46"/>
  <c r="U15" i="46"/>
  <c r="AJ49" i="46"/>
  <c r="AE62" i="46"/>
  <c r="AD63" i="46"/>
  <c r="AD73" i="46"/>
  <c r="AH79" i="46"/>
  <c r="AI79" i="46" s="1"/>
  <c r="AJ79" i="46" s="1"/>
  <c r="AD82" i="46"/>
  <c r="AN82" i="46" s="1"/>
  <c r="AD54" i="46"/>
  <c r="AE63" i="46"/>
  <c r="U66" i="46"/>
  <c r="AE73" i="46"/>
  <c r="AE82" i="46"/>
  <c r="AD45" i="46"/>
  <c r="AE54" i="46"/>
  <c r="AD55" i="46"/>
  <c r="AD65" i="46"/>
  <c r="AM67" i="46"/>
  <c r="AD74" i="46"/>
  <c r="W26" i="46"/>
  <c r="AE55" i="46"/>
  <c r="AN56" i="46"/>
  <c r="U58" i="46"/>
  <c r="AE65" i="46"/>
  <c r="AM68" i="46"/>
  <c r="AE74" i="46"/>
  <c r="U78" i="46"/>
  <c r="W18" i="46"/>
  <c r="U70" i="46"/>
  <c r="W6" i="46"/>
  <c r="U7" i="46"/>
  <c r="W14" i="46"/>
  <c r="U34" i="46"/>
  <c r="U38" i="46"/>
  <c r="U42" i="46"/>
  <c r="U46" i="46"/>
  <c r="U50" i="46"/>
  <c r="W53" i="46"/>
  <c r="X53" i="46" s="1"/>
  <c r="W57" i="46"/>
  <c r="W61" i="46"/>
  <c r="W65" i="46"/>
  <c r="X65" i="46" s="1"/>
  <c r="W69" i="46"/>
  <c r="W73" i="46"/>
  <c r="X73" i="46" s="1"/>
  <c r="W77" i="46"/>
  <c r="W81" i="46"/>
  <c r="W7" i="46"/>
  <c r="X7" i="46" s="1"/>
  <c r="U8" i="46"/>
  <c r="U19" i="46"/>
  <c r="U23" i="46"/>
  <c r="U27" i="46"/>
  <c r="U31" i="46"/>
  <c r="W34" i="46"/>
  <c r="W38" i="46"/>
  <c r="X38" i="46" s="1"/>
  <c r="W42" i="46"/>
  <c r="W46" i="46"/>
  <c r="X46" i="46" s="1"/>
  <c r="W50" i="46"/>
  <c r="U12" i="46"/>
  <c r="W15" i="46"/>
  <c r="X15" i="46" s="1"/>
  <c r="U35" i="46"/>
  <c r="U39" i="46"/>
  <c r="U43" i="46"/>
  <c r="U47" i="46"/>
  <c r="U51" i="46"/>
  <c r="W54" i="46"/>
  <c r="W58" i="46"/>
  <c r="X58" i="46" s="1"/>
  <c r="W62" i="46"/>
  <c r="W66" i="46"/>
  <c r="X66" i="46" s="1"/>
  <c r="W70" i="46"/>
  <c r="W74" i="46"/>
  <c r="W78" i="46"/>
  <c r="X78" i="46" s="1"/>
  <c r="W82" i="46"/>
  <c r="W19" i="46"/>
  <c r="W23" i="46"/>
  <c r="X23" i="46" s="1"/>
  <c r="W27" i="46"/>
  <c r="X27" i="46" s="1"/>
  <c r="W31" i="46"/>
  <c r="U55" i="46"/>
  <c r="U59" i="46"/>
  <c r="U63" i="46"/>
  <c r="U67" i="46"/>
  <c r="U71" i="46"/>
  <c r="U75" i="46"/>
  <c r="U79" i="46"/>
  <c r="W12" i="46"/>
  <c r="U16" i="46"/>
  <c r="U20" i="46"/>
  <c r="U24" i="46"/>
  <c r="U28" i="46"/>
  <c r="U32" i="46"/>
  <c r="W35" i="46"/>
  <c r="X35" i="46" s="1"/>
  <c r="W39" i="46"/>
  <c r="W43" i="46"/>
  <c r="X43" i="46" s="1"/>
  <c r="W47" i="46"/>
  <c r="U84" i="46"/>
  <c r="W86" i="46"/>
  <c r="X86" i="46" s="1"/>
  <c r="U96" i="46"/>
  <c r="W98" i="46"/>
  <c r="X98" i="46" s="1"/>
  <c r="U108" i="46"/>
  <c r="W110" i="46"/>
  <c r="X110" i="46" s="1"/>
  <c r="U120" i="46"/>
  <c r="W122" i="46"/>
  <c r="X122" i="46" s="1"/>
  <c r="U83" i="46"/>
  <c r="W85" i="46"/>
  <c r="X85" i="46" s="1"/>
  <c r="U95" i="46"/>
  <c r="W97" i="46"/>
  <c r="X97" i="46" s="1"/>
  <c r="U107" i="46"/>
  <c r="W109" i="46"/>
  <c r="X109" i="46" s="1"/>
  <c r="U119" i="46"/>
  <c r="W121" i="46"/>
  <c r="X121" i="46" s="1"/>
  <c r="U131" i="46"/>
  <c r="W133" i="46"/>
  <c r="X133" i="46" s="1"/>
  <c r="W84" i="46"/>
  <c r="X84" i="46" s="1"/>
  <c r="U94" i="46"/>
  <c r="W96" i="46"/>
  <c r="X96" i="46" s="1"/>
  <c r="U106" i="46"/>
  <c r="W108" i="46"/>
  <c r="X108" i="46" s="1"/>
  <c r="U118" i="46"/>
  <c r="W120" i="46"/>
  <c r="X120" i="46" s="1"/>
  <c r="U130" i="46"/>
  <c r="W132" i="46"/>
  <c r="X132" i="46" s="1"/>
  <c r="W83" i="46"/>
  <c r="X83" i="46" s="1"/>
  <c r="U93" i="46"/>
  <c r="W95" i="46"/>
  <c r="X95" i="46" s="1"/>
  <c r="U105" i="46"/>
  <c r="W107" i="46"/>
  <c r="X107" i="46" s="1"/>
  <c r="U117" i="46"/>
  <c r="U92" i="46"/>
  <c r="W94" i="46"/>
  <c r="X94" i="46" s="1"/>
  <c r="U104" i="46"/>
  <c r="W106" i="46"/>
  <c r="X106" i="46" s="1"/>
  <c r="U116" i="46"/>
  <c r="W118" i="46"/>
  <c r="X118" i="46" s="1"/>
  <c r="U128" i="46"/>
  <c r="W130" i="46"/>
  <c r="X130" i="46" s="1"/>
  <c r="U91" i="46"/>
  <c r="W93" i="46"/>
  <c r="X93" i="46" s="1"/>
  <c r="U103" i="46"/>
  <c r="W105" i="46"/>
  <c r="X105" i="46" s="1"/>
  <c r="U115" i="46"/>
  <c r="W117" i="46"/>
  <c r="X117" i="46" s="1"/>
  <c r="U127" i="46"/>
  <c r="W129" i="46"/>
  <c r="X129" i="46" s="1"/>
  <c r="U90" i="46"/>
  <c r="W92" i="46"/>
  <c r="X92" i="46" s="1"/>
  <c r="U102" i="46"/>
  <c r="W104" i="46"/>
  <c r="X104" i="46" s="1"/>
  <c r="U114" i="46"/>
  <c r="W116" i="46"/>
  <c r="X116" i="46" s="1"/>
  <c r="U126" i="46"/>
  <c r="W128" i="46"/>
  <c r="X128" i="46" s="1"/>
  <c r="U89" i="46"/>
  <c r="W91" i="46"/>
  <c r="X91" i="46" s="1"/>
  <c r="U101" i="46"/>
  <c r="W103" i="46"/>
  <c r="X103" i="46" s="1"/>
  <c r="U113" i="46"/>
  <c r="W115" i="46"/>
  <c r="X115" i="46" s="1"/>
  <c r="U125" i="46"/>
  <c r="W127" i="46"/>
  <c r="X127" i="46" s="1"/>
  <c r="U137" i="46"/>
  <c r="W139" i="46"/>
  <c r="X139" i="46" s="1"/>
  <c r="U88" i="46"/>
  <c r="W90" i="46"/>
  <c r="X90" i="46" s="1"/>
  <c r="U100" i="46"/>
  <c r="W102" i="46"/>
  <c r="X102" i="46" s="1"/>
  <c r="U112" i="46"/>
  <c r="W114" i="46"/>
  <c r="X114" i="46" s="1"/>
  <c r="U124" i="46"/>
  <c r="W126" i="46"/>
  <c r="X126" i="46" s="1"/>
  <c r="U136" i="46"/>
  <c r="W138" i="46"/>
  <c r="X138" i="46" s="1"/>
  <c r="U87" i="46"/>
  <c r="W89" i="46"/>
  <c r="X89" i="46" s="1"/>
  <c r="U99" i="46"/>
  <c r="W101" i="46"/>
  <c r="X101" i="46" s="1"/>
  <c r="U111" i="46"/>
  <c r="W113" i="46"/>
  <c r="X113" i="46" s="1"/>
  <c r="U123" i="46"/>
  <c r="W125" i="46"/>
  <c r="X125" i="46" s="1"/>
  <c r="U85" i="46"/>
  <c r="W87" i="46"/>
  <c r="X87" i="46" s="1"/>
  <c r="U97" i="46"/>
  <c r="W99" i="46"/>
  <c r="X99" i="46" s="1"/>
  <c r="U109" i="46"/>
  <c r="W111" i="46"/>
  <c r="X111" i="46" s="1"/>
  <c r="U135" i="46"/>
  <c r="W137" i="46"/>
  <c r="X137" i="46" s="1"/>
  <c r="U146" i="46"/>
  <c r="W148" i="46"/>
  <c r="X148" i="46" s="1"/>
  <c r="U158" i="46"/>
  <c r="W160" i="46"/>
  <c r="X160" i="46" s="1"/>
  <c r="U170" i="46"/>
  <c r="W172" i="46"/>
  <c r="X172" i="46" s="1"/>
  <c r="U98" i="46"/>
  <c r="W140" i="46"/>
  <c r="X140" i="46" s="1"/>
  <c r="U145" i="46"/>
  <c r="W147" i="46"/>
  <c r="X147" i="46" s="1"/>
  <c r="U157" i="46"/>
  <c r="W159" i="46"/>
  <c r="X159" i="46" s="1"/>
  <c r="U169" i="46"/>
  <c r="W171" i="46"/>
  <c r="X171" i="46" s="1"/>
  <c r="U181" i="46"/>
  <c r="W183" i="46"/>
  <c r="X183" i="46" s="1"/>
  <c r="W135" i="46"/>
  <c r="X135" i="46" s="1"/>
  <c r="U138" i="46"/>
  <c r="U144" i="46"/>
  <c r="W146" i="46"/>
  <c r="X146" i="46" s="1"/>
  <c r="U156" i="46"/>
  <c r="W158" i="46"/>
  <c r="X158" i="46" s="1"/>
  <c r="U110" i="46"/>
  <c r="U121" i="46"/>
  <c r="W131" i="46"/>
  <c r="X131" i="46" s="1"/>
  <c r="U132" i="46"/>
  <c r="U143" i="46"/>
  <c r="W145" i="46"/>
  <c r="X145" i="46" s="1"/>
  <c r="U155" i="46"/>
  <c r="W157" i="46"/>
  <c r="X157" i="46" s="1"/>
  <c r="U167" i="46"/>
  <c r="W169" i="46"/>
  <c r="X169" i="46" s="1"/>
  <c r="U142" i="46"/>
  <c r="W144" i="46"/>
  <c r="X144" i="46" s="1"/>
  <c r="U154" i="46"/>
  <c r="W156" i="46"/>
  <c r="X156" i="46" s="1"/>
  <c r="U166" i="46"/>
  <c r="W168" i="46"/>
  <c r="X168" i="46" s="1"/>
  <c r="U178" i="46"/>
  <c r="W180" i="46"/>
  <c r="X180" i="46" s="1"/>
  <c r="U139" i="46"/>
  <c r="W143" i="46"/>
  <c r="X143" i="46" s="1"/>
  <c r="U153" i="46"/>
  <c r="W88" i="46"/>
  <c r="X88" i="46" s="1"/>
  <c r="U133" i="46"/>
  <c r="U141" i="46"/>
  <c r="W142" i="46"/>
  <c r="X142" i="46" s="1"/>
  <c r="U152" i="46"/>
  <c r="W154" i="46"/>
  <c r="X154" i="46" s="1"/>
  <c r="U164" i="46"/>
  <c r="W166" i="46"/>
  <c r="X166" i="46" s="1"/>
  <c r="U176" i="46"/>
  <c r="W178" i="46"/>
  <c r="X178" i="46" s="1"/>
  <c r="U134" i="46"/>
  <c r="W136" i="46"/>
  <c r="X136" i="46" s="1"/>
  <c r="U151" i="46"/>
  <c r="W153" i="46"/>
  <c r="X153" i="46" s="1"/>
  <c r="U163" i="46"/>
  <c r="W165" i="46"/>
  <c r="X165" i="46" s="1"/>
  <c r="W100" i="46"/>
  <c r="X100" i="46" s="1"/>
  <c r="W119" i="46"/>
  <c r="X119" i="46" s="1"/>
  <c r="W141" i="46"/>
  <c r="X141" i="46" s="1"/>
  <c r="U150" i="46"/>
  <c r="W152" i="46"/>
  <c r="X152" i="46" s="1"/>
  <c r="U162" i="46"/>
  <c r="W164" i="46"/>
  <c r="X164" i="46" s="1"/>
  <c r="U174" i="46"/>
  <c r="W176" i="46"/>
  <c r="X176" i="46" s="1"/>
  <c r="U186" i="46"/>
  <c r="W188" i="46"/>
  <c r="X188" i="46" s="1"/>
  <c r="U129" i="46"/>
  <c r="W134" i="46"/>
  <c r="X134" i="46" s="1"/>
  <c r="U149" i="46"/>
  <c r="W151" i="46"/>
  <c r="X151" i="46" s="1"/>
  <c r="U161" i="46"/>
  <c r="W163" i="46"/>
  <c r="X163" i="46" s="1"/>
  <c r="U173" i="46"/>
  <c r="U159" i="46"/>
  <c r="U165" i="46"/>
  <c r="U177" i="46"/>
  <c r="U179" i="46"/>
  <c r="W187" i="46"/>
  <c r="X187" i="46" s="1"/>
  <c r="U194" i="46"/>
  <c r="W196" i="46"/>
  <c r="X196" i="46" s="1"/>
  <c r="U206" i="46"/>
  <c r="W208" i="46"/>
  <c r="X208" i="46" s="1"/>
  <c r="U196" i="46"/>
  <c r="W112" i="46"/>
  <c r="X112" i="46" s="1"/>
  <c r="W123" i="46"/>
  <c r="X123" i="46" s="1"/>
  <c r="W162" i="46"/>
  <c r="X162" i="46" s="1"/>
  <c r="U175" i="46"/>
  <c r="U193" i="46"/>
  <c r="W195" i="46"/>
  <c r="X195" i="46" s="1"/>
  <c r="U205" i="46"/>
  <c r="W207" i="46"/>
  <c r="X207" i="46" s="1"/>
  <c r="W197" i="46"/>
  <c r="X197" i="46" s="1"/>
  <c r="U147" i="46"/>
  <c r="W177" i="46"/>
  <c r="X177" i="46" s="1"/>
  <c r="W179" i="46"/>
  <c r="X179" i="46" s="1"/>
  <c r="U192" i="46"/>
  <c r="W194" i="46"/>
  <c r="X194" i="46" s="1"/>
  <c r="U204" i="46"/>
  <c r="W206" i="46"/>
  <c r="X206" i="46" s="1"/>
  <c r="U122" i="46"/>
  <c r="W155" i="46"/>
  <c r="X155" i="46" s="1"/>
  <c r="U168" i="46"/>
  <c r="U172" i="46"/>
  <c r="W175" i="46"/>
  <c r="X175" i="46" s="1"/>
  <c r="U191" i="46"/>
  <c r="W193" i="46"/>
  <c r="X193" i="46" s="1"/>
  <c r="U203" i="46"/>
  <c r="W205" i="46"/>
  <c r="X205" i="46" s="1"/>
  <c r="U187" i="46"/>
  <c r="W124" i="46"/>
  <c r="X124" i="46" s="1"/>
  <c r="W184" i="46"/>
  <c r="X184" i="46" s="1"/>
  <c r="U195" i="46"/>
  <c r="U140" i="46"/>
  <c r="W167" i="46"/>
  <c r="X167" i="46" s="1"/>
  <c r="U171" i="46"/>
  <c r="W181" i="46"/>
  <c r="X181" i="46" s="1"/>
  <c r="U183" i="46"/>
  <c r="U185" i="46"/>
  <c r="W186" i="46"/>
  <c r="X186" i="46" s="1"/>
  <c r="U190" i="46"/>
  <c r="W192" i="46"/>
  <c r="X192" i="46" s="1"/>
  <c r="U202" i="46"/>
  <c r="W204" i="46"/>
  <c r="X204" i="46" s="1"/>
  <c r="W173" i="46"/>
  <c r="X173" i="46" s="1"/>
  <c r="U189" i="46"/>
  <c r="W191" i="46"/>
  <c r="X191" i="46" s="1"/>
  <c r="U201" i="46"/>
  <c r="W203" i="46"/>
  <c r="X203" i="46" s="1"/>
  <c r="W170" i="46"/>
  <c r="X170" i="46" s="1"/>
  <c r="W185" i="46"/>
  <c r="X185" i="46" s="1"/>
  <c r="W190" i="46"/>
  <c r="X190" i="46" s="1"/>
  <c r="U200" i="46"/>
  <c r="W202" i="46"/>
  <c r="X202" i="46" s="1"/>
  <c r="U180" i="46"/>
  <c r="U188" i="46"/>
  <c r="W189" i="46"/>
  <c r="X189" i="46" s="1"/>
  <c r="U199" i="46"/>
  <c r="W201" i="46"/>
  <c r="X201" i="46" s="1"/>
  <c r="W149" i="46"/>
  <c r="X149" i="46" s="1"/>
  <c r="W150" i="46"/>
  <c r="X150" i="46" s="1"/>
  <c r="U182" i="46"/>
  <c r="U198" i="46"/>
  <c r="W200" i="46"/>
  <c r="X200" i="46" s="1"/>
  <c r="U160" i="46"/>
  <c r="W161" i="46"/>
  <c r="X161" i="46" s="1"/>
  <c r="U184" i="46"/>
  <c r="U197" i="46"/>
  <c r="W199" i="46"/>
  <c r="X199" i="46" s="1"/>
  <c r="W182" i="46"/>
  <c r="X182" i="46" s="1"/>
  <c r="W198" i="46"/>
  <c r="X198" i="46" s="1"/>
  <c r="U208" i="46"/>
  <c r="U86" i="46"/>
  <c r="U148" i="46"/>
  <c r="W174" i="46"/>
  <c r="X174" i="46" s="1"/>
  <c r="U207" i="46"/>
  <c r="U13" i="46"/>
  <c r="U36" i="46"/>
  <c r="U40" i="46"/>
  <c r="U44" i="46"/>
  <c r="U48" i="46"/>
  <c r="W55" i="46"/>
  <c r="X55" i="46" s="1"/>
  <c r="W59" i="46"/>
  <c r="W63" i="46"/>
  <c r="W67" i="46"/>
  <c r="X67" i="46" s="1"/>
  <c r="W71" i="46"/>
  <c r="W75" i="46"/>
  <c r="X75" i="46" s="1"/>
  <c r="W79" i="46"/>
  <c r="U5" i="46"/>
  <c r="W16" i="46"/>
  <c r="X16" i="46" s="1"/>
  <c r="W20" i="46"/>
  <c r="W24" i="46"/>
  <c r="W28" i="46"/>
  <c r="W32" i="46"/>
  <c r="X32" i="46" s="1"/>
  <c r="U52" i="46"/>
  <c r="U56" i="46"/>
  <c r="U60" i="46"/>
  <c r="U64" i="46"/>
  <c r="U68" i="46"/>
  <c r="U72" i="46"/>
  <c r="U76" i="46"/>
  <c r="U80" i="46"/>
  <c r="U10" i="46"/>
  <c r="W13" i="46"/>
  <c r="U17" i="46"/>
  <c r="U21" i="46"/>
  <c r="U25" i="46"/>
  <c r="U29" i="46"/>
  <c r="U33" i="46"/>
  <c r="W36" i="46"/>
  <c r="W40" i="46"/>
  <c r="X40" i="46" s="1"/>
  <c r="W44" i="46"/>
  <c r="W48" i="46"/>
  <c r="W5" i="46"/>
  <c r="X5" i="46" s="1"/>
  <c r="U37" i="46"/>
  <c r="U41" i="46"/>
  <c r="U45" i="46"/>
  <c r="U49" i="46"/>
  <c r="W52" i="46"/>
  <c r="W56" i="46"/>
  <c r="W60" i="46"/>
  <c r="X60" i="46" s="1"/>
  <c r="W64" i="46"/>
  <c r="W68" i="46"/>
  <c r="X68" i="46" s="1"/>
  <c r="W72" i="46"/>
  <c r="W76" i="46"/>
  <c r="W80" i="46"/>
  <c r="X80" i="46" s="1"/>
  <c r="U6" i="46"/>
  <c r="W10" i="46"/>
  <c r="U14" i="46"/>
  <c r="W17" i="46"/>
  <c r="X17" i="46" s="1"/>
  <c r="W21" i="46"/>
  <c r="W25" i="46"/>
  <c r="W29" i="46"/>
  <c r="X29" i="46" s="1"/>
  <c r="W33" i="46"/>
  <c r="U53" i="46"/>
  <c r="U57" i="46"/>
  <c r="U61" i="46"/>
  <c r="U65" i="46"/>
  <c r="U69" i="46"/>
  <c r="U73" i="46"/>
  <c r="U77" i="46"/>
  <c r="U81" i="46"/>
  <c r="U11" i="46"/>
  <c r="U18" i="46"/>
  <c r="U22" i="46"/>
  <c r="U26" i="46"/>
  <c r="U30" i="46"/>
  <c r="W37" i="46"/>
  <c r="W41" i="46"/>
  <c r="W45" i="46"/>
  <c r="X45" i="46" s="1"/>
  <c r="W49" i="46"/>
  <c r="AJ22" i="45"/>
  <c r="AL22" i="45"/>
  <c r="AL24" i="45"/>
  <c r="AJ24" i="45"/>
  <c r="AL19" i="45"/>
  <c r="AJ19" i="45"/>
  <c r="AL21" i="45"/>
  <c r="AJ21" i="45"/>
  <c r="AJ23" i="45"/>
  <c r="AL23" i="45"/>
  <c r="W21" i="45"/>
  <c r="U10" i="45"/>
  <c r="AD21" i="45"/>
  <c r="U23" i="45"/>
  <c r="U17" i="45"/>
  <c r="AH20" i="45"/>
  <c r="AI20" i="45" s="1"/>
  <c r="AL20" i="45" s="1"/>
  <c r="AE21" i="45"/>
  <c r="AD22" i="45"/>
  <c r="W10" i="45"/>
  <c r="AE22" i="45"/>
  <c r="W17" i="45"/>
  <c r="AD23" i="45"/>
  <c r="AE23" i="45"/>
  <c r="AD24" i="45"/>
  <c r="AN20" i="45"/>
  <c r="U19" i="45"/>
  <c r="AE24" i="45"/>
  <c r="U6" i="45"/>
  <c r="W13" i="45"/>
  <c r="W7" i="45"/>
  <c r="U8" i="45"/>
  <c r="U21" i="45"/>
  <c r="U12" i="45"/>
  <c r="W15" i="45"/>
  <c r="W8" i="45"/>
  <c r="U9" i="45"/>
  <c r="W19" i="45"/>
  <c r="W23" i="45"/>
  <c r="W12" i="45"/>
  <c r="U16" i="45"/>
  <c r="U20" i="45"/>
  <c r="U26" i="45"/>
  <c r="W28" i="45"/>
  <c r="X28" i="45" s="1"/>
  <c r="U38" i="45"/>
  <c r="W40" i="45"/>
  <c r="X40" i="45" s="1"/>
  <c r="U50" i="45"/>
  <c r="W52" i="45"/>
  <c r="X52" i="45" s="1"/>
  <c r="W30" i="45"/>
  <c r="X30" i="45" s="1"/>
  <c r="U25" i="45"/>
  <c r="W27" i="45"/>
  <c r="X27" i="45" s="1"/>
  <c r="U37" i="45"/>
  <c r="W39" i="45"/>
  <c r="X39" i="45" s="1"/>
  <c r="U49" i="45"/>
  <c r="W51" i="45"/>
  <c r="X51" i="45" s="1"/>
  <c r="U61" i="45"/>
  <c r="W26" i="45"/>
  <c r="X26" i="45" s="1"/>
  <c r="U36" i="45"/>
  <c r="W38" i="45"/>
  <c r="X38" i="45" s="1"/>
  <c r="U48" i="45"/>
  <c r="W50" i="45"/>
  <c r="X50" i="45" s="1"/>
  <c r="U60" i="45"/>
  <c r="U52" i="45"/>
  <c r="W25" i="45"/>
  <c r="X25" i="45" s="1"/>
  <c r="U35" i="45"/>
  <c r="W37" i="45"/>
  <c r="X37" i="45" s="1"/>
  <c r="U47" i="45"/>
  <c r="W49" i="45"/>
  <c r="X49" i="45" s="1"/>
  <c r="U59" i="45"/>
  <c r="W61" i="45"/>
  <c r="X61" i="45" s="1"/>
  <c r="U34" i="45"/>
  <c r="W36" i="45"/>
  <c r="X36" i="45" s="1"/>
  <c r="U46" i="45"/>
  <c r="W48" i="45"/>
  <c r="X48" i="45" s="1"/>
  <c r="U58" i="45"/>
  <c r="W60" i="45"/>
  <c r="X60" i="45" s="1"/>
  <c r="U33" i="45"/>
  <c r="W35" i="45"/>
  <c r="X35" i="45" s="1"/>
  <c r="U45" i="45"/>
  <c r="W47" i="45"/>
  <c r="X47" i="45" s="1"/>
  <c r="U57" i="45"/>
  <c r="W59" i="45"/>
  <c r="X59" i="45" s="1"/>
  <c r="U28" i="45"/>
  <c r="U32" i="45"/>
  <c r="W34" i="45"/>
  <c r="X34" i="45" s="1"/>
  <c r="U44" i="45"/>
  <c r="W46" i="45"/>
  <c r="X46" i="45" s="1"/>
  <c r="U56" i="45"/>
  <c r="W58" i="45"/>
  <c r="X58" i="45" s="1"/>
  <c r="U40" i="45"/>
  <c r="U31" i="45"/>
  <c r="W33" i="45"/>
  <c r="X33" i="45" s="1"/>
  <c r="U43" i="45"/>
  <c r="W45" i="45"/>
  <c r="X45" i="45" s="1"/>
  <c r="U55" i="45"/>
  <c r="W57" i="45"/>
  <c r="X57" i="45" s="1"/>
  <c r="U30" i="45"/>
  <c r="W32" i="45"/>
  <c r="X32" i="45" s="1"/>
  <c r="U42" i="45"/>
  <c r="W44" i="45"/>
  <c r="X44" i="45" s="1"/>
  <c r="U54" i="45"/>
  <c r="W56" i="45"/>
  <c r="X56" i="45" s="1"/>
  <c r="U29" i="45"/>
  <c r="W31" i="45"/>
  <c r="X31" i="45" s="1"/>
  <c r="U41" i="45"/>
  <c r="W43" i="45"/>
  <c r="X43" i="45" s="1"/>
  <c r="U53" i="45"/>
  <c r="W55" i="45"/>
  <c r="X55" i="45" s="1"/>
  <c r="W54" i="45"/>
  <c r="X54" i="45" s="1"/>
  <c r="U27" i="45"/>
  <c r="W29" i="45"/>
  <c r="X29" i="45" s="1"/>
  <c r="U39" i="45"/>
  <c r="W41" i="45"/>
  <c r="X41" i="45" s="1"/>
  <c r="U51" i="45"/>
  <c r="W53" i="45"/>
  <c r="X53" i="45" s="1"/>
  <c r="W42" i="45"/>
  <c r="X42" i="45" s="1"/>
  <c r="U13" i="45"/>
  <c r="U5" i="45"/>
  <c r="W16" i="45"/>
  <c r="W20" i="45"/>
  <c r="W24" i="45"/>
  <c r="W5" i="45"/>
  <c r="U11" i="45"/>
  <c r="U18" i="45"/>
  <c r="U22" i="45"/>
  <c r="W6" i="45"/>
  <c r="U7" i="45"/>
  <c r="W14" i="45"/>
  <c r="W11" i="45"/>
  <c r="X11" i="45" s="1"/>
  <c r="U15" i="45"/>
  <c r="W18" i="45"/>
  <c r="W22" i="45"/>
  <c r="AJ16" i="44"/>
  <c r="AL16" i="44"/>
  <c r="AL23" i="44"/>
  <c r="AJ23" i="44"/>
  <c r="AL15" i="44"/>
  <c r="AJ15" i="44"/>
  <c r="AL18" i="44"/>
  <c r="AJ24" i="44"/>
  <c r="AL24" i="44"/>
  <c r="AJ17" i="44"/>
  <c r="AL17" i="44"/>
  <c r="W8" i="44"/>
  <c r="U9" i="44"/>
  <c r="AJ18" i="44"/>
  <c r="AH19" i="44"/>
  <c r="AI19" i="44" s="1"/>
  <c r="AL19" i="44" s="1"/>
  <c r="AE21" i="44"/>
  <c r="AD22" i="44"/>
  <c r="W23" i="44"/>
  <c r="X23" i="44" s="1"/>
  <c r="AE22" i="44"/>
  <c r="U24" i="44"/>
  <c r="AD15" i="44"/>
  <c r="AM17" i="44"/>
  <c r="S12" i="67" s="1"/>
  <c r="AH20" i="44"/>
  <c r="AI20" i="44" s="1"/>
  <c r="AL20" i="44" s="1"/>
  <c r="AN23" i="44"/>
  <c r="AE15" i="44"/>
  <c r="AH21" i="44"/>
  <c r="AI21" i="44" s="1"/>
  <c r="AJ21" i="44" s="1"/>
  <c r="AD16" i="44"/>
  <c r="AH22" i="44"/>
  <c r="AI22" i="44" s="1"/>
  <c r="AL22" i="44" s="1"/>
  <c r="AD24" i="44"/>
  <c r="AM19" i="44"/>
  <c r="AE24" i="44"/>
  <c r="W19" i="44"/>
  <c r="U20" i="44"/>
  <c r="U26" i="44"/>
  <c r="W28" i="44"/>
  <c r="X28" i="44" s="1"/>
  <c r="U25" i="44"/>
  <c r="W27" i="44"/>
  <c r="X27" i="44" s="1"/>
  <c r="W26" i="44"/>
  <c r="X26" i="44" s="1"/>
  <c r="U36" i="44"/>
  <c r="W25" i="44"/>
  <c r="X25" i="44" s="1"/>
  <c r="U35" i="44"/>
  <c r="U34" i="44"/>
  <c r="W36" i="44"/>
  <c r="X36" i="44" s="1"/>
  <c r="U33" i="44"/>
  <c r="W35" i="44"/>
  <c r="X35" i="44" s="1"/>
  <c r="U32" i="44"/>
  <c r="W34" i="44"/>
  <c r="X34" i="44" s="1"/>
  <c r="U31" i="44"/>
  <c r="W33" i="44"/>
  <c r="X33" i="44" s="1"/>
  <c r="U30" i="44"/>
  <c r="W32" i="44"/>
  <c r="X32" i="44" s="1"/>
  <c r="U29" i="44"/>
  <c r="W31" i="44"/>
  <c r="X31" i="44" s="1"/>
  <c r="U28" i="44"/>
  <c r="W30" i="44"/>
  <c r="X30" i="44" s="1"/>
  <c r="U27" i="44"/>
  <c r="W29" i="44"/>
  <c r="X29" i="44" s="1"/>
  <c r="U13" i="44"/>
  <c r="U5" i="44"/>
  <c r="W16" i="44"/>
  <c r="W20" i="44"/>
  <c r="W24" i="44"/>
  <c r="U10" i="44"/>
  <c r="W13" i="44"/>
  <c r="X13" i="44" s="1"/>
  <c r="U17" i="44"/>
  <c r="U21" i="44"/>
  <c r="W5" i="44"/>
  <c r="U6" i="44"/>
  <c r="W10" i="44"/>
  <c r="U14" i="44"/>
  <c r="W17" i="44"/>
  <c r="W21" i="44"/>
  <c r="U11" i="44"/>
  <c r="U18" i="44"/>
  <c r="U22" i="44"/>
  <c r="W6" i="44"/>
  <c r="X6" i="44" s="1"/>
  <c r="U7" i="44"/>
  <c r="W14" i="44"/>
  <c r="W11" i="44"/>
  <c r="U15" i="44"/>
  <c r="W18" i="44"/>
  <c r="X18" i="44" s="1"/>
  <c r="W22" i="44"/>
  <c r="W7" i="44"/>
  <c r="U8" i="44"/>
  <c r="U19" i="44"/>
  <c r="U23" i="44"/>
  <c r="U12" i="44"/>
  <c r="W15" i="44"/>
  <c r="X15" i="44" s="1"/>
  <c r="AL18" i="43"/>
  <c r="AJ17" i="43"/>
  <c r="AL17" i="43"/>
  <c r="AL20" i="43"/>
  <c r="AJ20" i="43"/>
  <c r="AL22" i="43"/>
  <c r="AJ22" i="43"/>
  <c r="AL24" i="43"/>
  <c r="AJ24" i="43"/>
  <c r="AL16" i="43"/>
  <c r="AJ16" i="43"/>
  <c r="AL19" i="43"/>
  <c r="AJ19" i="43"/>
  <c r="U10" i="43"/>
  <c r="AE22" i="43"/>
  <c r="AD23" i="43"/>
  <c r="AD16" i="43"/>
  <c r="AH21" i="43"/>
  <c r="AI21" i="43" s="1"/>
  <c r="AL21" i="43" s="1"/>
  <c r="AE23" i="43"/>
  <c r="AD24" i="43"/>
  <c r="AN24" i="43" s="1"/>
  <c r="AN17" i="43"/>
  <c r="AE24" i="43"/>
  <c r="AH23" i="43"/>
  <c r="AI23" i="43" s="1"/>
  <c r="AL23" i="43" s="1"/>
  <c r="AD19" i="43"/>
  <c r="U5" i="43"/>
  <c r="W13" i="43"/>
  <c r="X13" i="43" s="1"/>
  <c r="Z13" i="43" s="1"/>
  <c r="AB13" i="43" s="1"/>
  <c r="AO13" i="43" s="1"/>
  <c r="AE19" i="43"/>
  <c r="W20" i="43"/>
  <c r="X20" i="43" s="1"/>
  <c r="AA20" i="43" s="1"/>
  <c r="AC20" i="43" s="1"/>
  <c r="AN22" i="43"/>
  <c r="W5" i="43"/>
  <c r="X5" i="43" s="1"/>
  <c r="Z5" i="43" s="1"/>
  <c r="AB5" i="43" s="1"/>
  <c r="AO5" i="43" s="1"/>
  <c r="AN21" i="43"/>
  <c r="AA23" i="43"/>
  <c r="AC23" i="43" s="1"/>
  <c r="Z23" i="43"/>
  <c r="AB23" i="43" s="1"/>
  <c r="AO23" i="43" s="1"/>
  <c r="AA8" i="43"/>
  <c r="AC8" i="43" s="1"/>
  <c r="Z8" i="43"/>
  <c r="AB8" i="43" s="1"/>
  <c r="AO8" i="43" s="1"/>
  <c r="W9" i="43"/>
  <c r="X9" i="43" s="1"/>
  <c r="U19" i="43"/>
  <c r="U6" i="43"/>
  <c r="U12" i="43"/>
  <c r="W16" i="43"/>
  <c r="X16" i="43" s="1"/>
  <c r="U22" i="43"/>
  <c r="U15" i="43"/>
  <c r="W19" i="43"/>
  <c r="X19" i="43" s="1"/>
  <c r="W6" i="43"/>
  <c r="X6" i="43" s="1"/>
  <c r="U8" i="43"/>
  <c r="U11" i="43"/>
  <c r="W12" i="43"/>
  <c r="X12" i="43" s="1"/>
  <c r="W22" i="43"/>
  <c r="X22" i="43" s="1"/>
  <c r="W15" i="43"/>
  <c r="X15" i="43" s="1"/>
  <c r="U26" i="43"/>
  <c r="W28" i="43"/>
  <c r="X28" i="43" s="1"/>
  <c r="U38" i="43"/>
  <c r="W40" i="43"/>
  <c r="X40" i="43" s="1"/>
  <c r="U50" i="43"/>
  <c r="W42" i="43"/>
  <c r="X42" i="43" s="1"/>
  <c r="U25" i="43"/>
  <c r="W27" i="43"/>
  <c r="X27" i="43" s="1"/>
  <c r="U37" i="43"/>
  <c r="W39" i="43"/>
  <c r="X39" i="43" s="1"/>
  <c r="U49" i="43"/>
  <c r="W51" i="43"/>
  <c r="X51" i="43" s="1"/>
  <c r="W30" i="43"/>
  <c r="X30" i="43" s="1"/>
  <c r="W26" i="43"/>
  <c r="X26" i="43" s="1"/>
  <c r="U36" i="43"/>
  <c r="W38" i="43"/>
  <c r="X38" i="43" s="1"/>
  <c r="U48" i="43"/>
  <c r="W50" i="43"/>
  <c r="X50" i="43" s="1"/>
  <c r="W25" i="43"/>
  <c r="X25" i="43" s="1"/>
  <c r="U35" i="43"/>
  <c r="W37" i="43"/>
  <c r="X37" i="43" s="1"/>
  <c r="U47" i="43"/>
  <c r="W49" i="43"/>
  <c r="X49" i="43" s="1"/>
  <c r="U34" i="43"/>
  <c r="W36" i="43"/>
  <c r="X36" i="43" s="1"/>
  <c r="U46" i="43"/>
  <c r="W48" i="43"/>
  <c r="X48" i="43" s="1"/>
  <c r="U28" i="43"/>
  <c r="U33" i="43"/>
  <c r="W35" i="43"/>
  <c r="X35" i="43" s="1"/>
  <c r="U45" i="43"/>
  <c r="W47" i="43"/>
  <c r="X47" i="43" s="1"/>
  <c r="U32" i="43"/>
  <c r="W34" i="43"/>
  <c r="X34" i="43" s="1"/>
  <c r="U44" i="43"/>
  <c r="W46" i="43"/>
  <c r="X46" i="43" s="1"/>
  <c r="U31" i="43"/>
  <c r="W33" i="43"/>
  <c r="X33" i="43" s="1"/>
  <c r="U43" i="43"/>
  <c r="W45" i="43"/>
  <c r="X45" i="43" s="1"/>
  <c r="U30" i="43"/>
  <c r="W32" i="43"/>
  <c r="X32" i="43" s="1"/>
  <c r="U42" i="43"/>
  <c r="W44" i="43"/>
  <c r="X44" i="43" s="1"/>
  <c r="U29" i="43"/>
  <c r="W31" i="43"/>
  <c r="X31" i="43" s="1"/>
  <c r="U41" i="43"/>
  <c r="W43" i="43"/>
  <c r="X43" i="43" s="1"/>
  <c r="U40" i="43"/>
  <c r="U27" i="43"/>
  <c r="W29" i="43"/>
  <c r="X29" i="43" s="1"/>
  <c r="U39" i="43"/>
  <c r="W41" i="43"/>
  <c r="X41" i="43" s="1"/>
  <c r="U51" i="43"/>
  <c r="W11" i="43"/>
  <c r="X11" i="43" s="1"/>
  <c r="U21" i="43"/>
  <c r="U24" i="43"/>
  <c r="U14" i="43"/>
  <c r="W18" i="43"/>
  <c r="X18" i="43" s="1"/>
  <c r="U17" i="43"/>
  <c r="W21" i="43"/>
  <c r="X21" i="43" s="1"/>
  <c r="W24" i="43"/>
  <c r="X24" i="43" s="1"/>
  <c r="U7" i="43"/>
  <c r="W14" i="43"/>
  <c r="X14" i="43" s="1"/>
  <c r="W10" i="43"/>
  <c r="X10" i="43" s="1"/>
  <c r="U13" i="43"/>
  <c r="W17" i="43"/>
  <c r="X17" i="43" s="1"/>
  <c r="U20" i="43"/>
  <c r="U23" i="43"/>
  <c r="W7" i="43"/>
  <c r="X7" i="43" s="1"/>
  <c r="U9" i="43"/>
  <c r="AH13" i="40"/>
  <c r="AI13" i="40" s="1"/>
  <c r="AL13" i="40" s="1"/>
  <c r="AE17" i="40"/>
  <c r="AE21" i="40"/>
  <c r="H9" i="67"/>
  <c r="AH17" i="40"/>
  <c r="AI17" i="40" s="1"/>
  <c r="AH21" i="40"/>
  <c r="AI21" i="40" s="1"/>
  <c r="AM15" i="40"/>
  <c r="AD14" i="40"/>
  <c r="AM12" i="40"/>
  <c r="W11" i="40"/>
  <c r="W19" i="40"/>
  <c r="W12" i="40"/>
  <c r="W6" i="40"/>
  <c r="W8" i="40"/>
  <c r="U13" i="40"/>
  <c r="U26" i="40"/>
  <c r="W28" i="40"/>
  <c r="X28" i="40" s="1"/>
  <c r="U25" i="40"/>
  <c r="W27" i="40"/>
  <c r="X27" i="40" s="1"/>
  <c r="W26" i="40"/>
  <c r="X26" i="40" s="1"/>
  <c r="W25" i="40"/>
  <c r="X25" i="40" s="1"/>
  <c r="U27" i="40"/>
  <c r="U28" i="40"/>
  <c r="J7" i="67"/>
  <c r="U7" i="40"/>
  <c r="W13" i="40"/>
  <c r="U21" i="40"/>
  <c r="W7" i="40"/>
  <c r="U8" i="40"/>
  <c r="AJ12" i="40"/>
  <c r="W16" i="40"/>
  <c r="X16" i="40" s="1"/>
  <c r="AJ13" i="40"/>
  <c r="U15" i="40"/>
  <c r="W18" i="40"/>
  <c r="U5" i="40"/>
  <c r="U14" i="40"/>
  <c r="AD15" i="40"/>
  <c r="AN15" i="40" s="1"/>
  <c r="U17" i="40"/>
  <c r="AE18" i="40"/>
  <c r="L20" i="67"/>
  <c r="U10" i="40"/>
  <c r="W5" i="40"/>
  <c r="W14" i="40"/>
  <c r="X14" i="40" s="1"/>
  <c r="W17" i="40"/>
  <c r="U6" i="40"/>
  <c r="W10" i="40"/>
  <c r="A14" i="40"/>
  <c r="U11" i="40"/>
  <c r="AL14" i="40"/>
  <c r="AJ14" i="40"/>
  <c r="AJ17" i="40"/>
  <c r="AL17" i="40"/>
  <c r="AJ21" i="40"/>
  <c r="AL21" i="40"/>
  <c r="AL12" i="40"/>
  <c r="AL20" i="40"/>
  <c r="AJ20" i="40"/>
  <c r="AL24" i="40"/>
  <c r="AJ24" i="40"/>
  <c r="AD12" i="40"/>
  <c r="AM13" i="40"/>
  <c r="AH18" i="40"/>
  <c r="AI18" i="40" s="1"/>
  <c r="AL18" i="40" s="1"/>
  <c r="AE19" i="40"/>
  <c r="W20" i="40"/>
  <c r="X20" i="40" s="1"/>
  <c r="AH22" i="40"/>
  <c r="AI22" i="40" s="1"/>
  <c r="AL22" i="40" s="1"/>
  <c r="AE23" i="40"/>
  <c r="W24" i="40"/>
  <c r="AE12" i="40"/>
  <c r="AH15" i="40"/>
  <c r="AI15" i="40" s="1"/>
  <c r="AL15" i="40" s="1"/>
  <c r="AD16" i="40"/>
  <c r="AM17" i="40"/>
  <c r="AN17" i="40" s="1"/>
  <c r="AD20" i="40"/>
  <c r="AM21" i="40"/>
  <c r="AD24" i="40"/>
  <c r="AD13" i="40"/>
  <c r="AE16" i="40"/>
  <c r="AH19" i="40"/>
  <c r="AI19" i="40" s="1"/>
  <c r="AL19" i="40" s="1"/>
  <c r="AE20" i="40"/>
  <c r="W21" i="40"/>
  <c r="AH23" i="40"/>
  <c r="AI23" i="40" s="1"/>
  <c r="AL23" i="40" s="1"/>
  <c r="AE24" i="40"/>
  <c r="U18" i="40"/>
  <c r="U22" i="40"/>
  <c r="AM22" i="40"/>
  <c r="AH16" i="40"/>
  <c r="AI16" i="40" s="1"/>
  <c r="AL16" i="40" s="1"/>
  <c r="W22" i="40"/>
  <c r="U19" i="40"/>
  <c r="U23" i="40"/>
  <c r="U12" i="40"/>
  <c r="AE14" i="40"/>
  <c r="W15" i="40"/>
  <c r="AM19" i="40"/>
  <c r="AM23" i="40"/>
  <c r="W23" i="40"/>
  <c r="P7" i="67"/>
  <c r="U16" i="40"/>
  <c r="U20" i="40"/>
  <c r="U24" i="40"/>
  <c r="AJ32" i="39"/>
  <c r="AL32" i="39"/>
  <c r="AL26" i="39"/>
  <c r="AJ26" i="39"/>
  <c r="AL11" i="39"/>
  <c r="AJ11" i="39"/>
  <c r="AL15" i="39"/>
  <c r="AJ20" i="39"/>
  <c r="AL20" i="39"/>
  <c r="AL23" i="39"/>
  <c r="AJ23" i="39"/>
  <c r="AL14" i="39"/>
  <c r="AJ14" i="39"/>
  <c r="AJ13" i="39"/>
  <c r="AL13" i="39"/>
  <c r="AL28" i="39"/>
  <c r="AJ28" i="39"/>
  <c r="AL10" i="39"/>
  <c r="AL31" i="39"/>
  <c r="AJ31" i="39"/>
  <c r="AJ12" i="39"/>
  <c r="AL12" i="39"/>
  <c r="AL18" i="39"/>
  <c r="AJ18" i="39"/>
  <c r="AJ16" i="39"/>
  <c r="AL16" i="39"/>
  <c r="AL19" i="39"/>
  <c r="AJ19" i="39"/>
  <c r="AJ24" i="39"/>
  <c r="AL24" i="39"/>
  <c r="AL30" i="39"/>
  <c r="AJ30" i="39"/>
  <c r="AL21" i="39"/>
  <c r="AL27" i="39"/>
  <c r="AJ27" i="39"/>
  <c r="U16" i="39"/>
  <c r="U20" i="39"/>
  <c r="U24" i="39"/>
  <c r="U28" i="39"/>
  <c r="U32" i="39"/>
  <c r="AJ10" i="39"/>
  <c r="U13" i="39"/>
  <c r="AM16" i="39"/>
  <c r="AJ17" i="39"/>
  <c r="AJ21" i="39"/>
  <c r="AJ25" i="39"/>
  <c r="AJ29" i="39"/>
  <c r="AN22" i="39"/>
  <c r="L7" i="67"/>
  <c r="U5" i="39"/>
  <c r="AD12" i="39"/>
  <c r="AM13" i="39"/>
  <c r="W16" i="39"/>
  <c r="AE19" i="39"/>
  <c r="W20" i="39"/>
  <c r="AH22" i="39"/>
  <c r="AI22" i="39" s="1"/>
  <c r="AL22" i="39" s="1"/>
  <c r="AE23" i="39"/>
  <c r="W24" i="39"/>
  <c r="X24" i="39" s="1"/>
  <c r="AE27" i="39"/>
  <c r="AN27" i="39" s="1"/>
  <c r="W28" i="39"/>
  <c r="AE31" i="39"/>
  <c r="AN31" i="39" s="1"/>
  <c r="W32" i="39"/>
  <c r="W36" i="39"/>
  <c r="W40" i="39"/>
  <c r="X40" i="39" s="1"/>
  <c r="W44" i="39"/>
  <c r="W48" i="39"/>
  <c r="P20" i="67"/>
  <c r="U10" i="39"/>
  <c r="AE12" i="39"/>
  <c r="W13" i="39"/>
  <c r="X13" i="39" s="1"/>
  <c r="U17" i="39"/>
  <c r="U21" i="39"/>
  <c r="U25" i="39"/>
  <c r="U29" i="39"/>
  <c r="U33" i="39"/>
  <c r="U37" i="39"/>
  <c r="U41" i="39"/>
  <c r="U45" i="39"/>
  <c r="U49" i="39"/>
  <c r="W5" i="39"/>
  <c r="AM10" i="39"/>
  <c r="AD16" i="39"/>
  <c r="AM17" i="39"/>
  <c r="AD20" i="39"/>
  <c r="AM21" i="39"/>
  <c r="AD24" i="39"/>
  <c r="AD28" i="39"/>
  <c r="AD32" i="39"/>
  <c r="AN32" i="39" s="1"/>
  <c r="U6" i="39"/>
  <c r="W10" i="39"/>
  <c r="AD13" i="39"/>
  <c r="U14" i="39"/>
  <c r="AE16" i="39"/>
  <c r="W17" i="39"/>
  <c r="X17" i="39" s="1"/>
  <c r="AE20" i="39"/>
  <c r="W21" i="39"/>
  <c r="AE24" i="39"/>
  <c r="AN24" i="39" s="1"/>
  <c r="W25" i="39"/>
  <c r="AE28" i="39"/>
  <c r="W29" i="39"/>
  <c r="X29" i="39" s="1"/>
  <c r="AE32" i="39"/>
  <c r="W33" i="39"/>
  <c r="W37" i="39"/>
  <c r="W41" i="39"/>
  <c r="W45" i="39"/>
  <c r="W49" i="39"/>
  <c r="X49" i="39" s="1"/>
  <c r="U11" i="39"/>
  <c r="AE13" i="39"/>
  <c r="AJ15" i="39"/>
  <c r="U18" i="39"/>
  <c r="U22" i="39"/>
  <c r="U26" i="39"/>
  <c r="U30" i="39"/>
  <c r="U34" i="39"/>
  <c r="U38" i="39"/>
  <c r="U42" i="39"/>
  <c r="U46" i="39"/>
  <c r="U50" i="39"/>
  <c r="W6" i="39"/>
  <c r="U7" i="39"/>
  <c r="W14" i="39"/>
  <c r="X14" i="39" s="1"/>
  <c r="W11" i="39"/>
  <c r="U15" i="39"/>
  <c r="W18" i="39"/>
  <c r="W22" i="39"/>
  <c r="W26" i="39"/>
  <c r="W30" i="39"/>
  <c r="W34" i="39"/>
  <c r="W38" i="39"/>
  <c r="W42" i="39"/>
  <c r="X42" i="39" s="1"/>
  <c r="W46" i="39"/>
  <c r="M70" i="68"/>
  <c r="C44" i="2"/>
  <c r="P44" i="68"/>
  <c r="C40" i="2"/>
  <c r="AN10" i="15"/>
  <c r="AN19" i="15"/>
  <c r="AN96" i="15"/>
  <c r="AN388" i="15"/>
  <c r="AN436" i="15"/>
  <c r="AN448" i="15"/>
  <c r="AN23" i="23"/>
  <c r="AN35" i="32"/>
  <c r="AN47" i="32"/>
  <c r="AN12" i="38"/>
  <c r="AN48" i="46"/>
  <c r="T28" i="67"/>
  <c r="AN21" i="5"/>
  <c r="AN31" i="15"/>
  <c r="AN365" i="15"/>
  <c r="AN23" i="26"/>
  <c r="AN17" i="28"/>
  <c r="AN27" i="31"/>
  <c r="AN12" i="32"/>
  <c r="AN36" i="32"/>
  <c r="AN48" i="32"/>
  <c r="AN16" i="33"/>
  <c r="AN15" i="34"/>
  <c r="AN9" i="40"/>
  <c r="AN33" i="75"/>
  <c r="AN37" i="75"/>
  <c r="AN16" i="56"/>
  <c r="AN15" i="58"/>
  <c r="AN10" i="60"/>
  <c r="AN17" i="60"/>
  <c r="AN21" i="60"/>
  <c r="AN17" i="14"/>
  <c r="AN390" i="15"/>
  <c r="AN19" i="58"/>
  <c r="AN12" i="15"/>
  <c r="AN110" i="15"/>
  <c r="AN356" i="15"/>
  <c r="AN367" i="15"/>
  <c r="AN46" i="20"/>
  <c r="AN49" i="22"/>
  <c r="AN17" i="31"/>
  <c r="AN39" i="39"/>
  <c r="AN18" i="43"/>
  <c r="AN18" i="75"/>
  <c r="AN13" i="5"/>
  <c r="AN24" i="5"/>
  <c r="AN34" i="15"/>
  <c r="AN309" i="15"/>
  <c r="AN12" i="16"/>
  <c r="AN15" i="23"/>
  <c r="AN17" i="26"/>
  <c r="AN20" i="28"/>
  <c r="AN32" i="28"/>
  <c r="AN15" i="45"/>
  <c r="AN14" i="5"/>
  <c r="AN298" i="15"/>
  <c r="AN334" i="15"/>
  <c r="AN453" i="15"/>
  <c r="AN16" i="35"/>
  <c r="AN13" i="41"/>
  <c r="AN14" i="56"/>
  <c r="AN20" i="58"/>
  <c r="AN15" i="5"/>
  <c r="AN15" i="15"/>
  <c r="AN67" i="15"/>
  <c r="AN264" i="15"/>
  <c r="AN394" i="15"/>
  <c r="AN430" i="15"/>
  <c r="AN23" i="19"/>
  <c r="AN13" i="20"/>
  <c r="AN30" i="22"/>
  <c r="AN34" i="69"/>
  <c r="AN18" i="26"/>
  <c r="AN19" i="29"/>
  <c r="AN31" i="29"/>
  <c r="AN53" i="32"/>
  <c r="AN27" i="47"/>
  <c r="AN19" i="75"/>
  <c r="AN27" i="5"/>
  <c r="AN80" i="15"/>
  <c r="AN102" i="15"/>
  <c r="AN114" i="15"/>
  <c r="AN241" i="15"/>
  <c r="AN253" i="15"/>
  <c r="AN300" i="15"/>
  <c r="AN490" i="15"/>
  <c r="AN502" i="15"/>
  <c r="AN514" i="15"/>
  <c r="AN19" i="27"/>
  <c r="AN12" i="45"/>
  <c r="AN35" i="75"/>
  <c r="AN9" i="59"/>
  <c r="AN37" i="15"/>
  <c r="AN48" i="15"/>
  <c r="AN254" i="15"/>
  <c r="AN325" i="15"/>
  <c r="AN456" i="15"/>
  <c r="AN14" i="41"/>
  <c r="AN13" i="44"/>
  <c r="AN55" i="75"/>
  <c r="AN18" i="5"/>
  <c r="AN27" i="12"/>
  <c r="AN104" i="15"/>
  <c r="AN231" i="15"/>
  <c r="AN445" i="15"/>
  <c r="AN481" i="15"/>
  <c r="AN492" i="15"/>
  <c r="AN504" i="15"/>
  <c r="AN10" i="24"/>
  <c r="AN21" i="27"/>
  <c r="AN13" i="28"/>
  <c r="AN22" i="41"/>
  <c r="AN9" i="43"/>
  <c r="AN19" i="71"/>
  <c r="AN14" i="57"/>
  <c r="AN20" i="63"/>
  <c r="AN30" i="5"/>
  <c r="AN36" i="5"/>
  <c r="AN28" i="15"/>
  <c r="AN50" i="15"/>
  <c r="AN60" i="15"/>
  <c r="AN505" i="15"/>
  <c r="AN24" i="31"/>
  <c r="AN10" i="32"/>
  <c r="AN33" i="32"/>
  <c r="AN45" i="32"/>
  <c r="AN57" i="32"/>
  <c r="AN13" i="36"/>
  <c r="AN18" i="37"/>
  <c r="AN31" i="5"/>
  <c r="AN304" i="15"/>
  <c r="AN340" i="15"/>
  <c r="AN399" i="15"/>
  <c r="AN435" i="15"/>
  <c r="AN9" i="16"/>
  <c r="AN22" i="23"/>
  <c r="AN15" i="28"/>
  <c r="AN23" i="38"/>
  <c r="AN17" i="42"/>
  <c r="AN21" i="42"/>
  <c r="AN56" i="75"/>
  <c r="AN9" i="56"/>
  <c r="AN15" i="57"/>
  <c r="AN18" i="58"/>
  <c r="AN9" i="61"/>
  <c r="AN10" i="63"/>
  <c r="AN13" i="3"/>
  <c r="AN33" i="5"/>
  <c r="AN14" i="6"/>
  <c r="AN13" i="13"/>
  <c r="AN220" i="65"/>
  <c r="AN11" i="12"/>
  <c r="AN21" i="12"/>
  <c r="AN9" i="14"/>
  <c r="T40" i="67"/>
  <c r="AN221" i="65"/>
  <c r="AN225" i="65"/>
  <c r="AN229" i="65"/>
  <c r="AN26" i="5"/>
  <c r="AN42" i="5"/>
  <c r="AN10" i="6"/>
  <c r="AN11" i="6"/>
  <c r="AN23" i="12"/>
  <c r="AN24" i="12"/>
  <c r="AN10" i="14"/>
  <c r="AN286" i="15"/>
  <c r="AN28" i="5"/>
  <c r="AN12" i="6"/>
  <c r="AN20" i="26"/>
  <c r="AN10" i="3"/>
  <c r="T37" i="67"/>
  <c r="AN211" i="65"/>
  <c r="AN17" i="12"/>
  <c r="AN227" i="65"/>
  <c r="AN20" i="5"/>
  <c r="AN12" i="13"/>
  <c r="AN14" i="14"/>
  <c r="AN27" i="15"/>
  <c r="AN90" i="15"/>
  <c r="AN263" i="15"/>
  <c r="AN274" i="15"/>
  <c r="AN308" i="15"/>
  <c r="AN331" i="15"/>
  <c r="AN364" i="15"/>
  <c r="AN398" i="15"/>
  <c r="AN421" i="15"/>
  <c r="AN432" i="15"/>
  <c r="AN444" i="15"/>
  <c r="AN489" i="15"/>
  <c r="AN501" i="15"/>
  <c r="AN513" i="15"/>
  <c r="AN13" i="16"/>
  <c r="AN23" i="16"/>
  <c r="AN19" i="74"/>
  <c r="AN23" i="74"/>
  <c r="AN19" i="18"/>
  <c r="AN19" i="19"/>
  <c r="AN21" i="20"/>
  <c r="AN33" i="20"/>
  <c r="AN45" i="20"/>
  <c r="AN57" i="20"/>
  <c r="AN26" i="22"/>
  <c r="AN48" i="22"/>
  <c r="AN14" i="70"/>
  <c r="AN18" i="72"/>
  <c r="AN9" i="23"/>
  <c r="AN22" i="25"/>
  <c r="AN18" i="27"/>
  <c r="AN31" i="28"/>
  <c r="AN40" i="28"/>
  <c r="AN23" i="31"/>
  <c r="AN20" i="32"/>
  <c r="AN32" i="32"/>
  <c r="AN44" i="32"/>
  <c r="AN66" i="32"/>
  <c r="AN21" i="33"/>
  <c r="AN10" i="38"/>
  <c r="AN18" i="40"/>
  <c r="AN11" i="45"/>
  <c r="AN13" i="46"/>
  <c r="AN32" i="46"/>
  <c r="AN9" i="47"/>
  <c r="AN67" i="47"/>
  <c r="AN26" i="75"/>
  <c r="AN30" i="75"/>
  <c r="AN45" i="75"/>
  <c r="AN60" i="75"/>
  <c r="AN9" i="49"/>
  <c r="AN10" i="51"/>
  <c r="AN17" i="51"/>
  <c r="AN11" i="53"/>
  <c r="AN18" i="53"/>
  <c r="AN22" i="53"/>
  <c r="AN26" i="53"/>
  <c r="AN19" i="54"/>
  <c r="AN14" i="55"/>
  <c r="AN11" i="60"/>
  <c r="AN12" i="62"/>
  <c r="AN19" i="62"/>
  <c r="AN14" i="63"/>
  <c r="AN21" i="63"/>
  <c r="AN12" i="64"/>
  <c r="AN11" i="15"/>
  <c r="AN29" i="15"/>
  <c r="AN49" i="15"/>
  <c r="AN58" i="15"/>
  <c r="AN59" i="15"/>
  <c r="AN91" i="15"/>
  <c r="AN92" i="15"/>
  <c r="AN265" i="15"/>
  <c r="AN310" i="15"/>
  <c r="AN343" i="15"/>
  <c r="AN355" i="15"/>
  <c r="AN389" i="15"/>
  <c r="AN400" i="15"/>
  <c r="AN457" i="15"/>
  <c r="AN467" i="15"/>
  <c r="AN480" i="15"/>
  <c r="AN491" i="15"/>
  <c r="AN503" i="15"/>
  <c r="AN515" i="15"/>
  <c r="AN23" i="20"/>
  <c r="AN35" i="20"/>
  <c r="AN47" i="20"/>
  <c r="AN39" i="22"/>
  <c r="AN50" i="22"/>
  <c r="AN14" i="69"/>
  <c r="AN20" i="69"/>
  <c r="AN64" i="69"/>
  <c r="AN21" i="70"/>
  <c r="AN22" i="70"/>
  <c r="AN10" i="23"/>
  <c r="AN10" i="27"/>
  <c r="AN33" i="28"/>
  <c r="AN9" i="29"/>
  <c r="AN18" i="29"/>
  <c r="AN30" i="29"/>
  <c r="AN42" i="29"/>
  <c r="AN59" i="29"/>
  <c r="AN9" i="31"/>
  <c r="AN11" i="32"/>
  <c r="AN22" i="32"/>
  <c r="AN34" i="32"/>
  <c r="AN171" i="32"/>
  <c r="AN11" i="33"/>
  <c r="AN13" i="34"/>
  <c r="AN16" i="34"/>
  <c r="AN20" i="34"/>
  <c r="AN23" i="35"/>
  <c r="AN11" i="66"/>
  <c r="AN21" i="39"/>
  <c r="AN33" i="39"/>
  <c r="AN45" i="39"/>
  <c r="AN49" i="39"/>
  <c r="AN44" i="47"/>
  <c r="AN52" i="47"/>
  <c r="AN56" i="47"/>
  <c r="AN12" i="75"/>
  <c r="AN20" i="49"/>
  <c r="AN10" i="56"/>
  <c r="AN23" i="57"/>
  <c r="AN27" i="57"/>
  <c r="AN31" i="57"/>
  <c r="AN35" i="57"/>
  <c r="T33" i="67"/>
  <c r="AN16" i="42"/>
  <c r="AN10" i="43"/>
  <c r="AN9" i="44"/>
  <c r="AN25" i="46"/>
  <c r="AN42" i="75"/>
  <c r="AN65" i="75"/>
  <c r="AN9" i="50"/>
  <c r="AN19" i="53"/>
  <c r="AN27" i="53"/>
  <c r="AN35" i="53"/>
  <c r="AN39" i="53"/>
  <c r="AN47" i="53"/>
  <c r="AN51" i="53"/>
  <c r="AN21" i="73"/>
  <c r="AN12" i="59"/>
  <c r="AN82" i="15"/>
  <c r="AN232" i="15"/>
  <c r="AN255" i="15"/>
  <c r="AN289" i="15"/>
  <c r="AN301" i="15"/>
  <c r="AN345" i="15"/>
  <c r="AN368" i="15"/>
  <c r="AN379" i="15"/>
  <c r="AN391" i="15"/>
  <c r="AN424" i="15"/>
  <c r="AN458" i="15"/>
  <c r="AN493" i="15"/>
  <c r="AN49" i="20"/>
  <c r="AN54" i="22"/>
  <c r="AN12" i="72"/>
  <c r="AN19" i="72"/>
  <c r="AN12" i="25"/>
  <c r="AN22" i="27"/>
  <c r="AN10" i="29"/>
  <c r="AN14" i="39"/>
  <c r="AN23" i="40"/>
  <c r="AN20" i="44"/>
  <c r="AN10" i="47"/>
  <c r="AN24" i="52"/>
  <c r="AN15" i="55"/>
  <c r="AN20" i="62"/>
  <c r="AN24" i="62"/>
  <c r="AN21" i="15"/>
  <c r="AN233" i="15"/>
  <c r="AN245" i="15"/>
  <c r="AN256" i="15"/>
  <c r="AN313" i="15"/>
  <c r="AN324" i="15"/>
  <c r="AN336" i="15"/>
  <c r="AN346" i="15"/>
  <c r="AN380" i="15"/>
  <c r="AN403" i="15"/>
  <c r="AN426" i="15"/>
  <c r="AN494" i="15"/>
  <c r="AN506" i="15"/>
  <c r="AN9" i="18"/>
  <c r="AN22" i="18"/>
  <c r="AN26" i="20"/>
  <c r="AN38" i="20"/>
  <c r="AN50" i="20"/>
  <c r="AN52" i="22"/>
  <c r="AN62" i="22"/>
  <c r="AN12" i="26"/>
  <c r="AN20" i="29"/>
  <c r="AN21" i="29"/>
  <c r="AN32" i="29"/>
  <c r="AN33" i="29"/>
  <c r="AN44" i="29"/>
  <c r="AN45" i="29"/>
  <c r="AN25" i="32"/>
  <c r="AN37" i="32"/>
  <c r="AN59" i="32"/>
  <c r="AN81" i="32"/>
  <c r="AN12" i="33"/>
  <c r="AN10" i="35"/>
  <c r="AN20" i="35"/>
  <c r="AN11" i="39"/>
  <c r="AN18" i="39"/>
  <c r="AN30" i="39"/>
  <c r="AN42" i="39"/>
  <c r="AN9" i="45"/>
  <c r="AN19" i="45"/>
  <c r="AN14" i="46"/>
  <c r="AN18" i="46"/>
  <c r="AN22" i="46"/>
  <c r="AN57" i="46"/>
  <c r="AN49" i="47"/>
  <c r="AN53" i="47"/>
  <c r="AN61" i="47"/>
  <c r="AN39" i="75"/>
  <c r="AN10" i="49"/>
  <c r="AN16" i="50"/>
  <c r="AN15" i="51"/>
  <c r="AN10" i="52"/>
  <c r="AN9" i="53"/>
  <c r="AN12" i="53"/>
  <c r="AN11" i="73"/>
  <c r="AN13" i="54"/>
  <c r="AN107" i="15"/>
  <c r="AN280" i="15"/>
  <c r="AN291" i="15"/>
  <c r="AN370" i="15"/>
  <c r="AN381" i="15"/>
  <c r="AN404" i="15"/>
  <c r="AN415" i="15"/>
  <c r="AN427" i="15"/>
  <c r="AN438" i="15"/>
  <c r="AN472" i="15"/>
  <c r="AN495" i="15"/>
  <c r="AN507" i="15"/>
  <c r="AN18" i="16"/>
  <c r="AN10" i="74"/>
  <c r="AN17" i="74"/>
  <c r="AN21" i="74"/>
  <c r="AN23" i="18"/>
  <c r="AN27" i="20"/>
  <c r="AN39" i="20"/>
  <c r="AN51" i="20"/>
  <c r="AN16" i="72"/>
  <c r="AN20" i="72"/>
  <c r="AN13" i="23"/>
  <c r="AN22" i="29"/>
  <c r="AN34" i="29"/>
  <c r="AN46" i="29"/>
  <c r="AN26" i="32"/>
  <c r="AN38" i="32"/>
  <c r="AN82" i="32"/>
  <c r="AN14" i="38"/>
  <c r="AN66" i="75"/>
  <c r="AN15" i="56"/>
  <c r="AN16" i="60"/>
  <c r="AN22" i="61"/>
  <c r="AN23" i="15"/>
  <c r="AN33" i="15"/>
  <c r="AN74" i="15"/>
  <c r="AN108" i="15"/>
  <c r="AN120" i="15"/>
  <c r="AN247" i="15"/>
  <c r="AN258" i="15"/>
  <c r="AN292" i="15"/>
  <c r="AN326" i="15"/>
  <c r="AN348" i="15"/>
  <c r="AN382" i="15"/>
  <c r="AN439" i="15"/>
  <c r="AN462" i="15"/>
  <c r="AN496" i="15"/>
  <c r="AN508" i="15"/>
  <c r="AN10" i="16"/>
  <c r="AN16" i="20"/>
  <c r="AN28" i="20"/>
  <c r="AN40" i="20"/>
  <c r="AN52" i="20"/>
  <c r="AN21" i="22"/>
  <c r="AN29" i="69"/>
  <c r="AN15" i="24"/>
  <c r="AN13" i="25"/>
  <c r="AN9" i="26"/>
  <c r="AN26" i="28"/>
  <c r="AN16" i="30"/>
  <c r="AN15" i="32"/>
  <c r="AN27" i="32"/>
  <c r="AN39" i="32"/>
  <c r="AN61" i="32"/>
  <c r="AN9" i="37"/>
  <c r="AN15" i="38"/>
  <c r="AN15" i="39"/>
  <c r="AN12" i="41"/>
  <c r="AN23" i="41"/>
  <c r="AN21" i="44"/>
  <c r="AN16" i="45"/>
  <c r="AN34" i="46"/>
  <c r="AN38" i="46"/>
  <c r="AN42" i="46"/>
  <c r="AN81" i="46"/>
  <c r="AN16" i="71"/>
  <c r="AN16" i="55"/>
  <c r="AN20" i="55"/>
  <c r="AN24" i="55"/>
  <c r="AN10" i="57"/>
  <c r="AN9" i="58"/>
  <c r="AN10" i="59"/>
  <c r="AN17" i="62"/>
  <c r="AN21" i="62"/>
  <c r="AN16" i="63"/>
  <c r="AN98" i="15"/>
  <c r="AN259" i="15"/>
  <c r="AN282" i="15"/>
  <c r="AN316" i="15"/>
  <c r="AN327" i="15"/>
  <c r="AN349" i="15"/>
  <c r="AN360" i="15"/>
  <c r="AN372" i="15"/>
  <c r="AN383" i="15"/>
  <c r="AN406" i="15"/>
  <c r="AN417" i="15"/>
  <c r="AN463" i="15"/>
  <c r="AN474" i="15"/>
  <c r="AN497" i="15"/>
  <c r="AN509" i="15"/>
  <c r="AN20" i="16"/>
  <c r="AN29" i="20"/>
  <c r="AN41" i="20"/>
  <c r="AN53" i="20"/>
  <c r="AN22" i="22"/>
  <c r="AN33" i="22"/>
  <c r="AN61" i="22"/>
  <c r="AN60" i="69"/>
  <c r="AN12" i="70"/>
  <c r="AN27" i="28"/>
  <c r="AN16" i="32"/>
  <c r="AN84" i="32"/>
  <c r="AN9" i="41"/>
  <c r="AN11" i="42"/>
  <c r="AN14" i="42"/>
  <c r="AN58" i="47"/>
  <c r="AN21" i="75"/>
  <c r="AN9" i="51"/>
  <c r="AN65" i="15"/>
  <c r="AN237" i="15"/>
  <c r="AN271" i="15"/>
  <c r="AN283" i="15"/>
  <c r="AN294" i="15"/>
  <c r="AN317" i="15"/>
  <c r="AN328" i="15"/>
  <c r="AN350" i="15"/>
  <c r="AN361" i="15"/>
  <c r="AN373" i="15"/>
  <c r="AN384" i="15"/>
  <c r="AN407" i="15"/>
  <c r="AN418" i="15"/>
  <c r="AN440" i="15"/>
  <c r="AN475" i="15"/>
  <c r="AN498" i="15"/>
  <c r="AN510" i="15"/>
  <c r="AN18" i="20"/>
  <c r="AN30" i="20"/>
  <c r="AN42" i="20"/>
  <c r="AN54" i="20"/>
  <c r="AN61" i="20"/>
  <c r="AN23" i="22"/>
  <c r="AN34" i="22"/>
  <c r="AN12" i="69"/>
  <c r="AN61" i="69"/>
  <c r="AN18" i="70"/>
  <c r="AN21" i="25"/>
  <c r="AN18" i="28"/>
  <c r="AN28" i="28"/>
  <c r="AN25" i="29"/>
  <c r="AN10" i="30"/>
  <c r="AN12" i="31"/>
  <c r="AN17" i="32"/>
  <c r="AN29" i="32"/>
  <c r="AN52" i="32"/>
  <c r="AN63" i="32"/>
  <c r="AN73" i="32"/>
  <c r="AN23" i="37"/>
  <c r="AN12" i="43"/>
  <c r="AN27" i="46"/>
  <c r="AN66" i="46"/>
  <c r="AN11" i="75"/>
  <c r="AN29" i="75"/>
  <c r="AN48" i="75"/>
  <c r="AN15" i="49"/>
  <c r="AN16" i="58"/>
  <c r="AN19" i="61"/>
  <c r="AN22" i="62"/>
  <c r="AN35" i="15"/>
  <c r="AN55" i="15"/>
  <c r="AN272" i="15"/>
  <c r="AN295" i="15"/>
  <c r="AN318" i="15"/>
  <c r="AN351" i="15"/>
  <c r="AN362" i="15"/>
  <c r="AN385" i="15"/>
  <c r="AN408" i="15"/>
  <c r="AN419" i="15"/>
  <c r="AN499" i="15"/>
  <c r="AN511" i="15"/>
  <c r="AN10" i="20"/>
  <c r="AN19" i="20"/>
  <c r="AN31" i="20"/>
  <c r="AN43" i="20"/>
  <c r="AN55" i="20"/>
  <c r="AN17" i="23"/>
  <c r="AN16" i="27"/>
  <c r="AN19" i="28"/>
  <c r="AN18" i="30"/>
  <c r="AN13" i="31"/>
  <c r="AN18" i="32"/>
  <c r="AN74" i="32"/>
  <c r="AN18" i="42"/>
  <c r="AN18" i="44"/>
  <c r="AN10" i="45"/>
  <c r="AN39" i="46"/>
  <c r="AN43" i="46"/>
  <c r="AN47" i="46"/>
  <c r="AN23" i="56"/>
  <c r="AN15" i="14"/>
  <c r="AN26" i="15"/>
  <c r="AN56" i="15"/>
  <c r="AN78" i="15"/>
  <c r="AN273" i="15"/>
  <c r="AN307" i="15"/>
  <c r="AN319" i="15"/>
  <c r="AN352" i="15"/>
  <c r="AN363" i="15"/>
  <c r="AN397" i="15"/>
  <c r="AN409" i="15"/>
  <c r="AN420" i="15"/>
  <c r="AN454" i="15"/>
  <c r="AN500" i="15"/>
  <c r="AN512" i="15"/>
  <c r="AN22" i="16"/>
  <c r="AN18" i="18"/>
  <c r="AN20" i="20"/>
  <c r="AN32" i="20"/>
  <c r="AN44" i="20"/>
  <c r="AN56" i="20"/>
  <c r="AN13" i="22"/>
  <c r="AN25" i="22"/>
  <c r="AN18" i="69"/>
  <c r="AN31" i="69"/>
  <c r="AN20" i="70"/>
  <c r="AN11" i="72"/>
  <c r="AN14" i="72"/>
  <c r="AN18" i="23"/>
  <c r="AN9" i="24"/>
  <c r="AN11" i="25"/>
  <c r="AN10" i="26"/>
  <c r="AN19" i="26"/>
  <c r="AN10" i="28"/>
  <c r="AN30" i="28"/>
  <c r="AN15" i="29"/>
  <c r="AN27" i="29"/>
  <c r="AN39" i="29"/>
  <c r="AN19" i="32"/>
  <c r="AN43" i="32"/>
  <c r="AN75" i="32"/>
  <c r="AN17" i="33"/>
  <c r="AN18" i="35"/>
  <c r="AN22" i="35"/>
  <c r="AN17" i="37"/>
  <c r="AN13" i="66"/>
  <c r="AN10" i="41"/>
  <c r="AP8" i="43"/>
  <c r="AN31" i="47"/>
  <c r="AN35" i="47"/>
  <c r="AN43" i="47"/>
  <c r="AN12" i="49"/>
  <c r="AN23" i="49"/>
  <c r="AN18" i="50"/>
  <c r="AN21" i="71"/>
  <c r="AN13" i="56"/>
  <c r="AN18" i="57"/>
  <c r="AN22" i="57"/>
  <c r="AN26" i="57"/>
  <c r="AN30" i="57"/>
  <c r="AN34" i="57"/>
  <c r="AN38" i="57"/>
  <c r="AN42" i="57"/>
  <c r="AN13" i="61"/>
  <c r="AN20" i="61"/>
  <c r="AN24" i="61"/>
  <c r="AN15" i="62"/>
  <c r="AN7" i="38"/>
  <c r="T46" i="68"/>
  <c r="E43" i="2" s="1"/>
  <c r="AL8" i="38"/>
  <c r="AJ8" i="38"/>
  <c r="AL7" i="38"/>
  <c r="AJ7" i="38"/>
  <c r="AN8" i="38"/>
  <c r="U13" i="38"/>
  <c r="U16" i="38"/>
  <c r="U20" i="38"/>
  <c r="U24" i="38"/>
  <c r="K48" i="68"/>
  <c r="W5" i="38"/>
  <c r="U10" i="38"/>
  <c r="W13" i="38"/>
  <c r="W16" i="38"/>
  <c r="W20" i="38"/>
  <c r="W24" i="38"/>
  <c r="J48" i="68"/>
  <c r="U6" i="38"/>
  <c r="U17" i="38"/>
  <c r="U21" i="38"/>
  <c r="L48" i="68"/>
  <c r="W10" i="38"/>
  <c r="P48" i="68"/>
  <c r="W6" i="38"/>
  <c r="U11" i="38"/>
  <c r="U14" i="38"/>
  <c r="W17" i="38"/>
  <c r="W21" i="38"/>
  <c r="U18" i="38"/>
  <c r="U22" i="38"/>
  <c r="W11" i="38"/>
  <c r="W14" i="38"/>
  <c r="U15" i="38"/>
  <c r="W18" i="38"/>
  <c r="W22" i="38"/>
  <c r="U12" i="38"/>
  <c r="U19" i="38"/>
  <c r="U23" i="38"/>
  <c r="W8" i="38"/>
  <c r="U9" i="38"/>
  <c r="W15" i="38"/>
  <c r="W12" i="38"/>
  <c r="W19" i="38"/>
  <c r="U11" i="37"/>
  <c r="U18" i="37"/>
  <c r="W21" i="37"/>
  <c r="W6" i="37"/>
  <c r="U7" i="37"/>
  <c r="W14" i="37"/>
  <c r="U15" i="37"/>
  <c r="W18" i="37"/>
  <c r="U22" i="37"/>
  <c r="AD6" i="37"/>
  <c r="W7" i="37"/>
  <c r="U8" i="37"/>
  <c r="U19" i="37"/>
  <c r="W8" i="37"/>
  <c r="U9" i="37"/>
  <c r="W19" i="37"/>
  <c r="U23" i="37"/>
  <c r="AH6" i="37"/>
  <c r="AI6" i="37" s="1"/>
  <c r="AL6" i="37" s="1"/>
  <c r="U13" i="37"/>
  <c r="W23" i="37"/>
  <c r="U5" i="37"/>
  <c r="W16" i="37"/>
  <c r="W20" i="37"/>
  <c r="U24" i="37"/>
  <c r="U10" i="37"/>
  <c r="W13" i="37"/>
  <c r="U17" i="37"/>
  <c r="U6" i="37"/>
  <c r="W10" i="37"/>
  <c r="U14" i="37"/>
  <c r="AL87" i="32"/>
  <c r="AJ87" i="32"/>
  <c r="AJ96" i="32"/>
  <c r="AL96" i="32"/>
  <c r="AL100" i="32"/>
  <c r="AJ100" i="32"/>
  <c r="AL140" i="32"/>
  <c r="AJ140" i="32"/>
  <c r="AJ119" i="32"/>
  <c r="AL119" i="32"/>
  <c r="AL123" i="32"/>
  <c r="AJ123" i="32"/>
  <c r="AJ142" i="32"/>
  <c r="AJ163" i="32"/>
  <c r="AL132" i="32"/>
  <c r="AJ132" i="32"/>
  <c r="AL165" i="32"/>
  <c r="AL113" i="32"/>
  <c r="AJ141" i="32"/>
  <c r="AL141" i="32"/>
  <c r="AL151" i="32"/>
  <c r="AJ151" i="32"/>
  <c r="AJ153" i="32"/>
  <c r="AL109" i="32"/>
  <c r="AJ109" i="32"/>
  <c r="AJ152" i="32"/>
  <c r="AL152" i="32"/>
  <c r="AL155" i="32"/>
  <c r="AJ155" i="32"/>
  <c r="AL98" i="32"/>
  <c r="AJ98" i="32"/>
  <c r="AL102" i="32"/>
  <c r="AL164" i="32"/>
  <c r="AJ164" i="32"/>
  <c r="AN87" i="32"/>
  <c r="AL112" i="32"/>
  <c r="AL121" i="32"/>
  <c r="AJ121" i="32"/>
  <c r="AJ129" i="32"/>
  <c r="AJ131" i="32"/>
  <c r="AL143" i="32"/>
  <c r="AJ143" i="32"/>
  <c r="AL146" i="32"/>
  <c r="AL162" i="32"/>
  <c r="AJ162" i="32"/>
  <c r="AJ108" i="32"/>
  <c r="AL108" i="32"/>
  <c r="AL134" i="32"/>
  <c r="AJ134" i="32"/>
  <c r="AJ95" i="32"/>
  <c r="AL111" i="32"/>
  <c r="AJ111" i="32"/>
  <c r="AL157" i="32"/>
  <c r="AJ97" i="32"/>
  <c r="AJ118" i="32"/>
  <c r="AL145" i="32"/>
  <c r="AL154" i="32"/>
  <c r="AL172" i="32"/>
  <c r="AJ172" i="32"/>
  <c r="AM141" i="32"/>
  <c r="AM152" i="32"/>
  <c r="AE91" i="32"/>
  <c r="AM95" i="32"/>
  <c r="AE103" i="32"/>
  <c r="AN104" i="32"/>
  <c r="AM107" i="32"/>
  <c r="AE114" i="32"/>
  <c r="AM118" i="32"/>
  <c r="AE126" i="32"/>
  <c r="AM129" i="32"/>
  <c r="AE136" i="32"/>
  <c r="AE147" i="32"/>
  <c r="AN148" i="32"/>
  <c r="AM151" i="32"/>
  <c r="AE158" i="32"/>
  <c r="AN159" i="32"/>
  <c r="AM162" i="32"/>
  <c r="AH166" i="32"/>
  <c r="AI166" i="32" s="1"/>
  <c r="AL166" i="32" s="1"/>
  <c r="AE169" i="32"/>
  <c r="AM172" i="32"/>
  <c r="AN93" i="32"/>
  <c r="AN149" i="32"/>
  <c r="AM97" i="32"/>
  <c r="AM120" i="32"/>
  <c r="AM131" i="32"/>
  <c r="AM142" i="32"/>
  <c r="AM153" i="32"/>
  <c r="AN161" i="32"/>
  <c r="AM163" i="32"/>
  <c r="AJ89" i="32"/>
  <c r="AH91" i="32"/>
  <c r="AI91" i="32" s="1"/>
  <c r="AL91" i="32" s="1"/>
  <c r="AE94" i="32"/>
  <c r="AN94" i="32" s="1"/>
  <c r="AD95" i="32"/>
  <c r="AJ101" i="32"/>
  <c r="AH103" i="32"/>
  <c r="AI103" i="32" s="1"/>
  <c r="AL103" i="32" s="1"/>
  <c r="AE106" i="32"/>
  <c r="AD107" i="32"/>
  <c r="AJ112" i="32"/>
  <c r="AH114" i="32"/>
  <c r="AI114" i="32" s="1"/>
  <c r="AL114" i="32" s="1"/>
  <c r="AE117" i="32"/>
  <c r="AD118" i="32"/>
  <c r="AJ124" i="32"/>
  <c r="AH126" i="32"/>
  <c r="AI126" i="32" s="1"/>
  <c r="AL126" i="32" s="1"/>
  <c r="AE128" i="32"/>
  <c r="AN128" i="32" s="1"/>
  <c r="AD129" i="32"/>
  <c r="AJ135" i="32"/>
  <c r="AH136" i="32"/>
  <c r="AI136" i="32" s="1"/>
  <c r="AL136" i="32" s="1"/>
  <c r="AE139" i="32"/>
  <c r="AD140" i="32"/>
  <c r="AM143" i="32"/>
  <c r="AJ145" i="32"/>
  <c r="AH147" i="32"/>
  <c r="AI147" i="32" s="1"/>
  <c r="AL147" i="32" s="1"/>
  <c r="AE150" i="32"/>
  <c r="AN150" i="32" s="1"/>
  <c r="AD151" i="32"/>
  <c r="AJ156" i="32"/>
  <c r="AH158" i="32"/>
  <c r="AI158" i="32" s="1"/>
  <c r="AL158" i="32" s="1"/>
  <c r="AD162" i="32"/>
  <c r="AM164" i="32"/>
  <c r="AJ167" i="32"/>
  <c r="AH169" i="32"/>
  <c r="AI169" i="32" s="1"/>
  <c r="AJ169" i="32" s="1"/>
  <c r="AD172" i="32"/>
  <c r="AN105" i="32"/>
  <c r="AJ90" i="32"/>
  <c r="AH92" i="32"/>
  <c r="AI92" i="32" s="1"/>
  <c r="AL92" i="32" s="1"/>
  <c r="AE95" i="32"/>
  <c r="AN95" i="32" s="1"/>
  <c r="AD96" i="32"/>
  <c r="AJ102" i="32"/>
  <c r="AH104" i="32"/>
  <c r="AI104" i="32" s="1"/>
  <c r="AL104" i="32" s="1"/>
  <c r="AE107" i="32"/>
  <c r="AD108" i="32"/>
  <c r="AJ113" i="32"/>
  <c r="AH115" i="32"/>
  <c r="AI115" i="32" s="1"/>
  <c r="AL115" i="32" s="1"/>
  <c r="AE118" i="32"/>
  <c r="AD119" i="32"/>
  <c r="AJ125" i="32"/>
  <c r="AE129" i="32"/>
  <c r="AD130" i="32"/>
  <c r="AH137" i="32"/>
  <c r="AI137" i="32" s="1"/>
  <c r="AL137" i="32" s="1"/>
  <c r="AE140" i="32"/>
  <c r="AD141" i="32"/>
  <c r="AM144" i="32"/>
  <c r="AN144" i="32" s="1"/>
  <c r="AJ146" i="32"/>
  <c r="AH148" i="32"/>
  <c r="AI148" i="32" s="1"/>
  <c r="AL148" i="32" s="1"/>
  <c r="AE151" i="32"/>
  <c r="AD152" i="32"/>
  <c r="AM154" i="32"/>
  <c r="AJ157" i="32"/>
  <c r="AH159" i="32"/>
  <c r="AI159" i="32" s="1"/>
  <c r="AL159" i="32" s="1"/>
  <c r="AE162" i="32"/>
  <c r="AM165" i="32"/>
  <c r="AH170" i="32"/>
  <c r="AI170" i="32" s="1"/>
  <c r="AL170" i="32" s="1"/>
  <c r="AE172" i="32"/>
  <c r="AM88" i="32"/>
  <c r="AN88" i="32" s="1"/>
  <c r="AH93" i="32"/>
  <c r="AI93" i="32" s="1"/>
  <c r="AL93" i="32" s="1"/>
  <c r="AE96" i="32"/>
  <c r="AD97" i="32"/>
  <c r="AM100" i="32"/>
  <c r="AH105" i="32"/>
  <c r="AI105" i="32" s="1"/>
  <c r="AL105" i="32" s="1"/>
  <c r="AE108" i="32"/>
  <c r="AM111" i="32"/>
  <c r="AH116" i="32"/>
  <c r="AI116" i="32" s="1"/>
  <c r="AL116" i="32" s="1"/>
  <c r="AE119" i="32"/>
  <c r="AD120" i="32"/>
  <c r="AM123" i="32"/>
  <c r="AN123" i="32" s="1"/>
  <c r="AH127" i="32"/>
  <c r="AI127" i="32" s="1"/>
  <c r="AL127" i="32" s="1"/>
  <c r="AE130" i="32"/>
  <c r="AD131" i="32"/>
  <c r="AM134" i="32"/>
  <c r="AH138" i="32"/>
  <c r="AI138" i="32" s="1"/>
  <c r="AL138" i="32" s="1"/>
  <c r="AE141" i="32"/>
  <c r="AD142" i="32"/>
  <c r="AH149" i="32"/>
  <c r="AI149" i="32" s="1"/>
  <c r="AL149" i="32" s="1"/>
  <c r="AE152" i="32"/>
  <c r="AN152" i="32" s="1"/>
  <c r="AD153" i="32"/>
  <c r="AM155" i="32"/>
  <c r="AN155" i="32" s="1"/>
  <c r="AH160" i="32"/>
  <c r="AI160" i="32" s="1"/>
  <c r="AL160" i="32" s="1"/>
  <c r="AD163" i="32"/>
  <c r="AM166" i="32"/>
  <c r="AH171" i="32"/>
  <c r="AI171" i="32" s="1"/>
  <c r="AL171" i="32" s="1"/>
  <c r="AN138" i="32"/>
  <c r="AM89" i="32"/>
  <c r="AH94" i="32"/>
  <c r="AI94" i="32" s="1"/>
  <c r="AE97" i="32"/>
  <c r="AN98" i="32"/>
  <c r="AM101" i="32"/>
  <c r="AN101" i="32" s="1"/>
  <c r="AH106" i="32"/>
  <c r="AI106" i="32" s="1"/>
  <c r="AN109" i="32"/>
  <c r="AM112" i="32"/>
  <c r="AH117" i="32"/>
  <c r="AI117" i="32" s="1"/>
  <c r="AL117" i="32" s="1"/>
  <c r="AE120" i="32"/>
  <c r="AM124" i="32"/>
  <c r="AN124" i="32" s="1"/>
  <c r="AH128" i="32"/>
  <c r="AI128" i="32" s="1"/>
  <c r="AL128" i="32" s="1"/>
  <c r="AE131" i="32"/>
  <c r="AN132" i="32"/>
  <c r="AM135" i="32"/>
  <c r="AN135" i="32" s="1"/>
  <c r="AH139" i="32"/>
  <c r="AI139" i="32" s="1"/>
  <c r="AL139" i="32" s="1"/>
  <c r="AE142" i="32"/>
  <c r="AN142" i="32" s="1"/>
  <c r="AM145" i="32"/>
  <c r="AN145" i="32" s="1"/>
  <c r="AH150" i="32"/>
  <c r="AI150" i="32" s="1"/>
  <c r="AE153" i="32"/>
  <c r="AM156" i="32"/>
  <c r="AH161" i="32"/>
  <c r="AI161" i="32" s="1"/>
  <c r="AE163" i="32"/>
  <c r="AD164" i="32"/>
  <c r="AN164" i="32" s="1"/>
  <c r="AM167" i="32"/>
  <c r="AN127" i="32"/>
  <c r="AN99" i="32"/>
  <c r="AM113" i="32"/>
  <c r="AN122" i="32"/>
  <c r="AM125" i="32"/>
  <c r="AN133" i="32"/>
  <c r="AM146" i="32"/>
  <c r="AN154" i="32"/>
  <c r="AM157" i="32"/>
  <c r="AD165" i="32"/>
  <c r="AN165" i="32" s="1"/>
  <c r="AM168" i="32"/>
  <c r="AN168" i="32" s="1"/>
  <c r="AN160" i="32"/>
  <c r="AM91" i="32"/>
  <c r="AN100" i="32"/>
  <c r="AM103" i="32"/>
  <c r="AN111" i="32"/>
  <c r="AM114" i="32"/>
  <c r="AN114" i="32" s="1"/>
  <c r="AM126" i="32"/>
  <c r="AN126" i="32" s="1"/>
  <c r="AH130" i="32"/>
  <c r="AI130" i="32" s="1"/>
  <c r="AM136" i="32"/>
  <c r="AM147" i="32"/>
  <c r="AN147" i="32" s="1"/>
  <c r="AM158" i="32"/>
  <c r="AN158" i="32" s="1"/>
  <c r="AD166" i="32"/>
  <c r="AM169" i="32"/>
  <c r="AN90" i="32"/>
  <c r="AN102" i="32"/>
  <c r="U5" i="32"/>
  <c r="W16" i="32"/>
  <c r="W20" i="32"/>
  <c r="X20" i="32" s="1"/>
  <c r="W24" i="32"/>
  <c r="W28" i="32"/>
  <c r="W32" i="32"/>
  <c r="W36" i="32"/>
  <c r="W40" i="32"/>
  <c r="W44" i="32"/>
  <c r="W48" i="32"/>
  <c r="U56" i="32"/>
  <c r="U60" i="32"/>
  <c r="U64" i="32"/>
  <c r="U68" i="32"/>
  <c r="W71" i="32"/>
  <c r="X71" i="32" s="1"/>
  <c r="U91" i="32"/>
  <c r="U95" i="32"/>
  <c r="U99" i="32"/>
  <c r="U103" i="32"/>
  <c r="U107" i="32"/>
  <c r="W110" i="32"/>
  <c r="W114" i="32"/>
  <c r="W118" i="32"/>
  <c r="X118" i="32" s="1"/>
  <c r="W122" i="32"/>
  <c r="W126" i="32"/>
  <c r="X126" i="32" s="1"/>
  <c r="U138" i="32"/>
  <c r="U142" i="32"/>
  <c r="W145" i="32"/>
  <c r="W149" i="32"/>
  <c r="W153" i="32"/>
  <c r="U165" i="32"/>
  <c r="U169" i="32"/>
  <c r="W172" i="32"/>
  <c r="W5" i="32"/>
  <c r="U10" i="32"/>
  <c r="W13" i="32"/>
  <c r="U17" i="32"/>
  <c r="U21" i="32"/>
  <c r="U25" i="32"/>
  <c r="U29" i="32"/>
  <c r="U33" i="32"/>
  <c r="U37" i="32"/>
  <c r="U41" i="32"/>
  <c r="U45" i="32"/>
  <c r="U49" i="32"/>
  <c r="W52" i="32"/>
  <c r="U72" i="32"/>
  <c r="W75" i="32"/>
  <c r="W79" i="32"/>
  <c r="X79" i="32" s="1"/>
  <c r="W83" i="32"/>
  <c r="W87" i="32"/>
  <c r="X87" i="32" s="1"/>
  <c r="U111" i="32"/>
  <c r="U115" i="32"/>
  <c r="U119" i="32"/>
  <c r="U123" i="32"/>
  <c r="W130" i="32"/>
  <c r="W134" i="32"/>
  <c r="U146" i="32"/>
  <c r="U150" i="32"/>
  <c r="W157" i="32"/>
  <c r="W161" i="32"/>
  <c r="X161" i="32" s="1"/>
  <c r="W59" i="32"/>
  <c r="U6" i="32"/>
  <c r="U53" i="32"/>
  <c r="W56" i="32"/>
  <c r="W60" i="32"/>
  <c r="W64" i="32"/>
  <c r="W68" i="32"/>
  <c r="U76" i="32"/>
  <c r="U80" i="32"/>
  <c r="U84" i="32"/>
  <c r="W91" i="32"/>
  <c r="W95" i="32"/>
  <c r="X95" i="32" s="1"/>
  <c r="W99" i="32"/>
  <c r="W103" i="32"/>
  <c r="X103" i="32" s="1"/>
  <c r="W107" i="32"/>
  <c r="U127" i="32"/>
  <c r="U131" i="32"/>
  <c r="U135" i="32"/>
  <c r="W138" i="32"/>
  <c r="W142" i="32"/>
  <c r="U154" i="32"/>
  <c r="U158" i="32"/>
  <c r="U162" i="32"/>
  <c r="W165" i="32"/>
  <c r="X165" i="32" s="1"/>
  <c r="W169" i="32"/>
  <c r="W10" i="32"/>
  <c r="X10" i="32" s="1"/>
  <c r="U14" i="32"/>
  <c r="W17" i="32"/>
  <c r="W21" i="32"/>
  <c r="W25" i="32"/>
  <c r="W29" i="32"/>
  <c r="W33" i="32"/>
  <c r="W37" i="32"/>
  <c r="W41" i="32"/>
  <c r="X41" i="32" s="1"/>
  <c r="W45" i="32"/>
  <c r="W49" i="32"/>
  <c r="X49" i="32" s="1"/>
  <c r="U57" i="32"/>
  <c r="U61" i="32"/>
  <c r="U65" i="32"/>
  <c r="U69" i="32"/>
  <c r="W72" i="32"/>
  <c r="U88" i="32"/>
  <c r="U92" i="32"/>
  <c r="U96" i="32"/>
  <c r="U100" i="32"/>
  <c r="U104" i="32"/>
  <c r="U108" i="32"/>
  <c r="W111" i="32"/>
  <c r="X111" i="32" s="1"/>
  <c r="W115" i="32"/>
  <c r="W119" i="32"/>
  <c r="X119" i="32" s="1"/>
  <c r="W123" i="32"/>
  <c r="U139" i="32"/>
  <c r="U143" i="32"/>
  <c r="W146" i="32"/>
  <c r="W150" i="32"/>
  <c r="U166" i="32"/>
  <c r="U170" i="32"/>
  <c r="W6" i="32"/>
  <c r="X6" i="32" s="1"/>
  <c r="U7" i="32"/>
  <c r="U11" i="32"/>
  <c r="U18" i="32"/>
  <c r="U22" i="32"/>
  <c r="U26" i="32"/>
  <c r="U30" i="32"/>
  <c r="U34" i="32"/>
  <c r="U38" i="32"/>
  <c r="U42" i="32"/>
  <c r="U46" i="32"/>
  <c r="U50" i="32"/>
  <c r="W53" i="32"/>
  <c r="X53" i="32" s="1"/>
  <c r="W76" i="32"/>
  <c r="W80" i="32"/>
  <c r="X80" i="32" s="1"/>
  <c r="W84" i="32"/>
  <c r="U112" i="32"/>
  <c r="U116" i="32"/>
  <c r="U120" i="32"/>
  <c r="U124" i="32"/>
  <c r="W127" i="32"/>
  <c r="W131" i="32"/>
  <c r="W135" i="32"/>
  <c r="U147" i="32"/>
  <c r="U151" i="32"/>
  <c r="W154" i="32"/>
  <c r="W158" i="32"/>
  <c r="X158" i="32" s="1"/>
  <c r="W162" i="32"/>
  <c r="U13" i="32"/>
  <c r="U75" i="32"/>
  <c r="W90" i="32"/>
  <c r="W98" i="32"/>
  <c r="U161" i="32"/>
  <c r="W14" i="32"/>
  <c r="U54" i="32"/>
  <c r="W57" i="32"/>
  <c r="X57" i="32" s="1"/>
  <c r="W61" i="32"/>
  <c r="W65" i="32"/>
  <c r="W69" i="32"/>
  <c r="X69" i="32" s="1"/>
  <c r="U73" i="32"/>
  <c r="U77" i="32"/>
  <c r="U81" i="32"/>
  <c r="U85" i="32"/>
  <c r="W88" i="32"/>
  <c r="W92" i="32"/>
  <c r="W96" i="32"/>
  <c r="W100" i="32"/>
  <c r="W104" i="32"/>
  <c r="W108" i="32"/>
  <c r="X108" i="32" s="1"/>
  <c r="U128" i="32"/>
  <c r="U132" i="32"/>
  <c r="W139" i="32"/>
  <c r="W143" i="32"/>
  <c r="X143" i="32" s="1"/>
  <c r="U155" i="32"/>
  <c r="U159" i="32"/>
  <c r="W166" i="32"/>
  <c r="U174" i="32"/>
  <c r="W176" i="32"/>
  <c r="X176" i="32" s="1"/>
  <c r="U186" i="32"/>
  <c r="W188" i="32"/>
  <c r="X188" i="32" s="1"/>
  <c r="U198" i="32"/>
  <c r="W200" i="32"/>
  <c r="X200" i="32" s="1"/>
  <c r="U210" i="32"/>
  <c r="W212" i="32"/>
  <c r="X212" i="32" s="1"/>
  <c r="U173" i="32"/>
  <c r="W175" i="32"/>
  <c r="X175" i="32" s="1"/>
  <c r="U185" i="32"/>
  <c r="W187" i="32"/>
  <c r="X187" i="32" s="1"/>
  <c r="U197" i="32"/>
  <c r="W199" i="32"/>
  <c r="X199" i="32" s="1"/>
  <c r="U209" i="32"/>
  <c r="W211" i="32"/>
  <c r="X211" i="32" s="1"/>
  <c r="W174" i="32"/>
  <c r="X174" i="32" s="1"/>
  <c r="U184" i="32"/>
  <c r="W186" i="32"/>
  <c r="X186" i="32" s="1"/>
  <c r="U196" i="32"/>
  <c r="W198" i="32"/>
  <c r="X198" i="32" s="1"/>
  <c r="U208" i="32"/>
  <c r="W210" i="32"/>
  <c r="X210" i="32" s="1"/>
  <c r="W189" i="32"/>
  <c r="X189" i="32" s="1"/>
  <c r="W173" i="32"/>
  <c r="X173" i="32" s="1"/>
  <c r="U183" i="32"/>
  <c r="W185" i="32"/>
  <c r="X185" i="32" s="1"/>
  <c r="U195" i="32"/>
  <c r="W197" i="32"/>
  <c r="X197" i="32" s="1"/>
  <c r="U207" i="32"/>
  <c r="W209" i="32"/>
  <c r="X209" i="32" s="1"/>
  <c r="U182" i="32"/>
  <c r="W184" i="32"/>
  <c r="X184" i="32" s="1"/>
  <c r="U194" i="32"/>
  <c r="W196" i="32"/>
  <c r="X196" i="32" s="1"/>
  <c r="U206" i="32"/>
  <c r="W208" i="32"/>
  <c r="X208" i="32" s="1"/>
  <c r="U181" i="32"/>
  <c r="W183" i="32"/>
  <c r="X183" i="32" s="1"/>
  <c r="U193" i="32"/>
  <c r="W195" i="32"/>
  <c r="X195" i="32" s="1"/>
  <c r="U205" i="32"/>
  <c r="W207" i="32"/>
  <c r="X207" i="32" s="1"/>
  <c r="W177" i="32"/>
  <c r="X177" i="32" s="1"/>
  <c r="U187" i="32"/>
  <c r="U180" i="32"/>
  <c r="W182" i="32"/>
  <c r="X182" i="32" s="1"/>
  <c r="U192" i="32"/>
  <c r="W194" i="32"/>
  <c r="X194" i="32" s="1"/>
  <c r="U204" i="32"/>
  <c r="W206" i="32"/>
  <c r="X206" i="32" s="1"/>
  <c r="U211" i="32"/>
  <c r="U179" i="32"/>
  <c r="W181" i="32"/>
  <c r="X181" i="32" s="1"/>
  <c r="U191" i="32"/>
  <c r="W193" i="32"/>
  <c r="X193" i="32" s="1"/>
  <c r="U203" i="32"/>
  <c r="W205" i="32"/>
  <c r="X205" i="32" s="1"/>
  <c r="U175" i="32"/>
  <c r="U199" i="32"/>
  <c r="U178" i="32"/>
  <c r="W180" i="32"/>
  <c r="X180" i="32" s="1"/>
  <c r="U190" i="32"/>
  <c r="W192" i="32"/>
  <c r="X192" i="32" s="1"/>
  <c r="U202" i="32"/>
  <c r="W204" i="32"/>
  <c r="X204" i="32" s="1"/>
  <c r="W201" i="32"/>
  <c r="X201" i="32" s="1"/>
  <c r="U177" i="32"/>
  <c r="W179" i="32"/>
  <c r="X179" i="32" s="1"/>
  <c r="U189" i="32"/>
  <c r="W191" i="32"/>
  <c r="X191" i="32" s="1"/>
  <c r="U201" i="32"/>
  <c r="W203" i="32"/>
  <c r="X203" i="32" s="1"/>
  <c r="U176" i="32"/>
  <c r="W178" i="32"/>
  <c r="X178" i="32" s="1"/>
  <c r="U188" i="32"/>
  <c r="W190" i="32"/>
  <c r="X190" i="32" s="1"/>
  <c r="U200" i="32"/>
  <c r="W202" i="32"/>
  <c r="X202" i="32" s="1"/>
  <c r="U212" i="32"/>
  <c r="U52" i="32"/>
  <c r="W67" i="32"/>
  <c r="U87" i="32"/>
  <c r="W106" i="32"/>
  <c r="U134" i="32"/>
  <c r="W141" i="32"/>
  <c r="W164" i="32"/>
  <c r="H39" i="68"/>
  <c r="C35" i="2" s="1"/>
  <c r="W7" i="32"/>
  <c r="X7" i="32" s="1"/>
  <c r="U8" i="32"/>
  <c r="W11" i="32"/>
  <c r="X11" i="32" s="1"/>
  <c r="U15" i="32"/>
  <c r="W18" i="32"/>
  <c r="X18" i="32" s="1"/>
  <c r="W22" i="32"/>
  <c r="W26" i="32"/>
  <c r="W30" i="32"/>
  <c r="W34" i="32"/>
  <c r="W38" i="32"/>
  <c r="W42" i="32"/>
  <c r="W46" i="32"/>
  <c r="W50" i="32"/>
  <c r="X50" i="32" s="1"/>
  <c r="U58" i="32"/>
  <c r="U62" i="32"/>
  <c r="U66" i="32"/>
  <c r="U89" i="32"/>
  <c r="U93" i="32"/>
  <c r="U97" i="32"/>
  <c r="U101" i="32"/>
  <c r="U105" i="32"/>
  <c r="W112" i="32"/>
  <c r="W116" i="32"/>
  <c r="W120" i="32"/>
  <c r="W124" i="32"/>
  <c r="X124" i="32" s="1"/>
  <c r="U136" i="32"/>
  <c r="U140" i="32"/>
  <c r="U144" i="32"/>
  <c r="W147" i="32"/>
  <c r="X147" i="32" s="1"/>
  <c r="W151" i="32"/>
  <c r="U163" i="32"/>
  <c r="U167" i="32"/>
  <c r="U171" i="32"/>
  <c r="W9" i="32"/>
  <c r="W63" i="32"/>
  <c r="U79" i="32"/>
  <c r="W94" i="32"/>
  <c r="X94" i="32" s="1"/>
  <c r="W168" i="32"/>
  <c r="U19" i="32"/>
  <c r="U23" i="32"/>
  <c r="U27" i="32"/>
  <c r="U31" i="32"/>
  <c r="U35" i="32"/>
  <c r="U39" i="32"/>
  <c r="U43" i="32"/>
  <c r="U47" i="32"/>
  <c r="U51" i="32"/>
  <c r="W54" i="32"/>
  <c r="U70" i="32"/>
  <c r="W73" i="32"/>
  <c r="W77" i="32"/>
  <c r="X77" i="32" s="1"/>
  <c r="W81" i="32"/>
  <c r="W85" i="32"/>
  <c r="X85" i="32" s="1"/>
  <c r="U109" i="32"/>
  <c r="U113" i="32"/>
  <c r="U117" i="32"/>
  <c r="U121" i="32"/>
  <c r="U125" i="32"/>
  <c r="W128" i="32"/>
  <c r="W132" i="32"/>
  <c r="U148" i="32"/>
  <c r="U152" i="32"/>
  <c r="W155" i="32"/>
  <c r="X155" i="32" s="1"/>
  <c r="W159" i="32"/>
  <c r="W55" i="32"/>
  <c r="X55" i="32" s="1"/>
  <c r="U83" i="32"/>
  <c r="W102" i="32"/>
  <c r="U130" i="32"/>
  <c r="W137" i="32"/>
  <c r="U157" i="32"/>
  <c r="W8" i="32"/>
  <c r="U12" i="32"/>
  <c r="W15" i="32"/>
  <c r="W58" i="32"/>
  <c r="X58" i="32" s="1"/>
  <c r="W62" i="32"/>
  <c r="W66" i="32"/>
  <c r="X66" i="32" s="1"/>
  <c r="U74" i="32"/>
  <c r="U78" i="32"/>
  <c r="U82" i="32"/>
  <c r="U86" i="32"/>
  <c r="W89" i="32"/>
  <c r="W93" i="32"/>
  <c r="W97" i="32"/>
  <c r="W101" i="32"/>
  <c r="X101" i="32" s="1"/>
  <c r="W105" i="32"/>
  <c r="U129" i="32"/>
  <c r="U133" i="32"/>
  <c r="W136" i="32"/>
  <c r="X136" i="32" s="1"/>
  <c r="W140" i="32"/>
  <c r="W144" i="32"/>
  <c r="U156" i="32"/>
  <c r="U160" i="32"/>
  <c r="W163" i="32"/>
  <c r="W167" i="32"/>
  <c r="W171" i="32"/>
  <c r="U9" i="32"/>
  <c r="W19" i="32"/>
  <c r="W23" i="32"/>
  <c r="X23" i="32" s="1"/>
  <c r="W27" i="32"/>
  <c r="W31" i="32"/>
  <c r="X31" i="32" s="1"/>
  <c r="W35" i="32"/>
  <c r="W39" i="32"/>
  <c r="W43" i="32"/>
  <c r="W47" i="32"/>
  <c r="W51" i="32"/>
  <c r="U55" i="32"/>
  <c r="U59" i="32"/>
  <c r="U63" i="32"/>
  <c r="U67" i="32"/>
  <c r="W70" i="32"/>
  <c r="X70" i="32" s="1"/>
  <c r="U90" i="32"/>
  <c r="U94" i="32"/>
  <c r="U98" i="32"/>
  <c r="U102" i="32"/>
  <c r="U106" i="32"/>
  <c r="W109" i="32"/>
  <c r="W113" i="32"/>
  <c r="W117" i="32"/>
  <c r="W121" i="32"/>
  <c r="W125" i="32"/>
  <c r="X125" i="32" s="1"/>
  <c r="U137" i="32"/>
  <c r="U141" i="32"/>
  <c r="W148" i="32"/>
  <c r="W152" i="32"/>
  <c r="X152" i="32" s="1"/>
  <c r="U164" i="32"/>
  <c r="U168" i="32"/>
  <c r="W12" i="32"/>
  <c r="U16" i="32"/>
  <c r="U20" i="32"/>
  <c r="U24" i="32"/>
  <c r="U28" i="32"/>
  <c r="U32" i="32"/>
  <c r="U36" i="32"/>
  <c r="U40" i="32"/>
  <c r="U44" i="32"/>
  <c r="U48" i="32"/>
  <c r="U71" i="32"/>
  <c r="W74" i="32"/>
  <c r="W78" i="32"/>
  <c r="W82" i="32"/>
  <c r="W86" i="32"/>
  <c r="U110" i="32"/>
  <c r="U114" i="32"/>
  <c r="U118" i="32"/>
  <c r="U122" i="32"/>
  <c r="U126" i="32"/>
  <c r="W129" i="32"/>
  <c r="W133" i="32"/>
  <c r="X133" i="32" s="1"/>
  <c r="U145" i="32"/>
  <c r="U149" i="32"/>
  <c r="U153" i="32"/>
  <c r="W156" i="32"/>
  <c r="W160" i="32"/>
  <c r="U172" i="32"/>
  <c r="AJ31" i="31"/>
  <c r="AL31" i="31"/>
  <c r="AL43" i="31"/>
  <c r="AJ43" i="31"/>
  <c r="AL36" i="31"/>
  <c r="AJ36" i="31"/>
  <c r="AL48" i="31"/>
  <c r="AJ48" i="31"/>
  <c r="AL30" i="31"/>
  <c r="AJ30" i="31"/>
  <c r="AL35" i="31"/>
  <c r="AJ35" i="31"/>
  <c r="AL47" i="31"/>
  <c r="AJ47" i="31"/>
  <c r="AJ52" i="31"/>
  <c r="AL52" i="31"/>
  <c r="AL59" i="31"/>
  <c r="AJ59" i="31"/>
  <c r="AJ42" i="31"/>
  <c r="AL42" i="31"/>
  <c r="AJ54" i="31"/>
  <c r="AL54" i="31"/>
  <c r="AL29" i="31"/>
  <c r="AJ29" i="31"/>
  <c r="AL38" i="31"/>
  <c r="AL50" i="31"/>
  <c r="AJ39" i="31"/>
  <c r="AL39" i="31"/>
  <c r="AL41" i="31"/>
  <c r="AJ41" i="31"/>
  <c r="AL34" i="31"/>
  <c r="AJ34" i="31"/>
  <c r="AL46" i="31"/>
  <c r="AJ46" i="31"/>
  <c r="AL58" i="31"/>
  <c r="AJ58" i="31"/>
  <c r="AL49" i="31"/>
  <c r="AJ49" i="31"/>
  <c r="AM38" i="31"/>
  <c r="AM50" i="31"/>
  <c r="AN50" i="31" s="1"/>
  <c r="AH55" i="31"/>
  <c r="AI55" i="31" s="1"/>
  <c r="AE58" i="31"/>
  <c r="AN58" i="31" s="1"/>
  <c r="AM31" i="31"/>
  <c r="AE39" i="31"/>
  <c r="AD40" i="31"/>
  <c r="AM43" i="31"/>
  <c r="AE51" i="31"/>
  <c r="AD52" i="31"/>
  <c r="AM55" i="31"/>
  <c r="AN55" i="31" s="1"/>
  <c r="W20" i="31"/>
  <c r="AD29" i="31"/>
  <c r="AM32" i="31"/>
  <c r="AL33" i="31"/>
  <c r="AE40" i="31"/>
  <c r="AD41" i="31"/>
  <c r="AM44" i="31"/>
  <c r="AL45" i="31"/>
  <c r="AE52" i="31"/>
  <c r="AD53" i="31"/>
  <c r="AM56" i="31"/>
  <c r="AL57" i="31"/>
  <c r="AN38" i="31"/>
  <c r="W5" i="31"/>
  <c r="AE29" i="31"/>
  <c r="AD30" i="31"/>
  <c r="AM33" i="31"/>
  <c r="AE41" i="31"/>
  <c r="AD42" i="31"/>
  <c r="AM45" i="31"/>
  <c r="AE53" i="31"/>
  <c r="AD54" i="31"/>
  <c r="AD39" i="31"/>
  <c r="AE30" i="31"/>
  <c r="AD31" i="31"/>
  <c r="AN31" i="31" s="1"/>
  <c r="AM34" i="31"/>
  <c r="AN34" i="31" s="1"/>
  <c r="AE42" i="31"/>
  <c r="AD43" i="31"/>
  <c r="AM46" i="31"/>
  <c r="AH51" i="31"/>
  <c r="AI51" i="31" s="1"/>
  <c r="AL51" i="31" s="1"/>
  <c r="AE54" i="31"/>
  <c r="AD55" i="31"/>
  <c r="AD32" i="31"/>
  <c r="AJ38" i="31"/>
  <c r="AH40" i="31"/>
  <c r="AI40" i="31" s="1"/>
  <c r="AL40" i="31" s="1"/>
  <c r="AD44" i="31"/>
  <c r="AJ50" i="31"/>
  <c r="AD56" i="31"/>
  <c r="AN48" i="31"/>
  <c r="AN37" i="31"/>
  <c r="AD33" i="31"/>
  <c r="AN33" i="31" s="1"/>
  <c r="AD45" i="31"/>
  <c r="AD57" i="31"/>
  <c r="AM51" i="31"/>
  <c r="AM42" i="31"/>
  <c r="U10" i="31"/>
  <c r="U6" i="31"/>
  <c r="W10" i="31"/>
  <c r="U14" i="31"/>
  <c r="W24" i="31"/>
  <c r="W28" i="31"/>
  <c r="W32" i="31"/>
  <c r="W36" i="31"/>
  <c r="W40" i="31"/>
  <c r="W44" i="31"/>
  <c r="W48" i="31"/>
  <c r="W52" i="31"/>
  <c r="W56" i="31"/>
  <c r="U11" i="31"/>
  <c r="W17" i="31"/>
  <c r="U21" i="31"/>
  <c r="U25" i="31"/>
  <c r="U29" i="31"/>
  <c r="U33" i="31"/>
  <c r="U37" i="31"/>
  <c r="U41" i="31"/>
  <c r="U45" i="31"/>
  <c r="U49" i="31"/>
  <c r="U53" i="31"/>
  <c r="U57" i="31"/>
  <c r="W6" i="31"/>
  <c r="U7" i="31"/>
  <c r="W14" i="31"/>
  <c r="U18" i="31"/>
  <c r="W21" i="31"/>
  <c r="W25" i="31"/>
  <c r="W29" i="31"/>
  <c r="W33" i="31"/>
  <c r="W37" i="31"/>
  <c r="W41" i="31"/>
  <c r="W45" i="31"/>
  <c r="W49" i="31"/>
  <c r="W53" i="31"/>
  <c r="W57" i="31"/>
  <c r="W7" i="31"/>
  <c r="U8" i="31"/>
  <c r="U15" i="31"/>
  <c r="U22" i="31"/>
  <c r="U26" i="31"/>
  <c r="U30" i="31"/>
  <c r="U34" i="31"/>
  <c r="U38" i="31"/>
  <c r="U42" i="31"/>
  <c r="U46" i="31"/>
  <c r="U50" i="31"/>
  <c r="U54" i="31"/>
  <c r="U58" i="31"/>
  <c r="U12" i="31"/>
  <c r="W18" i="31"/>
  <c r="W8" i="31"/>
  <c r="U9" i="31"/>
  <c r="W15" i="31"/>
  <c r="U19" i="31"/>
  <c r="W22" i="31"/>
  <c r="W26" i="31"/>
  <c r="W30" i="31"/>
  <c r="W34" i="31"/>
  <c r="W38" i="31"/>
  <c r="W42" i="31"/>
  <c r="W46" i="31"/>
  <c r="W50" i="31"/>
  <c r="W54" i="31"/>
  <c r="W58" i="31"/>
  <c r="W12" i="31"/>
  <c r="U23" i="31"/>
  <c r="U27" i="31"/>
  <c r="U31" i="31"/>
  <c r="U35" i="31"/>
  <c r="U39" i="31"/>
  <c r="U43" i="31"/>
  <c r="U47" i="31"/>
  <c r="U51" i="31"/>
  <c r="U55" i="31"/>
  <c r="U61" i="31"/>
  <c r="W63" i="31"/>
  <c r="U73" i="31"/>
  <c r="W75" i="31"/>
  <c r="U85" i="31"/>
  <c r="W87" i="31"/>
  <c r="W64" i="31"/>
  <c r="U60" i="31"/>
  <c r="W62" i="31"/>
  <c r="U72" i="31"/>
  <c r="W74" i="31"/>
  <c r="U84" i="31"/>
  <c r="W86" i="31"/>
  <c r="W61" i="31"/>
  <c r="U71" i="31"/>
  <c r="W73" i="31"/>
  <c r="U83" i="31"/>
  <c r="W85" i="31"/>
  <c r="W60" i="31"/>
  <c r="U70" i="31"/>
  <c r="W72" i="31"/>
  <c r="U82" i="31"/>
  <c r="W84" i="31"/>
  <c r="U69" i="31"/>
  <c r="W71" i="31"/>
  <c r="U81" i="31"/>
  <c r="W83" i="31"/>
  <c r="U68" i="31"/>
  <c r="W70" i="31"/>
  <c r="U80" i="31"/>
  <c r="W82" i="31"/>
  <c r="U62" i="31"/>
  <c r="U67" i="31"/>
  <c r="W69" i="31"/>
  <c r="U79" i="31"/>
  <c r="W81" i="31"/>
  <c r="U66" i="31"/>
  <c r="W68" i="31"/>
  <c r="U78" i="31"/>
  <c r="W80" i="31"/>
  <c r="U65" i="31"/>
  <c r="W67" i="31"/>
  <c r="U77" i="31"/>
  <c r="W79" i="31"/>
  <c r="U89" i="31"/>
  <c r="U64" i="31"/>
  <c r="W66" i="31"/>
  <c r="U76" i="31"/>
  <c r="W78" i="31"/>
  <c r="U88" i="31"/>
  <c r="W76" i="31"/>
  <c r="U86" i="31"/>
  <c r="W88" i="31"/>
  <c r="U63" i="31"/>
  <c r="W65" i="31"/>
  <c r="U75" i="31"/>
  <c r="W77" i="31"/>
  <c r="U87" i="31"/>
  <c r="W89" i="31"/>
  <c r="U74" i="31"/>
  <c r="U13" i="31"/>
  <c r="U16" i="31"/>
  <c r="W19" i="31"/>
  <c r="U5" i="31"/>
  <c r="U20" i="31"/>
  <c r="W23" i="31"/>
  <c r="W27" i="31"/>
  <c r="W31" i="31"/>
  <c r="W35" i="31"/>
  <c r="W39" i="31"/>
  <c r="W43" i="31"/>
  <c r="W47" i="31"/>
  <c r="W51" i="31"/>
  <c r="W55" i="31"/>
  <c r="W59" i="31"/>
  <c r="W16" i="31"/>
  <c r="U24" i="31"/>
  <c r="U28" i="31"/>
  <c r="U32" i="31"/>
  <c r="U36" i="31"/>
  <c r="U40" i="31"/>
  <c r="U44" i="31"/>
  <c r="U48" i="31"/>
  <c r="U52" i="31"/>
  <c r="U56" i="31"/>
  <c r="AL20" i="30"/>
  <c r="AJ20" i="30"/>
  <c r="AL21" i="30"/>
  <c r="AJ21" i="30"/>
  <c r="AL24" i="30"/>
  <c r="AJ23" i="30"/>
  <c r="AL22" i="30"/>
  <c r="AJ22" i="30"/>
  <c r="AM20" i="30"/>
  <c r="AD20" i="30"/>
  <c r="U21" i="30"/>
  <c r="AM21" i="30"/>
  <c r="U15" i="30"/>
  <c r="AE20" i="30"/>
  <c r="AJ24" i="30"/>
  <c r="AD21" i="30"/>
  <c r="AM23" i="30"/>
  <c r="AN23" i="30" s="1"/>
  <c r="W5" i="30"/>
  <c r="AE21" i="30"/>
  <c r="AM24" i="30"/>
  <c r="AN24" i="30" s="1"/>
  <c r="W17" i="30"/>
  <c r="AD22" i="30"/>
  <c r="AN22" i="30" s="1"/>
  <c r="W6" i="30"/>
  <c r="U7" i="30"/>
  <c r="U12" i="30"/>
  <c r="W7" i="30"/>
  <c r="U8" i="30"/>
  <c r="W18" i="30"/>
  <c r="W15" i="30"/>
  <c r="U19" i="30"/>
  <c r="U26" i="30"/>
  <c r="U25" i="30"/>
  <c r="W26" i="30"/>
  <c r="X26" i="30" s="1"/>
  <c r="W25" i="30"/>
  <c r="X25" i="30" s="1"/>
  <c r="W12" i="30"/>
  <c r="U23" i="30"/>
  <c r="U5" i="30"/>
  <c r="U13" i="30"/>
  <c r="U16" i="30"/>
  <c r="W19" i="30"/>
  <c r="X19" i="30" s="1"/>
  <c r="U10" i="30"/>
  <c r="U20" i="30"/>
  <c r="W23" i="30"/>
  <c r="X23" i="30" s="1"/>
  <c r="W16" i="30"/>
  <c r="U24" i="30"/>
  <c r="U6" i="30"/>
  <c r="W10" i="30"/>
  <c r="U17" i="30"/>
  <c r="W20" i="30"/>
  <c r="U11" i="30"/>
  <c r="U14" i="30"/>
  <c r="W24" i="30"/>
  <c r="W11" i="30"/>
  <c r="W14" i="30"/>
  <c r="U18" i="30"/>
  <c r="W21" i="30"/>
  <c r="AJ73" i="29"/>
  <c r="AL73" i="29"/>
  <c r="AJ48" i="29"/>
  <c r="AJ61" i="29"/>
  <c r="AL61" i="29"/>
  <c r="AL58" i="29"/>
  <c r="AL75" i="29"/>
  <c r="AJ75" i="29"/>
  <c r="AL55" i="29"/>
  <c r="AJ55" i="29"/>
  <c r="AL63" i="29"/>
  <c r="AJ63" i="29"/>
  <c r="AL57" i="29"/>
  <c r="AJ57" i="29"/>
  <c r="AL49" i="29"/>
  <c r="AJ49" i="29"/>
  <c r="AL67" i="29"/>
  <c r="AJ67" i="29"/>
  <c r="AL69" i="29"/>
  <c r="AJ69" i="29"/>
  <c r="AL81" i="29"/>
  <c r="AJ81" i="29"/>
  <c r="AJ59" i="29"/>
  <c r="AL59" i="29"/>
  <c r="AJ71" i="29"/>
  <c r="AL71" i="29"/>
  <c r="AL74" i="29"/>
  <c r="AL51" i="29"/>
  <c r="AJ51" i="29"/>
  <c r="AL62" i="29"/>
  <c r="AJ83" i="29"/>
  <c r="AL83" i="29"/>
  <c r="AN67" i="29"/>
  <c r="AL48" i="29"/>
  <c r="AJ50" i="29"/>
  <c r="AH52" i="29"/>
  <c r="AI52" i="29" s="1"/>
  <c r="AJ52" i="29" s="1"/>
  <c r="AD56" i="29"/>
  <c r="AL60" i="29"/>
  <c r="AJ62" i="29"/>
  <c r="AH64" i="29"/>
  <c r="AI64" i="29" s="1"/>
  <c r="AL64" i="29" s="1"/>
  <c r="AD68" i="29"/>
  <c r="AL72" i="29"/>
  <c r="AJ74" i="29"/>
  <c r="AH76" i="29"/>
  <c r="AI76" i="29" s="1"/>
  <c r="AL76" i="29" s="1"/>
  <c r="AD80" i="29"/>
  <c r="W8" i="29"/>
  <c r="W13" i="29"/>
  <c r="AM48" i="29"/>
  <c r="AH53" i="29"/>
  <c r="AI53" i="29" s="1"/>
  <c r="AL53" i="29" s="1"/>
  <c r="AE56" i="29"/>
  <c r="AD57" i="29"/>
  <c r="AN57" i="29" s="1"/>
  <c r="AH65" i="29"/>
  <c r="AI65" i="29" s="1"/>
  <c r="AJ65" i="29" s="1"/>
  <c r="AE68" i="29"/>
  <c r="AN68" i="29" s="1"/>
  <c r="AD69" i="29"/>
  <c r="AM72" i="29"/>
  <c r="AH77" i="29"/>
  <c r="AI77" i="29" s="1"/>
  <c r="AL77" i="29" s="1"/>
  <c r="AE80" i="29"/>
  <c r="AD81" i="29"/>
  <c r="AH54" i="29"/>
  <c r="AI54" i="29" s="1"/>
  <c r="AL54" i="29" s="1"/>
  <c r="AD58" i="29"/>
  <c r="AH66" i="29"/>
  <c r="AI66" i="29" s="1"/>
  <c r="AL66" i="29" s="1"/>
  <c r="AE69" i="29"/>
  <c r="AD70" i="29"/>
  <c r="AJ76" i="29"/>
  <c r="AH78" i="29"/>
  <c r="AI78" i="29" s="1"/>
  <c r="AJ78" i="29" s="1"/>
  <c r="AE81" i="29"/>
  <c r="AD82" i="29"/>
  <c r="AM50" i="29"/>
  <c r="AE58" i="29"/>
  <c r="AE70" i="29"/>
  <c r="AM74" i="29"/>
  <c r="AE82" i="29"/>
  <c r="AD48" i="29"/>
  <c r="AD60" i="29"/>
  <c r="AM63" i="29"/>
  <c r="AN63" i="29" s="1"/>
  <c r="AH68" i="29"/>
  <c r="AI68" i="29" s="1"/>
  <c r="AJ68" i="29" s="1"/>
  <c r="AD72" i="29"/>
  <c r="AM75" i="29"/>
  <c r="AH80" i="29"/>
  <c r="AI80" i="29" s="1"/>
  <c r="AL80" i="29" s="1"/>
  <c r="AN49" i="29"/>
  <c r="AN61" i="29"/>
  <c r="AM64" i="29"/>
  <c r="AN73" i="29"/>
  <c r="AM76" i="29"/>
  <c r="AM70" i="29"/>
  <c r="U5" i="29"/>
  <c r="AD50" i="29"/>
  <c r="AJ56" i="29"/>
  <c r="AD62" i="29"/>
  <c r="AM65" i="29"/>
  <c r="AD74" i="29"/>
  <c r="AM66" i="29"/>
  <c r="AN66" i="29" s="1"/>
  <c r="AN75" i="29"/>
  <c r="W11" i="29"/>
  <c r="AD52" i="29"/>
  <c r="AJ58" i="29"/>
  <c r="AD64" i="29"/>
  <c r="AJ70" i="29"/>
  <c r="AD76" i="29"/>
  <c r="AJ82" i="29"/>
  <c r="U12" i="29"/>
  <c r="U19" i="29"/>
  <c r="U23" i="29"/>
  <c r="U27" i="29"/>
  <c r="U31" i="29"/>
  <c r="U35" i="29"/>
  <c r="U39" i="29"/>
  <c r="U43" i="29"/>
  <c r="U47" i="29"/>
  <c r="U51" i="29"/>
  <c r="U55" i="29"/>
  <c r="U59" i="29"/>
  <c r="U63" i="29"/>
  <c r="U67" i="29"/>
  <c r="U71" i="29"/>
  <c r="U75" i="29"/>
  <c r="U79" i="29"/>
  <c r="U83" i="29"/>
  <c r="U9" i="29"/>
  <c r="W19" i="29"/>
  <c r="W23" i="29"/>
  <c r="X23" i="29" s="1"/>
  <c r="W27" i="29"/>
  <c r="W31" i="29"/>
  <c r="W35" i="29"/>
  <c r="X35" i="29" s="1"/>
  <c r="W39" i="29"/>
  <c r="W43" i="29"/>
  <c r="W47" i="29"/>
  <c r="W51" i="29"/>
  <c r="W55" i="29"/>
  <c r="W59" i="29"/>
  <c r="W63" i="29"/>
  <c r="W67" i="29"/>
  <c r="W71" i="29"/>
  <c r="X71" i="29" s="1"/>
  <c r="W75" i="29"/>
  <c r="W79" i="29"/>
  <c r="W83" i="29"/>
  <c r="X83" i="29" s="1"/>
  <c r="W5" i="29"/>
  <c r="W12" i="29"/>
  <c r="U16" i="29"/>
  <c r="U20" i="29"/>
  <c r="U24" i="29"/>
  <c r="U28" i="29"/>
  <c r="U32" i="29"/>
  <c r="U36" i="29"/>
  <c r="U40" i="29"/>
  <c r="U44" i="29"/>
  <c r="U48" i="29"/>
  <c r="U52" i="29"/>
  <c r="U56" i="29"/>
  <c r="U60" i="29"/>
  <c r="U64" i="29"/>
  <c r="U68" i="29"/>
  <c r="U72" i="29"/>
  <c r="U76" i="29"/>
  <c r="U85" i="29"/>
  <c r="W87" i="29"/>
  <c r="X87" i="29" s="1"/>
  <c r="U97" i="29"/>
  <c r="W99" i="29"/>
  <c r="X99" i="29" s="1"/>
  <c r="U89" i="29"/>
  <c r="U84" i="29"/>
  <c r="W86" i="29"/>
  <c r="X86" i="29" s="1"/>
  <c r="U96" i="29"/>
  <c r="W98" i="29"/>
  <c r="X98" i="29" s="1"/>
  <c r="W85" i="29"/>
  <c r="X85" i="29" s="1"/>
  <c r="U95" i="29"/>
  <c r="W97" i="29"/>
  <c r="X97" i="29" s="1"/>
  <c r="W84" i="29"/>
  <c r="X84" i="29" s="1"/>
  <c r="U94" i="29"/>
  <c r="W96" i="29"/>
  <c r="X96" i="29" s="1"/>
  <c r="U101" i="29"/>
  <c r="U93" i="29"/>
  <c r="W95" i="29"/>
  <c r="X95" i="29" s="1"/>
  <c r="U92" i="29"/>
  <c r="W94" i="29"/>
  <c r="X94" i="29" s="1"/>
  <c r="U91" i="29"/>
  <c r="W93" i="29"/>
  <c r="X93" i="29" s="1"/>
  <c r="U90" i="29"/>
  <c r="W92" i="29"/>
  <c r="X92" i="29" s="1"/>
  <c r="U88" i="29"/>
  <c r="W90" i="29"/>
  <c r="X90" i="29" s="1"/>
  <c r="U100" i="29"/>
  <c r="U87" i="29"/>
  <c r="W89" i="29"/>
  <c r="X89" i="29" s="1"/>
  <c r="U99" i="29"/>
  <c r="W101" i="29"/>
  <c r="X101" i="29" s="1"/>
  <c r="U86" i="29"/>
  <c r="W88" i="29"/>
  <c r="X88" i="29" s="1"/>
  <c r="U98" i="29"/>
  <c r="W100" i="29"/>
  <c r="X100" i="29" s="1"/>
  <c r="W91" i="29"/>
  <c r="X91" i="29" s="1"/>
  <c r="U13" i="29"/>
  <c r="U6" i="29"/>
  <c r="W16" i="29"/>
  <c r="X16" i="29" s="1"/>
  <c r="W20" i="29"/>
  <c r="W24" i="29"/>
  <c r="W28" i="29"/>
  <c r="X28" i="29" s="1"/>
  <c r="W32" i="29"/>
  <c r="W36" i="29"/>
  <c r="W40" i="29"/>
  <c r="W44" i="29"/>
  <c r="W48" i="29"/>
  <c r="W52" i="29"/>
  <c r="W56" i="29"/>
  <c r="W60" i="29"/>
  <c r="W64" i="29"/>
  <c r="X64" i="29" s="1"/>
  <c r="W68" i="29"/>
  <c r="W72" i="29"/>
  <c r="W76" i="29"/>
  <c r="X76" i="29" s="1"/>
  <c r="W80" i="29"/>
  <c r="U17" i="29"/>
  <c r="U21" i="29"/>
  <c r="U25" i="29"/>
  <c r="U29" i="29"/>
  <c r="U33" i="29"/>
  <c r="U37" i="29"/>
  <c r="U41" i="29"/>
  <c r="U45" i="29"/>
  <c r="U49" i="29"/>
  <c r="U53" i="29"/>
  <c r="U57" i="29"/>
  <c r="U61" i="29"/>
  <c r="U65" i="29"/>
  <c r="U69" i="29"/>
  <c r="U73" i="29"/>
  <c r="U77" i="29"/>
  <c r="U81" i="29"/>
  <c r="W6" i="29"/>
  <c r="X6" i="29" s="1"/>
  <c r="U7" i="29"/>
  <c r="W10" i="29"/>
  <c r="U14" i="29"/>
  <c r="W17" i="29"/>
  <c r="W21" i="29"/>
  <c r="W25" i="29"/>
  <c r="W29" i="29"/>
  <c r="W33" i="29"/>
  <c r="W37" i="29"/>
  <c r="W41" i="29"/>
  <c r="W45" i="29"/>
  <c r="W49" i="29"/>
  <c r="W53" i="29"/>
  <c r="X53" i="29" s="1"/>
  <c r="W57" i="29"/>
  <c r="W61" i="29"/>
  <c r="W65" i="29"/>
  <c r="W69" i="29"/>
  <c r="W73" i="29"/>
  <c r="W77" i="29"/>
  <c r="W81" i="29"/>
  <c r="U11" i="29"/>
  <c r="U18" i="29"/>
  <c r="U22" i="29"/>
  <c r="U26" i="29"/>
  <c r="U30" i="29"/>
  <c r="U34" i="29"/>
  <c r="U38" i="29"/>
  <c r="U42" i="29"/>
  <c r="U46" i="29"/>
  <c r="U50" i="29"/>
  <c r="U54" i="29"/>
  <c r="U58" i="29"/>
  <c r="U62" i="29"/>
  <c r="U66" i="29"/>
  <c r="U70" i="29"/>
  <c r="U74" i="29"/>
  <c r="U78" i="29"/>
  <c r="U82" i="29"/>
  <c r="W7" i="29"/>
  <c r="W14" i="29"/>
  <c r="U15" i="29"/>
  <c r="W18" i="29"/>
  <c r="W22" i="29"/>
  <c r="W26" i="29"/>
  <c r="W30" i="29"/>
  <c r="X30" i="29" s="1"/>
  <c r="W34" i="29"/>
  <c r="W38" i="29"/>
  <c r="X38" i="29" s="1"/>
  <c r="W42" i="29"/>
  <c r="W46" i="29"/>
  <c r="W50" i="29"/>
  <c r="W54" i="29"/>
  <c r="W58" i="29"/>
  <c r="W62" i="29"/>
  <c r="W66" i="29"/>
  <c r="W70" i="29"/>
  <c r="W74" i="29"/>
  <c r="W78" i="29"/>
  <c r="X78" i="29" s="1"/>
  <c r="W82" i="29"/>
  <c r="AL45" i="28"/>
  <c r="AL40" i="28"/>
  <c r="AJ40" i="28"/>
  <c r="AJ35" i="28"/>
  <c r="AL35" i="28"/>
  <c r="AL37" i="28"/>
  <c r="AL42" i="28"/>
  <c r="AJ42" i="28"/>
  <c r="AL44" i="28"/>
  <c r="AJ43" i="28"/>
  <c r="AL43" i="28"/>
  <c r="W13" i="28"/>
  <c r="C31" i="2"/>
  <c r="W22" i="28"/>
  <c r="AJ36" i="28"/>
  <c r="W41" i="28"/>
  <c r="AM42" i="28"/>
  <c r="AJ44" i="28"/>
  <c r="AH46" i="28"/>
  <c r="AI46" i="28" s="1"/>
  <c r="AL46" i="28" s="1"/>
  <c r="U10" i="28"/>
  <c r="W15" i="28"/>
  <c r="AM35" i="28"/>
  <c r="AJ37" i="28"/>
  <c r="AH38" i="28"/>
  <c r="AI38" i="28" s="1"/>
  <c r="AL38" i="28" s="1"/>
  <c r="AM43" i="28"/>
  <c r="AN43" i="28" s="1"/>
  <c r="AJ45" i="28"/>
  <c r="AH47" i="28"/>
  <c r="AI47" i="28" s="1"/>
  <c r="AL47" i="28" s="1"/>
  <c r="W9" i="28"/>
  <c r="AM41" i="28"/>
  <c r="AH39" i="28"/>
  <c r="AI39" i="28" s="1"/>
  <c r="AL39" i="28" s="1"/>
  <c r="AD41" i="28"/>
  <c r="AH48" i="28"/>
  <c r="AI48" i="28" s="1"/>
  <c r="AL48" i="28" s="1"/>
  <c r="AM36" i="28"/>
  <c r="AE41" i="28"/>
  <c r="AM44" i="28"/>
  <c r="W11" i="28"/>
  <c r="AM37" i="28"/>
  <c r="AM45" i="28"/>
  <c r="AM46" i="28"/>
  <c r="AN46" i="28" s="1"/>
  <c r="AN39" i="28"/>
  <c r="U12" i="28"/>
  <c r="U19" i="28"/>
  <c r="AD36" i="28"/>
  <c r="U38" i="28"/>
  <c r="AD44" i="28"/>
  <c r="AN38" i="28"/>
  <c r="AN47" i="28"/>
  <c r="AD37" i="28"/>
  <c r="AD45" i="28"/>
  <c r="W7" i="28"/>
  <c r="U8" i="28"/>
  <c r="W18" i="28"/>
  <c r="U26" i="28"/>
  <c r="U30" i="28"/>
  <c r="U34" i="28"/>
  <c r="W37" i="28"/>
  <c r="U45" i="28"/>
  <c r="W8" i="28"/>
  <c r="U9" i="28"/>
  <c r="W26" i="28"/>
  <c r="W30" i="28"/>
  <c r="X30" i="28" s="1"/>
  <c r="W34" i="28"/>
  <c r="U42" i="28"/>
  <c r="W45" i="28"/>
  <c r="W12" i="28"/>
  <c r="U16" i="28"/>
  <c r="W19" i="28"/>
  <c r="U23" i="28"/>
  <c r="U27" i="28"/>
  <c r="U31" i="28"/>
  <c r="U35" i="28"/>
  <c r="W38" i="28"/>
  <c r="U50" i="28"/>
  <c r="W52" i="28"/>
  <c r="X52" i="28" s="1"/>
  <c r="U62" i="28"/>
  <c r="U49" i="28"/>
  <c r="W51" i="28"/>
  <c r="X51" i="28" s="1"/>
  <c r="U61" i="28"/>
  <c r="W53" i="28"/>
  <c r="X53" i="28" s="1"/>
  <c r="W50" i="28"/>
  <c r="X50" i="28" s="1"/>
  <c r="U60" i="28"/>
  <c r="W62" i="28"/>
  <c r="X62" i="28" s="1"/>
  <c r="W49" i="28"/>
  <c r="X49" i="28" s="1"/>
  <c r="U59" i="28"/>
  <c r="W61" i="28"/>
  <c r="X61" i="28" s="1"/>
  <c r="U58" i="28"/>
  <c r="W60" i="28"/>
  <c r="X60" i="28" s="1"/>
  <c r="U57" i="28"/>
  <c r="W59" i="28"/>
  <c r="X59" i="28" s="1"/>
  <c r="U56" i="28"/>
  <c r="W58" i="28"/>
  <c r="X58" i="28" s="1"/>
  <c r="U55" i="28"/>
  <c r="W57" i="28"/>
  <c r="X57" i="28" s="1"/>
  <c r="U51" i="28"/>
  <c r="U54" i="28"/>
  <c r="W56" i="28"/>
  <c r="X56" i="28" s="1"/>
  <c r="U53" i="28"/>
  <c r="W55" i="28"/>
  <c r="X55" i="28" s="1"/>
  <c r="U52" i="28"/>
  <c r="W54" i="28"/>
  <c r="X54" i="28" s="1"/>
  <c r="U13" i="28"/>
  <c r="U20" i="28"/>
  <c r="U39" i="28"/>
  <c r="W42" i="28"/>
  <c r="U5" i="28"/>
  <c r="W16" i="28"/>
  <c r="W23" i="28"/>
  <c r="W27" i="28"/>
  <c r="W31" i="28"/>
  <c r="X31" i="28" s="1"/>
  <c r="W35" i="28"/>
  <c r="U43" i="28"/>
  <c r="W46" i="28"/>
  <c r="U17" i="28"/>
  <c r="W20" i="28"/>
  <c r="U24" i="28"/>
  <c r="U28" i="28"/>
  <c r="U32" i="28"/>
  <c r="W39" i="28"/>
  <c r="U47" i="28"/>
  <c r="W5" i="28"/>
  <c r="U36" i="28"/>
  <c r="U40" i="28"/>
  <c r="W43" i="28"/>
  <c r="U6" i="28"/>
  <c r="W10" i="28"/>
  <c r="U14" i="28"/>
  <c r="W17" i="28"/>
  <c r="X17" i="28" s="1"/>
  <c r="U21" i="28"/>
  <c r="W24" i="28"/>
  <c r="W28" i="28"/>
  <c r="W32" i="28"/>
  <c r="X32" i="28" s="1"/>
  <c r="W47" i="28"/>
  <c r="U11" i="28"/>
  <c r="U25" i="28"/>
  <c r="U29" i="28"/>
  <c r="U33" i="28"/>
  <c r="W36" i="28"/>
  <c r="W40" i="28"/>
  <c r="U44" i="28"/>
  <c r="U48" i="28"/>
  <c r="W6" i="28"/>
  <c r="U7" i="28"/>
  <c r="W14" i="28"/>
  <c r="X14" i="28" s="1"/>
  <c r="U18" i="28"/>
  <c r="W21" i="28"/>
  <c r="X21" i="28" s="1"/>
  <c r="U37" i="28"/>
  <c r="U15" i="28"/>
  <c r="U22" i="28"/>
  <c r="W25" i="28"/>
  <c r="W29" i="28"/>
  <c r="W33" i="28"/>
  <c r="U41" i="28"/>
  <c r="W44" i="28"/>
  <c r="W48" i="28"/>
  <c r="W12" i="27"/>
  <c r="W19" i="27"/>
  <c r="W23" i="27"/>
  <c r="U13" i="27"/>
  <c r="AD15" i="27"/>
  <c r="U16" i="27"/>
  <c r="U20" i="27"/>
  <c r="U24" i="27"/>
  <c r="AH14" i="27"/>
  <c r="AI14" i="27" s="1"/>
  <c r="AL14" i="27" s="1"/>
  <c r="AE15" i="27"/>
  <c r="W16" i="27"/>
  <c r="W20" i="27"/>
  <c r="W24" i="27"/>
  <c r="U17" i="27"/>
  <c r="U21" i="27"/>
  <c r="W5" i="27"/>
  <c r="U6" i="27"/>
  <c r="W10" i="27"/>
  <c r="AH15" i="27"/>
  <c r="AI15" i="27" s="1"/>
  <c r="AL15" i="27" s="1"/>
  <c r="U11" i="27"/>
  <c r="U14" i="27"/>
  <c r="W17" i="27"/>
  <c r="X17" i="27" s="1"/>
  <c r="W21" i="27"/>
  <c r="W6" i="27"/>
  <c r="U7" i="27"/>
  <c r="AM14" i="27"/>
  <c r="U18" i="27"/>
  <c r="U22" i="27"/>
  <c r="W7" i="27"/>
  <c r="X7" i="27" s="1"/>
  <c r="U8" i="27"/>
  <c r="U15" i="27"/>
  <c r="W18" i="27"/>
  <c r="W22" i="27"/>
  <c r="U12" i="27"/>
  <c r="AD14" i="27"/>
  <c r="U19" i="27"/>
  <c r="U23" i="27"/>
  <c r="W8" i="27"/>
  <c r="U9" i="27"/>
  <c r="AL14" i="26"/>
  <c r="AL16" i="26"/>
  <c r="AJ16" i="26"/>
  <c r="AH15" i="26"/>
  <c r="AI15" i="26" s="1"/>
  <c r="AL15" i="26" s="1"/>
  <c r="U17" i="26"/>
  <c r="W24" i="26"/>
  <c r="U14" i="26"/>
  <c r="AD16" i="26"/>
  <c r="U15" i="26"/>
  <c r="U22" i="26"/>
  <c r="AD14" i="26"/>
  <c r="AM15" i="26"/>
  <c r="W18" i="26"/>
  <c r="U12" i="26"/>
  <c r="AE14" i="26"/>
  <c r="W15" i="26"/>
  <c r="U19" i="26"/>
  <c r="W22" i="26"/>
  <c r="U23" i="26"/>
  <c r="AD15" i="26"/>
  <c r="W19" i="26"/>
  <c r="X19" i="26" s="1"/>
  <c r="U13" i="26"/>
  <c r="U16" i="26"/>
  <c r="U20" i="26"/>
  <c r="W23" i="26"/>
  <c r="AL23" i="24"/>
  <c r="AJ23" i="24"/>
  <c r="AJ19" i="24"/>
  <c r="AL19" i="24"/>
  <c r="AL28" i="24"/>
  <c r="AJ28" i="24"/>
  <c r="AL26" i="24"/>
  <c r="AJ26" i="24"/>
  <c r="AJ17" i="24"/>
  <c r="AL17" i="24"/>
  <c r="AL27" i="24"/>
  <c r="AJ27" i="24"/>
  <c r="AL21" i="24"/>
  <c r="AJ21" i="24"/>
  <c r="AL25" i="24"/>
  <c r="AJ25" i="24"/>
  <c r="AL18" i="24"/>
  <c r="AJ18" i="24"/>
  <c r="AL24" i="24"/>
  <c r="AE23" i="24"/>
  <c r="AN23" i="24" s="1"/>
  <c r="AD26" i="24"/>
  <c r="U27" i="24"/>
  <c r="U10" i="24"/>
  <c r="AE26" i="24"/>
  <c r="AM28" i="24"/>
  <c r="AD17" i="24"/>
  <c r="AJ22" i="24"/>
  <c r="AE17" i="24"/>
  <c r="AD27" i="24"/>
  <c r="AE27" i="24"/>
  <c r="AE18" i="24"/>
  <c r="AN18" i="24" s="1"/>
  <c r="AD19" i="24"/>
  <c r="AE28" i="24"/>
  <c r="W9" i="24"/>
  <c r="X9" i="24" s="1"/>
  <c r="AD20" i="24"/>
  <c r="AN20" i="24" s="1"/>
  <c r="H30" i="68"/>
  <c r="C27" i="2" s="1"/>
  <c r="W13" i="24"/>
  <c r="AD21" i="24"/>
  <c r="AN21" i="24" s="1"/>
  <c r="W12" i="24"/>
  <c r="U16" i="24"/>
  <c r="W19" i="24"/>
  <c r="X19" i="24" s="1"/>
  <c r="U30" i="24"/>
  <c r="W32" i="24"/>
  <c r="X32" i="24" s="1"/>
  <c r="U42" i="24"/>
  <c r="W44" i="24"/>
  <c r="X44" i="24" s="1"/>
  <c r="U54" i="24"/>
  <c r="W56" i="24"/>
  <c r="X56" i="24" s="1"/>
  <c r="U29" i="24"/>
  <c r="W31" i="24"/>
  <c r="X31" i="24" s="1"/>
  <c r="U41" i="24"/>
  <c r="W43" i="24"/>
  <c r="X43" i="24" s="1"/>
  <c r="U53" i="24"/>
  <c r="W55" i="24"/>
  <c r="X55" i="24" s="1"/>
  <c r="W45" i="24"/>
  <c r="X45" i="24" s="1"/>
  <c r="U55" i="24"/>
  <c r="W30" i="24"/>
  <c r="X30" i="24" s="1"/>
  <c r="U40" i="24"/>
  <c r="W42" i="24"/>
  <c r="X42" i="24" s="1"/>
  <c r="U52" i="24"/>
  <c r="W54" i="24"/>
  <c r="X54" i="24" s="1"/>
  <c r="U64" i="24"/>
  <c r="W29" i="24"/>
  <c r="X29" i="24" s="1"/>
  <c r="U39" i="24"/>
  <c r="W41" i="24"/>
  <c r="X41" i="24" s="1"/>
  <c r="U51" i="24"/>
  <c r="W53" i="24"/>
  <c r="X53" i="24" s="1"/>
  <c r="U63" i="24"/>
  <c r="U38" i="24"/>
  <c r="W40" i="24"/>
  <c r="X40" i="24" s="1"/>
  <c r="U50" i="24"/>
  <c r="W52" i="24"/>
  <c r="X52" i="24" s="1"/>
  <c r="U62" i="24"/>
  <c r="W64" i="24"/>
  <c r="X64" i="24" s="1"/>
  <c r="U37" i="24"/>
  <c r="W39" i="24"/>
  <c r="X39" i="24" s="1"/>
  <c r="U49" i="24"/>
  <c r="W51" i="24"/>
  <c r="X51" i="24" s="1"/>
  <c r="U61" i="24"/>
  <c r="W63" i="24"/>
  <c r="X63" i="24" s="1"/>
  <c r="W33" i="24"/>
  <c r="X33" i="24" s="1"/>
  <c r="U36" i="24"/>
  <c r="W38" i="24"/>
  <c r="X38" i="24" s="1"/>
  <c r="U48" i="24"/>
  <c r="W50" i="24"/>
  <c r="X50" i="24" s="1"/>
  <c r="U60" i="24"/>
  <c r="W62" i="24"/>
  <c r="X62" i="24" s="1"/>
  <c r="U35" i="24"/>
  <c r="W37" i="24"/>
  <c r="X37" i="24" s="1"/>
  <c r="U47" i="24"/>
  <c r="W49" i="24"/>
  <c r="X49" i="24" s="1"/>
  <c r="U59" i="24"/>
  <c r="W61" i="24"/>
  <c r="X61" i="24" s="1"/>
  <c r="U31" i="24"/>
  <c r="U34" i="24"/>
  <c r="W36" i="24"/>
  <c r="X36" i="24" s="1"/>
  <c r="U46" i="24"/>
  <c r="W48" i="24"/>
  <c r="X48" i="24" s="1"/>
  <c r="U58" i="24"/>
  <c r="W60" i="24"/>
  <c r="X60" i="24" s="1"/>
  <c r="W57" i="24"/>
  <c r="X57" i="24" s="1"/>
  <c r="U33" i="24"/>
  <c r="W35" i="24"/>
  <c r="X35" i="24" s="1"/>
  <c r="U45" i="24"/>
  <c r="W47" i="24"/>
  <c r="X47" i="24" s="1"/>
  <c r="U57" i="24"/>
  <c r="W59" i="24"/>
  <c r="X59" i="24" s="1"/>
  <c r="U43" i="24"/>
  <c r="U32" i="24"/>
  <c r="W34" i="24"/>
  <c r="X34" i="24" s="1"/>
  <c r="U44" i="24"/>
  <c r="W46" i="24"/>
  <c r="X46" i="24" s="1"/>
  <c r="U56" i="24"/>
  <c r="W58" i="24"/>
  <c r="X58" i="24" s="1"/>
  <c r="U13" i="24"/>
  <c r="U20" i="24"/>
  <c r="U24" i="24"/>
  <c r="W27" i="24"/>
  <c r="X27" i="24" s="1"/>
  <c r="U5" i="24"/>
  <c r="W16" i="24"/>
  <c r="U28" i="24"/>
  <c r="U17" i="24"/>
  <c r="W20" i="24"/>
  <c r="X20" i="24" s="1"/>
  <c r="W24" i="24"/>
  <c r="W5" i="24"/>
  <c r="X5" i="24" s="1"/>
  <c r="U21" i="24"/>
  <c r="U25" i="24"/>
  <c r="W28" i="24"/>
  <c r="U6" i="24"/>
  <c r="W10" i="24"/>
  <c r="X10" i="24" s="1"/>
  <c r="U14" i="24"/>
  <c r="W17" i="24"/>
  <c r="U11" i="24"/>
  <c r="W21" i="24"/>
  <c r="W25" i="24"/>
  <c r="X25" i="24" s="1"/>
  <c r="W6" i="24"/>
  <c r="U7" i="24"/>
  <c r="W14" i="24"/>
  <c r="U18" i="24"/>
  <c r="U22" i="24"/>
  <c r="U26" i="24"/>
  <c r="W11" i="24"/>
  <c r="X11" i="24" s="1"/>
  <c r="U15" i="24"/>
  <c r="W7" i="24"/>
  <c r="U8" i="24"/>
  <c r="W18" i="24"/>
  <c r="W22" i="24"/>
  <c r="X22" i="24" s="1"/>
  <c r="W26" i="24"/>
  <c r="U12" i="24"/>
  <c r="W15" i="24"/>
  <c r="X15" i="24" s="1"/>
  <c r="U19" i="24"/>
  <c r="U23" i="24"/>
  <c r="AD26" i="23"/>
  <c r="U20" i="23"/>
  <c r="AL26" i="23"/>
  <c r="AJ26" i="23"/>
  <c r="AL27" i="23"/>
  <c r="AJ27" i="23"/>
  <c r="W12" i="23"/>
  <c r="X12" i="23" s="1"/>
  <c r="AE26" i="23"/>
  <c r="W27" i="23"/>
  <c r="X27" i="23" s="1"/>
  <c r="W20" i="23"/>
  <c r="U5" i="23"/>
  <c r="AD27" i="23"/>
  <c r="AE27" i="23"/>
  <c r="AN27" i="23" s="1"/>
  <c r="U16" i="23"/>
  <c r="U24" i="23"/>
  <c r="W16" i="23"/>
  <c r="X16" i="23" s="1"/>
  <c r="W24" i="23"/>
  <c r="W8" i="23"/>
  <c r="U9" i="23"/>
  <c r="W19" i="23"/>
  <c r="U29" i="23"/>
  <c r="W31" i="23"/>
  <c r="X31" i="23" s="1"/>
  <c r="U41" i="23"/>
  <c r="W43" i="23"/>
  <c r="X43" i="23" s="1"/>
  <c r="U53" i="23"/>
  <c r="W55" i="23"/>
  <c r="X55" i="23" s="1"/>
  <c r="W56" i="23"/>
  <c r="X56" i="23" s="1"/>
  <c r="U28" i="23"/>
  <c r="W30" i="23"/>
  <c r="X30" i="23" s="1"/>
  <c r="U40" i="23"/>
  <c r="W42" i="23"/>
  <c r="X42" i="23" s="1"/>
  <c r="U52" i="23"/>
  <c r="W54" i="23"/>
  <c r="X54" i="23" s="1"/>
  <c r="W29" i="23"/>
  <c r="X29" i="23" s="1"/>
  <c r="U39" i="23"/>
  <c r="W41" i="23"/>
  <c r="X41" i="23" s="1"/>
  <c r="U51" i="23"/>
  <c r="W53" i="23"/>
  <c r="X53" i="23" s="1"/>
  <c r="W28" i="23"/>
  <c r="X28" i="23" s="1"/>
  <c r="U38" i="23"/>
  <c r="W40" i="23"/>
  <c r="X40" i="23" s="1"/>
  <c r="U50" i="23"/>
  <c r="W52" i="23"/>
  <c r="X52" i="23" s="1"/>
  <c r="W32" i="23"/>
  <c r="X32" i="23" s="1"/>
  <c r="U37" i="23"/>
  <c r="W39" i="23"/>
  <c r="X39" i="23" s="1"/>
  <c r="U49" i="23"/>
  <c r="W51" i="23"/>
  <c r="X51" i="23" s="1"/>
  <c r="U36" i="23"/>
  <c r="W38" i="23"/>
  <c r="X38" i="23" s="1"/>
  <c r="U48" i="23"/>
  <c r="W50" i="23"/>
  <c r="X50" i="23" s="1"/>
  <c r="W44" i="23"/>
  <c r="X44" i="23" s="1"/>
  <c r="U35" i="23"/>
  <c r="W37" i="23"/>
  <c r="X37" i="23" s="1"/>
  <c r="U47" i="23"/>
  <c r="W49" i="23"/>
  <c r="X49" i="23" s="1"/>
  <c r="U34" i="23"/>
  <c r="W36" i="23"/>
  <c r="X36" i="23" s="1"/>
  <c r="U46" i="23"/>
  <c r="W48" i="23"/>
  <c r="X48" i="23" s="1"/>
  <c r="U30" i="23"/>
  <c r="U42" i="23"/>
  <c r="U33" i="23"/>
  <c r="W35" i="23"/>
  <c r="X35" i="23" s="1"/>
  <c r="U45" i="23"/>
  <c r="W47" i="23"/>
  <c r="X47" i="23" s="1"/>
  <c r="U57" i="23"/>
  <c r="U32" i="23"/>
  <c r="W34" i="23"/>
  <c r="X34" i="23" s="1"/>
  <c r="U44" i="23"/>
  <c r="W46" i="23"/>
  <c r="X46" i="23" s="1"/>
  <c r="U56" i="23"/>
  <c r="U31" i="23"/>
  <c r="W33" i="23"/>
  <c r="X33" i="23" s="1"/>
  <c r="U43" i="23"/>
  <c r="W45" i="23"/>
  <c r="X45" i="23" s="1"/>
  <c r="U55" i="23"/>
  <c r="W57" i="23"/>
  <c r="X57" i="23" s="1"/>
  <c r="U54" i="23"/>
  <c r="U13" i="23"/>
  <c r="W5" i="23"/>
  <c r="U10" i="23"/>
  <c r="W13" i="23"/>
  <c r="U17" i="23"/>
  <c r="U21" i="23"/>
  <c r="U25" i="23"/>
  <c r="U6" i="23"/>
  <c r="W10" i="23"/>
  <c r="U14" i="23"/>
  <c r="W17" i="23"/>
  <c r="X17" i="23" s="1"/>
  <c r="W21" i="23"/>
  <c r="W25" i="23"/>
  <c r="X25" i="23" s="1"/>
  <c r="U11" i="23"/>
  <c r="U18" i="23"/>
  <c r="U22" i="23"/>
  <c r="U26" i="23"/>
  <c r="W6" i="23"/>
  <c r="U7" i="23"/>
  <c r="W14" i="23"/>
  <c r="X14" i="23" s="1"/>
  <c r="W11" i="23"/>
  <c r="U15" i="23"/>
  <c r="W18" i="23"/>
  <c r="X18" i="23" s="1"/>
  <c r="W22" i="23"/>
  <c r="W26" i="23"/>
  <c r="W7" i="23"/>
  <c r="U8" i="23"/>
  <c r="U19" i="23"/>
  <c r="U23" i="23"/>
  <c r="U12" i="23"/>
  <c r="W15" i="23"/>
  <c r="X15" i="23" s="1"/>
  <c r="U27" i="23"/>
  <c r="W7" i="70"/>
  <c r="X7" i="70" s="1"/>
  <c r="U8" i="70"/>
  <c r="U17" i="70"/>
  <c r="W20" i="70"/>
  <c r="AD16" i="70"/>
  <c r="W8" i="70"/>
  <c r="X8" i="70" s="1"/>
  <c r="U9" i="70"/>
  <c r="AH15" i="70"/>
  <c r="AI15" i="70" s="1"/>
  <c r="AL15" i="70" s="1"/>
  <c r="AE16" i="70"/>
  <c r="W17" i="70"/>
  <c r="W12" i="70"/>
  <c r="X12" i="70" s="1"/>
  <c r="W21" i="70"/>
  <c r="U13" i="70"/>
  <c r="U18" i="70"/>
  <c r="U22" i="70"/>
  <c r="U5" i="70"/>
  <c r="AH16" i="70"/>
  <c r="AI16" i="70" s="1"/>
  <c r="AL16" i="70" s="1"/>
  <c r="U10" i="70"/>
  <c r="W13" i="70"/>
  <c r="X13" i="70" s="1"/>
  <c r="U15" i="70"/>
  <c r="W18" i="70"/>
  <c r="W22" i="70"/>
  <c r="W5" i="70"/>
  <c r="X5" i="70" s="1"/>
  <c r="U19" i="70"/>
  <c r="U11" i="70"/>
  <c r="U16" i="70"/>
  <c r="W19" i="70"/>
  <c r="X19" i="70" s="1"/>
  <c r="AN15" i="70"/>
  <c r="W12" i="69"/>
  <c r="U35" i="69"/>
  <c r="W62" i="69"/>
  <c r="W66" i="69"/>
  <c r="U13" i="69"/>
  <c r="U16" i="69"/>
  <c r="W19" i="69"/>
  <c r="W23" i="69"/>
  <c r="W27" i="69"/>
  <c r="X27" i="69" s="1"/>
  <c r="W31" i="69"/>
  <c r="U63" i="69"/>
  <c r="U67" i="69"/>
  <c r="U20" i="69"/>
  <c r="U24" i="69"/>
  <c r="U28" i="69"/>
  <c r="U32" i="69"/>
  <c r="W35" i="69"/>
  <c r="X35" i="69" s="1"/>
  <c r="W13" i="69"/>
  <c r="W16" i="69"/>
  <c r="U36" i="69"/>
  <c r="W63" i="69"/>
  <c r="X63" i="69" s="1"/>
  <c r="W67" i="69"/>
  <c r="U6" i="69"/>
  <c r="W20" i="69"/>
  <c r="X20" i="69" s="1"/>
  <c r="W24" i="69"/>
  <c r="W28" i="69"/>
  <c r="W32" i="69"/>
  <c r="U60" i="69"/>
  <c r="U64" i="69"/>
  <c r="J24" i="68"/>
  <c r="W6" i="69"/>
  <c r="U11" i="69"/>
  <c r="W60" i="69"/>
  <c r="X60" i="69" s="1"/>
  <c r="W64" i="69"/>
  <c r="L24" i="68"/>
  <c r="W25" i="69"/>
  <c r="X25" i="69" s="1"/>
  <c r="W29" i="69"/>
  <c r="W33" i="69"/>
  <c r="U61" i="69"/>
  <c r="U65" i="69"/>
  <c r="P24" i="68"/>
  <c r="U15" i="69"/>
  <c r="U18" i="69"/>
  <c r="U22" i="69"/>
  <c r="U26" i="69"/>
  <c r="U30" i="69"/>
  <c r="U34" i="69"/>
  <c r="W7" i="69"/>
  <c r="U8" i="69"/>
  <c r="W61" i="69"/>
  <c r="AJ63" i="22"/>
  <c r="AL63" i="22"/>
  <c r="AL55" i="22"/>
  <c r="AL59" i="22"/>
  <c r="AJ62" i="22"/>
  <c r="AL62" i="22"/>
  <c r="AL54" i="22"/>
  <c r="AL64" i="22"/>
  <c r="AL61" i="22"/>
  <c r="W5" i="22"/>
  <c r="X5" i="22" s="1"/>
  <c r="W20" i="22"/>
  <c r="AJ55" i="22"/>
  <c r="AH56" i="22"/>
  <c r="AI56" i="22" s="1"/>
  <c r="AL56" i="22" s="1"/>
  <c r="AD59" i="22"/>
  <c r="U61" i="22"/>
  <c r="AJ64" i="22"/>
  <c r="AH65" i="22"/>
  <c r="AI65" i="22" s="1"/>
  <c r="AL65" i="22" s="1"/>
  <c r="W68" i="22"/>
  <c r="X68" i="22" s="1"/>
  <c r="U6" i="22"/>
  <c r="W40" i="22"/>
  <c r="AH57" i="22"/>
  <c r="AI57" i="22" s="1"/>
  <c r="AJ57" i="22" s="1"/>
  <c r="AE59" i="22"/>
  <c r="AD60" i="22"/>
  <c r="AH66" i="22"/>
  <c r="AI66" i="22" s="1"/>
  <c r="AL66" i="22" s="1"/>
  <c r="W13" i="22"/>
  <c r="AE60" i="22"/>
  <c r="AH67" i="22"/>
  <c r="AI67" i="22" s="1"/>
  <c r="AL67" i="22" s="1"/>
  <c r="AD68" i="22"/>
  <c r="W24" i="22"/>
  <c r="X24" i="22" s="1"/>
  <c r="AM56" i="22"/>
  <c r="U65" i="22"/>
  <c r="AM65" i="22"/>
  <c r="AD55" i="22"/>
  <c r="W56" i="22"/>
  <c r="AM57" i="22"/>
  <c r="AJ59" i="22"/>
  <c r="AD64" i="22"/>
  <c r="AM66" i="22"/>
  <c r="AH68" i="22"/>
  <c r="AI68" i="22" s="1"/>
  <c r="AL68" i="22" s="1"/>
  <c r="U10" i="22"/>
  <c r="W16" i="22"/>
  <c r="X16" i="22" s="1"/>
  <c r="AE55" i="22"/>
  <c r="AE64" i="22"/>
  <c r="AM67" i="22"/>
  <c r="AN67" i="22" s="1"/>
  <c r="W36" i="22"/>
  <c r="AD56" i="22"/>
  <c r="AD65" i="22"/>
  <c r="AD57" i="22"/>
  <c r="AJ61" i="22"/>
  <c r="AD66" i="22"/>
  <c r="W28" i="22"/>
  <c r="U68" i="22"/>
  <c r="W48" i="22"/>
  <c r="AN58" i="22"/>
  <c r="W10" i="22"/>
  <c r="U14" i="22"/>
  <c r="W17" i="22"/>
  <c r="X17" i="22" s="1"/>
  <c r="W21" i="22"/>
  <c r="W25" i="22"/>
  <c r="X25" i="22" s="1"/>
  <c r="W29" i="22"/>
  <c r="W33" i="22"/>
  <c r="W37" i="22"/>
  <c r="X37" i="22" s="1"/>
  <c r="W41" i="22"/>
  <c r="X41" i="22" s="1"/>
  <c r="W45" i="22"/>
  <c r="X45" i="22" s="1"/>
  <c r="W49" i="22"/>
  <c r="X49" i="22" s="1"/>
  <c r="W53" i="22"/>
  <c r="X53" i="22" s="1"/>
  <c r="U54" i="22"/>
  <c r="W57" i="22"/>
  <c r="W6" i="22"/>
  <c r="U7" i="22"/>
  <c r="U11" i="22"/>
  <c r="U18" i="22"/>
  <c r="U22" i="22"/>
  <c r="U26" i="22"/>
  <c r="U30" i="22"/>
  <c r="U34" i="22"/>
  <c r="U38" i="22"/>
  <c r="U42" i="22"/>
  <c r="U46" i="22"/>
  <c r="U50" i="22"/>
  <c r="W61" i="22"/>
  <c r="X61" i="22" s="1"/>
  <c r="W65" i="22"/>
  <c r="X65" i="22" s="1"/>
  <c r="L41" i="68"/>
  <c r="W14" i="22"/>
  <c r="W54" i="22"/>
  <c r="X54" i="22" s="1"/>
  <c r="U58" i="22"/>
  <c r="U62" i="22"/>
  <c r="U66" i="22"/>
  <c r="U15" i="22"/>
  <c r="W18" i="22"/>
  <c r="X18" i="22" s="1"/>
  <c r="W22" i="22"/>
  <c r="W26" i="22"/>
  <c r="W30" i="22"/>
  <c r="W34" i="22"/>
  <c r="X34" i="22" s="1"/>
  <c r="W38" i="22"/>
  <c r="W42" i="22"/>
  <c r="X42" i="22" s="1"/>
  <c r="W46" i="22"/>
  <c r="W50" i="22"/>
  <c r="X50" i="22" s="1"/>
  <c r="P41" i="68"/>
  <c r="U8" i="22"/>
  <c r="U19" i="22"/>
  <c r="U23" i="22"/>
  <c r="U27" i="22"/>
  <c r="U31" i="22"/>
  <c r="U35" i="22"/>
  <c r="U39" i="22"/>
  <c r="U43" i="22"/>
  <c r="U47" i="22"/>
  <c r="U51" i="22"/>
  <c r="U55" i="22"/>
  <c r="W58" i="22"/>
  <c r="X58" i="22" s="1"/>
  <c r="W62" i="22"/>
  <c r="W66" i="22"/>
  <c r="X66" i="22" s="1"/>
  <c r="U12" i="22"/>
  <c r="W15" i="22"/>
  <c r="X15" i="22" s="1"/>
  <c r="U59" i="22"/>
  <c r="U63" i="22"/>
  <c r="U67" i="22"/>
  <c r="W8" i="22"/>
  <c r="U9" i="22"/>
  <c r="W19" i="22"/>
  <c r="X19" i="22" s="1"/>
  <c r="W23" i="22"/>
  <c r="X23" i="22" s="1"/>
  <c r="W27" i="22"/>
  <c r="W31" i="22"/>
  <c r="W35" i="22"/>
  <c r="W39" i="22"/>
  <c r="X39" i="22" s="1"/>
  <c r="W43" i="22"/>
  <c r="W47" i="22"/>
  <c r="W51" i="22"/>
  <c r="W55" i="22"/>
  <c r="X55" i="22" s="1"/>
  <c r="W12" i="22"/>
  <c r="X12" i="22" s="1"/>
  <c r="U16" i="22"/>
  <c r="U20" i="22"/>
  <c r="U24" i="22"/>
  <c r="U28" i="22"/>
  <c r="U32" i="22"/>
  <c r="U36" i="22"/>
  <c r="U40" i="22"/>
  <c r="U44" i="22"/>
  <c r="U48" i="22"/>
  <c r="U52" i="22"/>
  <c r="U56" i="22"/>
  <c r="W59" i="22"/>
  <c r="X59" i="22" s="1"/>
  <c r="W63" i="22"/>
  <c r="U70" i="22"/>
  <c r="W72" i="22"/>
  <c r="X72" i="22" s="1"/>
  <c r="U82" i="22"/>
  <c r="W84" i="22"/>
  <c r="X84" i="22" s="1"/>
  <c r="U69" i="22"/>
  <c r="W71" i="22"/>
  <c r="X71" i="22" s="1"/>
  <c r="U81" i="22"/>
  <c r="W83" i="22"/>
  <c r="X83" i="22" s="1"/>
  <c r="W85" i="22"/>
  <c r="X85" i="22" s="1"/>
  <c r="W70" i="22"/>
  <c r="X70" i="22" s="1"/>
  <c r="U80" i="22"/>
  <c r="W82" i="22"/>
  <c r="X82" i="22" s="1"/>
  <c r="W69" i="22"/>
  <c r="X69" i="22" s="1"/>
  <c r="U79" i="22"/>
  <c r="W81" i="22"/>
  <c r="X81" i="22" s="1"/>
  <c r="U78" i="22"/>
  <c r="W80" i="22"/>
  <c r="X80" i="22" s="1"/>
  <c r="W73" i="22"/>
  <c r="X73" i="22" s="1"/>
  <c r="U77" i="22"/>
  <c r="W79" i="22"/>
  <c r="X79" i="22" s="1"/>
  <c r="U76" i="22"/>
  <c r="W78" i="22"/>
  <c r="X78" i="22" s="1"/>
  <c r="U88" i="22"/>
  <c r="U75" i="22"/>
  <c r="W77" i="22"/>
  <c r="X77" i="22" s="1"/>
  <c r="U87" i="22"/>
  <c r="U83" i="22"/>
  <c r="U74" i="22"/>
  <c r="W76" i="22"/>
  <c r="X76" i="22" s="1"/>
  <c r="U86" i="22"/>
  <c r="W88" i="22"/>
  <c r="X88" i="22" s="1"/>
  <c r="U71" i="22"/>
  <c r="U73" i="22"/>
  <c r="W75" i="22"/>
  <c r="X75" i="22" s="1"/>
  <c r="U85" i="22"/>
  <c r="W87" i="22"/>
  <c r="X87" i="22" s="1"/>
  <c r="U72" i="22"/>
  <c r="W74" i="22"/>
  <c r="X74" i="22" s="1"/>
  <c r="U84" i="22"/>
  <c r="W86" i="22"/>
  <c r="X86" i="22" s="1"/>
  <c r="U13" i="22"/>
  <c r="U60" i="22"/>
  <c r="U64" i="22"/>
  <c r="U17" i="22"/>
  <c r="U21" i="22"/>
  <c r="U25" i="22"/>
  <c r="U29" i="22"/>
  <c r="U33" i="22"/>
  <c r="U37" i="22"/>
  <c r="U41" i="22"/>
  <c r="U45" i="22"/>
  <c r="U49" i="22"/>
  <c r="U53" i="22"/>
  <c r="U57" i="22"/>
  <c r="W60" i="22"/>
  <c r="W64" i="22"/>
  <c r="X64" i="22" s="1"/>
  <c r="AL11" i="21"/>
  <c r="AJ11" i="21"/>
  <c r="AL16" i="21"/>
  <c r="AJ16" i="21"/>
  <c r="AJ19" i="21"/>
  <c r="AJ15" i="21"/>
  <c r="AL15" i="21"/>
  <c r="AL21" i="21"/>
  <c r="AJ21" i="21"/>
  <c r="AL18" i="21"/>
  <c r="AJ18" i="21"/>
  <c r="AL12" i="21"/>
  <c r="AJ12" i="21"/>
  <c r="AL20" i="21"/>
  <c r="AJ20" i="21"/>
  <c r="AL17" i="21"/>
  <c r="AJ17" i="21"/>
  <c r="AD11" i="21"/>
  <c r="U12" i="21"/>
  <c r="AE14" i="21"/>
  <c r="AN14" i="21" s="1"/>
  <c r="W15" i="21"/>
  <c r="AD18" i="21"/>
  <c r="AN18" i="21" s="1"/>
  <c r="AM19" i="21"/>
  <c r="AD22" i="21"/>
  <c r="AN22" i="21" s="1"/>
  <c r="U23" i="21"/>
  <c r="AM12" i="21"/>
  <c r="AJ13" i="21"/>
  <c r="AD15" i="21"/>
  <c r="AN15" i="21" s="1"/>
  <c r="U16" i="21"/>
  <c r="U20" i="21"/>
  <c r="W23" i="21"/>
  <c r="U13" i="21"/>
  <c r="AH14" i="21"/>
  <c r="AI14" i="21" s="1"/>
  <c r="AL14" i="21" s="1"/>
  <c r="AM16" i="21"/>
  <c r="AD19" i="21"/>
  <c r="AM20" i="21"/>
  <c r="U24" i="21"/>
  <c r="AD12" i="21"/>
  <c r="AE19" i="21"/>
  <c r="W20" i="21"/>
  <c r="AH22" i="21"/>
  <c r="AI22" i="21" s="1"/>
  <c r="AL22" i="21" s="1"/>
  <c r="AE12" i="21"/>
  <c r="W13" i="21"/>
  <c r="U17" i="21"/>
  <c r="U21" i="21"/>
  <c r="W24" i="21"/>
  <c r="AD16" i="21"/>
  <c r="AD20" i="21"/>
  <c r="AD13" i="21"/>
  <c r="U14" i="21"/>
  <c r="W21" i="21"/>
  <c r="U18" i="21"/>
  <c r="AL80" i="20"/>
  <c r="AJ80" i="20"/>
  <c r="AL69" i="20"/>
  <c r="AJ69" i="20"/>
  <c r="AL59" i="20"/>
  <c r="AJ78" i="20"/>
  <c r="AL78" i="20"/>
  <c r="AJ66" i="20"/>
  <c r="AL68" i="20"/>
  <c r="AJ68" i="20"/>
  <c r="AL71" i="20"/>
  <c r="AL61" i="20"/>
  <c r="AJ61" i="20"/>
  <c r="AL73" i="20"/>
  <c r="AJ73" i="20"/>
  <c r="AL58" i="20"/>
  <c r="AJ58" i="20"/>
  <c r="AL63" i="20"/>
  <c r="AJ63" i="20"/>
  <c r="AJ79" i="20"/>
  <c r="AL77" i="20"/>
  <c r="AL65" i="20"/>
  <c r="AM65" i="20"/>
  <c r="AN74" i="20"/>
  <c r="AM77" i="20"/>
  <c r="AE62" i="20"/>
  <c r="AN62" i="20" s="1"/>
  <c r="AM66" i="20"/>
  <c r="AL67" i="20"/>
  <c r="AM78" i="20"/>
  <c r="AL79" i="20"/>
  <c r="AH60" i="20"/>
  <c r="AI60" i="20" s="1"/>
  <c r="AL60" i="20" s="1"/>
  <c r="AD64" i="20"/>
  <c r="AN64" i="20" s="1"/>
  <c r="AM67" i="20"/>
  <c r="AJ70" i="20"/>
  <c r="AH72" i="20"/>
  <c r="AI72" i="20" s="1"/>
  <c r="AJ72" i="20" s="1"/>
  <c r="AE75" i="20"/>
  <c r="AN75" i="20" s="1"/>
  <c r="AD76" i="20"/>
  <c r="AN76" i="20" s="1"/>
  <c r="AM79" i="20"/>
  <c r="AE65" i="20"/>
  <c r="AD66" i="20"/>
  <c r="AM69" i="20"/>
  <c r="AN69" i="20" s="1"/>
  <c r="AH74" i="20"/>
  <c r="AI74" i="20" s="1"/>
  <c r="AL74" i="20" s="1"/>
  <c r="AE77" i="20"/>
  <c r="AD78" i="20"/>
  <c r="AE66" i="20"/>
  <c r="AD67" i="20"/>
  <c r="AH75" i="20"/>
  <c r="AI75" i="20" s="1"/>
  <c r="AL75" i="20" s="1"/>
  <c r="AE78" i="20"/>
  <c r="AD79" i="20"/>
  <c r="W5" i="20"/>
  <c r="AJ62" i="20"/>
  <c r="AH64" i="20"/>
  <c r="AI64" i="20" s="1"/>
  <c r="AL64" i="20" s="1"/>
  <c r="AD68" i="20"/>
  <c r="AJ74" i="20"/>
  <c r="AH76" i="20"/>
  <c r="AI76" i="20" s="1"/>
  <c r="AL76" i="20" s="1"/>
  <c r="AE79" i="20"/>
  <c r="AD80" i="20"/>
  <c r="W13" i="20"/>
  <c r="AM60" i="20"/>
  <c r="AE68" i="20"/>
  <c r="AM72" i="20"/>
  <c r="AE80" i="20"/>
  <c r="W8" i="20"/>
  <c r="U9" i="20"/>
  <c r="AN58" i="20"/>
  <c r="AN70" i="20"/>
  <c r="AM73" i="20"/>
  <c r="AN59" i="20"/>
  <c r="AN71" i="20"/>
  <c r="AJ77" i="20"/>
  <c r="AD60" i="20"/>
  <c r="AD72" i="20"/>
  <c r="W15" i="20"/>
  <c r="W12" i="20"/>
  <c r="W19" i="20"/>
  <c r="W23" i="20"/>
  <c r="W27" i="20"/>
  <c r="X27" i="20" s="1"/>
  <c r="W31" i="20"/>
  <c r="W35" i="20"/>
  <c r="W39" i="20"/>
  <c r="W43" i="20"/>
  <c r="W47" i="20"/>
  <c r="W51" i="20"/>
  <c r="X51" i="20" s="1"/>
  <c r="W55" i="20"/>
  <c r="W59" i="20"/>
  <c r="X59" i="20" s="1"/>
  <c r="W63" i="20"/>
  <c r="W67" i="20"/>
  <c r="W71" i="20"/>
  <c r="W75" i="20"/>
  <c r="U82" i="20"/>
  <c r="W84" i="20"/>
  <c r="X84" i="20" s="1"/>
  <c r="U94" i="20"/>
  <c r="W96" i="20"/>
  <c r="X96" i="20" s="1"/>
  <c r="U106" i="20"/>
  <c r="W108" i="20"/>
  <c r="X108" i="20" s="1"/>
  <c r="U118" i="20"/>
  <c r="W120" i="20"/>
  <c r="X120" i="20" s="1"/>
  <c r="U130" i="20"/>
  <c r="W132" i="20"/>
  <c r="X132" i="20" s="1"/>
  <c r="W131" i="20"/>
  <c r="X131" i="20" s="1"/>
  <c r="U107" i="20"/>
  <c r="U81" i="20"/>
  <c r="W83" i="20"/>
  <c r="X83" i="20" s="1"/>
  <c r="U93" i="20"/>
  <c r="W95" i="20"/>
  <c r="X95" i="20" s="1"/>
  <c r="U105" i="20"/>
  <c r="W107" i="20"/>
  <c r="X107" i="20" s="1"/>
  <c r="U117" i="20"/>
  <c r="W119" i="20"/>
  <c r="X119" i="20" s="1"/>
  <c r="U129" i="20"/>
  <c r="U83" i="20"/>
  <c r="W97" i="20"/>
  <c r="X97" i="20" s="1"/>
  <c r="W82" i="20"/>
  <c r="X82" i="20" s="1"/>
  <c r="U92" i="20"/>
  <c r="W94" i="20"/>
  <c r="X94" i="20" s="1"/>
  <c r="U104" i="20"/>
  <c r="W106" i="20"/>
  <c r="X106" i="20" s="1"/>
  <c r="U116" i="20"/>
  <c r="W118" i="20"/>
  <c r="X118" i="20" s="1"/>
  <c r="U128" i="20"/>
  <c r="W130" i="20"/>
  <c r="X130" i="20" s="1"/>
  <c r="W85" i="20"/>
  <c r="X85" i="20" s="1"/>
  <c r="W109" i="20"/>
  <c r="X109" i="20" s="1"/>
  <c r="U131" i="20"/>
  <c r="W81" i="20"/>
  <c r="X81" i="20" s="1"/>
  <c r="U91" i="20"/>
  <c r="W93" i="20"/>
  <c r="X93" i="20" s="1"/>
  <c r="U103" i="20"/>
  <c r="W105" i="20"/>
  <c r="X105" i="20" s="1"/>
  <c r="U115" i="20"/>
  <c r="W117" i="20"/>
  <c r="X117" i="20" s="1"/>
  <c r="U127" i="20"/>
  <c r="W129" i="20"/>
  <c r="X129" i="20" s="1"/>
  <c r="U90" i="20"/>
  <c r="W92" i="20"/>
  <c r="X92" i="20" s="1"/>
  <c r="U102" i="20"/>
  <c r="W104" i="20"/>
  <c r="X104" i="20" s="1"/>
  <c r="U114" i="20"/>
  <c r="W116" i="20"/>
  <c r="X116" i="20" s="1"/>
  <c r="U126" i="20"/>
  <c r="W128" i="20"/>
  <c r="X128" i="20" s="1"/>
  <c r="U119" i="20"/>
  <c r="U89" i="20"/>
  <c r="W91" i="20"/>
  <c r="X91" i="20" s="1"/>
  <c r="U101" i="20"/>
  <c r="W103" i="20"/>
  <c r="X103" i="20" s="1"/>
  <c r="U113" i="20"/>
  <c r="W115" i="20"/>
  <c r="X115" i="20" s="1"/>
  <c r="U125" i="20"/>
  <c r="W127" i="20"/>
  <c r="X127" i="20" s="1"/>
  <c r="U122" i="20"/>
  <c r="W121" i="20"/>
  <c r="X121" i="20" s="1"/>
  <c r="U88" i="20"/>
  <c r="W90" i="20"/>
  <c r="X90" i="20" s="1"/>
  <c r="U100" i="20"/>
  <c r="W102" i="20"/>
  <c r="X102" i="20" s="1"/>
  <c r="U112" i="20"/>
  <c r="W114" i="20"/>
  <c r="X114" i="20" s="1"/>
  <c r="U124" i="20"/>
  <c r="W126" i="20"/>
  <c r="X126" i="20" s="1"/>
  <c r="U87" i="20"/>
  <c r="W89" i="20"/>
  <c r="X89" i="20" s="1"/>
  <c r="U99" i="20"/>
  <c r="W101" i="20"/>
  <c r="X101" i="20" s="1"/>
  <c r="U111" i="20"/>
  <c r="W113" i="20"/>
  <c r="X113" i="20" s="1"/>
  <c r="U123" i="20"/>
  <c r="W125" i="20"/>
  <c r="X125" i="20" s="1"/>
  <c r="W133" i="20"/>
  <c r="X133" i="20" s="1"/>
  <c r="U86" i="20"/>
  <c r="W88" i="20"/>
  <c r="X88" i="20" s="1"/>
  <c r="U98" i="20"/>
  <c r="W100" i="20"/>
  <c r="X100" i="20" s="1"/>
  <c r="U110" i="20"/>
  <c r="W112" i="20"/>
  <c r="X112" i="20" s="1"/>
  <c r="W124" i="20"/>
  <c r="X124" i="20" s="1"/>
  <c r="U85" i="20"/>
  <c r="W87" i="20"/>
  <c r="X87" i="20" s="1"/>
  <c r="U97" i="20"/>
  <c r="W99" i="20"/>
  <c r="X99" i="20" s="1"/>
  <c r="U109" i="20"/>
  <c r="W111" i="20"/>
  <c r="X111" i="20" s="1"/>
  <c r="U121" i="20"/>
  <c r="W123" i="20"/>
  <c r="X123" i="20" s="1"/>
  <c r="U133" i="20"/>
  <c r="U132" i="20"/>
  <c r="U95" i="20"/>
  <c r="U84" i="20"/>
  <c r="W86" i="20"/>
  <c r="X86" i="20" s="1"/>
  <c r="U96" i="20"/>
  <c r="W98" i="20"/>
  <c r="X98" i="20" s="1"/>
  <c r="U108" i="20"/>
  <c r="W110" i="20"/>
  <c r="X110" i="20" s="1"/>
  <c r="U120" i="20"/>
  <c r="W122" i="20"/>
  <c r="X122" i="20" s="1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5" i="20"/>
  <c r="U13" i="20"/>
  <c r="U10" i="20"/>
  <c r="W16" i="20"/>
  <c r="W20" i="20"/>
  <c r="X20" i="20" s="1"/>
  <c r="W24" i="20"/>
  <c r="W28" i="20"/>
  <c r="W32" i="20"/>
  <c r="W36" i="20"/>
  <c r="X36" i="20" s="1"/>
  <c r="W40" i="20"/>
  <c r="W44" i="20"/>
  <c r="W48" i="20"/>
  <c r="W52" i="20"/>
  <c r="W56" i="20"/>
  <c r="W60" i="20"/>
  <c r="X60" i="20" s="1"/>
  <c r="W64" i="20"/>
  <c r="W68" i="20"/>
  <c r="X68" i="20" s="1"/>
  <c r="W72" i="20"/>
  <c r="W76" i="20"/>
  <c r="W80" i="20"/>
  <c r="U17" i="20"/>
  <c r="U21" i="20"/>
  <c r="U25" i="20"/>
  <c r="U29" i="20"/>
  <c r="U33" i="20"/>
  <c r="U37" i="20"/>
  <c r="U41" i="20"/>
  <c r="U45" i="20"/>
  <c r="U49" i="20"/>
  <c r="U53" i="20"/>
  <c r="U57" i="20"/>
  <c r="U61" i="20"/>
  <c r="U65" i="20"/>
  <c r="U69" i="20"/>
  <c r="U73" i="20"/>
  <c r="U77" i="20"/>
  <c r="U6" i="20"/>
  <c r="W10" i="20"/>
  <c r="X10" i="20" s="1"/>
  <c r="U11" i="20"/>
  <c r="U14" i="20"/>
  <c r="W17" i="20"/>
  <c r="X17" i="20" s="1"/>
  <c r="W21" i="20"/>
  <c r="W25" i="20"/>
  <c r="W29" i="20"/>
  <c r="W33" i="20"/>
  <c r="X33" i="20" s="1"/>
  <c r="W37" i="20"/>
  <c r="W41" i="20"/>
  <c r="W45" i="20"/>
  <c r="W49" i="20"/>
  <c r="W53" i="20"/>
  <c r="W57" i="20"/>
  <c r="X57" i="20" s="1"/>
  <c r="W61" i="20"/>
  <c r="W65" i="20"/>
  <c r="X65" i="20" s="1"/>
  <c r="W69" i="20"/>
  <c r="W73" i="20"/>
  <c r="W77" i="20"/>
  <c r="W6" i="20"/>
  <c r="U7" i="20"/>
  <c r="U18" i="20"/>
  <c r="U22" i="20"/>
  <c r="U26" i="20"/>
  <c r="U30" i="20"/>
  <c r="U34" i="20"/>
  <c r="U38" i="20"/>
  <c r="U42" i="20"/>
  <c r="U46" i="20"/>
  <c r="U50" i="20"/>
  <c r="U54" i="20"/>
  <c r="U58" i="20"/>
  <c r="U62" i="20"/>
  <c r="U66" i="20"/>
  <c r="U70" i="20"/>
  <c r="U74" i="20"/>
  <c r="U78" i="20"/>
  <c r="W14" i="20"/>
  <c r="W7" i="20"/>
  <c r="X7" i="20" s="1"/>
  <c r="U8" i="20"/>
  <c r="U15" i="20"/>
  <c r="W18" i="20"/>
  <c r="W22" i="20"/>
  <c r="W26" i="20"/>
  <c r="X26" i="20" s="1"/>
  <c r="W30" i="20"/>
  <c r="W34" i="20"/>
  <c r="W38" i="20"/>
  <c r="W42" i="20"/>
  <c r="W46" i="20"/>
  <c r="W50" i="20"/>
  <c r="X50" i="20" s="1"/>
  <c r="W54" i="20"/>
  <c r="X54" i="20" s="1"/>
  <c r="W58" i="20"/>
  <c r="W62" i="20"/>
  <c r="W66" i="20"/>
  <c r="W70" i="20"/>
  <c r="W74" i="20"/>
  <c r="X74" i="20" s="1"/>
  <c r="W78" i="20"/>
  <c r="U12" i="20"/>
  <c r="U19" i="20"/>
  <c r="U23" i="20"/>
  <c r="U27" i="20"/>
  <c r="U31" i="20"/>
  <c r="U35" i="20"/>
  <c r="U39" i="20"/>
  <c r="U43" i="20"/>
  <c r="U47" i="20"/>
  <c r="U51" i="20"/>
  <c r="U55" i="20"/>
  <c r="U59" i="20"/>
  <c r="U63" i="20"/>
  <c r="U67" i="20"/>
  <c r="U71" i="20"/>
  <c r="U75" i="20"/>
  <c r="U79" i="20"/>
  <c r="AL19" i="19"/>
  <c r="AJ19" i="19"/>
  <c r="AJ17" i="19"/>
  <c r="AL17" i="19"/>
  <c r="AJ21" i="19"/>
  <c r="AL21" i="19"/>
  <c r="AL20" i="19"/>
  <c r="AL15" i="19"/>
  <c r="AJ15" i="19"/>
  <c r="AL16" i="19"/>
  <c r="AJ16" i="19"/>
  <c r="U17" i="19"/>
  <c r="W24" i="19"/>
  <c r="AN16" i="19"/>
  <c r="AM17" i="19"/>
  <c r="W10" i="19"/>
  <c r="X10" i="19" s="1"/>
  <c r="U14" i="19"/>
  <c r="W17" i="19"/>
  <c r="AJ18" i="19"/>
  <c r="AD20" i="19"/>
  <c r="W6" i="19"/>
  <c r="U7" i="19"/>
  <c r="U11" i="19"/>
  <c r="AE20" i="19"/>
  <c r="W21" i="19"/>
  <c r="AD17" i="19"/>
  <c r="U18" i="19"/>
  <c r="U22" i="19"/>
  <c r="AE17" i="19"/>
  <c r="AN21" i="19"/>
  <c r="W22" i="19"/>
  <c r="U23" i="19"/>
  <c r="AJ20" i="19"/>
  <c r="AN15" i="19"/>
  <c r="U13" i="19"/>
  <c r="U20" i="19"/>
  <c r="AJ11" i="18"/>
  <c r="AL11" i="18"/>
  <c r="AJ14" i="18"/>
  <c r="AL14" i="18"/>
  <c r="S18" i="68"/>
  <c r="AN13" i="18"/>
  <c r="U5" i="18"/>
  <c r="W8" i="18"/>
  <c r="X8" i="18" s="1"/>
  <c r="W11" i="18"/>
  <c r="X11" i="18" s="1"/>
  <c r="AJ12" i="18"/>
  <c r="W14" i="18"/>
  <c r="U15" i="18"/>
  <c r="W18" i="18"/>
  <c r="W22" i="18"/>
  <c r="W5" i="18"/>
  <c r="U9" i="18"/>
  <c r="AD11" i="18"/>
  <c r="U12" i="18"/>
  <c r="AH13" i="18"/>
  <c r="AI13" i="18" s="1"/>
  <c r="AL13" i="18" s="1"/>
  <c r="AD14" i="18"/>
  <c r="AN14" i="18" s="1"/>
  <c r="U19" i="18"/>
  <c r="U23" i="18"/>
  <c r="W12" i="18"/>
  <c r="W19" i="18"/>
  <c r="W23" i="18"/>
  <c r="W6" i="18"/>
  <c r="U16" i="18"/>
  <c r="U20" i="18"/>
  <c r="U24" i="18"/>
  <c r="AD12" i="18"/>
  <c r="AN12" i="18" s="1"/>
  <c r="U13" i="18"/>
  <c r="U7" i="18"/>
  <c r="U10" i="18"/>
  <c r="W16" i="18"/>
  <c r="W20" i="18"/>
  <c r="W24" i="18"/>
  <c r="W13" i="18"/>
  <c r="U17" i="18"/>
  <c r="U21" i="18"/>
  <c r="AL6" i="16"/>
  <c r="AJ6" i="16"/>
  <c r="U11" i="16"/>
  <c r="U14" i="16"/>
  <c r="W17" i="16"/>
  <c r="W21" i="16"/>
  <c r="X21" i="16" s="1"/>
  <c r="W11" i="16"/>
  <c r="W14" i="16"/>
  <c r="AD6" i="16"/>
  <c r="W7" i="16"/>
  <c r="X7" i="16" s="1"/>
  <c r="U8" i="16"/>
  <c r="U15" i="16"/>
  <c r="W18" i="16"/>
  <c r="W22" i="16"/>
  <c r="U12" i="16"/>
  <c r="U19" i="16"/>
  <c r="U23" i="16"/>
  <c r="W8" i="16"/>
  <c r="X8" i="16" s="1"/>
  <c r="U9" i="16"/>
  <c r="W15" i="16"/>
  <c r="W12" i="16"/>
  <c r="W19" i="16"/>
  <c r="X19" i="16" s="1"/>
  <c r="W23" i="16"/>
  <c r="X23" i="16" s="1"/>
  <c r="U16" i="16"/>
  <c r="U20" i="16"/>
  <c r="U24" i="16"/>
  <c r="U5" i="16"/>
  <c r="U13" i="16"/>
  <c r="U10" i="16"/>
  <c r="W16" i="16"/>
  <c r="X16" i="16" s="1"/>
  <c r="Z16" i="16" s="1"/>
  <c r="AB16" i="16" s="1"/>
  <c r="AO16" i="16" s="1"/>
  <c r="W20" i="16"/>
  <c r="W24" i="16"/>
  <c r="W13" i="16"/>
  <c r="U17" i="16"/>
  <c r="U21" i="16"/>
  <c r="AL122" i="15"/>
  <c r="U12" i="15"/>
  <c r="AE124" i="15"/>
  <c r="W126" i="15"/>
  <c r="AL141" i="15"/>
  <c r="AD153" i="15"/>
  <c r="AL165" i="15"/>
  <c r="AE177" i="15"/>
  <c r="AE182" i="15"/>
  <c r="AM185" i="15"/>
  <c r="AD228" i="15"/>
  <c r="W56" i="15"/>
  <c r="X56" i="15" s="1"/>
  <c r="AM149" i="15"/>
  <c r="AL161" i="15"/>
  <c r="AM166" i="15"/>
  <c r="AJ174" i="15"/>
  <c r="AM226" i="15"/>
  <c r="AE228" i="15"/>
  <c r="AM122" i="15"/>
  <c r="AE126" i="15"/>
  <c r="AH137" i="15"/>
  <c r="AI137" i="15" s="1"/>
  <c r="AL137" i="15" s="1"/>
  <c r="AE148" i="15"/>
  <c r="AD160" i="15"/>
  <c r="AL204" i="15"/>
  <c r="AD208" i="15"/>
  <c r="AH211" i="15"/>
  <c r="AI211" i="15" s="1"/>
  <c r="AE215" i="15"/>
  <c r="AE219" i="15"/>
  <c r="W21" i="15"/>
  <c r="U31" i="15"/>
  <c r="AE160" i="15"/>
  <c r="AL169" i="15"/>
  <c r="AH179" i="15"/>
  <c r="AI179" i="15" s="1"/>
  <c r="AL179" i="15" s="1"/>
  <c r="AM182" i="15"/>
  <c r="AE208" i="15"/>
  <c r="AN208" i="15" s="1"/>
  <c r="AE223" i="15"/>
  <c r="AM170" i="15"/>
  <c r="AM206" i="15"/>
  <c r="AM211" i="15"/>
  <c r="AJ129" i="15"/>
  <c r="AM130" i="15"/>
  <c r="U41" i="15"/>
  <c r="W113" i="15"/>
  <c r="AD122" i="15"/>
  <c r="AM139" i="15"/>
  <c r="AE150" i="15"/>
  <c r="AD152" i="15"/>
  <c r="AD176" i="15"/>
  <c r="AJ178" i="15"/>
  <c r="AM179" i="15"/>
  <c r="AE181" i="15"/>
  <c r="AE227" i="15"/>
  <c r="U24" i="15"/>
  <c r="W69" i="15"/>
  <c r="AE123" i="15"/>
  <c r="AL145" i="15"/>
  <c r="AL149" i="15"/>
  <c r="AM160" i="15"/>
  <c r="AD169" i="15"/>
  <c r="AM186" i="15"/>
  <c r="AM208" i="15"/>
  <c r="U62" i="15"/>
  <c r="W131" i="15"/>
  <c r="AN133" i="15"/>
  <c r="AE162" i="15"/>
  <c r="AH167" i="15"/>
  <c r="AI167" i="15" s="1"/>
  <c r="AL167" i="15" s="1"/>
  <c r="AE169" i="15"/>
  <c r="AD173" i="15"/>
  <c r="AE185" i="15"/>
  <c r="AN185" i="15" s="1"/>
  <c r="AH227" i="15"/>
  <c r="AI227" i="15" s="1"/>
  <c r="AJ166" i="15"/>
  <c r="AM125" i="15"/>
  <c r="AL173" i="15"/>
  <c r="AL177" i="15"/>
  <c r="W117" i="15"/>
  <c r="AM147" i="15"/>
  <c r="AL175" i="15"/>
  <c r="AH185" i="15"/>
  <c r="AI185" i="15" s="1"/>
  <c r="AL185" i="15" s="1"/>
  <c r="AJ181" i="15"/>
  <c r="AL181" i="15"/>
  <c r="AJ169" i="15"/>
  <c r="W13" i="15"/>
  <c r="U20" i="15"/>
  <c r="U27" i="15"/>
  <c r="W105" i="15"/>
  <c r="AL152" i="15"/>
  <c r="AE178" i="15"/>
  <c r="AD184" i="15"/>
  <c r="AD192" i="15"/>
  <c r="AJ185" i="15"/>
  <c r="H14" i="68"/>
  <c r="C15" i="2" s="1"/>
  <c r="W34" i="15"/>
  <c r="W60" i="15"/>
  <c r="X60" i="15" s="1"/>
  <c r="W77" i="15"/>
  <c r="AH128" i="15"/>
  <c r="AI128" i="15" s="1"/>
  <c r="AJ128" i="15" s="1"/>
  <c r="AD131" i="15"/>
  <c r="AN131" i="15" s="1"/>
  <c r="AL134" i="15"/>
  <c r="AD141" i="15"/>
  <c r="AE153" i="15"/>
  <c r="W159" i="15"/>
  <c r="AE166" i="15"/>
  <c r="AE192" i="15"/>
  <c r="AH223" i="15"/>
  <c r="AI223" i="15" s="1"/>
  <c r="AL223" i="15" s="1"/>
  <c r="AJ147" i="15"/>
  <c r="U10" i="15"/>
  <c r="W14" i="15"/>
  <c r="U28" i="15"/>
  <c r="W97" i="15"/>
  <c r="X97" i="15" s="1"/>
  <c r="AE125" i="15"/>
  <c r="AE141" i="15"/>
  <c r="AH163" i="15"/>
  <c r="AI163" i="15" s="1"/>
  <c r="AD165" i="15"/>
  <c r="AN165" i="15" s="1"/>
  <c r="AD177" i="15"/>
  <c r="AD220" i="15"/>
  <c r="AH230" i="15"/>
  <c r="AI230" i="15" s="1"/>
  <c r="AL230" i="15" s="1"/>
  <c r="W89" i="15"/>
  <c r="AE130" i="15"/>
  <c r="AD149" i="15"/>
  <c r="AE152" i="15"/>
  <c r="AH159" i="15"/>
  <c r="AI159" i="15" s="1"/>
  <c r="AL159" i="15" s="1"/>
  <c r="AE174" i="15"/>
  <c r="AH187" i="15"/>
  <c r="AI187" i="15" s="1"/>
  <c r="AJ187" i="15" s="1"/>
  <c r="AE191" i="15"/>
  <c r="AE194" i="15"/>
  <c r="AN194" i="15" s="1"/>
  <c r="AD204" i="15"/>
  <c r="AH222" i="15"/>
  <c r="AI222" i="15" s="1"/>
  <c r="AJ222" i="15" s="1"/>
  <c r="W11" i="15"/>
  <c r="U23" i="15"/>
  <c r="W29" i="15"/>
  <c r="X29" i="15" s="1"/>
  <c r="W109" i="15"/>
  <c r="AH125" i="15"/>
  <c r="AI125" i="15" s="1"/>
  <c r="AL125" i="15" s="1"/>
  <c r="U157" i="15"/>
  <c r="AJ165" i="15"/>
  <c r="AH171" i="15"/>
  <c r="AI171" i="15" s="1"/>
  <c r="AL171" i="15" s="1"/>
  <c r="AJ177" i="15"/>
  <c r="AE204" i="15"/>
  <c r="AN204" i="15" s="1"/>
  <c r="U5" i="15"/>
  <c r="W81" i="15"/>
  <c r="A14" i="15"/>
  <c r="AD129" i="15"/>
  <c r="W145" i="15"/>
  <c r="X145" i="15" s="1"/>
  <c r="AH207" i="15"/>
  <c r="AI207" i="15" s="1"/>
  <c r="AJ207" i="15" s="1"/>
  <c r="AD212" i="15"/>
  <c r="AH215" i="15"/>
  <c r="AI215" i="15" s="1"/>
  <c r="AL215" i="15" s="1"/>
  <c r="AL206" i="15"/>
  <c r="AE212" i="15"/>
  <c r="W17" i="15"/>
  <c r="X17" i="15" s="1"/>
  <c r="U49" i="15"/>
  <c r="W73" i="15"/>
  <c r="W121" i="15"/>
  <c r="AE170" i="15"/>
  <c r="AE186" i="15"/>
  <c r="AH219" i="15"/>
  <c r="AI219" i="15" s="1"/>
  <c r="AL219" i="15" s="1"/>
  <c r="AE224" i="15"/>
  <c r="AE129" i="15"/>
  <c r="AL133" i="15"/>
  <c r="AL160" i="15"/>
  <c r="U6" i="15"/>
  <c r="W12" i="15"/>
  <c r="X12" i="15" s="1"/>
  <c r="U58" i="15"/>
  <c r="U66" i="15"/>
  <c r="W93" i="15"/>
  <c r="AL129" i="15"/>
  <c r="AL156" i="15"/>
  <c r="AJ206" i="15"/>
  <c r="AL226" i="15"/>
  <c r="AL190" i="15"/>
  <c r="AL126" i="15"/>
  <c r="AJ126" i="15"/>
  <c r="AL163" i="15"/>
  <c r="AJ163" i="15"/>
  <c r="AL139" i="15"/>
  <c r="AJ139" i="15"/>
  <c r="AL130" i="15"/>
  <c r="AJ138" i="15"/>
  <c r="AL143" i="15"/>
  <c r="AJ143" i="15"/>
  <c r="AL135" i="15"/>
  <c r="AJ135" i="15"/>
  <c r="AL151" i="15"/>
  <c r="AJ151" i="15"/>
  <c r="AJ182" i="15"/>
  <c r="W7" i="15"/>
  <c r="X7" i="15" s="1"/>
  <c r="U8" i="15"/>
  <c r="U15" i="15"/>
  <c r="U18" i="15"/>
  <c r="U22" i="15"/>
  <c r="U26" i="15"/>
  <c r="U30" i="15"/>
  <c r="W33" i="15"/>
  <c r="W37" i="15"/>
  <c r="U53" i="15"/>
  <c r="U57" i="15"/>
  <c r="U61" i="15"/>
  <c r="U65" i="15"/>
  <c r="W68" i="15"/>
  <c r="W72" i="15"/>
  <c r="W76" i="15"/>
  <c r="X76" i="15" s="1"/>
  <c r="W80" i="15"/>
  <c r="X80" i="15" s="1"/>
  <c r="W84" i="15"/>
  <c r="X84" i="15" s="1"/>
  <c r="W88" i="15"/>
  <c r="W92" i="15"/>
  <c r="W96" i="15"/>
  <c r="W100" i="15"/>
  <c r="W104" i="15"/>
  <c r="X104" i="15" s="1"/>
  <c r="W108" i="15"/>
  <c r="X108" i="15" s="1"/>
  <c r="W112" i="15"/>
  <c r="W116" i="15"/>
  <c r="W120" i="15"/>
  <c r="AD124" i="15"/>
  <c r="AN124" i="15" s="1"/>
  <c r="W125" i="15"/>
  <c r="X125" i="15" s="1"/>
  <c r="AD130" i="15"/>
  <c r="W133" i="15"/>
  <c r="U134" i="15"/>
  <c r="AE135" i="15"/>
  <c r="AD135" i="15"/>
  <c r="U136" i="15"/>
  <c r="U137" i="15"/>
  <c r="AL138" i="15"/>
  <c r="AE143" i="15"/>
  <c r="AD143" i="15"/>
  <c r="AM143" i="15"/>
  <c r="W146" i="15"/>
  <c r="X146" i="15" s="1"/>
  <c r="U156" i="15"/>
  <c r="AH158" i="15"/>
  <c r="AI158" i="15" s="1"/>
  <c r="AJ158" i="15" s="1"/>
  <c r="AD158" i="15"/>
  <c r="AL162" i="15"/>
  <c r="U165" i="15"/>
  <c r="AJ173" i="15"/>
  <c r="AL186" i="15"/>
  <c r="AL228" i="15"/>
  <c r="AJ228" i="15"/>
  <c r="W335" i="15"/>
  <c r="U398" i="15"/>
  <c r="U429" i="15"/>
  <c r="W480" i="15"/>
  <c r="W511" i="15"/>
  <c r="U34" i="15"/>
  <c r="W41" i="15"/>
  <c r="X41" i="15" s="1"/>
  <c r="W45" i="15"/>
  <c r="W49" i="15"/>
  <c r="X49" i="15" s="1"/>
  <c r="U69" i="15"/>
  <c r="U73" i="15"/>
  <c r="U77" i="15"/>
  <c r="U81" i="15"/>
  <c r="U85" i="15"/>
  <c r="U89" i="15"/>
  <c r="U93" i="15"/>
  <c r="U97" i="15"/>
  <c r="U101" i="15"/>
  <c r="U105" i="15"/>
  <c r="U109" i="15"/>
  <c r="U113" i="15"/>
  <c r="U117" i="15"/>
  <c r="U121" i="15"/>
  <c r="U126" i="15"/>
  <c r="U141" i="15"/>
  <c r="AL147" i="15"/>
  <c r="AJ149" i="15"/>
  <c r="W157" i="15"/>
  <c r="U194" i="15"/>
  <c r="W366" i="15"/>
  <c r="W450" i="15"/>
  <c r="X450" i="15" s="1"/>
  <c r="W8" i="15"/>
  <c r="X8" i="15" s="1"/>
  <c r="U9" i="15"/>
  <c r="W15" i="15"/>
  <c r="W18" i="15"/>
  <c r="W22" i="15"/>
  <c r="W26" i="15"/>
  <c r="X26" i="15" s="1"/>
  <c r="W30" i="15"/>
  <c r="X30" i="15" s="1"/>
  <c r="U38" i="15"/>
  <c r="U42" i="15"/>
  <c r="U46" i="15"/>
  <c r="U50" i="15"/>
  <c r="W53" i="15"/>
  <c r="W57" i="15"/>
  <c r="X57" i="15" s="1"/>
  <c r="W61" i="15"/>
  <c r="W65" i="15"/>
  <c r="AH123" i="15"/>
  <c r="AI123" i="15" s="1"/>
  <c r="AL123" i="15" s="1"/>
  <c r="AM126" i="15"/>
  <c r="AM127" i="15"/>
  <c r="AE132" i="15"/>
  <c r="AN132" i="15" s="1"/>
  <c r="W134" i="15"/>
  <c r="W135" i="15"/>
  <c r="W137" i="15"/>
  <c r="X137" i="15" s="1"/>
  <c r="U138" i="15"/>
  <c r="AE139" i="15"/>
  <c r="AD139" i="15"/>
  <c r="U140" i="15"/>
  <c r="AH142" i="15"/>
  <c r="AI142" i="15" s="1"/>
  <c r="AD142" i="15"/>
  <c r="W143" i="15"/>
  <c r="X143" i="15" s="1"/>
  <c r="AE144" i="15"/>
  <c r="AN144" i="15" s="1"/>
  <c r="AN145" i="15"/>
  <c r="AH148" i="15"/>
  <c r="AI148" i="15" s="1"/>
  <c r="AJ148" i="15" s="1"/>
  <c r="AE155" i="15"/>
  <c r="AD155" i="15"/>
  <c r="AM155" i="15"/>
  <c r="AJ160" i="15"/>
  <c r="AJ161" i="15"/>
  <c r="AJ162" i="15"/>
  <c r="AM164" i="15"/>
  <c r="AH164" i="15"/>
  <c r="AI164" i="15" s="1"/>
  <c r="AE164" i="15"/>
  <c r="AJ186" i="15"/>
  <c r="AJ191" i="15"/>
  <c r="AL191" i="15"/>
  <c r="U251" i="15"/>
  <c r="AM128" i="15"/>
  <c r="AD136" i="15"/>
  <c r="W141" i="15"/>
  <c r="U152" i="15"/>
  <c r="U153" i="15"/>
  <c r="AD156" i="15"/>
  <c r="U164" i="15"/>
  <c r="W171" i="15"/>
  <c r="X171" i="15" s="1"/>
  <c r="W190" i="15"/>
  <c r="X190" i="15" s="1"/>
  <c r="AL214" i="15"/>
  <c r="AJ214" i="15"/>
  <c r="W224" i="15"/>
  <c r="W327" i="15"/>
  <c r="X327" i="15" s="1"/>
  <c r="U421" i="15"/>
  <c r="W472" i="15"/>
  <c r="X472" i="15" s="1"/>
  <c r="W513" i="15"/>
  <c r="W509" i="15"/>
  <c r="W505" i="15"/>
  <c r="W501" i="15"/>
  <c r="W497" i="15"/>
  <c r="X497" i="15" s="1"/>
  <c r="W493" i="15"/>
  <c r="X493" i="15" s="1"/>
  <c r="W489" i="15"/>
  <c r="X489" i="15" s="1"/>
  <c r="W485" i="15"/>
  <c r="U482" i="15"/>
  <c r="U478" i="15"/>
  <c r="U474" i="15"/>
  <c r="U470" i="15"/>
  <c r="W446" i="15"/>
  <c r="W442" i="15"/>
  <c r="W438" i="15"/>
  <c r="W434" i="15"/>
  <c r="U427" i="15"/>
  <c r="U423" i="15"/>
  <c r="U419" i="15"/>
  <c r="U415" i="15"/>
  <c r="W391" i="15"/>
  <c r="W387" i="15"/>
  <c r="X387" i="15" s="1"/>
  <c r="W383" i="15"/>
  <c r="W379" i="15"/>
  <c r="X379" i="15" s="1"/>
  <c r="U376" i="15"/>
  <c r="U372" i="15"/>
  <c r="U368" i="15"/>
  <c r="U364" i="15"/>
  <c r="U360" i="15"/>
  <c r="W340" i="15"/>
  <c r="X340" i="15" s="1"/>
  <c r="U337" i="15"/>
  <c r="U333" i="15"/>
  <c r="U329" i="15"/>
  <c r="U325" i="15"/>
  <c r="W301" i="15"/>
  <c r="W297" i="15"/>
  <c r="X297" i="15" s="1"/>
  <c r="W293" i="15"/>
  <c r="W289" i="15"/>
  <c r="U286" i="15"/>
  <c r="U282" i="15"/>
  <c r="U278" i="15"/>
  <c r="U274" i="15"/>
  <c r="U270" i="15"/>
  <c r="W250" i="15"/>
  <c r="W246" i="15"/>
  <c r="W242" i="15"/>
  <c r="X242" i="15" s="1"/>
  <c r="W238" i="15"/>
  <c r="W234" i="15"/>
  <c r="X234" i="15" s="1"/>
  <c r="W230" i="15"/>
  <c r="W226" i="15"/>
  <c r="W222" i="15"/>
  <c r="W218" i="15"/>
  <c r="W214" i="15"/>
  <c r="X214" i="15" s="1"/>
  <c r="W210" i="15"/>
  <c r="X210" i="15" s="1"/>
  <c r="W206" i="15"/>
  <c r="X206" i="15" s="1"/>
  <c r="W481" i="15"/>
  <c r="W477" i="15"/>
  <c r="W473" i="15"/>
  <c r="X473" i="15" s="1"/>
  <c r="W469" i="15"/>
  <c r="U466" i="15"/>
  <c r="U462" i="15"/>
  <c r="U458" i="15"/>
  <c r="U454" i="15"/>
  <c r="U450" i="15"/>
  <c r="W430" i="15"/>
  <c r="X430" i="15" s="1"/>
  <c r="W426" i="15"/>
  <c r="X426" i="15" s="1"/>
  <c r="W422" i="15"/>
  <c r="X422" i="15" s="1"/>
  <c r="W418" i="15"/>
  <c r="W414" i="15"/>
  <c r="U411" i="15"/>
  <c r="U407" i="15"/>
  <c r="U403" i="15"/>
  <c r="U399" i="15"/>
  <c r="U395" i="15"/>
  <c r="W375" i="15"/>
  <c r="W371" i="15"/>
  <c r="W367" i="15"/>
  <c r="X367" i="15" s="1"/>
  <c r="W363" i="15"/>
  <c r="X363" i="15" s="1"/>
  <c r="W359" i="15"/>
  <c r="X359" i="15" s="1"/>
  <c r="U356" i="15"/>
  <c r="U352" i="15"/>
  <c r="U348" i="15"/>
  <c r="U344" i="15"/>
  <c r="W336" i="15"/>
  <c r="X336" i="15" s="1"/>
  <c r="W332" i="15"/>
  <c r="W328" i="15"/>
  <c r="W324" i="15"/>
  <c r="U321" i="15"/>
  <c r="U317" i="15"/>
  <c r="U313" i="15"/>
  <c r="U309" i="15"/>
  <c r="U305" i="15"/>
  <c r="W285" i="15"/>
  <c r="W281" i="15"/>
  <c r="X281" i="15" s="1"/>
  <c r="W277" i="15"/>
  <c r="W273" i="15"/>
  <c r="X273" i="15" s="1"/>
  <c r="W269" i="15"/>
  <c r="U266" i="15"/>
  <c r="U262" i="15"/>
  <c r="U258" i="15"/>
  <c r="U254" i="15"/>
  <c r="U513" i="15"/>
  <c r="U509" i="15"/>
  <c r="U505" i="15"/>
  <c r="U501" i="15"/>
  <c r="U497" i="15"/>
  <c r="U493" i="15"/>
  <c r="U489" i="15"/>
  <c r="U485" i="15"/>
  <c r="W465" i="15"/>
  <c r="W461" i="15"/>
  <c r="W457" i="15"/>
  <c r="W453" i="15"/>
  <c r="X453" i="15" s="1"/>
  <c r="W449" i="15"/>
  <c r="X449" i="15" s="1"/>
  <c r="U446" i="15"/>
  <c r="U442" i="15"/>
  <c r="U438" i="15"/>
  <c r="U434" i="15"/>
  <c r="W410" i="15"/>
  <c r="W406" i="15"/>
  <c r="W402" i="15"/>
  <c r="W398" i="15"/>
  <c r="U391" i="15"/>
  <c r="U387" i="15"/>
  <c r="U383" i="15"/>
  <c r="U379" i="15"/>
  <c r="W355" i="15"/>
  <c r="X355" i="15" s="1"/>
  <c r="W351" i="15"/>
  <c r="W347" i="15"/>
  <c r="W343" i="15"/>
  <c r="X343" i="15" s="1"/>
  <c r="U340" i="15"/>
  <c r="W320" i="15"/>
  <c r="X320" i="15" s="1"/>
  <c r="W316" i="15"/>
  <c r="W312" i="15"/>
  <c r="W308" i="15"/>
  <c r="U301" i="15"/>
  <c r="U297" i="15"/>
  <c r="U293" i="15"/>
  <c r="U289" i="15"/>
  <c r="W265" i="15"/>
  <c r="W261" i="15"/>
  <c r="W257" i="15"/>
  <c r="X257" i="15" s="1"/>
  <c r="U250" i="15"/>
  <c r="U246" i="15"/>
  <c r="U242" i="15"/>
  <c r="U238" i="15"/>
  <c r="U234" i="15"/>
  <c r="U230" i="15"/>
  <c r="U226" i="15"/>
  <c r="U222" i="15"/>
  <c r="U218" i="15"/>
  <c r="U214" i="15"/>
  <c r="U210" i="15"/>
  <c r="U206" i="15"/>
  <c r="W512" i="15"/>
  <c r="W508" i="15"/>
  <c r="X508" i="15" s="1"/>
  <c r="W504" i="15"/>
  <c r="W500" i="15"/>
  <c r="W496" i="15"/>
  <c r="W492" i="15"/>
  <c r="W488" i="15"/>
  <c r="X488" i="15" s="1"/>
  <c r="U481" i="15"/>
  <c r="U477" i="15"/>
  <c r="U473" i="15"/>
  <c r="U469" i="15"/>
  <c r="W445" i="15"/>
  <c r="X445" i="15" s="1"/>
  <c r="W441" i="15"/>
  <c r="W437" i="15"/>
  <c r="X437" i="15" s="1"/>
  <c r="W433" i="15"/>
  <c r="U430" i="15"/>
  <c r="U426" i="15"/>
  <c r="U422" i="15"/>
  <c r="U418" i="15"/>
  <c r="U414" i="15"/>
  <c r="W394" i="15"/>
  <c r="X394" i="15" s="1"/>
  <c r="W390" i="15"/>
  <c r="W386" i="15"/>
  <c r="W382" i="15"/>
  <c r="X382" i="15" s="1"/>
  <c r="W378" i="15"/>
  <c r="U375" i="15"/>
  <c r="U371" i="15"/>
  <c r="U367" i="15"/>
  <c r="U363" i="15"/>
  <c r="U359" i="15"/>
  <c r="W339" i="15"/>
  <c r="X339" i="15" s="1"/>
  <c r="U336" i="15"/>
  <c r="U332" i="15"/>
  <c r="U328" i="15"/>
  <c r="U324" i="15"/>
  <c r="W304" i="15"/>
  <c r="X304" i="15" s="1"/>
  <c r="W300" i="15"/>
  <c r="W296" i="15"/>
  <c r="X296" i="15" s="1"/>
  <c r="W292" i="15"/>
  <c r="W288" i="15"/>
  <c r="U285" i="15"/>
  <c r="U281" i="15"/>
  <c r="U277" i="15"/>
  <c r="U273" i="15"/>
  <c r="U269" i="15"/>
  <c r="W253" i="15"/>
  <c r="W249" i="15"/>
  <c r="W245" i="15"/>
  <c r="W241" i="15"/>
  <c r="W237" i="15"/>
  <c r="X237" i="15" s="1"/>
  <c r="W233" i="15"/>
  <c r="W229" i="15"/>
  <c r="W225" i="15"/>
  <c r="W221" i="15"/>
  <c r="U512" i="15"/>
  <c r="U508" i="15"/>
  <c r="U504" i="15"/>
  <c r="U500" i="15"/>
  <c r="U496" i="15"/>
  <c r="U492" i="15"/>
  <c r="U488" i="15"/>
  <c r="W464" i="15"/>
  <c r="X464" i="15" s="1"/>
  <c r="W460" i="15"/>
  <c r="W456" i="15"/>
  <c r="W452" i="15"/>
  <c r="U445" i="15"/>
  <c r="U441" i="15"/>
  <c r="U437" i="15"/>
  <c r="U433" i="15"/>
  <c r="W409" i="15"/>
  <c r="W405" i="15"/>
  <c r="W401" i="15"/>
  <c r="X401" i="15" s="1"/>
  <c r="W397" i="15"/>
  <c r="U394" i="15"/>
  <c r="U390" i="15"/>
  <c r="U386" i="15"/>
  <c r="U382" i="15"/>
  <c r="U378" i="15"/>
  <c r="W358" i="15"/>
  <c r="X358" i="15" s="1"/>
  <c r="W354" i="15"/>
  <c r="X354" i="15" s="1"/>
  <c r="W350" i="15"/>
  <c r="X350" i="15" s="1"/>
  <c r="W346" i="15"/>
  <c r="W342" i="15"/>
  <c r="U339" i="15"/>
  <c r="W319" i="15"/>
  <c r="W315" i="15"/>
  <c r="W311" i="15"/>
  <c r="W307" i="15"/>
  <c r="U304" i="15"/>
  <c r="U300" i="15"/>
  <c r="U296" i="15"/>
  <c r="U292" i="15"/>
  <c r="U288" i="15"/>
  <c r="W268" i="15"/>
  <c r="W264" i="15"/>
  <c r="W260" i="15"/>
  <c r="X260" i="15" s="1"/>
  <c r="W256" i="15"/>
  <c r="U253" i="15"/>
  <c r="U249" i="15"/>
  <c r="U245" i="15"/>
  <c r="U241" i="15"/>
  <c r="U237" i="15"/>
  <c r="U233" i="15"/>
  <c r="U229" i="15"/>
  <c r="U225" i="15"/>
  <c r="U221" i="15"/>
  <c r="U217" i="15"/>
  <c r="U213" i="15"/>
  <c r="U209" i="15"/>
  <c r="U205" i="15"/>
  <c r="W515" i="15"/>
  <c r="W483" i="15"/>
  <c r="W479" i="15"/>
  <c r="W475" i="15"/>
  <c r="W471" i="15"/>
  <c r="X471" i="15" s="1"/>
  <c r="W467" i="15"/>
  <c r="X467" i="15" s="1"/>
  <c r="U464" i="15"/>
  <c r="U460" i="15"/>
  <c r="U456" i="15"/>
  <c r="U452" i="15"/>
  <c r="W428" i="15"/>
  <c r="W424" i="15"/>
  <c r="X424" i="15" s="1"/>
  <c r="W420" i="15"/>
  <c r="W416" i="15"/>
  <c r="U409" i="15"/>
  <c r="U405" i="15"/>
  <c r="U401" i="15"/>
  <c r="U397" i="15"/>
  <c r="W373" i="15"/>
  <c r="X373" i="15" s="1"/>
  <c r="W369" i="15"/>
  <c r="W365" i="15"/>
  <c r="W361" i="15"/>
  <c r="U358" i="15"/>
  <c r="U354" i="15"/>
  <c r="U350" i="15"/>
  <c r="U346" i="15"/>
  <c r="U342" i="15"/>
  <c r="W334" i="15"/>
  <c r="W330" i="15"/>
  <c r="X330" i="15" s="1"/>
  <c r="W326" i="15"/>
  <c r="X326" i="15" s="1"/>
  <c r="U319" i="15"/>
  <c r="U315" i="15"/>
  <c r="U311" i="15"/>
  <c r="U307" i="15"/>
  <c r="W283" i="15"/>
  <c r="W279" i="15"/>
  <c r="X279" i="15" s="1"/>
  <c r="W275" i="15"/>
  <c r="W271" i="15"/>
  <c r="U268" i="15"/>
  <c r="U264" i="15"/>
  <c r="U260" i="15"/>
  <c r="U256" i="15"/>
  <c r="U515" i="15"/>
  <c r="U511" i="15"/>
  <c r="U507" i="15"/>
  <c r="U503" i="15"/>
  <c r="U499" i="15"/>
  <c r="U495" i="15"/>
  <c r="U491" i="15"/>
  <c r="U487" i="15"/>
  <c r="W463" i="15"/>
  <c r="W459" i="15"/>
  <c r="W455" i="15"/>
  <c r="X455" i="15" s="1"/>
  <c r="W451" i="15"/>
  <c r="X451" i="15" s="1"/>
  <c r="U448" i="15"/>
  <c r="U444" i="15"/>
  <c r="U440" i="15"/>
  <c r="U436" i="15"/>
  <c r="U432" i="15"/>
  <c r="W412" i="15"/>
  <c r="X412" i="15" s="1"/>
  <c r="W408" i="15"/>
  <c r="W404" i="15"/>
  <c r="W400" i="15"/>
  <c r="W396" i="15"/>
  <c r="U393" i="15"/>
  <c r="U389" i="15"/>
  <c r="U385" i="15"/>
  <c r="U381" i="15"/>
  <c r="U377" i="15"/>
  <c r="W357" i="15"/>
  <c r="X357" i="15" s="1"/>
  <c r="W353" i="15"/>
  <c r="W349" i="15"/>
  <c r="X349" i="15" s="1"/>
  <c r="W345" i="15"/>
  <c r="W341" i="15"/>
  <c r="U338" i="15"/>
  <c r="W322" i="15"/>
  <c r="W318" i="15"/>
  <c r="X318" i="15" s="1"/>
  <c r="W314" i="15"/>
  <c r="X314" i="15" s="1"/>
  <c r="W310" i="15"/>
  <c r="X310" i="15" s="1"/>
  <c r="W306" i="15"/>
  <c r="U303" i="15"/>
  <c r="U299" i="15"/>
  <c r="U295" i="15"/>
  <c r="U291" i="15"/>
  <c r="U287" i="15"/>
  <c r="W267" i="15"/>
  <c r="W263" i="15"/>
  <c r="W259" i="15"/>
  <c r="W255" i="15"/>
  <c r="X255" i="15" s="1"/>
  <c r="U252" i="15"/>
  <c r="U248" i="15"/>
  <c r="U244" i="15"/>
  <c r="U240" i="15"/>
  <c r="U236" i="15"/>
  <c r="U232" i="15"/>
  <c r="U228" i="15"/>
  <c r="U224" i="15"/>
  <c r="U220" i="15"/>
  <c r="U216" i="15"/>
  <c r="U212" i="15"/>
  <c r="U208" i="15"/>
  <c r="W514" i="15"/>
  <c r="X514" i="15" s="1"/>
  <c r="W510" i="15"/>
  <c r="X510" i="15" s="1"/>
  <c r="W506" i="15"/>
  <c r="W502" i="15"/>
  <c r="W498" i="15"/>
  <c r="X498" i="15" s="1"/>
  <c r="W494" i="15"/>
  <c r="W490" i="15"/>
  <c r="X490" i="15" s="1"/>
  <c r="W486" i="15"/>
  <c r="U483" i="15"/>
  <c r="U479" i="15"/>
  <c r="U475" i="15"/>
  <c r="U471" i="15"/>
  <c r="U467" i="15"/>
  <c r="W447" i="15"/>
  <c r="X447" i="15" s="1"/>
  <c r="W443" i="15"/>
  <c r="W439" i="15"/>
  <c r="W435" i="15"/>
  <c r="X435" i="15" s="1"/>
  <c r="W431" i="15"/>
  <c r="U428" i="15"/>
  <c r="U424" i="15"/>
  <c r="U420" i="15"/>
  <c r="U416" i="15"/>
  <c r="W392" i="15"/>
  <c r="W388" i="15"/>
  <c r="X388" i="15" s="1"/>
  <c r="W384" i="15"/>
  <c r="W380" i="15"/>
  <c r="X380" i="15" s="1"/>
  <c r="U373" i="15"/>
  <c r="U369" i="15"/>
  <c r="U365" i="15"/>
  <c r="U361" i="15"/>
  <c r="U334" i="15"/>
  <c r="U330" i="15"/>
  <c r="U326" i="15"/>
  <c r="W302" i="15"/>
  <c r="W298" i="15"/>
  <c r="W294" i="15"/>
  <c r="X294" i="15" s="1"/>
  <c r="W290" i="15"/>
  <c r="X290" i="15" s="1"/>
  <c r="U283" i="15"/>
  <c r="U279" i="15"/>
  <c r="U275" i="15"/>
  <c r="U271" i="15"/>
  <c r="W251" i="15"/>
  <c r="W247" i="15"/>
  <c r="X247" i="15" s="1"/>
  <c r="W243" i="15"/>
  <c r="W239" i="15"/>
  <c r="W235" i="15"/>
  <c r="W231" i="15"/>
  <c r="W227" i="15"/>
  <c r="X227" i="15" s="1"/>
  <c r="W223" i="15"/>
  <c r="X223" i="15" s="1"/>
  <c r="W219" i="15"/>
  <c r="X219" i="15" s="1"/>
  <c r="W215" i="15"/>
  <c r="W211" i="15"/>
  <c r="W207" i="15"/>
  <c r="X207" i="15" s="1"/>
  <c r="W482" i="15"/>
  <c r="W478" i="15"/>
  <c r="X478" i="15" s="1"/>
  <c r="W474" i="15"/>
  <c r="W470" i="15"/>
  <c r="U463" i="15"/>
  <c r="U459" i="15"/>
  <c r="U455" i="15"/>
  <c r="U451" i="15"/>
  <c r="W427" i="15"/>
  <c r="X427" i="15" s="1"/>
  <c r="W423" i="15"/>
  <c r="W419" i="15"/>
  <c r="W415" i="15"/>
  <c r="X415" i="15" s="1"/>
  <c r="U412" i="15"/>
  <c r="U408" i="15"/>
  <c r="U404" i="15"/>
  <c r="U400" i="15"/>
  <c r="U396" i="15"/>
  <c r="W376" i="15"/>
  <c r="W372" i="15"/>
  <c r="X372" i="15" s="1"/>
  <c r="W368" i="15"/>
  <c r="X368" i="15" s="1"/>
  <c r="W364" i="15"/>
  <c r="X364" i="15" s="1"/>
  <c r="W360" i="15"/>
  <c r="U357" i="15"/>
  <c r="U353" i="15"/>
  <c r="U349" i="15"/>
  <c r="U345" i="15"/>
  <c r="U341" i="15"/>
  <c r="W337" i="15"/>
  <c r="W333" i="15"/>
  <c r="W329" i="15"/>
  <c r="W325" i="15"/>
  <c r="X325" i="15" s="1"/>
  <c r="U322" i="15"/>
  <c r="U318" i="15"/>
  <c r="U314" i="15"/>
  <c r="U310" i="15"/>
  <c r="U306" i="15"/>
  <c r="W286" i="15"/>
  <c r="W282" i="15"/>
  <c r="X282" i="15" s="1"/>
  <c r="W278" i="15"/>
  <c r="W274" i="15"/>
  <c r="W270" i="15"/>
  <c r="U267" i="15"/>
  <c r="U263" i="15"/>
  <c r="U259" i="15"/>
  <c r="U255" i="15"/>
  <c r="U443" i="15"/>
  <c r="U435" i="15"/>
  <c r="W389" i="15"/>
  <c r="X389" i="15" s="1"/>
  <c r="W381" i="15"/>
  <c r="U335" i="15"/>
  <c r="U327" i="15"/>
  <c r="U320" i="15"/>
  <c r="U312" i="15"/>
  <c r="W280" i="15"/>
  <c r="W272" i="15"/>
  <c r="X272" i="15" s="1"/>
  <c r="U265" i="15"/>
  <c r="U257" i="15"/>
  <c r="U190" i="15"/>
  <c r="W188" i="15"/>
  <c r="W184" i="15"/>
  <c r="X184" i="15" s="1"/>
  <c r="W180" i="15"/>
  <c r="W176" i="15"/>
  <c r="X176" i="15" s="1"/>
  <c r="W172" i="15"/>
  <c r="W168" i="15"/>
  <c r="W164" i="15"/>
  <c r="W160" i="15"/>
  <c r="W156" i="15"/>
  <c r="X156" i="15" s="1"/>
  <c r="W152" i="15"/>
  <c r="X152" i="15" s="1"/>
  <c r="W148" i="15"/>
  <c r="X148" i="15" s="1"/>
  <c r="W144" i="15"/>
  <c r="W140" i="15"/>
  <c r="W136" i="15"/>
  <c r="X136" i="15" s="1"/>
  <c r="W132" i="15"/>
  <c r="W128" i="15"/>
  <c r="X128" i="15" s="1"/>
  <c r="U480" i="15"/>
  <c r="U472" i="15"/>
  <c r="U465" i="15"/>
  <c r="U457" i="15"/>
  <c r="U449" i="15"/>
  <c r="U374" i="15"/>
  <c r="U366" i="15"/>
  <c r="W303" i="15"/>
  <c r="W295" i="15"/>
  <c r="W287" i="15"/>
  <c r="X287" i="15" s="1"/>
  <c r="W248" i="15"/>
  <c r="W240" i="15"/>
  <c r="X240" i="15" s="1"/>
  <c r="W232" i="15"/>
  <c r="U227" i="15"/>
  <c r="U189" i="15"/>
  <c r="U510" i="15"/>
  <c r="U502" i="15"/>
  <c r="U494" i="15"/>
  <c r="U486" i="15"/>
  <c r="W411" i="15"/>
  <c r="W403" i="15"/>
  <c r="W395" i="15"/>
  <c r="X395" i="15" s="1"/>
  <c r="W356" i="15"/>
  <c r="W348" i="15"/>
  <c r="U280" i="15"/>
  <c r="U272" i="15"/>
  <c r="W228" i="15"/>
  <c r="U188" i="15"/>
  <c r="U184" i="15"/>
  <c r="U180" i="15"/>
  <c r="U176" i="15"/>
  <c r="U172" i="15"/>
  <c r="W448" i="15"/>
  <c r="W440" i="15"/>
  <c r="X440" i="15" s="1"/>
  <c r="W432" i="15"/>
  <c r="W425" i="15"/>
  <c r="W417" i="15"/>
  <c r="U388" i="15"/>
  <c r="U380" i="15"/>
  <c r="W317" i="15"/>
  <c r="W309" i="15"/>
  <c r="X309" i="15" s="1"/>
  <c r="W262" i="15"/>
  <c r="X262" i="15" s="1"/>
  <c r="W254" i="15"/>
  <c r="X254" i="15" s="1"/>
  <c r="U207" i="15"/>
  <c r="W187" i="15"/>
  <c r="W183" i="15"/>
  <c r="X183" i="15" s="1"/>
  <c r="W179" i="15"/>
  <c r="W175" i="15"/>
  <c r="X175" i="15" s="1"/>
  <c r="W462" i="15"/>
  <c r="W454" i="15"/>
  <c r="W331" i="15"/>
  <c r="W323" i="15"/>
  <c r="U302" i="15"/>
  <c r="U294" i="15"/>
  <c r="U247" i="15"/>
  <c r="U239" i="15"/>
  <c r="U231" i="15"/>
  <c r="W212" i="15"/>
  <c r="X212" i="15" s="1"/>
  <c r="U211" i="15"/>
  <c r="W208" i="15"/>
  <c r="X208" i="15" s="1"/>
  <c r="W507" i="15"/>
  <c r="W499" i="15"/>
  <c r="W491" i="15"/>
  <c r="W484" i="15"/>
  <c r="X484" i="15" s="1"/>
  <c r="W476" i="15"/>
  <c r="X476" i="15" s="1"/>
  <c r="W468" i="15"/>
  <c r="X468" i="15" s="1"/>
  <c r="U425" i="15"/>
  <c r="U417" i="15"/>
  <c r="U410" i="15"/>
  <c r="U402" i="15"/>
  <c r="W370" i="15"/>
  <c r="W362" i="15"/>
  <c r="X362" i="15" s="1"/>
  <c r="U355" i="15"/>
  <c r="U347" i="15"/>
  <c r="W338" i="15"/>
  <c r="U215" i="15"/>
  <c r="W204" i="15"/>
  <c r="X204" i="15" s="1"/>
  <c r="U187" i="15"/>
  <c r="U183" i="15"/>
  <c r="U179" i="15"/>
  <c r="U175" i="15"/>
  <c r="U171" i="15"/>
  <c r="U167" i="15"/>
  <c r="U163" i="15"/>
  <c r="U159" i="15"/>
  <c r="U155" i="15"/>
  <c r="U151" i="15"/>
  <c r="U147" i="15"/>
  <c r="U143" i="15"/>
  <c r="U139" i="15"/>
  <c r="U135" i="15"/>
  <c r="U131" i="15"/>
  <c r="U127" i="15"/>
  <c r="U123" i="15"/>
  <c r="U447" i="15"/>
  <c r="U439" i="15"/>
  <c r="U431" i="15"/>
  <c r="W393" i="15"/>
  <c r="W385" i="15"/>
  <c r="W377" i="15"/>
  <c r="U331" i="15"/>
  <c r="U323" i="15"/>
  <c r="U316" i="15"/>
  <c r="U308" i="15"/>
  <c r="W284" i="15"/>
  <c r="W276" i="15"/>
  <c r="X276" i="15" s="1"/>
  <c r="U261" i="15"/>
  <c r="W216" i="15"/>
  <c r="X216" i="15" s="1"/>
  <c r="W209" i="15"/>
  <c r="W205" i="15"/>
  <c r="W203" i="15"/>
  <c r="W186" i="15"/>
  <c r="W182" i="15"/>
  <c r="X182" i="15" s="1"/>
  <c r="W178" i="15"/>
  <c r="X178" i="15" s="1"/>
  <c r="W174" i="15"/>
  <c r="X174" i="15" s="1"/>
  <c r="W170" i="15"/>
  <c r="W166" i="15"/>
  <c r="W162" i="15"/>
  <c r="X162" i="15" s="1"/>
  <c r="W158" i="15"/>
  <c r="U484" i="15"/>
  <c r="U476" i="15"/>
  <c r="U468" i="15"/>
  <c r="U461" i="15"/>
  <c r="U453" i="15"/>
  <c r="U370" i="15"/>
  <c r="U362" i="15"/>
  <c r="W299" i="15"/>
  <c r="X299" i="15" s="1"/>
  <c r="W291" i="15"/>
  <c r="W252" i="15"/>
  <c r="W244" i="15"/>
  <c r="X244" i="15" s="1"/>
  <c r="W236" i="15"/>
  <c r="U219" i="15"/>
  <c r="W213" i="15"/>
  <c r="U204" i="15"/>
  <c r="W202" i="15"/>
  <c r="W201" i="15"/>
  <c r="W200" i="15"/>
  <c r="X200" i="15" s="1"/>
  <c r="W199" i="15"/>
  <c r="X199" i="15" s="1"/>
  <c r="W198" i="15"/>
  <c r="X198" i="15" s="1"/>
  <c r="W197" i="15"/>
  <c r="W196" i="15"/>
  <c r="U514" i="15"/>
  <c r="U506" i="15"/>
  <c r="U498" i="15"/>
  <c r="U490" i="15"/>
  <c r="W407" i="15"/>
  <c r="W399" i="15"/>
  <c r="W352" i="15"/>
  <c r="W344" i="15"/>
  <c r="X344" i="15" s="1"/>
  <c r="U284" i="15"/>
  <c r="U276" i="15"/>
  <c r="W220" i="15"/>
  <c r="U203" i="15"/>
  <c r="W195" i="15"/>
  <c r="X195" i="15" s="1"/>
  <c r="U186" i="15"/>
  <c r="U182" i="15"/>
  <c r="U178" i="15"/>
  <c r="U174" i="15"/>
  <c r="U170" i="15"/>
  <c r="U166" i="15"/>
  <c r="U162" i="15"/>
  <c r="U158" i="15"/>
  <c r="U154" i="15"/>
  <c r="U150" i="15"/>
  <c r="U146" i="15"/>
  <c r="U142" i="15"/>
  <c r="W444" i="15"/>
  <c r="W436" i="15"/>
  <c r="X436" i="15" s="1"/>
  <c r="W429" i="15"/>
  <c r="W421" i="15"/>
  <c r="W413" i="15"/>
  <c r="U392" i="15"/>
  <c r="U384" i="15"/>
  <c r="W321" i="15"/>
  <c r="X321" i="15" s="1"/>
  <c r="W313" i="15"/>
  <c r="X313" i="15" s="1"/>
  <c r="W305" i="15"/>
  <c r="W266" i="15"/>
  <c r="W258" i="15"/>
  <c r="X258" i="15" s="1"/>
  <c r="W217" i="15"/>
  <c r="U202" i="15"/>
  <c r="U201" i="15"/>
  <c r="U200" i="15"/>
  <c r="U199" i="15"/>
  <c r="U198" i="15"/>
  <c r="U197" i="15"/>
  <c r="U196" i="15"/>
  <c r="W194" i="15"/>
  <c r="X194" i="15" s="1"/>
  <c r="W193" i="15"/>
  <c r="W192" i="15"/>
  <c r="W191" i="15"/>
  <c r="X191" i="15" s="1"/>
  <c r="W185" i="15"/>
  <c r="W181" i="15"/>
  <c r="X181" i="15" s="1"/>
  <c r="W177" i="15"/>
  <c r="W173" i="15"/>
  <c r="W169" i="15"/>
  <c r="W165" i="15"/>
  <c r="U35" i="15"/>
  <c r="W38" i="15"/>
  <c r="X38" i="15" s="1"/>
  <c r="W42" i="15"/>
  <c r="X42" i="15" s="1"/>
  <c r="W46" i="15"/>
  <c r="W50" i="15"/>
  <c r="U70" i="15"/>
  <c r="U74" i="15"/>
  <c r="U78" i="15"/>
  <c r="U82" i="15"/>
  <c r="U86" i="15"/>
  <c r="U90" i="15"/>
  <c r="U94" i="15"/>
  <c r="U98" i="15"/>
  <c r="U102" i="15"/>
  <c r="U106" i="15"/>
  <c r="U110" i="15"/>
  <c r="U114" i="15"/>
  <c r="U118" i="15"/>
  <c r="U122" i="15"/>
  <c r="AJ123" i="15"/>
  <c r="AH124" i="15"/>
  <c r="AI124" i="15" s="1"/>
  <c r="AL124" i="15" s="1"/>
  <c r="U128" i="15"/>
  <c r="AH131" i="15"/>
  <c r="AI131" i="15" s="1"/>
  <c r="AL131" i="15" s="1"/>
  <c r="AD134" i="15"/>
  <c r="AE136" i="15"/>
  <c r="W138" i="15"/>
  <c r="X138" i="15" s="1"/>
  <c r="W139" i="15"/>
  <c r="X139" i="15" s="1"/>
  <c r="W142" i="15"/>
  <c r="AJ145" i="15"/>
  <c r="AL148" i="15"/>
  <c r="AH154" i="15"/>
  <c r="AI154" i="15" s="1"/>
  <c r="AJ154" i="15" s="1"/>
  <c r="AD154" i="15"/>
  <c r="AN154" i="15" s="1"/>
  <c r="W155" i="15"/>
  <c r="AE156" i="15"/>
  <c r="AL158" i="15"/>
  <c r="AL166" i="15"/>
  <c r="AL184" i="15"/>
  <c r="AM196" i="15"/>
  <c r="AH196" i="15"/>
  <c r="AI196" i="15" s="1"/>
  <c r="AL196" i="15" s="1"/>
  <c r="AE196" i="15"/>
  <c r="AD196" i="15"/>
  <c r="AM198" i="15"/>
  <c r="AD198" i="15"/>
  <c r="AH198" i="15"/>
  <c r="AI198" i="15" s="1"/>
  <c r="AL198" i="15" s="1"/>
  <c r="AE198" i="15"/>
  <c r="U223" i="15"/>
  <c r="W5" i="15"/>
  <c r="U13" i="15"/>
  <c r="U16" i="15"/>
  <c r="W19" i="15"/>
  <c r="W23" i="15"/>
  <c r="W27" i="15"/>
  <c r="X27" i="15" s="1"/>
  <c r="W31" i="15"/>
  <c r="U39" i="15"/>
  <c r="U43" i="15"/>
  <c r="U47" i="15"/>
  <c r="U51" i="15"/>
  <c r="W54" i="15"/>
  <c r="W58" i="15"/>
  <c r="W62" i="15"/>
  <c r="X62" i="15" s="1"/>
  <c r="W66" i="15"/>
  <c r="X66" i="15" s="1"/>
  <c r="AJ124" i="15"/>
  <c r="W127" i="15"/>
  <c r="X127" i="15" s="1"/>
  <c r="U129" i="15"/>
  <c r="AJ130" i="15"/>
  <c r="AH132" i="15"/>
  <c r="AI132" i="15" s="1"/>
  <c r="AL132" i="15" s="1"/>
  <c r="AJ133" i="15"/>
  <c r="AE134" i="15"/>
  <c r="AD140" i="15"/>
  <c r="AH144" i="15"/>
  <c r="AI144" i="15" s="1"/>
  <c r="AL144" i="15" s="1"/>
  <c r="AE151" i="15"/>
  <c r="AD151" i="15"/>
  <c r="AM151" i="15"/>
  <c r="W153" i="15"/>
  <c r="X153" i="15" s="1"/>
  <c r="U169" i="15"/>
  <c r="U193" i="15"/>
  <c r="AM200" i="15"/>
  <c r="AH200" i="15"/>
  <c r="AI200" i="15" s="1"/>
  <c r="AL200" i="15" s="1"/>
  <c r="AE200" i="15"/>
  <c r="AD200" i="15"/>
  <c r="AD202" i="15"/>
  <c r="AH202" i="15"/>
  <c r="AI202" i="15" s="1"/>
  <c r="AL202" i="15" s="1"/>
  <c r="AE202" i="15"/>
  <c r="U243" i="15"/>
  <c r="U55" i="15"/>
  <c r="U59" i="15"/>
  <c r="U63" i="15"/>
  <c r="U67" i="15"/>
  <c r="W70" i="15"/>
  <c r="W74" i="15"/>
  <c r="X74" i="15" s="1"/>
  <c r="W78" i="15"/>
  <c r="W82" i="15"/>
  <c r="W86" i="15"/>
  <c r="W90" i="15"/>
  <c r="W94" i="15"/>
  <c r="W98" i="15"/>
  <c r="X98" i="15" s="1"/>
  <c r="W102" i="15"/>
  <c r="X102" i="15" s="1"/>
  <c r="W106" i="15"/>
  <c r="X106" i="15" s="1"/>
  <c r="W110" i="15"/>
  <c r="X110" i="15" s="1"/>
  <c r="W114" i="15"/>
  <c r="W118" i="15"/>
  <c r="W122" i="15"/>
  <c r="X122" i="15" s="1"/>
  <c r="AM123" i="15"/>
  <c r="AN142" i="15"/>
  <c r="U149" i="15"/>
  <c r="W154" i="15"/>
  <c r="AJ156" i="15"/>
  <c r="AJ157" i="15"/>
  <c r="AN164" i="15"/>
  <c r="AH168" i="15"/>
  <c r="AI168" i="15" s="1"/>
  <c r="AJ168" i="15" s="1"/>
  <c r="AE168" i="15"/>
  <c r="AN168" i="15" s="1"/>
  <c r="U173" i="15"/>
  <c r="AJ211" i="15"/>
  <c r="AL211" i="15"/>
  <c r="U298" i="15"/>
  <c r="U413" i="15"/>
  <c r="W495" i="15"/>
  <c r="X495" i="15" s="1"/>
  <c r="W16" i="15"/>
  <c r="U32" i="15"/>
  <c r="U36" i="15"/>
  <c r="W39" i="15"/>
  <c r="X39" i="15" s="1"/>
  <c r="W43" i="15"/>
  <c r="W47" i="15"/>
  <c r="X47" i="15" s="1"/>
  <c r="W51" i="15"/>
  <c r="X51" i="15" s="1"/>
  <c r="U71" i="15"/>
  <c r="U75" i="15"/>
  <c r="U79" i="15"/>
  <c r="U83" i="15"/>
  <c r="U87" i="15"/>
  <c r="U91" i="15"/>
  <c r="U95" i="15"/>
  <c r="U99" i="15"/>
  <c r="U103" i="15"/>
  <c r="U107" i="15"/>
  <c r="U111" i="15"/>
  <c r="U115" i="15"/>
  <c r="U119" i="15"/>
  <c r="AD127" i="15"/>
  <c r="AD128" i="15"/>
  <c r="W129" i="15"/>
  <c r="AH136" i="15"/>
  <c r="AI136" i="15" s="1"/>
  <c r="AL136" i="15" s="1"/>
  <c r="AE138" i="15"/>
  <c r="AL142" i="15"/>
  <c r="U148" i="15"/>
  <c r="AH150" i="15"/>
  <c r="AI150" i="15" s="1"/>
  <c r="AL150" i="15" s="1"/>
  <c r="AD150" i="15"/>
  <c r="AN150" i="15" s="1"/>
  <c r="W151" i="15"/>
  <c r="X151" i="15" s="1"/>
  <c r="AL155" i="15"/>
  <c r="U161" i="15"/>
  <c r="W163" i="15"/>
  <c r="U168" i="15"/>
  <c r="U177" i="15"/>
  <c r="U181" i="15"/>
  <c r="U192" i="15"/>
  <c r="U351" i="15"/>
  <c r="W466" i="15"/>
  <c r="X466" i="15" s="1"/>
  <c r="AL182" i="15"/>
  <c r="W10" i="15"/>
  <c r="X10" i="15" s="1"/>
  <c r="W20" i="15"/>
  <c r="W24" i="15"/>
  <c r="W28" i="15"/>
  <c r="U40" i="15"/>
  <c r="U44" i="15"/>
  <c r="U48" i="15"/>
  <c r="U52" i="15"/>
  <c r="W55" i="15"/>
  <c r="W59" i="15"/>
  <c r="X59" i="15" s="1"/>
  <c r="W63" i="15"/>
  <c r="X63" i="15" s="1"/>
  <c r="W67" i="15"/>
  <c r="W123" i="15"/>
  <c r="X123" i="15" s="1"/>
  <c r="U124" i="15"/>
  <c r="U130" i="15"/>
  <c r="AJ134" i="15"/>
  <c r="AJ141" i="15"/>
  <c r="AE147" i="15"/>
  <c r="AD147" i="15"/>
  <c r="W149" i="15"/>
  <c r="U160" i="15"/>
  <c r="AJ164" i="15"/>
  <c r="AL170" i="15"/>
  <c r="AJ171" i="15"/>
  <c r="AJ175" i="15"/>
  <c r="AL183" i="15"/>
  <c r="AJ183" i="15"/>
  <c r="U185" i="15"/>
  <c r="AD195" i="15"/>
  <c r="AH195" i="15"/>
  <c r="AI195" i="15" s="1"/>
  <c r="AL195" i="15" s="1"/>
  <c r="AE195" i="15"/>
  <c r="U235" i="15"/>
  <c r="W6" i="15"/>
  <c r="U11" i="15"/>
  <c r="U14" i="15"/>
  <c r="U17" i="15"/>
  <c r="U21" i="15"/>
  <c r="U25" i="15"/>
  <c r="U29" i="15"/>
  <c r="W32" i="15"/>
  <c r="X32" i="15" s="1"/>
  <c r="W36" i="15"/>
  <c r="U56" i="15"/>
  <c r="U60" i="15"/>
  <c r="U64" i="15"/>
  <c r="W71" i="15"/>
  <c r="W75" i="15"/>
  <c r="X75" i="15" s="1"/>
  <c r="W79" i="15"/>
  <c r="X79" i="15" s="1"/>
  <c r="W83" i="15"/>
  <c r="W87" i="15"/>
  <c r="X87" i="15" s="1"/>
  <c r="W91" i="15"/>
  <c r="W95" i="15"/>
  <c r="X95" i="15" s="1"/>
  <c r="W99" i="15"/>
  <c r="X99" i="15" s="1"/>
  <c r="W103" i="15"/>
  <c r="W107" i="15"/>
  <c r="W111" i="15"/>
  <c r="W115" i="15"/>
  <c r="W119" i="15"/>
  <c r="AH140" i="15"/>
  <c r="AI140" i="15" s="1"/>
  <c r="AJ140" i="15" s="1"/>
  <c r="AJ142" i="15"/>
  <c r="U145" i="15"/>
  <c r="W150" i="15"/>
  <c r="X150" i="15" s="1"/>
  <c r="AJ152" i="15"/>
  <c r="AL154" i="15"/>
  <c r="AJ155" i="15"/>
  <c r="W161" i="15"/>
  <c r="AL174" i="15"/>
  <c r="W189" i="15"/>
  <c r="U195" i="15"/>
  <c r="AL210" i="15"/>
  <c r="AJ210" i="15"/>
  <c r="U290" i="15"/>
  <c r="U406" i="15"/>
  <c r="W487" i="15"/>
  <c r="X487" i="15" s="1"/>
  <c r="AD201" i="15"/>
  <c r="AH201" i="15"/>
  <c r="AI201" i="15" s="1"/>
  <c r="AJ201" i="15" s="1"/>
  <c r="AE201" i="15"/>
  <c r="U7" i="15"/>
  <c r="U33" i="15"/>
  <c r="U37" i="15"/>
  <c r="W40" i="15"/>
  <c r="W44" i="15"/>
  <c r="X44" i="15" s="1"/>
  <c r="W48" i="15"/>
  <c r="X48" i="15" s="1"/>
  <c r="W52" i="15"/>
  <c r="U68" i="15"/>
  <c r="U72" i="15"/>
  <c r="U76" i="15"/>
  <c r="U80" i="15"/>
  <c r="U84" i="15"/>
  <c r="U88" i="15"/>
  <c r="U92" i="15"/>
  <c r="U96" i="15"/>
  <c r="U100" i="15"/>
  <c r="U104" i="15"/>
  <c r="U108" i="15"/>
  <c r="U112" i="15"/>
  <c r="U116" i="15"/>
  <c r="U120" i="15"/>
  <c r="W124" i="15"/>
  <c r="X124" i="15" s="1"/>
  <c r="U125" i="15"/>
  <c r="AH127" i="15"/>
  <c r="AI127" i="15" s="1"/>
  <c r="AL127" i="15" s="1"/>
  <c r="W130" i="15"/>
  <c r="U132" i="15"/>
  <c r="U133" i="15"/>
  <c r="AM135" i="15"/>
  <c r="U144" i="15"/>
  <c r="AH146" i="15"/>
  <c r="AI146" i="15" s="1"/>
  <c r="AL146" i="15" s="1"/>
  <c r="AD146" i="15"/>
  <c r="AN146" i="15" s="1"/>
  <c r="W147" i="15"/>
  <c r="X147" i="15" s="1"/>
  <c r="AD148" i="15"/>
  <c r="AN148" i="15" s="1"/>
  <c r="AJ153" i="15"/>
  <c r="AL164" i="15"/>
  <c r="AD168" i="15"/>
  <c r="AJ170" i="15"/>
  <c r="AM172" i="15"/>
  <c r="AH172" i="15"/>
  <c r="AI172" i="15" s="1"/>
  <c r="AL172" i="15" s="1"/>
  <c r="AE172" i="15"/>
  <c r="AL178" i="15"/>
  <c r="U191" i="15"/>
  <c r="AD197" i="15"/>
  <c r="AH197" i="15"/>
  <c r="AI197" i="15" s="1"/>
  <c r="AJ197" i="15" s="1"/>
  <c r="AE197" i="15"/>
  <c r="AD199" i="15"/>
  <c r="AM199" i="15"/>
  <c r="AH199" i="15"/>
  <c r="AI199" i="15" s="1"/>
  <c r="AL199" i="15" s="1"/>
  <c r="AE199" i="15"/>
  <c r="AE217" i="15"/>
  <c r="AD217" i="15"/>
  <c r="AH217" i="15"/>
  <c r="AI217" i="15" s="1"/>
  <c r="AL217" i="15" s="1"/>
  <c r="AM217" i="15"/>
  <c r="U343" i="15"/>
  <c r="W374" i="15"/>
  <c r="W458" i="15"/>
  <c r="X458" i="15" s="1"/>
  <c r="AE176" i="15"/>
  <c r="AE180" i="15"/>
  <c r="AN180" i="15" s="1"/>
  <c r="AE184" i="15"/>
  <c r="AN184" i="15" s="1"/>
  <c r="AE188" i="15"/>
  <c r="AN188" i="15" s="1"/>
  <c r="AD189" i="15"/>
  <c r="AE213" i="15"/>
  <c r="AD213" i="15"/>
  <c r="AH213" i="15"/>
  <c r="AI213" i="15" s="1"/>
  <c r="AJ213" i="15" s="1"/>
  <c r="AE189" i="15"/>
  <c r="AE205" i="15"/>
  <c r="AD205" i="15"/>
  <c r="AH205" i="15"/>
  <c r="AI205" i="15" s="1"/>
  <c r="AJ205" i="15" s="1"/>
  <c r="AE209" i="15"/>
  <c r="AD209" i="15"/>
  <c r="AH209" i="15"/>
  <c r="AI209" i="15" s="1"/>
  <c r="AL209" i="15" s="1"/>
  <c r="AJ227" i="15"/>
  <c r="AJ217" i="15"/>
  <c r="AL224" i="15"/>
  <c r="AJ224" i="15"/>
  <c r="AE229" i="15"/>
  <c r="AD229" i="15"/>
  <c r="AH229" i="15"/>
  <c r="AI229" i="15" s="1"/>
  <c r="AL229" i="15" s="1"/>
  <c r="AH176" i="15"/>
  <c r="AI176" i="15" s="1"/>
  <c r="AL176" i="15" s="1"/>
  <c r="AH180" i="15"/>
  <c r="AI180" i="15" s="1"/>
  <c r="AL180" i="15" s="1"/>
  <c r="AN181" i="15"/>
  <c r="AH188" i="15"/>
  <c r="AI188" i="15" s="1"/>
  <c r="AJ188" i="15" s="1"/>
  <c r="AH189" i="15"/>
  <c r="AI189" i="15" s="1"/>
  <c r="AJ189" i="15" s="1"/>
  <c r="AJ192" i="15"/>
  <c r="AH193" i="15"/>
  <c r="AI193" i="15" s="1"/>
  <c r="AL193" i="15" s="1"/>
  <c r="AH194" i="15"/>
  <c r="AI194" i="15" s="1"/>
  <c r="AJ194" i="15" s="1"/>
  <c r="AL213" i="15"/>
  <c r="AJ223" i="15"/>
  <c r="AJ226" i="15"/>
  <c r="AL227" i="15"/>
  <c r="AD162" i="15"/>
  <c r="AN162" i="15" s="1"/>
  <c r="AM163" i="15"/>
  <c r="AD166" i="15"/>
  <c r="AN166" i="15" s="1"/>
  <c r="AM167" i="15"/>
  <c r="AD170" i="15"/>
  <c r="AN170" i="15" s="1"/>
  <c r="AM171" i="15"/>
  <c r="AD174" i="15"/>
  <c r="AN174" i="15" s="1"/>
  <c r="AD178" i="15"/>
  <c r="AN178" i="15" s="1"/>
  <c r="AD182" i="15"/>
  <c r="AM183" i="15"/>
  <c r="AJ184" i="15"/>
  <c r="AD186" i="15"/>
  <c r="AM187" i="15"/>
  <c r="AJ190" i="15"/>
  <c r="AE203" i="15"/>
  <c r="AN203" i="15" s="1"/>
  <c r="AE218" i="15"/>
  <c r="AD218" i="15"/>
  <c r="AL220" i="15"/>
  <c r="AJ220" i="15"/>
  <c r="AL222" i="15"/>
  <c r="AE225" i="15"/>
  <c r="AN225" i="15" s="1"/>
  <c r="AD225" i="15"/>
  <c r="AH225" i="15"/>
  <c r="AI225" i="15" s="1"/>
  <c r="AL225" i="15" s="1"/>
  <c r="AJ196" i="15"/>
  <c r="AJ199" i="15"/>
  <c r="AE214" i="15"/>
  <c r="AD214" i="15"/>
  <c r="AL216" i="15"/>
  <c r="AJ216" i="15"/>
  <c r="AM229" i="15"/>
  <c r="AD159" i="15"/>
  <c r="AN159" i="15" s="1"/>
  <c r="AD163" i="15"/>
  <c r="AD167" i="15"/>
  <c r="AD171" i="15"/>
  <c r="AD175" i="15"/>
  <c r="AN175" i="15" s="1"/>
  <c r="AD179" i="15"/>
  <c r="AN179" i="15" s="1"/>
  <c r="AD183" i="15"/>
  <c r="AD187" i="15"/>
  <c r="AM190" i="15"/>
  <c r="AN190" i="15" s="1"/>
  <c r="AH203" i="15"/>
  <c r="AI203" i="15" s="1"/>
  <c r="AL203" i="15" s="1"/>
  <c r="AJ204" i="15"/>
  <c r="AE210" i="15"/>
  <c r="AD210" i="15"/>
  <c r="AE221" i="15"/>
  <c r="AD221" i="15"/>
  <c r="AH221" i="15"/>
  <c r="AI221" i="15" s="1"/>
  <c r="AL221" i="15" s="1"/>
  <c r="AD191" i="15"/>
  <c r="AM191" i="15"/>
  <c r="AL197" i="15"/>
  <c r="AE206" i="15"/>
  <c r="AD206" i="15"/>
  <c r="AL208" i="15"/>
  <c r="AJ208" i="15"/>
  <c r="AL212" i="15"/>
  <c r="AJ212" i="15"/>
  <c r="AH218" i="15"/>
  <c r="AI218" i="15" s="1"/>
  <c r="AJ218" i="15" s="1"/>
  <c r="AM207" i="15"/>
  <c r="AN207" i="15" s="1"/>
  <c r="AM215" i="15"/>
  <c r="AN215" i="15" s="1"/>
  <c r="AM219" i="15"/>
  <c r="AN219" i="15" s="1"/>
  <c r="AD222" i="15"/>
  <c r="AN222" i="15" s="1"/>
  <c r="AM223" i="15"/>
  <c r="AD226" i="15"/>
  <c r="AN226" i="15" s="1"/>
  <c r="AM227" i="15"/>
  <c r="AD230" i="15"/>
  <c r="AN230" i="15" s="1"/>
  <c r="AM212" i="15"/>
  <c r="AM216" i="15"/>
  <c r="AN216" i="15" s="1"/>
  <c r="AM220" i="15"/>
  <c r="AM224" i="15"/>
  <c r="AN224" i="15" s="1"/>
  <c r="AM228" i="15"/>
  <c r="AL20" i="14"/>
  <c r="AJ20" i="14"/>
  <c r="AJ22" i="14"/>
  <c r="AJ23" i="14"/>
  <c r="AL23" i="14"/>
  <c r="AJ21" i="14"/>
  <c r="AL21" i="14"/>
  <c r="AM20" i="14"/>
  <c r="S13" i="68" s="1"/>
  <c r="AH24" i="14"/>
  <c r="AI24" i="14" s="1"/>
  <c r="AJ24" i="14" s="1"/>
  <c r="AD21" i="14"/>
  <c r="W22" i="14"/>
  <c r="AM23" i="14"/>
  <c r="AE21" i="14"/>
  <c r="AM24" i="14"/>
  <c r="AH19" i="14"/>
  <c r="AI19" i="14" s="1"/>
  <c r="AL19" i="14" s="1"/>
  <c r="AD22" i="14"/>
  <c r="AE22" i="14"/>
  <c r="AD23" i="14"/>
  <c r="AE23" i="14"/>
  <c r="AD24" i="14"/>
  <c r="AM22" i="14"/>
  <c r="AN19" i="14"/>
  <c r="W18" i="14"/>
  <c r="U12" i="14"/>
  <c r="W15" i="14"/>
  <c r="U19" i="14"/>
  <c r="U23" i="14"/>
  <c r="W8" i="14"/>
  <c r="U9" i="14"/>
  <c r="W12" i="14"/>
  <c r="U16" i="14"/>
  <c r="W19" i="14"/>
  <c r="U26" i="14"/>
  <c r="W28" i="14"/>
  <c r="X28" i="14" s="1"/>
  <c r="U38" i="14"/>
  <c r="W40" i="14"/>
  <c r="X40" i="14" s="1"/>
  <c r="U50" i="14"/>
  <c r="W52" i="14"/>
  <c r="X52" i="14" s="1"/>
  <c r="W41" i="14"/>
  <c r="X41" i="14" s="1"/>
  <c r="U25" i="14"/>
  <c r="W27" i="14"/>
  <c r="X27" i="14" s="1"/>
  <c r="U37" i="14"/>
  <c r="W39" i="14"/>
  <c r="X39" i="14" s="1"/>
  <c r="U49" i="14"/>
  <c r="W51" i="14"/>
  <c r="X51" i="14" s="1"/>
  <c r="W26" i="14"/>
  <c r="X26" i="14" s="1"/>
  <c r="U36" i="14"/>
  <c r="W38" i="14"/>
  <c r="X38" i="14" s="1"/>
  <c r="U48" i="14"/>
  <c r="W50" i="14"/>
  <c r="X50" i="14" s="1"/>
  <c r="U60" i="14"/>
  <c r="W29" i="14"/>
  <c r="X29" i="14" s="1"/>
  <c r="W25" i="14"/>
  <c r="X25" i="14" s="1"/>
  <c r="U35" i="14"/>
  <c r="W37" i="14"/>
  <c r="X37" i="14" s="1"/>
  <c r="U47" i="14"/>
  <c r="W49" i="14"/>
  <c r="X49" i="14" s="1"/>
  <c r="U59" i="14"/>
  <c r="U34" i="14"/>
  <c r="W36" i="14"/>
  <c r="X36" i="14" s="1"/>
  <c r="U46" i="14"/>
  <c r="W48" i="14"/>
  <c r="X48" i="14" s="1"/>
  <c r="U58" i="14"/>
  <c r="W60" i="14"/>
  <c r="X60" i="14" s="1"/>
  <c r="U33" i="14"/>
  <c r="W35" i="14"/>
  <c r="X35" i="14" s="1"/>
  <c r="U45" i="14"/>
  <c r="W47" i="14"/>
  <c r="X47" i="14" s="1"/>
  <c r="U57" i="14"/>
  <c r="W59" i="14"/>
  <c r="X59" i="14" s="1"/>
  <c r="U32" i="14"/>
  <c r="W34" i="14"/>
  <c r="X34" i="14" s="1"/>
  <c r="U44" i="14"/>
  <c r="W46" i="14"/>
  <c r="X46" i="14" s="1"/>
  <c r="U56" i="14"/>
  <c r="W58" i="14"/>
  <c r="X58" i="14" s="1"/>
  <c r="U31" i="14"/>
  <c r="W33" i="14"/>
  <c r="X33" i="14" s="1"/>
  <c r="U43" i="14"/>
  <c r="W45" i="14"/>
  <c r="X45" i="14" s="1"/>
  <c r="U55" i="14"/>
  <c r="W57" i="14"/>
  <c r="X57" i="14" s="1"/>
  <c r="U27" i="14"/>
  <c r="U51" i="14"/>
  <c r="U30" i="14"/>
  <c r="W32" i="14"/>
  <c r="X32" i="14" s="1"/>
  <c r="U42" i="14"/>
  <c r="W44" i="14"/>
  <c r="X44" i="14" s="1"/>
  <c r="U54" i="14"/>
  <c r="W56" i="14"/>
  <c r="X56" i="14" s="1"/>
  <c r="W53" i="14"/>
  <c r="X53" i="14" s="1"/>
  <c r="U29" i="14"/>
  <c r="W31" i="14"/>
  <c r="X31" i="14" s="1"/>
  <c r="U41" i="14"/>
  <c r="W43" i="14"/>
  <c r="X43" i="14" s="1"/>
  <c r="U53" i="14"/>
  <c r="W55" i="14"/>
  <c r="X55" i="14" s="1"/>
  <c r="U39" i="14"/>
  <c r="U28" i="14"/>
  <c r="W30" i="14"/>
  <c r="X30" i="14" s="1"/>
  <c r="U40" i="14"/>
  <c r="W42" i="14"/>
  <c r="X42" i="14" s="1"/>
  <c r="U52" i="14"/>
  <c r="W54" i="14"/>
  <c r="X54" i="14" s="1"/>
  <c r="U13" i="14"/>
  <c r="U20" i="14"/>
  <c r="U24" i="14"/>
  <c r="W16" i="14"/>
  <c r="X16" i="14" s="1"/>
  <c r="U17" i="14"/>
  <c r="W20" i="14"/>
  <c r="W24" i="14"/>
  <c r="X24" i="14" s="1"/>
  <c r="U6" i="14"/>
  <c r="U21" i="14"/>
  <c r="W10" i="14"/>
  <c r="U14" i="14"/>
  <c r="W17" i="14"/>
  <c r="W6" i="14"/>
  <c r="U7" i="14"/>
  <c r="U11" i="14"/>
  <c r="W21" i="14"/>
  <c r="X21" i="14" s="1"/>
  <c r="W14" i="14"/>
  <c r="U18" i="14"/>
  <c r="U22" i="14"/>
  <c r="W11" i="14"/>
  <c r="U15" i="14"/>
  <c r="AL19" i="13"/>
  <c r="AJ19" i="13"/>
  <c r="AL23" i="13"/>
  <c r="AJ23" i="13"/>
  <c r="AL21" i="13"/>
  <c r="AJ24" i="13"/>
  <c r="AL24" i="13"/>
  <c r="AH18" i="13"/>
  <c r="AI18" i="13" s="1"/>
  <c r="AL18" i="13" s="1"/>
  <c r="AD21" i="13"/>
  <c r="AJ17" i="13"/>
  <c r="AE21" i="13"/>
  <c r="AN21" i="13" s="1"/>
  <c r="AD22" i="13"/>
  <c r="AM16" i="13"/>
  <c r="AH20" i="13"/>
  <c r="AI20" i="13" s="1"/>
  <c r="AL20" i="13" s="1"/>
  <c r="AE22" i="13"/>
  <c r="AN22" i="13" s="1"/>
  <c r="AD23" i="13"/>
  <c r="AE23" i="13"/>
  <c r="AD24" i="13"/>
  <c r="U10" i="13"/>
  <c r="U17" i="13"/>
  <c r="AH21" i="13"/>
  <c r="AI21" i="13" s="1"/>
  <c r="AE24" i="13"/>
  <c r="AD16" i="13"/>
  <c r="AH22" i="13"/>
  <c r="AI22" i="13" s="1"/>
  <c r="AL22" i="13" s="1"/>
  <c r="AJ21" i="13"/>
  <c r="AD17" i="13"/>
  <c r="AN17" i="13" s="1"/>
  <c r="U26" i="13"/>
  <c r="W28" i="13"/>
  <c r="X28" i="13" s="1"/>
  <c r="U38" i="13"/>
  <c r="U25" i="13"/>
  <c r="W27" i="13"/>
  <c r="X27" i="13" s="1"/>
  <c r="W26" i="13"/>
  <c r="X26" i="13" s="1"/>
  <c r="U36" i="13"/>
  <c r="W38" i="13"/>
  <c r="X38" i="13" s="1"/>
  <c r="W32" i="13"/>
  <c r="X32" i="13" s="1"/>
  <c r="W25" i="13"/>
  <c r="X25" i="13" s="1"/>
  <c r="U35" i="13"/>
  <c r="W37" i="13"/>
  <c r="X37" i="13" s="1"/>
  <c r="W30" i="13"/>
  <c r="X30" i="13" s="1"/>
  <c r="U34" i="13"/>
  <c r="W36" i="13"/>
  <c r="X36" i="13" s="1"/>
  <c r="U33" i="13"/>
  <c r="W35" i="13"/>
  <c r="X35" i="13" s="1"/>
  <c r="U32" i="13"/>
  <c r="W34" i="13"/>
  <c r="X34" i="13" s="1"/>
  <c r="U31" i="13"/>
  <c r="W33" i="13"/>
  <c r="X33" i="13" s="1"/>
  <c r="U30" i="13"/>
  <c r="U29" i="13"/>
  <c r="W31" i="13"/>
  <c r="X31" i="13" s="1"/>
  <c r="U28" i="13"/>
  <c r="U27" i="13"/>
  <c r="W29" i="13"/>
  <c r="X29" i="13" s="1"/>
  <c r="U39" i="13"/>
  <c r="U37" i="13"/>
  <c r="W39" i="13"/>
  <c r="X39" i="13" s="1"/>
  <c r="U13" i="13"/>
  <c r="U16" i="13"/>
  <c r="U20" i="13"/>
  <c r="U24" i="13"/>
  <c r="W16" i="13"/>
  <c r="X16" i="13" s="1"/>
  <c r="W20" i="13"/>
  <c r="X20" i="13" s="1"/>
  <c r="W24" i="13"/>
  <c r="X24" i="13" s="1"/>
  <c r="W10" i="13"/>
  <c r="U14" i="13"/>
  <c r="W6" i="13"/>
  <c r="U11" i="13"/>
  <c r="W17" i="13"/>
  <c r="W21" i="13"/>
  <c r="U7" i="13"/>
  <c r="W14" i="13"/>
  <c r="U18" i="13"/>
  <c r="U22" i="13"/>
  <c r="W11" i="13"/>
  <c r="X11" i="13" s="1"/>
  <c r="W7" i="13"/>
  <c r="X7" i="13" s="1"/>
  <c r="U8" i="13"/>
  <c r="U15" i="13"/>
  <c r="W18" i="13"/>
  <c r="W22" i="13"/>
  <c r="U12" i="13"/>
  <c r="U19" i="13"/>
  <c r="U23" i="13"/>
  <c r="W8" i="13"/>
  <c r="U9" i="13"/>
  <c r="W15" i="13"/>
  <c r="X15" i="13" s="1"/>
  <c r="U5" i="13"/>
  <c r="W12" i="13"/>
  <c r="X12" i="13" s="1"/>
  <c r="W19" i="13"/>
  <c r="X19" i="13" s="1"/>
  <c r="W23" i="13"/>
  <c r="X23" i="13" s="1"/>
  <c r="AJ42" i="12"/>
  <c r="AL29" i="12"/>
  <c r="AD42" i="12"/>
  <c r="AN42" i="12" s="1"/>
  <c r="AM29" i="12"/>
  <c r="AE42" i="12"/>
  <c r="AJ43" i="12"/>
  <c r="AE35" i="12"/>
  <c r="AH41" i="12"/>
  <c r="AI41" i="12" s="1"/>
  <c r="AL41" i="12" s="1"/>
  <c r="U47" i="12"/>
  <c r="U59" i="12"/>
  <c r="W61" i="12"/>
  <c r="X61" i="12" s="1"/>
  <c r="U58" i="12"/>
  <c r="W60" i="12"/>
  <c r="X60" i="12" s="1"/>
  <c r="W59" i="12"/>
  <c r="X59" i="12" s="1"/>
  <c r="U61" i="12"/>
  <c r="W58" i="12"/>
  <c r="X58" i="12" s="1"/>
  <c r="U62" i="12"/>
  <c r="U60" i="12"/>
  <c r="W62" i="12"/>
  <c r="X62" i="12" s="1"/>
  <c r="AD29" i="12"/>
  <c r="AH44" i="12"/>
  <c r="AI44" i="12" s="1"/>
  <c r="AL44" i="12" s="1"/>
  <c r="AE31" i="12"/>
  <c r="AD33" i="12"/>
  <c r="AE36" i="12"/>
  <c r="AE46" i="12"/>
  <c r="AE33" i="12"/>
  <c r="AD38" i="12"/>
  <c r="AL43" i="12"/>
  <c r="AE50" i="12"/>
  <c r="AN50" i="12" s="1"/>
  <c r="AH48" i="12"/>
  <c r="AI48" i="12" s="1"/>
  <c r="AL48" i="12" s="1"/>
  <c r="AH33" i="12"/>
  <c r="AI33" i="12" s="1"/>
  <c r="AL33" i="12" s="1"/>
  <c r="A14" i="12"/>
  <c r="U29" i="12"/>
  <c r="AH30" i="12"/>
  <c r="AI30" i="12" s="1"/>
  <c r="AL30" i="12" s="1"/>
  <c r="AE41" i="12"/>
  <c r="AD47" i="12"/>
  <c r="AH37" i="12"/>
  <c r="AI37" i="12" s="1"/>
  <c r="AL37" i="12" s="1"/>
  <c r="AE44" i="12"/>
  <c r="AN44" i="12" s="1"/>
  <c r="AL46" i="12"/>
  <c r="AE47" i="12"/>
  <c r="AJ47" i="12"/>
  <c r="AL47" i="12"/>
  <c r="AJ36" i="12"/>
  <c r="AL36" i="12"/>
  <c r="AJ46" i="12"/>
  <c r="AL38" i="12"/>
  <c r="AL35" i="12"/>
  <c r="AJ35" i="12"/>
  <c r="AL45" i="12"/>
  <c r="AJ45" i="12"/>
  <c r="AL42" i="12"/>
  <c r="AL39" i="12"/>
  <c r="AJ39" i="12"/>
  <c r="U10" i="12"/>
  <c r="AJ29" i="12"/>
  <c r="AH31" i="12"/>
  <c r="AI31" i="12" s="1"/>
  <c r="AJ31" i="12" s="1"/>
  <c r="AD34" i="12"/>
  <c r="AJ38" i="12"/>
  <c r="AD43" i="12"/>
  <c r="AM46" i="12"/>
  <c r="AH32" i="12"/>
  <c r="AI32" i="12" s="1"/>
  <c r="AL32" i="12" s="1"/>
  <c r="AE34" i="12"/>
  <c r="AD35" i="12"/>
  <c r="AM36" i="12"/>
  <c r="AH40" i="12"/>
  <c r="AI40" i="12" s="1"/>
  <c r="AL40" i="12" s="1"/>
  <c r="AE43" i="12"/>
  <c r="AM47" i="12"/>
  <c r="AH49" i="12"/>
  <c r="AI49" i="12" s="1"/>
  <c r="AL49" i="12" s="1"/>
  <c r="W36" i="12"/>
  <c r="AM37" i="12"/>
  <c r="AN37" i="12" s="1"/>
  <c r="AD45" i="12"/>
  <c r="AH50" i="12"/>
  <c r="AI50" i="12" s="1"/>
  <c r="AJ50" i="12" s="1"/>
  <c r="AM30" i="12"/>
  <c r="AH34" i="12"/>
  <c r="AI34" i="12" s="1"/>
  <c r="AJ34" i="12" s="1"/>
  <c r="AM39" i="12"/>
  <c r="U48" i="12"/>
  <c r="AM48" i="12"/>
  <c r="AM38" i="12"/>
  <c r="AE45" i="12"/>
  <c r="U21" i="12"/>
  <c r="AM31" i="12"/>
  <c r="AJ33" i="12"/>
  <c r="W13" i="12"/>
  <c r="AE29" i="12"/>
  <c r="AD30" i="12"/>
  <c r="AE38" i="12"/>
  <c r="AD39" i="12"/>
  <c r="AM41" i="12"/>
  <c r="AD48" i="12"/>
  <c r="AM32" i="12"/>
  <c r="AM40" i="12"/>
  <c r="W5" i="12"/>
  <c r="X5" i="12" s="1"/>
  <c r="U33" i="12"/>
  <c r="AD32" i="12"/>
  <c r="AD40" i="12"/>
  <c r="AD49" i="12"/>
  <c r="AN49" i="12" s="1"/>
  <c r="U25" i="12"/>
  <c r="U6" i="12"/>
  <c r="W10" i="12"/>
  <c r="U14" i="12"/>
  <c r="W17" i="12"/>
  <c r="X17" i="12" s="1"/>
  <c r="U37" i="12"/>
  <c r="W40" i="12"/>
  <c r="X40" i="12" s="1"/>
  <c r="W44" i="12"/>
  <c r="X44" i="12" s="1"/>
  <c r="U11" i="12"/>
  <c r="U18" i="12"/>
  <c r="W21" i="12"/>
  <c r="W25" i="12"/>
  <c r="W29" i="12"/>
  <c r="X29" i="12" s="1"/>
  <c r="W33" i="12"/>
  <c r="U41" i="12"/>
  <c r="U45" i="12"/>
  <c r="W48" i="12"/>
  <c r="W6" i="12"/>
  <c r="U7" i="12"/>
  <c r="W14" i="12"/>
  <c r="X14" i="12" s="1"/>
  <c r="U22" i="12"/>
  <c r="U26" i="12"/>
  <c r="U30" i="12"/>
  <c r="U34" i="12"/>
  <c r="W37" i="12"/>
  <c r="X37" i="12" s="1"/>
  <c r="U15" i="12"/>
  <c r="W18" i="12"/>
  <c r="U38" i="12"/>
  <c r="W41" i="12"/>
  <c r="X41" i="12" s="1"/>
  <c r="W45" i="12"/>
  <c r="U49" i="12"/>
  <c r="W7" i="12"/>
  <c r="X7" i="12" s="1"/>
  <c r="U8" i="12"/>
  <c r="W22" i="12"/>
  <c r="W26" i="12"/>
  <c r="W30" i="12"/>
  <c r="W34" i="12"/>
  <c r="X34" i="12" s="1"/>
  <c r="U42" i="12"/>
  <c r="U46" i="12"/>
  <c r="U12" i="12"/>
  <c r="W15" i="12"/>
  <c r="X15" i="12" s="1"/>
  <c r="U19" i="12"/>
  <c r="U23" i="12"/>
  <c r="U27" i="12"/>
  <c r="U31" i="12"/>
  <c r="U35" i="12"/>
  <c r="W38" i="12"/>
  <c r="W49" i="12"/>
  <c r="W8" i="12"/>
  <c r="X8" i="12" s="1"/>
  <c r="U9" i="12"/>
  <c r="U39" i="12"/>
  <c r="W42" i="12"/>
  <c r="W46" i="12"/>
  <c r="X46" i="12" s="1"/>
  <c r="U50" i="12"/>
  <c r="W12" i="12"/>
  <c r="U16" i="12"/>
  <c r="W19" i="12"/>
  <c r="X19" i="12" s="1"/>
  <c r="W23" i="12"/>
  <c r="W27" i="12"/>
  <c r="W31" i="12"/>
  <c r="W35" i="12"/>
  <c r="X35" i="12" s="1"/>
  <c r="U43" i="12"/>
  <c r="U52" i="12"/>
  <c r="W54" i="12"/>
  <c r="X54" i="12" s="1"/>
  <c r="U51" i="12"/>
  <c r="W53" i="12"/>
  <c r="X53" i="12" s="1"/>
  <c r="W52" i="12"/>
  <c r="X52" i="12" s="1"/>
  <c r="W55" i="12"/>
  <c r="X55" i="12" s="1"/>
  <c r="W51" i="12"/>
  <c r="X51" i="12" s="1"/>
  <c r="U53" i="12"/>
  <c r="U57" i="12"/>
  <c r="U56" i="12"/>
  <c r="U55" i="12"/>
  <c r="W57" i="12"/>
  <c r="X57" i="12" s="1"/>
  <c r="U54" i="12"/>
  <c r="W56" i="12"/>
  <c r="X56" i="12" s="1"/>
  <c r="U13" i="12"/>
  <c r="U20" i="12"/>
  <c r="U24" i="12"/>
  <c r="U28" i="12"/>
  <c r="U32" i="12"/>
  <c r="W39" i="12"/>
  <c r="W50" i="12"/>
  <c r="U5" i="12"/>
  <c r="W16" i="12"/>
  <c r="X16" i="12" s="1"/>
  <c r="U36" i="12"/>
  <c r="W43" i="12"/>
  <c r="W47" i="12"/>
  <c r="U17" i="12"/>
  <c r="W20" i="12"/>
  <c r="W24" i="12"/>
  <c r="X24" i="12" s="1"/>
  <c r="W28" i="12"/>
  <c r="X28" i="12" s="1"/>
  <c r="W32" i="12"/>
  <c r="X32" i="12" s="1"/>
  <c r="U40" i="12"/>
  <c r="U44" i="12"/>
  <c r="AL13" i="6"/>
  <c r="AL20" i="6"/>
  <c r="AJ20" i="6"/>
  <c r="AJ18" i="6"/>
  <c r="AL18" i="6"/>
  <c r="AJ19" i="6"/>
  <c r="AL19" i="6"/>
  <c r="AL17" i="6"/>
  <c r="AM17" i="6"/>
  <c r="AD16" i="6"/>
  <c r="AM19" i="6"/>
  <c r="AN19" i="6" s="1"/>
  <c r="AJ22" i="6"/>
  <c r="W11" i="6"/>
  <c r="AJ13" i="6"/>
  <c r="AH14" i="6"/>
  <c r="AI14" i="6" s="1"/>
  <c r="AL14" i="6" s="1"/>
  <c r="AE16" i="6"/>
  <c r="AD17" i="6"/>
  <c r="AJ23" i="6"/>
  <c r="AN15" i="6"/>
  <c r="AE17" i="6"/>
  <c r="AD18" i="6"/>
  <c r="AJ24" i="6"/>
  <c r="AE18" i="6"/>
  <c r="AM23" i="6"/>
  <c r="W5" i="6"/>
  <c r="W13" i="6"/>
  <c r="X13" i="6" s="1"/>
  <c r="AJ15" i="6"/>
  <c r="AE20" i="6"/>
  <c r="AN20" i="6" s="1"/>
  <c r="AD21" i="6"/>
  <c r="AN21" i="6" s="1"/>
  <c r="AJ16" i="6"/>
  <c r="AD22" i="6"/>
  <c r="AD13" i="6"/>
  <c r="AJ17" i="6"/>
  <c r="AD23" i="6"/>
  <c r="U7" i="6"/>
  <c r="W14" i="6"/>
  <c r="U18" i="6"/>
  <c r="U22" i="6"/>
  <c r="W7" i="6"/>
  <c r="U8" i="6"/>
  <c r="U15" i="6"/>
  <c r="W18" i="6"/>
  <c r="W22" i="6"/>
  <c r="U12" i="6"/>
  <c r="U19" i="6"/>
  <c r="U23" i="6"/>
  <c r="W8" i="6"/>
  <c r="X8" i="6" s="1"/>
  <c r="U9" i="6"/>
  <c r="W15" i="6"/>
  <c r="W12" i="6"/>
  <c r="X12" i="6" s="1"/>
  <c r="W19" i="6"/>
  <c r="X19" i="6" s="1"/>
  <c r="U26" i="6"/>
  <c r="W28" i="6"/>
  <c r="X28" i="6" s="1"/>
  <c r="U25" i="6"/>
  <c r="W27" i="6"/>
  <c r="X27" i="6" s="1"/>
  <c r="W26" i="6"/>
  <c r="X26" i="6" s="1"/>
  <c r="W25" i="6"/>
  <c r="X25" i="6" s="1"/>
  <c r="U35" i="6"/>
  <c r="U34" i="6"/>
  <c r="U28" i="6"/>
  <c r="U33" i="6"/>
  <c r="W35" i="6"/>
  <c r="X35" i="6" s="1"/>
  <c r="U32" i="6"/>
  <c r="W34" i="6"/>
  <c r="X34" i="6" s="1"/>
  <c r="U31" i="6"/>
  <c r="W33" i="6"/>
  <c r="X33" i="6" s="1"/>
  <c r="W32" i="6"/>
  <c r="X32" i="6" s="1"/>
  <c r="U30" i="6"/>
  <c r="U29" i="6"/>
  <c r="W31" i="6"/>
  <c r="X31" i="6" s="1"/>
  <c r="U27" i="6"/>
  <c r="W29" i="6"/>
  <c r="X29" i="6" s="1"/>
  <c r="W30" i="6"/>
  <c r="X30" i="6" s="1"/>
  <c r="U13" i="6"/>
  <c r="U16" i="6"/>
  <c r="U20" i="6"/>
  <c r="U24" i="6"/>
  <c r="W16" i="6"/>
  <c r="W20" i="6"/>
  <c r="W24" i="6"/>
  <c r="U6" i="6"/>
  <c r="U17" i="6"/>
  <c r="U21" i="6"/>
  <c r="W10" i="6"/>
  <c r="U14" i="6"/>
  <c r="W6" i="6"/>
  <c r="U11" i="6"/>
  <c r="W17" i="6"/>
  <c r="W21" i="6"/>
  <c r="AJ41" i="5"/>
  <c r="AL41" i="5"/>
  <c r="AJ52" i="5"/>
  <c r="AL52" i="5"/>
  <c r="AL44" i="5"/>
  <c r="AJ44" i="5"/>
  <c r="AJ50" i="5"/>
  <c r="AL36" i="5"/>
  <c r="AJ36" i="5"/>
  <c r="AJ39" i="5"/>
  <c r="AL39" i="5"/>
  <c r="AL49" i="5"/>
  <c r="AJ49" i="5"/>
  <c r="AJ51" i="5"/>
  <c r="AL51" i="5"/>
  <c r="AM39" i="5"/>
  <c r="AM50" i="5"/>
  <c r="AJ34" i="5"/>
  <c r="AE37" i="5"/>
  <c r="AN37" i="5" s="1"/>
  <c r="AD38" i="5"/>
  <c r="W39" i="5"/>
  <c r="AM40" i="5"/>
  <c r="AE47" i="5"/>
  <c r="AN47" i="5" s="1"/>
  <c r="AD48" i="5"/>
  <c r="AM51" i="5"/>
  <c r="U5" i="5"/>
  <c r="U32" i="5"/>
  <c r="AJ35" i="5"/>
  <c r="AE38" i="5"/>
  <c r="AM41" i="5"/>
  <c r="AJ43" i="5"/>
  <c r="AH45" i="5"/>
  <c r="AI45" i="5" s="1"/>
  <c r="AL45" i="5" s="1"/>
  <c r="AE48" i="5"/>
  <c r="AD49" i="5"/>
  <c r="AM52" i="5"/>
  <c r="AD39" i="5"/>
  <c r="AH46" i="5"/>
  <c r="AI46" i="5" s="1"/>
  <c r="AL46" i="5" s="1"/>
  <c r="AE49" i="5"/>
  <c r="AD50" i="5"/>
  <c r="W5" i="5"/>
  <c r="U24" i="5"/>
  <c r="AM34" i="5"/>
  <c r="AH37" i="5"/>
  <c r="AI37" i="5" s="1"/>
  <c r="AJ37" i="5" s="1"/>
  <c r="AE39" i="5"/>
  <c r="AD40" i="5"/>
  <c r="AH47" i="5"/>
  <c r="AI47" i="5" s="1"/>
  <c r="AL47" i="5" s="1"/>
  <c r="AE50" i="5"/>
  <c r="AD51" i="5"/>
  <c r="AM35" i="5"/>
  <c r="AH38" i="5"/>
  <c r="AI38" i="5" s="1"/>
  <c r="AL38" i="5" s="1"/>
  <c r="AE40" i="5"/>
  <c r="AM43" i="5"/>
  <c r="AH48" i="5"/>
  <c r="AI48" i="5" s="1"/>
  <c r="AL48" i="5" s="1"/>
  <c r="AE51" i="5"/>
  <c r="AD52" i="5"/>
  <c r="AE52" i="5"/>
  <c r="U36" i="5"/>
  <c r="AM45" i="5"/>
  <c r="AN45" i="5" s="1"/>
  <c r="AN46" i="5"/>
  <c r="U28" i="5"/>
  <c r="U10" i="5"/>
  <c r="W13" i="5"/>
  <c r="W16" i="5"/>
  <c r="U40" i="5"/>
  <c r="W43" i="5"/>
  <c r="W47" i="5"/>
  <c r="W51" i="5"/>
  <c r="U17" i="5"/>
  <c r="W20" i="5"/>
  <c r="X20" i="5" s="1"/>
  <c r="W24" i="5"/>
  <c r="X24" i="5" s="1"/>
  <c r="W28" i="5"/>
  <c r="X28" i="5" s="1"/>
  <c r="W32" i="5"/>
  <c r="W36" i="5"/>
  <c r="U44" i="5"/>
  <c r="U48" i="5"/>
  <c r="U52" i="5"/>
  <c r="U6" i="5"/>
  <c r="W10" i="5"/>
  <c r="U21" i="5"/>
  <c r="U25" i="5"/>
  <c r="U29" i="5"/>
  <c r="U33" i="5"/>
  <c r="W40" i="5"/>
  <c r="X40" i="5" s="1"/>
  <c r="U11" i="5"/>
  <c r="U14" i="5"/>
  <c r="W17" i="5"/>
  <c r="U37" i="5"/>
  <c r="U41" i="5"/>
  <c r="W44" i="5"/>
  <c r="W48" i="5"/>
  <c r="W52" i="5"/>
  <c r="W6" i="5"/>
  <c r="X6" i="5" s="1"/>
  <c r="U7" i="5"/>
  <c r="U18" i="5"/>
  <c r="W21" i="5"/>
  <c r="W25" i="5"/>
  <c r="W29" i="5"/>
  <c r="W33" i="5"/>
  <c r="U45" i="5"/>
  <c r="U49" i="5"/>
  <c r="L22" i="68"/>
  <c r="W14" i="5"/>
  <c r="U22" i="5"/>
  <c r="U26" i="5"/>
  <c r="U30" i="5"/>
  <c r="U34" i="5"/>
  <c r="W37" i="5"/>
  <c r="W41" i="5"/>
  <c r="P22" i="68"/>
  <c r="W7" i="5"/>
  <c r="U8" i="5"/>
  <c r="U15" i="5"/>
  <c r="W18" i="5"/>
  <c r="U38" i="5"/>
  <c r="U42" i="5"/>
  <c r="W45" i="5"/>
  <c r="X45" i="5" s="1"/>
  <c r="W49" i="5"/>
  <c r="X49" i="5" s="1"/>
  <c r="U12" i="5"/>
  <c r="W22" i="5"/>
  <c r="W26" i="5"/>
  <c r="W30" i="5"/>
  <c r="W34" i="5"/>
  <c r="U46" i="5"/>
  <c r="U50" i="5"/>
  <c r="W8" i="5"/>
  <c r="U9" i="5"/>
  <c r="W15" i="5"/>
  <c r="U19" i="5"/>
  <c r="U23" i="5"/>
  <c r="U27" i="5"/>
  <c r="U31" i="5"/>
  <c r="U35" i="5"/>
  <c r="W38" i="5"/>
  <c r="W42" i="5"/>
  <c r="W12" i="5"/>
  <c r="U39" i="5"/>
  <c r="W46" i="5"/>
  <c r="U54" i="5"/>
  <c r="W56" i="5"/>
  <c r="X56" i="5" s="1"/>
  <c r="U66" i="5"/>
  <c r="W68" i="5"/>
  <c r="X68" i="5" s="1"/>
  <c r="U78" i="5"/>
  <c r="W80" i="5"/>
  <c r="X80" i="5" s="1"/>
  <c r="U53" i="5"/>
  <c r="W55" i="5"/>
  <c r="X55" i="5" s="1"/>
  <c r="U65" i="5"/>
  <c r="W67" i="5"/>
  <c r="X67" i="5" s="1"/>
  <c r="U77" i="5"/>
  <c r="W79" i="5"/>
  <c r="X79" i="5" s="1"/>
  <c r="W54" i="5"/>
  <c r="X54" i="5" s="1"/>
  <c r="U64" i="5"/>
  <c r="W66" i="5"/>
  <c r="X66" i="5" s="1"/>
  <c r="U76" i="5"/>
  <c r="W78" i="5"/>
  <c r="X78" i="5" s="1"/>
  <c r="W70" i="5"/>
  <c r="X70" i="5" s="1"/>
  <c r="W53" i="5"/>
  <c r="X53" i="5" s="1"/>
  <c r="U63" i="5"/>
  <c r="W65" i="5"/>
  <c r="X65" i="5" s="1"/>
  <c r="U75" i="5"/>
  <c r="W77" i="5"/>
  <c r="X77" i="5" s="1"/>
  <c r="U62" i="5"/>
  <c r="W64" i="5"/>
  <c r="X64" i="5" s="1"/>
  <c r="U74" i="5"/>
  <c r="W76" i="5"/>
  <c r="X76" i="5" s="1"/>
  <c r="W58" i="5"/>
  <c r="X58" i="5" s="1"/>
  <c r="U80" i="5"/>
  <c r="W81" i="5"/>
  <c r="X81" i="5" s="1"/>
  <c r="U61" i="5"/>
  <c r="W63" i="5"/>
  <c r="X63" i="5" s="1"/>
  <c r="U73" i="5"/>
  <c r="W75" i="5"/>
  <c r="X75" i="5" s="1"/>
  <c r="U60" i="5"/>
  <c r="W62" i="5"/>
  <c r="X62" i="5" s="1"/>
  <c r="U72" i="5"/>
  <c r="W74" i="5"/>
  <c r="X74" i="5" s="1"/>
  <c r="U84" i="5"/>
  <c r="U56" i="5"/>
  <c r="U68" i="5"/>
  <c r="U59" i="5"/>
  <c r="W61" i="5"/>
  <c r="X61" i="5" s="1"/>
  <c r="U71" i="5"/>
  <c r="W73" i="5"/>
  <c r="X73" i="5" s="1"/>
  <c r="U83" i="5"/>
  <c r="U58" i="5"/>
  <c r="W60" i="5"/>
  <c r="X60" i="5" s="1"/>
  <c r="U70" i="5"/>
  <c r="W72" i="5"/>
  <c r="X72" i="5" s="1"/>
  <c r="U82" i="5"/>
  <c r="W84" i="5"/>
  <c r="X84" i="5" s="1"/>
  <c r="W83" i="5"/>
  <c r="X83" i="5" s="1"/>
  <c r="U57" i="5"/>
  <c r="W59" i="5"/>
  <c r="X59" i="5" s="1"/>
  <c r="U69" i="5"/>
  <c r="W71" i="5"/>
  <c r="X71" i="5" s="1"/>
  <c r="U81" i="5"/>
  <c r="W82" i="5"/>
  <c r="X82" i="5" s="1"/>
  <c r="U55" i="5"/>
  <c r="W57" i="5"/>
  <c r="X57" i="5" s="1"/>
  <c r="U67" i="5"/>
  <c r="W69" i="5"/>
  <c r="X69" i="5" s="1"/>
  <c r="U79" i="5"/>
  <c r="U13" i="5"/>
  <c r="U16" i="5"/>
  <c r="W19" i="5"/>
  <c r="W23" i="5"/>
  <c r="W27" i="5"/>
  <c r="W31" i="5"/>
  <c r="W35" i="5"/>
  <c r="U43" i="5"/>
  <c r="U47" i="5"/>
  <c r="U51" i="5"/>
  <c r="AH20" i="3"/>
  <c r="AI20" i="3" s="1"/>
  <c r="AJ20" i="3" s="1"/>
  <c r="AE22" i="3"/>
  <c r="AM16" i="3"/>
  <c r="J7" i="68"/>
  <c r="AM21" i="3"/>
  <c r="U23" i="3"/>
  <c r="U36" i="3"/>
  <c r="W38" i="3"/>
  <c r="X38" i="3" s="1"/>
  <c r="U35" i="3"/>
  <c r="W37" i="3"/>
  <c r="X37" i="3" s="1"/>
  <c r="W36" i="3"/>
  <c r="X36" i="3" s="1"/>
  <c r="U38" i="3"/>
  <c r="W35" i="3"/>
  <c r="X35" i="3" s="1"/>
  <c r="U37" i="3"/>
  <c r="AL16" i="3"/>
  <c r="W16" i="3"/>
  <c r="AE19" i="3"/>
  <c r="AD16" i="3"/>
  <c r="AE16" i="3"/>
  <c r="AD23" i="3"/>
  <c r="AD15" i="3"/>
  <c r="AD18" i="3"/>
  <c r="AD20" i="3"/>
  <c r="AN20" i="3" s="1"/>
  <c r="AL17" i="3"/>
  <c r="AL20" i="3"/>
  <c r="AJ17" i="3"/>
  <c r="AL19" i="3"/>
  <c r="AJ19" i="3"/>
  <c r="AL15" i="3"/>
  <c r="AJ15" i="3"/>
  <c r="AJ18" i="3"/>
  <c r="AL18" i="3"/>
  <c r="AE15" i="3"/>
  <c r="AN15" i="3" s="1"/>
  <c r="AM17" i="3"/>
  <c r="AE23" i="3"/>
  <c r="W12" i="3"/>
  <c r="W17" i="3"/>
  <c r="X17" i="3" s="1"/>
  <c r="AM18" i="3"/>
  <c r="AH21" i="3"/>
  <c r="AI21" i="3" s="1"/>
  <c r="AL21" i="3" s="1"/>
  <c r="W5" i="3"/>
  <c r="X5" i="3" s="1"/>
  <c r="AM19" i="3"/>
  <c r="AH22" i="3"/>
  <c r="AI22" i="3" s="1"/>
  <c r="AL22" i="3" s="1"/>
  <c r="AD17" i="3"/>
  <c r="AH23" i="3"/>
  <c r="AI23" i="3" s="1"/>
  <c r="AL23" i="3" s="1"/>
  <c r="W6" i="3"/>
  <c r="U7" i="3"/>
  <c r="W13" i="3"/>
  <c r="X13" i="3" s="1"/>
  <c r="AE17" i="3"/>
  <c r="AE18" i="3"/>
  <c r="AD19" i="3"/>
  <c r="W20" i="3"/>
  <c r="X20" i="3" s="1"/>
  <c r="AJ16" i="3"/>
  <c r="W21" i="3"/>
  <c r="AM22" i="3"/>
  <c r="W15" i="3"/>
  <c r="AD21" i="3"/>
  <c r="AN21" i="3" s="1"/>
  <c r="W11" i="3"/>
  <c r="X11" i="3" s="1"/>
  <c r="U10" i="3"/>
  <c r="U6" i="3"/>
  <c r="W10" i="3"/>
  <c r="U17" i="3"/>
  <c r="U21" i="3"/>
  <c r="U11" i="3"/>
  <c r="U14" i="3"/>
  <c r="W14" i="3"/>
  <c r="X14" i="3" s="1"/>
  <c r="U18" i="3"/>
  <c r="U22" i="3"/>
  <c r="W7" i="3"/>
  <c r="U8" i="3"/>
  <c r="U12" i="3"/>
  <c r="U15" i="3"/>
  <c r="W18" i="3"/>
  <c r="X18" i="3" s="1"/>
  <c r="W22" i="3"/>
  <c r="X22" i="3" s="1"/>
  <c r="L7" i="68"/>
  <c r="W8" i="3"/>
  <c r="X8" i="3" s="1"/>
  <c r="U9" i="3"/>
  <c r="U19" i="3"/>
  <c r="P7" i="68"/>
  <c r="U25" i="3"/>
  <c r="W27" i="3"/>
  <c r="X27" i="3" s="1"/>
  <c r="U24" i="3"/>
  <c r="W26" i="3"/>
  <c r="X26" i="3" s="1"/>
  <c r="W25" i="3"/>
  <c r="X25" i="3" s="1"/>
  <c r="W24" i="3"/>
  <c r="X24" i="3" s="1"/>
  <c r="U34" i="3"/>
  <c r="U33" i="3"/>
  <c r="U32" i="3"/>
  <c r="U30" i="3"/>
  <c r="W32" i="3"/>
  <c r="X32" i="3" s="1"/>
  <c r="U29" i="3"/>
  <c r="W31" i="3"/>
  <c r="X31" i="3" s="1"/>
  <c r="W30" i="3"/>
  <c r="X30" i="3" s="1"/>
  <c r="W34" i="3"/>
  <c r="X34" i="3" s="1"/>
  <c r="U28" i="3"/>
  <c r="U31" i="3"/>
  <c r="U27" i="3"/>
  <c r="W29" i="3"/>
  <c r="X29" i="3" s="1"/>
  <c r="U26" i="3"/>
  <c r="W28" i="3"/>
  <c r="X28" i="3" s="1"/>
  <c r="W33" i="3"/>
  <c r="X33" i="3" s="1"/>
  <c r="W19" i="3"/>
  <c r="X19" i="3" s="1"/>
  <c r="W23" i="3"/>
  <c r="X23" i="3" s="1"/>
  <c r="U5" i="3"/>
  <c r="U13" i="3"/>
  <c r="U16" i="3"/>
  <c r="U20" i="3"/>
  <c r="X6" i="62"/>
  <c r="AA6" i="62" s="1"/>
  <c r="AC6" i="62" s="1"/>
  <c r="AP6" i="62" s="1"/>
  <c r="X5" i="62"/>
  <c r="AA5" i="62" s="1"/>
  <c r="AC5" i="62" s="1"/>
  <c r="X13" i="50"/>
  <c r="AA13" i="50" s="1"/>
  <c r="AC13" i="50" s="1"/>
  <c r="AP13" i="50" s="1"/>
  <c r="X7" i="50"/>
  <c r="AA7" i="50" s="1"/>
  <c r="AC7" i="50" s="1"/>
  <c r="AP7" i="50" s="1"/>
  <c r="X5" i="50"/>
  <c r="AA5" i="50" s="1"/>
  <c r="AC5" i="50" s="1"/>
  <c r="AP5" i="50" s="1"/>
  <c r="A18" i="62"/>
  <c r="N38" i="67" s="1"/>
  <c r="T15" i="68"/>
  <c r="E16" i="2" s="1"/>
  <c r="AN9" i="6"/>
  <c r="AN20" i="12"/>
  <c r="AN31" i="12"/>
  <c r="AN200" i="65"/>
  <c r="AN17" i="5"/>
  <c r="AN35" i="5"/>
  <c r="AN19" i="13"/>
  <c r="AN25" i="15"/>
  <c r="AN236" i="15"/>
  <c r="AN240" i="15"/>
  <c r="AN487" i="15"/>
  <c r="AN215" i="65"/>
  <c r="AN32" i="5"/>
  <c r="AN14" i="12"/>
  <c r="AN190" i="65"/>
  <c r="AN208" i="65"/>
  <c r="AN226" i="65"/>
  <c r="AN25" i="5"/>
  <c r="AN43" i="5"/>
  <c r="AN24" i="6"/>
  <c r="AN25" i="12"/>
  <c r="AN10" i="13"/>
  <c r="AN16" i="13"/>
  <c r="AN20" i="13"/>
  <c r="AN11" i="14"/>
  <c r="AN221" i="15"/>
  <c r="AN386" i="15"/>
  <c r="AN433" i="15"/>
  <c r="AN476" i="15"/>
  <c r="AN205" i="65"/>
  <c r="AN12" i="5"/>
  <c r="AN22" i="5"/>
  <c r="AN15" i="12"/>
  <c r="AN22" i="12"/>
  <c r="AN66" i="15"/>
  <c r="AN422" i="15"/>
  <c r="AN469" i="15"/>
  <c r="AN14" i="20"/>
  <c r="T17" i="67"/>
  <c r="AN26" i="12"/>
  <c r="AN51" i="15"/>
  <c r="AN188" i="65"/>
  <c r="AN224" i="65"/>
  <c r="AN23" i="5"/>
  <c r="AN41" i="5"/>
  <c r="AN199" i="65"/>
  <c r="AN16" i="5"/>
  <c r="AN34" i="5"/>
  <c r="AN16" i="12"/>
  <c r="AN36" i="15"/>
  <c r="AN14" i="16"/>
  <c r="AN13" i="24"/>
  <c r="AN11" i="26"/>
  <c r="AN9" i="27"/>
  <c r="AN26" i="29"/>
  <c r="AN38" i="29"/>
  <c r="AN50" i="29"/>
  <c r="AN62" i="29"/>
  <c r="AN74" i="29"/>
  <c r="AN13" i="30"/>
  <c r="AN18" i="15"/>
  <c r="AN40" i="15"/>
  <c r="AN401" i="15"/>
  <c r="AN18" i="19"/>
  <c r="AN10" i="21"/>
  <c r="AN23" i="21"/>
  <c r="AN66" i="69"/>
  <c r="AN21" i="26"/>
  <c r="AN23" i="27"/>
  <c r="AN5" i="29"/>
  <c r="AN12" i="29"/>
  <c r="AN16" i="31"/>
  <c r="AN42" i="32"/>
  <c r="AN143" i="32"/>
  <c r="AN17" i="44"/>
  <c r="AN50" i="46"/>
  <c r="AN13" i="52"/>
  <c r="AN249" i="15"/>
  <c r="AN297" i="15"/>
  <c r="AN315" i="15"/>
  <c r="AN333" i="15"/>
  <c r="AN369" i="15"/>
  <c r="AN387" i="15"/>
  <c r="AN405" i="15"/>
  <c r="AN423" i="15"/>
  <c r="AN441" i="15"/>
  <c r="AN459" i="15"/>
  <c r="AN477" i="15"/>
  <c r="AN13" i="74"/>
  <c r="AN12" i="19"/>
  <c r="AN19" i="23"/>
  <c r="AN24" i="24"/>
  <c r="AN43" i="29"/>
  <c r="AN51" i="29"/>
  <c r="AN55" i="29"/>
  <c r="AN12" i="71"/>
  <c r="AN16" i="59"/>
  <c r="AN12" i="14"/>
  <c r="AN9" i="15"/>
  <c r="AN22" i="15"/>
  <c r="AN30" i="15"/>
  <c r="AN41" i="15"/>
  <c r="AN45" i="15"/>
  <c r="AN290" i="15"/>
  <c r="AN344" i="15"/>
  <c r="AN416" i="15"/>
  <c r="AN17" i="21"/>
  <c r="AN23" i="29"/>
  <c r="AN71" i="29"/>
  <c r="AN79" i="29"/>
  <c r="AN11" i="31"/>
  <c r="AN59" i="31"/>
  <c r="AN89" i="32"/>
  <c r="AN14" i="44"/>
  <c r="AN44" i="75"/>
  <c r="AN71" i="15"/>
  <c r="AN75" i="15"/>
  <c r="AN83" i="15"/>
  <c r="AN87" i="15"/>
  <c r="AN95" i="15"/>
  <c r="AN99" i="15"/>
  <c r="AN111" i="15"/>
  <c r="AN119" i="15"/>
  <c r="AN123" i="15"/>
  <c r="AN276" i="15"/>
  <c r="AN312" i="15"/>
  <c r="AN330" i="15"/>
  <c r="AN366" i="15"/>
  <c r="AN402" i="15"/>
  <c r="AN470" i="15"/>
  <c r="AN488" i="15"/>
  <c r="AN42" i="22"/>
  <c r="AN46" i="22"/>
  <c r="AN24" i="69"/>
  <c r="AN16" i="23"/>
  <c r="AN22" i="26"/>
  <c r="AN20" i="27"/>
  <c r="AN14" i="28"/>
  <c r="AN24" i="28"/>
  <c r="AN14" i="33"/>
  <c r="AN211" i="15"/>
  <c r="AN238" i="15"/>
  <c r="AN246" i="15"/>
  <c r="AN250" i="15"/>
  <c r="AN359" i="15"/>
  <c r="AN377" i="15"/>
  <c r="AN395" i="15"/>
  <c r="AN413" i="15"/>
  <c r="AN14" i="74"/>
  <c r="AN13" i="19"/>
  <c r="AN11" i="69"/>
  <c r="AN17" i="69"/>
  <c r="AN35" i="69"/>
  <c r="AN25" i="24"/>
  <c r="AN18" i="25"/>
  <c r="AN11" i="28"/>
  <c r="AN21" i="28"/>
  <c r="AN16" i="29"/>
  <c r="AN24" i="29"/>
  <c r="AN28" i="29"/>
  <c r="AN36" i="29"/>
  <c r="AN40" i="29"/>
  <c r="AN48" i="29"/>
  <c r="AN52" i="29"/>
  <c r="AN60" i="29"/>
  <c r="AN76" i="29"/>
  <c r="AN21" i="31"/>
  <c r="AN28" i="31"/>
  <c r="AN78" i="32"/>
  <c r="AN125" i="32"/>
  <c r="AN19" i="42"/>
  <c r="AN13" i="55"/>
  <c r="AN13" i="15"/>
  <c r="AN38" i="15"/>
  <c r="AN42" i="15"/>
  <c r="AN53" i="15"/>
  <c r="AN68" i="15"/>
  <c r="AN57" i="15"/>
  <c r="AN72" i="15"/>
  <c r="AN156" i="15"/>
  <c r="AN262" i="15"/>
  <c r="AN374" i="15"/>
  <c r="AN392" i="15"/>
  <c r="AN410" i="15"/>
  <c r="AN10" i="19"/>
  <c r="AN9" i="22"/>
  <c r="AN23" i="72"/>
  <c r="AN24" i="23"/>
  <c r="AN22" i="24"/>
  <c r="AN13" i="26"/>
  <c r="AN16" i="26"/>
  <c r="AN11" i="27"/>
  <c r="AN17" i="27"/>
  <c r="AN7" i="29"/>
  <c r="AN15" i="30"/>
  <c r="AN18" i="31"/>
  <c r="AN25" i="31"/>
  <c r="AN71" i="32"/>
  <c r="AN11" i="41"/>
  <c r="AN75" i="46"/>
  <c r="AN9" i="75"/>
  <c r="AN88" i="15"/>
  <c r="AN100" i="15"/>
  <c r="AN112" i="15"/>
  <c r="AN306" i="15"/>
  <c r="AN342" i="15"/>
  <c r="AN396" i="15"/>
  <c r="AN414" i="15"/>
  <c r="AN450" i="15"/>
  <c r="AN468" i="15"/>
  <c r="AN482" i="15"/>
  <c r="AN486" i="15"/>
  <c r="AN9" i="74"/>
  <c r="AN14" i="62"/>
  <c r="AN39" i="15"/>
  <c r="AN54" i="15"/>
  <c r="AN69" i="15"/>
  <c r="AN281" i="15"/>
  <c r="AN299" i="15"/>
  <c r="AN335" i="15"/>
  <c r="AN353" i="15"/>
  <c r="AN371" i="15"/>
  <c r="AN73" i="20"/>
  <c r="AN9" i="21"/>
  <c r="AN10" i="72"/>
  <c r="AN24" i="72"/>
  <c r="AN11" i="23"/>
  <c r="AN21" i="23"/>
  <c r="AN19" i="24"/>
  <c r="AN12" i="28"/>
  <c r="AN48" i="28"/>
  <c r="AN17" i="29"/>
  <c r="AN29" i="29"/>
  <c r="AN41" i="29"/>
  <c r="AN53" i="29"/>
  <c r="AN65" i="29"/>
  <c r="AN77" i="29"/>
  <c r="AN15" i="31"/>
  <c r="AN22" i="31"/>
  <c r="AN45" i="31"/>
  <c r="AN49" i="31"/>
  <c r="AN53" i="31"/>
  <c r="AN57" i="31"/>
  <c r="AN60" i="32"/>
  <c r="AN68" i="46"/>
  <c r="AN23" i="52"/>
  <c r="AN16" i="61"/>
  <c r="AN17" i="15"/>
  <c r="AN32" i="15"/>
  <c r="AN47" i="15"/>
  <c r="AN62" i="15"/>
  <c r="AN77" i="15"/>
  <c r="AN81" i="15"/>
  <c r="AN89" i="15"/>
  <c r="AN93" i="15"/>
  <c r="AN101" i="15"/>
  <c r="AN105" i="15"/>
  <c r="AN113" i="15"/>
  <c r="AN117" i="15"/>
  <c r="AN137" i="15"/>
  <c r="AN141" i="15"/>
  <c r="AN149" i="15"/>
  <c r="AN161" i="15"/>
  <c r="AN173" i="15"/>
  <c r="AN177" i="15"/>
  <c r="AN197" i="15"/>
  <c r="AN213" i="15"/>
  <c r="AN267" i="15"/>
  <c r="AN285" i="15"/>
  <c r="AN303" i="15"/>
  <c r="AN321" i="15"/>
  <c r="AN339" i="15"/>
  <c r="AN357" i="15"/>
  <c r="AN375" i="15"/>
  <c r="AN393" i="15"/>
  <c r="AN411" i="15"/>
  <c r="AN425" i="15"/>
  <c r="AN429" i="15"/>
  <c r="AN447" i="15"/>
  <c r="AN465" i="15"/>
  <c r="AN479" i="15"/>
  <c r="AN483" i="15"/>
  <c r="AN11" i="16"/>
  <c r="AN17" i="16"/>
  <c r="AN21" i="16"/>
  <c r="AN11" i="20"/>
  <c r="AN13" i="21"/>
  <c r="AN16" i="22"/>
  <c r="AN24" i="22"/>
  <c r="AN28" i="22"/>
  <c r="AN32" i="22"/>
  <c r="AN36" i="22"/>
  <c r="AN40" i="22"/>
  <c r="AN44" i="22"/>
  <c r="AN9" i="69"/>
  <c r="AN33" i="69"/>
  <c r="AN17" i="72"/>
  <c r="AN25" i="23"/>
  <c r="AN16" i="25"/>
  <c r="AN42" i="28"/>
  <c r="AN8" i="29"/>
  <c r="AN14" i="29"/>
  <c r="AN19" i="30"/>
  <c r="AN107" i="32"/>
  <c r="AN13" i="73"/>
  <c r="AN9" i="32"/>
  <c r="AN85" i="32"/>
  <c r="AN103" i="32"/>
  <c r="AN121" i="32"/>
  <c r="AN139" i="32"/>
  <c r="AN157" i="32"/>
  <c r="AN24" i="33"/>
  <c r="AN14" i="34"/>
  <c r="AN13" i="35"/>
  <c r="AN10" i="36"/>
  <c r="AN16" i="36"/>
  <c r="AN20" i="36"/>
  <c r="AN24" i="36"/>
  <c r="AN15" i="37"/>
  <c r="AN9" i="38"/>
  <c r="AN9" i="39"/>
  <c r="AN12" i="39"/>
  <c r="AN21" i="41"/>
  <c r="AN9" i="42"/>
  <c r="AN12" i="42"/>
  <c r="AN15" i="42"/>
  <c r="AN17" i="45"/>
  <c r="AN11" i="46"/>
  <c r="AN28" i="46"/>
  <c r="AN11" i="47"/>
  <c r="AN45" i="47"/>
  <c r="AN15" i="75"/>
  <c r="AN22" i="75"/>
  <c r="AN40" i="75"/>
  <c r="AN58" i="75"/>
  <c r="AN14" i="50"/>
  <c r="AN21" i="50"/>
  <c r="AN18" i="51"/>
  <c r="AN22" i="51"/>
  <c r="AN16" i="53"/>
  <c r="AN20" i="53"/>
  <c r="AN24" i="53"/>
  <c r="AN28" i="53"/>
  <c r="AN32" i="53"/>
  <c r="AN36" i="53"/>
  <c r="AN40" i="53"/>
  <c r="AN44" i="53"/>
  <c r="AN48" i="53"/>
  <c r="AN52" i="53"/>
  <c r="AN15" i="71"/>
  <c r="AN22" i="71"/>
  <c r="AN16" i="73"/>
  <c r="AN20" i="73"/>
  <c r="AN24" i="73"/>
  <c r="AN11" i="56"/>
  <c r="AN24" i="56"/>
  <c r="AN22" i="58"/>
  <c r="AN50" i="32"/>
  <c r="AN68" i="32"/>
  <c r="AN86" i="32"/>
  <c r="AN17" i="36"/>
  <c r="AN21" i="36"/>
  <c r="AN22" i="37"/>
  <c r="AN14" i="66"/>
  <c r="AN36" i="39"/>
  <c r="AN48" i="39"/>
  <c r="AN10" i="40"/>
  <c r="AN20" i="40"/>
  <c r="AN29" i="46"/>
  <c r="AN42" i="47"/>
  <c r="AN54" i="47"/>
  <c r="AN15" i="60"/>
  <c r="AN10" i="61"/>
  <c r="AN18" i="62"/>
  <c r="AN115" i="32"/>
  <c r="AN151" i="32"/>
  <c r="AN18" i="33"/>
  <c r="AN13" i="37"/>
  <c r="AN16" i="38"/>
  <c r="AN20" i="38"/>
  <c r="AN24" i="38"/>
  <c r="AN8" i="66"/>
  <c r="AN20" i="42"/>
  <c r="AN58" i="46"/>
  <c r="AN76" i="46"/>
  <c r="AN62" i="47"/>
  <c r="AN16" i="75"/>
  <c r="AN34" i="75"/>
  <c r="AN14" i="49"/>
  <c r="AN15" i="50"/>
  <c r="AN16" i="54"/>
  <c r="AN39" i="57"/>
  <c r="AN43" i="57"/>
  <c r="AN47" i="57"/>
  <c r="AN17" i="59"/>
  <c r="AN21" i="59"/>
  <c r="AN9" i="60"/>
  <c r="AN12" i="60"/>
  <c r="AN19" i="60"/>
  <c r="AN17" i="61"/>
  <c r="AN21" i="61"/>
  <c r="AN24" i="32"/>
  <c r="AN65" i="32"/>
  <c r="AN83" i="32"/>
  <c r="AN137" i="32"/>
  <c r="AN22" i="33"/>
  <c r="AN16" i="37"/>
  <c r="AN17" i="39"/>
  <c r="AN25" i="39"/>
  <c r="AN29" i="39"/>
  <c r="AN37" i="39"/>
  <c r="AN41" i="39"/>
  <c r="AN11" i="40"/>
  <c r="AN21" i="40"/>
  <c r="AN26" i="46"/>
  <c r="AN44" i="46"/>
  <c r="AN62" i="46"/>
  <c r="AN47" i="47"/>
  <c r="AN55" i="47"/>
  <c r="AN27" i="75"/>
  <c r="AN63" i="75"/>
  <c r="AN18" i="49"/>
  <c r="AN22" i="49"/>
  <c r="AN14" i="52"/>
  <c r="AN23" i="54"/>
  <c r="AN23" i="60"/>
  <c r="AN40" i="32"/>
  <c r="AN58" i="32"/>
  <c r="AN76" i="32"/>
  <c r="AN112" i="32"/>
  <c r="AN166" i="32"/>
  <c r="AN18" i="36"/>
  <c r="AN22" i="36"/>
  <c r="AN19" i="41"/>
  <c r="AN20" i="43"/>
  <c r="AN15" i="44"/>
  <c r="AN19" i="46"/>
  <c r="AN37" i="46"/>
  <c r="AN55" i="46"/>
  <c r="AN73" i="46"/>
  <c r="AN39" i="47"/>
  <c r="AN59" i="47"/>
  <c r="AN31" i="75"/>
  <c r="AN49" i="75"/>
  <c r="AN67" i="75"/>
  <c r="AN13" i="51"/>
  <c r="AN16" i="51"/>
  <c r="AN20" i="51"/>
  <c r="AN24" i="51"/>
  <c r="AN34" i="53"/>
  <c r="AN38" i="53"/>
  <c r="AN42" i="53"/>
  <c r="AN46" i="53"/>
  <c r="AN50" i="53"/>
  <c r="AN54" i="53"/>
  <c r="AN18" i="73"/>
  <c r="AN22" i="73"/>
  <c r="AN20" i="54"/>
  <c r="AN11" i="55"/>
  <c r="AN23" i="62"/>
  <c r="AN62" i="32"/>
  <c r="AN116" i="32"/>
  <c r="AN134" i="32"/>
  <c r="AN19" i="33"/>
  <c r="AN15" i="35"/>
  <c r="AN21" i="35"/>
  <c r="AN11" i="38"/>
  <c r="AN17" i="38"/>
  <c r="AN21" i="38"/>
  <c r="AN9" i="66"/>
  <c r="AN19" i="44"/>
  <c r="AN23" i="46"/>
  <c r="AN11" i="52"/>
  <c r="AN22" i="59"/>
  <c r="AN20" i="60"/>
  <c r="AN18" i="61"/>
  <c r="AN91" i="32"/>
  <c r="AN22" i="40"/>
  <c r="AN15" i="43"/>
  <c r="AN70" i="46"/>
  <c r="AN63" i="47"/>
  <c r="AN28" i="75"/>
  <c r="AN46" i="75"/>
  <c r="AN64" i="75"/>
  <c r="AN15" i="52"/>
  <c r="AN14" i="58"/>
  <c r="AN13" i="60"/>
  <c r="AN16" i="62"/>
  <c r="AN11" i="63"/>
  <c r="AN14" i="64"/>
  <c r="AN14" i="32"/>
  <c r="AN41" i="32"/>
  <c r="AN77" i="32"/>
  <c r="AN113" i="32"/>
  <c r="AN167" i="32"/>
  <c r="AN15" i="36"/>
  <c r="AN46" i="39"/>
  <c r="AN16" i="41"/>
  <c r="AN19" i="43"/>
  <c r="AN16" i="44"/>
  <c r="AN57" i="75"/>
  <c r="AN20" i="50"/>
  <c r="AN55" i="53"/>
  <c r="AN11" i="71"/>
  <c r="AN23" i="73"/>
  <c r="AN12" i="61"/>
  <c r="AN30" i="32"/>
  <c r="AN70" i="32"/>
  <c r="AN106" i="32"/>
  <c r="AN13" i="33"/>
  <c r="AN18" i="38"/>
  <c r="AN22" i="38"/>
  <c r="AN23" i="45"/>
  <c r="AN31" i="46"/>
  <c r="AN49" i="46"/>
  <c r="AN67" i="46"/>
  <c r="AN14" i="75"/>
  <c r="AN25" i="75"/>
  <c r="AN43" i="75"/>
  <c r="AN61" i="75"/>
  <c r="AN14" i="71"/>
  <c r="AN12" i="55"/>
  <c r="AN41" i="57"/>
  <c r="AN45" i="57"/>
  <c r="AN23" i="59"/>
  <c r="AN15" i="63"/>
  <c r="AN18" i="63"/>
  <c r="AN56" i="32"/>
  <c r="AN92" i="32"/>
  <c r="AN110" i="32"/>
  <c r="AN146" i="32"/>
  <c r="AN17" i="34"/>
  <c r="AN21" i="34"/>
  <c r="AN19" i="39"/>
  <c r="AN23" i="39"/>
  <c r="AN35" i="39"/>
  <c r="AN47" i="39"/>
  <c r="AN10" i="44"/>
  <c r="AN17" i="46"/>
  <c r="AN35" i="46"/>
  <c r="AN53" i="46"/>
  <c r="AN71" i="46"/>
  <c r="AN36" i="75"/>
  <c r="AN54" i="75"/>
  <c r="AN13" i="49"/>
  <c r="AN16" i="49"/>
  <c r="AN24" i="49"/>
  <c r="AN17" i="50"/>
  <c r="AN24" i="50"/>
  <c r="AN14" i="51"/>
  <c r="AN19" i="52"/>
  <c r="AN18" i="71"/>
  <c r="AN11" i="57"/>
  <c r="AN12" i="58"/>
  <c r="AN14" i="60"/>
  <c r="AN12" i="63"/>
  <c r="AN9" i="64"/>
  <c r="AN19" i="64"/>
  <c r="AN23" i="64"/>
  <c r="T28" i="68"/>
  <c r="T31" i="68"/>
  <c r="E28" i="2" s="1"/>
  <c r="T23" i="67"/>
  <c r="T35" i="68"/>
  <c r="AN13" i="12"/>
  <c r="AN23" i="6"/>
  <c r="AN248" i="15"/>
  <c r="AN266" i="15"/>
  <c r="AN284" i="15"/>
  <c r="AN302" i="15"/>
  <c r="AN320" i="15"/>
  <c r="AN338" i="15"/>
  <c r="AN234" i="15"/>
  <c r="AN252" i="15"/>
  <c r="AN270" i="15"/>
  <c r="AN288" i="15"/>
  <c r="AN242" i="15"/>
  <c r="AN260" i="15"/>
  <c r="AN278" i="15"/>
  <c r="AN296" i="15"/>
  <c r="AN314" i="15"/>
  <c r="AN332" i="15"/>
  <c r="AN239" i="15"/>
  <c r="AN257" i="15"/>
  <c r="AN275" i="15"/>
  <c r="AN293" i="15"/>
  <c r="AN311" i="15"/>
  <c r="AN329" i="15"/>
  <c r="AN347" i="15"/>
  <c r="AN243" i="15"/>
  <c r="AN261" i="15"/>
  <c r="AN279" i="15"/>
  <c r="AN251" i="15"/>
  <c r="AN269" i="15"/>
  <c r="AN287" i="15"/>
  <c r="AN305" i="15"/>
  <c r="AN323" i="15"/>
  <c r="AN341" i="15"/>
  <c r="AN16" i="16"/>
  <c r="AN10" i="69"/>
  <c r="AN19" i="16"/>
  <c r="AN35" i="31"/>
  <c r="AN39" i="31"/>
  <c r="AN43" i="31"/>
  <c r="AN51" i="31"/>
  <c r="AN8" i="32"/>
  <c r="AN28" i="32"/>
  <c r="AN46" i="32"/>
  <c r="AN64" i="32"/>
  <c r="AN23" i="32"/>
  <c r="AN31" i="32"/>
  <c r="AN49" i="32"/>
  <c r="AN67" i="32"/>
  <c r="AN22" i="44"/>
  <c r="AN24" i="63"/>
  <c r="AN14" i="45"/>
  <c r="I31" i="68"/>
  <c r="I50" i="68"/>
  <c r="I66" i="67"/>
  <c r="A20" i="27"/>
  <c r="X6" i="50"/>
  <c r="Z6" i="50" s="1"/>
  <c r="AB6" i="50" s="1"/>
  <c r="AO6" i="50" s="1"/>
  <c r="I59" i="68"/>
  <c r="X14" i="62"/>
  <c r="AA14" i="62" s="1"/>
  <c r="AC14" i="62" s="1"/>
  <c r="AP14" i="62" s="1"/>
  <c r="I61" i="68"/>
  <c r="X18" i="50"/>
  <c r="AA18" i="50" s="1"/>
  <c r="AC18" i="50" s="1"/>
  <c r="AP18" i="50" s="1"/>
  <c r="X22" i="27"/>
  <c r="AA22" i="27" s="1"/>
  <c r="AC22" i="27" s="1"/>
  <c r="AP22" i="27" s="1"/>
  <c r="I33" i="68"/>
  <c r="I56" i="68"/>
  <c r="I58" i="68"/>
  <c r="N58" i="68" s="1"/>
  <c r="O42" i="67"/>
  <c r="I57" i="67"/>
  <c r="X19" i="27"/>
  <c r="Z19" i="27" s="1"/>
  <c r="AB19" i="27" s="1"/>
  <c r="AO19" i="27" s="1"/>
  <c r="X11" i="50"/>
  <c r="AA11" i="50" s="1"/>
  <c r="AC11" i="50" s="1"/>
  <c r="AP11" i="50" s="1"/>
  <c r="X14" i="50"/>
  <c r="AA14" i="50" s="1"/>
  <c r="AC14" i="50" s="1"/>
  <c r="N50" i="67"/>
  <c r="O59" i="67"/>
  <c r="I57" i="68"/>
  <c r="I66" i="68"/>
  <c r="I48" i="67"/>
  <c r="I56" i="67"/>
  <c r="X14" i="18"/>
  <c r="Z14" i="18" s="1"/>
  <c r="AB14" i="18" s="1"/>
  <c r="AO14" i="18" s="1"/>
  <c r="X29" i="28"/>
  <c r="AA29" i="28" s="1"/>
  <c r="AC29" i="28" s="1"/>
  <c r="AP29" i="28" s="1"/>
  <c r="X19" i="50"/>
  <c r="AA19" i="50" s="1"/>
  <c r="AC19" i="50" s="1"/>
  <c r="AP19" i="50" s="1"/>
  <c r="X16" i="62"/>
  <c r="Z16" i="62" s="1"/>
  <c r="AB16" i="62" s="1"/>
  <c r="AO16" i="62" s="1"/>
  <c r="I68" i="68"/>
  <c r="I49" i="67"/>
  <c r="X7" i="42"/>
  <c r="AA7" i="42" s="1"/>
  <c r="AC7" i="42" s="1"/>
  <c r="AP7" i="42" s="1"/>
  <c r="X222" i="65"/>
  <c r="Z222" i="65" s="1"/>
  <c r="AB222" i="65" s="1"/>
  <c r="AO222" i="65" s="1"/>
  <c r="X210" i="65"/>
  <c r="Z210" i="65" s="1"/>
  <c r="AB210" i="65" s="1"/>
  <c r="AO210" i="65" s="1"/>
  <c r="I6" i="68"/>
  <c r="I65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X6" i="16"/>
  <c r="Z6" i="16" s="1"/>
  <c r="AB6" i="16" s="1"/>
  <c r="AO6" i="16" s="1"/>
  <c r="I72" i="68"/>
  <c r="I43" i="67"/>
  <c r="I55" i="68"/>
  <c r="I51" i="67"/>
  <c r="I53" i="68"/>
  <c r="N60" i="68"/>
  <c r="I44" i="67"/>
  <c r="X9" i="28"/>
  <c r="Z9" i="28" s="1"/>
  <c r="AB9" i="28" s="1"/>
  <c r="AO9" i="28" s="1"/>
  <c r="A18" i="42"/>
  <c r="X9" i="50"/>
  <c r="X10" i="50"/>
  <c r="X20" i="50"/>
  <c r="Z20" i="50" s="1"/>
  <c r="AB20" i="50" s="1"/>
  <c r="AO20" i="50" s="1"/>
  <c r="X17" i="62"/>
  <c r="AA17" i="62" s="1"/>
  <c r="AC17" i="62" s="1"/>
  <c r="AP17" i="62" s="1"/>
  <c r="X9" i="3"/>
  <c r="Z9" i="3" s="1"/>
  <c r="AB9" i="3" s="1"/>
  <c r="AO9" i="3" s="1"/>
  <c r="I35" i="68"/>
  <c r="O45" i="67"/>
  <c r="I52" i="67"/>
  <c r="A18" i="50"/>
  <c r="X8" i="50"/>
  <c r="X12" i="50"/>
  <c r="AA12" i="50" s="1"/>
  <c r="AC12" i="50" s="1"/>
  <c r="AP12" i="50" s="1"/>
  <c r="X17" i="50"/>
  <c r="Z17" i="50" s="1"/>
  <c r="AB17" i="50" s="1"/>
  <c r="AO17" i="50" s="1"/>
  <c r="X50" i="12"/>
  <c r="X42" i="12"/>
  <c r="X38" i="12"/>
  <c r="X30" i="12"/>
  <c r="X26" i="12"/>
  <c r="X20" i="12"/>
  <c r="X12" i="12"/>
  <c r="X11" i="12"/>
  <c r="X43" i="12"/>
  <c r="X27" i="12"/>
  <c r="X9" i="12"/>
  <c r="X49" i="12"/>
  <c r="X39" i="12"/>
  <c r="X36" i="12"/>
  <c r="X33" i="12"/>
  <c r="X21" i="12"/>
  <c r="I11" i="68"/>
  <c r="X48" i="12"/>
  <c r="X45" i="12"/>
  <c r="X23" i="12"/>
  <c r="X18" i="12"/>
  <c r="X13" i="12"/>
  <c r="X47" i="12"/>
  <c r="X6" i="12"/>
  <c r="X31" i="12"/>
  <c r="X25" i="12"/>
  <c r="X22" i="12"/>
  <c r="A20" i="12"/>
  <c r="X10" i="12"/>
  <c r="X20" i="14"/>
  <c r="X19" i="14"/>
  <c r="X12" i="14"/>
  <c r="X11" i="14"/>
  <c r="X7" i="14"/>
  <c r="X17" i="14"/>
  <c r="X14" i="14"/>
  <c r="X5" i="14"/>
  <c r="X23" i="14"/>
  <c r="X18" i="14"/>
  <c r="I13" i="68"/>
  <c r="X13" i="14"/>
  <c r="X9" i="14"/>
  <c r="X8" i="14"/>
  <c r="X6" i="14"/>
  <c r="A20" i="14"/>
  <c r="X15" i="14"/>
  <c r="X22" i="14"/>
  <c r="X10" i="14"/>
  <c r="X52" i="5"/>
  <c r="X48" i="5"/>
  <c r="X44" i="5"/>
  <c r="X36" i="5"/>
  <c r="X32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19" i="5"/>
  <c r="X12" i="5"/>
  <c r="X11" i="5"/>
  <c r="X7" i="5"/>
  <c r="I9" i="68"/>
  <c r="X50" i="5"/>
  <c r="X47" i="5"/>
  <c r="X37" i="5"/>
  <c r="X34" i="5"/>
  <c r="X31" i="5"/>
  <c r="A20" i="5"/>
  <c r="X14" i="5"/>
  <c r="X13" i="5"/>
  <c r="X23" i="5"/>
  <c r="X15" i="5"/>
  <c r="X30" i="5"/>
  <c r="X46" i="5"/>
  <c r="X43" i="5"/>
  <c r="X33" i="5"/>
  <c r="X16" i="5"/>
  <c r="X27" i="5"/>
  <c r="X55" i="53"/>
  <c r="X47" i="53"/>
  <c r="X43" i="53"/>
  <c r="X39" i="53"/>
  <c r="X35" i="53"/>
  <c r="X31" i="53"/>
  <c r="X27" i="53"/>
  <c r="X22" i="53"/>
  <c r="X21" i="53"/>
  <c r="A20" i="53"/>
  <c r="X52" i="53"/>
  <c r="X49" i="53"/>
  <c r="X46" i="53"/>
  <c r="X36" i="53"/>
  <c r="X33" i="53"/>
  <c r="X30" i="53"/>
  <c r="X12" i="53"/>
  <c r="X11" i="53"/>
  <c r="X7" i="53"/>
  <c r="X45" i="53"/>
  <c r="X44" i="53"/>
  <c r="X42" i="53"/>
  <c r="X41" i="53"/>
  <c r="X40" i="53"/>
  <c r="X34" i="53"/>
  <c r="X16" i="53"/>
  <c r="X38" i="53"/>
  <c r="X37" i="53"/>
  <c r="X13" i="53"/>
  <c r="X9" i="53"/>
  <c r="X8" i="53"/>
  <c r="X54" i="53"/>
  <c r="X18" i="53"/>
  <c r="X15" i="53"/>
  <c r="X10" i="53"/>
  <c r="X32" i="53"/>
  <c r="X26" i="53"/>
  <c r="X28" i="53"/>
  <c r="X25" i="53"/>
  <c r="X20" i="53"/>
  <c r="X17" i="53"/>
  <c r="X5" i="53"/>
  <c r="X14" i="53"/>
  <c r="X24" i="53"/>
  <c r="I23" i="67"/>
  <c r="X24" i="55"/>
  <c r="X23" i="55"/>
  <c r="X15" i="55"/>
  <c r="X20" i="55"/>
  <c r="X6" i="55"/>
  <c r="X14" i="55"/>
  <c r="X11" i="55"/>
  <c r="X8" i="55"/>
  <c r="A20" i="55"/>
  <c r="X19" i="55"/>
  <c r="X18" i="55"/>
  <c r="X10" i="55"/>
  <c r="X13" i="55"/>
  <c r="X7" i="55"/>
  <c r="X21" i="55"/>
  <c r="X17" i="55"/>
  <c r="X12" i="55"/>
  <c r="X5" i="55"/>
  <c r="I27" i="67"/>
  <c r="N52" i="68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X13" i="72"/>
  <c r="X20" i="72"/>
  <c r="X14" i="72"/>
  <c r="X19" i="72"/>
  <c r="X11" i="72"/>
  <c r="I28" i="68"/>
  <c r="X12" i="72"/>
  <c r="X5" i="72"/>
  <c r="X18" i="54"/>
  <c r="X10" i="54"/>
  <c r="X9" i="54"/>
  <c r="A18" i="54"/>
  <c r="X11" i="54"/>
  <c r="X5" i="54"/>
  <c r="X22" i="54"/>
  <c r="A20" i="54"/>
  <c r="X7" i="54"/>
  <c r="X16" i="54"/>
  <c r="X14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X13" i="21"/>
  <c r="X5" i="21"/>
  <c r="X16" i="21"/>
  <c r="X15" i="21"/>
  <c r="X10" i="21"/>
  <c r="X6" i="21"/>
  <c r="X17" i="21"/>
  <c r="X24" i="21"/>
  <c r="X9" i="21"/>
  <c r="X18" i="21"/>
  <c r="I21" i="68"/>
  <c r="X20" i="45"/>
  <c r="X19" i="45"/>
  <c r="X12" i="45"/>
  <c r="X7" i="45"/>
  <c r="X22" i="45"/>
  <c r="X21" i="45"/>
  <c r="A20" i="45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5" i="49"/>
  <c r="X6" i="49"/>
  <c r="X18" i="49"/>
  <c r="X10" i="49"/>
  <c r="X9" i="49"/>
  <c r="X22" i="49"/>
  <c r="X21" i="49"/>
  <c r="A20" i="49"/>
  <c r="X13" i="49"/>
  <c r="X5" i="49"/>
  <c r="X7" i="49"/>
  <c r="X11" i="49"/>
  <c r="X20" i="49"/>
  <c r="X19" i="49"/>
  <c r="X12" i="49"/>
  <c r="X14" i="49"/>
  <c r="A18" i="49"/>
  <c r="I17" i="67"/>
  <c r="A20" i="15"/>
  <c r="X111" i="15"/>
  <c r="X236" i="15"/>
  <c r="X6" i="22"/>
  <c r="X14" i="22"/>
  <c r="A20" i="72"/>
  <c r="X18" i="26"/>
  <c r="X17" i="26"/>
  <c r="X10" i="26"/>
  <c r="X9" i="26"/>
  <c r="X20" i="26"/>
  <c r="X12" i="26"/>
  <c r="X11" i="26"/>
  <c r="X7" i="26"/>
  <c r="X24" i="26"/>
  <c r="X23" i="26"/>
  <c r="X8" i="26"/>
  <c r="X22" i="26"/>
  <c r="X5" i="26"/>
  <c r="A20" i="26"/>
  <c r="X13" i="26"/>
  <c r="X21" i="26"/>
  <c r="X15" i="26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X14" i="56"/>
  <c r="X13" i="56"/>
  <c r="X8" i="56"/>
  <c r="X5" i="56"/>
  <c r="X24" i="56"/>
  <c r="X17" i="56"/>
  <c r="X12" i="56"/>
  <c r="X10" i="56"/>
  <c r="A18" i="56"/>
  <c r="X15" i="56"/>
  <c r="X9" i="56"/>
  <c r="X6" i="56"/>
  <c r="X23" i="56"/>
  <c r="X20" i="56"/>
  <c r="X11" i="56"/>
  <c r="X19" i="56"/>
  <c r="X16" i="56"/>
  <c r="X18" i="56"/>
  <c r="X7" i="56"/>
  <c r="I28" i="67"/>
  <c r="X172" i="15"/>
  <c r="X268" i="15"/>
  <c r="X428" i="15"/>
  <c r="Q42" i="67"/>
  <c r="O47" i="67"/>
  <c r="N47" i="67"/>
  <c r="X65" i="69"/>
  <c r="X61" i="69"/>
  <c r="X33" i="69"/>
  <c r="X29" i="69"/>
  <c r="X18" i="69"/>
  <c r="X10" i="69"/>
  <c r="X9" i="69"/>
  <c r="X66" i="69"/>
  <c r="X62" i="69"/>
  <c r="X34" i="69"/>
  <c r="X26" i="69"/>
  <c r="X19" i="69"/>
  <c r="A18" i="69"/>
  <c r="X12" i="69"/>
  <c r="X11" i="69"/>
  <c r="X7" i="69"/>
  <c r="X36" i="69"/>
  <c r="X28" i="69"/>
  <c r="X16" i="69"/>
  <c r="X14" i="69"/>
  <c r="X13" i="69"/>
  <c r="X31" i="69"/>
  <c r="X22" i="69"/>
  <c r="X21" i="69"/>
  <c r="A20" i="69"/>
  <c r="X6" i="69"/>
  <c r="X67" i="69"/>
  <c r="X64" i="69"/>
  <c r="X32" i="69"/>
  <c r="X8" i="69"/>
  <c r="X23" i="69"/>
  <c r="I26" i="68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X13" i="58"/>
  <c r="X5" i="58"/>
  <c r="X7" i="58"/>
  <c r="X11" i="58"/>
  <c r="X20" i="58"/>
  <c r="X19" i="58"/>
  <c r="X12" i="58"/>
  <c r="A18" i="58"/>
  <c r="X8" i="58"/>
  <c r="X14" i="58"/>
  <c r="I31" i="67"/>
  <c r="X17" i="59"/>
  <c r="X10" i="59"/>
  <c r="X9" i="59"/>
  <c r="X21" i="59"/>
  <c r="X24" i="59"/>
  <c r="X8" i="59"/>
  <c r="X5" i="59"/>
  <c r="X23" i="59"/>
  <c r="X22" i="59"/>
  <c r="X20" i="59"/>
  <c r="X13" i="59"/>
  <c r="X6" i="59"/>
  <c r="A20" i="59"/>
  <c r="X16" i="59"/>
  <c r="X15" i="59"/>
  <c r="X12" i="59"/>
  <c r="A18" i="59"/>
  <c r="I32" i="67"/>
  <c r="X21" i="24"/>
  <c r="A20" i="24"/>
  <c r="X14" i="24"/>
  <c r="X13" i="24"/>
  <c r="X8" i="24"/>
  <c r="X28" i="24"/>
  <c r="X24" i="24"/>
  <c r="X23" i="24"/>
  <c r="X16" i="24"/>
  <c r="X6" i="24"/>
  <c r="X18" i="24"/>
  <c r="X17" i="24"/>
  <c r="X12" i="24"/>
  <c r="X26" i="24"/>
  <c r="X7" i="24"/>
  <c r="I30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X19" i="38"/>
  <c r="X7" i="38"/>
  <c r="X20" i="38"/>
  <c r="X11" i="38"/>
  <c r="I46" i="68"/>
  <c r="X15" i="70"/>
  <c r="X10" i="70"/>
  <c r="X9" i="70"/>
  <c r="X18" i="70"/>
  <c r="X17" i="70"/>
  <c r="X11" i="70"/>
  <c r="X22" i="70"/>
  <c r="X21" i="70"/>
  <c r="A20" i="70"/>
  <c r="X20" i="70"/>
  <c r="X6" i="70"/>
  <c r="I27" i="68"/>
  <c r="X47" i="28"/>
  <c r="X43" i="28"/>
  <c r="X39" i="28"/>
  <c r="X35" i="28"/>
  <c r="X27" i="28"/>
  <c r="X22" i="28"/>
  <c r="A20" i="28"/>
  <c r="X13" i="28"/>
  <c r="X8" i="28"/>
  <c r="X5" i="28"/>
  <c r="X48" i="28"/>
  <c r="X44" i="28"/>
  <c r="X40" i="28"/>
  <c r="X36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20" i="28"/>
  <c r="X231" i="65"/>
  <c r="X215" i="65"/>
  <c r="X211" i="65"/>
  <c r="X195" i="65"/>
  <c r="X183" i="65"/>
  <c r="X205" i="65"/>
  <c r="X197" i="65"/>
  <c r="X228" i="65"/>
  <c r="X212" i="65"/>
  <c r="X208" i="65"/>
  <c r="X225" i="65"/>
  <c r="X24" i="19"/>
  <c r="X23" i="19"/>
  <c r="X16" i="19"/>
  <c r="X15" i="19"/>
  <c r="X6" i="19"/>
  <c r="X18" i="19"/>
  <c r="X17" i="19"/>
  <c r="X9" i="19"/>
  <c r="X20" i="19"/>
  <c r="X19" i="19"/>
  <c r="A18" i="19"/>
  <c r="X14" i="19"/>
  <c r="X12" i="19"/>
  <c r="X11" i="19"/>
  <c r="X22" i="19"/>
  <c r="X21" i="19"/>
  <c r="A20" i="19"/>
  <c r="X13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X15" i="74"/>
  <c r="X6" i="74"/>
  <c r="X5" i="74"/>
  <c r="I17" i="68"/>
  <c r="X24" i="74"/>
  <c r="X23" i="74"/>
  <c r="X21" i="52"/>
  <c r="A20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X14" i="37"/>
  <c r="X8" i="37"/>
  <c r="X11" i="37"/>
  <c r="X19" i="37"/>
  <c r="X12" i="37"/>
  <c r="I45" i="68"/>
  <c r="X20" i="37"/>
  <c r="X12" i="3"/>
  <c r="X7" i="3"/>
  <c r="X21" i="3"/>
  <c r="A20" i="3"/>
  <c r="I8" i="68"/>
  <c r="X16" i="3"/>
  <c r="X15" i="3"/>
  <c r="X6" i="3"/>
  <c r="X19" i="34"/>
  <c r="X12" i="34"/>
  <c r="X11" i="34"/>
  <c r="X21" i="34"/>
  <c r="A20" i="34"/>
  <c r="X14" i="34"/>
  <c r="X13" i="34"/>
  <c r="X18" i="34"/>
  <c r="X23" i="34"/>
  <c r="X7" i="34"/>
  <c r="X15" i="34"/>
  <c r="X6" i="34"/>
  <c r="I42" i="68"/>
  <c r="X48" i="39"/>
  <c r="X44" i="39"/>
  <c r="X36" i="39"/>
  <c r="X32" i="39"/>
  <c r="X28" i="39"/>
  <c r="X23" i="39"/>
  <c r="X16" i="39"/>
  <c r="X15" i="39"/>
  <c r="X6" i="39"/>
  <c r="X45" i="39"/>
  <c r="X41" i="39"/>
  <c r="X37" i="39"/>
  <c r="X33" i="39"/>
  <c r="X25" i="39"/>
  <c r="X18" i="39"/>
  <c r="X10" i="39"/>
  <c r="X9" i="39"/>
  <c r="X47" i="39"/>
  <c r="X39" i="39"/>
  <c r="X31" i="39"/>
  <c r="X22" i="39"/>
  <c r="X21" i="39"/>
  <c r="A20" i="39"/>
  <c r="X5" i="39"/>
  <c r="X50" i="39"/>
  <c r="X34" i="39"/>
  <c r="X26" i="39"/>
  <c r="X7" i="39"/>
  <c r="X43" i="39"/>
  <c r="X35" i="39"/>
  <c r="X27" i="39"/>
  <c r="X8" i="39"/>
  <c r="X12" i="39"/>
  <c r="X30" i="39"/>
  <c r="X20" i="39"/>
  <c r="A18" i="39"/>
  <c r="X11" i="39"/>
  <c r="X38" i="39"/>
  <c r="X19" i="39"/>
  <c r="I8" i="67"/>
  <c r="X46" i="39"/>
  <c r="X172" i="32"/>
  <c r="X168" i="32"/>
  <c r="X164" i="32"/>
  <c r="X160" i="32"/>
  <c r="X156" i="32"/>
  <c r="X148" i="32"/>
  <c r="X144" i="32"/>
  <c r="X140" i="32"/>
  <c r="X132" i="32"/>
  <c r="X128" i="32"/>
  <c r="X120" i="32"/>
  <c r="X116" i="32"/>
  <c r="X112" i="32"/>
  <c r="X104" i="32"/>
  <c r="X100" i="32"/>
  <c r="X96" i="32"/>
  <c r="X92" i="32"/>
  <c r="X88" i="32"/>
  <c r="X84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16" i="32"/>
  <c r="X15" i="32"/>
  <c r="X8" i="32"/>
  <c r="X5" i="32"/>
  <c r="X169" i="32"/>
  <c r="X157" i="32"/>
  <c r="X153" i="32"/>
  <c r="X149" i="32"/>
  <c r="X145" i="32"/>
  <c r="X141" i="32"/>
  <c r="X137" i="32"/>
  <c r="X129" i="32"/>
  <c r="X121" i="32"/>
  <c r="X117" i="32"/>
  <c r="X113" i="32"/>
  <c r="X109" i="32"/>
  <c r="X105" i="32"/>
  <c r="X97" i="32"/>
  <c r="X93" i="32"/>
  <c r="X89" i="32"/>
  <c r="X81" i="32"/>
  <c r="X167" i="32"/>
  <c r="X159" i="32"/>
  <c r="X151" i="32"/>
  <c r="X135" i="32"/>
  <c r="X127" i="32"/>
  <c r="X65" i="32"/>
  <c r="X62" i="32"/>
  <c r="X59" i="32"/>
  <c r="X46" i="32"/>
  <c r="X43" i="32"/>
  <c r="X33" i="32"/>
  <c r="X30" i="32"/>
  <c r="X27" i="32"/>
  <c r="X19" i="32"/>
  <c r="X14" i="32"/>
  <c r="X12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61" i="32"/>
  <c r="X45" i="32"/>
  <c r="X42" i="32"/>
  <c r="X39" i="32"/>
  <c r="X29" i="32"/>
  <c r="X26" i="32"/>
  <c r="X21" i="32"/>
  <c r="X9" i="32"/>
  <c r="X166" i="32"/>
  <c r="X163" i="32"/>
  <c r="X150" i="32"/>
  <c r="X134" i="32"/>
  <c r="X131" i="32"/>
  <c r="X115" i="32"/>
  <c r="X102" i="32"/>
  <c r="X99" i="32"/>
  <c r="X86" i="32"/>
  <c r="X83" i="32"/>
  <c r="X73" i="32"/>
  <c r="X63" i="32"/>
  <c r="X38" i="32"/>
  <c r="X34" i="32"/>
  <c r="X67" i="32"/>
  <c r="X35" i="32"/>
  <c r="X17" i="32"/>
  <c r="X171" i="32"/>
  <c r="X142" i="32"/>
  <c r="X139" i="32"/>
  <c r="X123" i="32"/>
  <c r="X110" i="32"/>
  <c r="X107" i="32"/>
  <c r="X54" i="32"/>
  <c r="X51" i="32"/>
  <c r="X47" i="32"/>
  <c r="X37" i="32"/>
  <c r="A20" i="32"/>
  <c r="X13" i="32"/>
  <c r="X91" i="32"/>
  <c r="X78" i="32"/>
  <c r="X25" i="32"/>
  <c r="X22" i="32"/>
  <c r="A18" i="32"/>
  <c r="X22" i="63"/>
  <c r="X21" i="63"/>
  <c r="A20" i="63"/>
  <c r="O39" i="67" s="1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39" i="67"/>
  <c r="A18" i="3"/>
  <c r="A18" i="5"/>
  <c r="X16" i="6"/>
  <c r="X50" i="15"/>
  <c r="X114" i="15"/>
  <c r="X196" i="15"/>
  <c r="X228" i="15"/>
  <c r="X292" i="15"/>
  <c r="X324" i="15"/>
  <c r="X356" i="15"/>
  <c r="X420" i="15"/>
  <c r="X452" i="15"/>
  <c r="X22" i="72"/>
  <c r="A18" i="24"/>
  <c r="X6" i="26"/>
  <c r="X14" i="26"/>
  <c r="A18" i="28"/>
  <c r="X38" i="28"/>
  <c r="X45" i="28"/>
  <c r="A8" i="31"/>
  <c r="X9" i="34"/>
  <c r="X20" i="30"/>
  <c r="X12" i="30"/>
  <c r="X11" i="30"/>
  <c r="X7" i="30"/>
  <c r="X22" i="30"/>
  <c r="X21" i="30"/>
  <c r="A20" i="30"/>
  <c r="X14" i="30"/>
  <c r="X13" i="30"/>
  <c r="X8" i="30"/>
  <c r="X5" i="30"/>
  <c r="X16" i="30"/>
  <c r="X15" i="30"/>
  <c r="X10" i="30"/>
  <c r="X6" i="30"/>
  <c r="X17" i="30"/>
  <c r="X24" i="30"/>
  <c r="X9" i="30"/>
  <c r="X18" i="30"/>
  <c r="I37" i="68"/>
  <c r="X62" i="47"/>
  <c r="X50" i="47"/>
  <c r="X46" i="47"/>
  <c r="X42" i="47"/>
  <c r="X38" i="47"/>
  <c r="X34" i="47"/>
  <c r="X30" i="47"/>
  <c r="X26" i="47"/>
  <c r="X20" i="47"/>
  <c r="X19" i="47"/>
  <c r="X12" i="47"/>
  <c r="X11" i="47"/>
  <c r="X67" i="47"/>
  <c r="X63" i="47"/>
  <c r="X47" i="47"/>
  <c r="X43" i="47"/>
  <c r="X39" i="47"/>
  <c r="X35" i="47"/>
  <c r="X31" i="47"/>
  <c r="X27" i="47"/>
  <c r="X22" i="47"/>
  <c r="A20" i="47"/>
  <c r="X13" i="47"/>
  <c r="X5" i="47"/>
  <c r="X64" i="47"/>
  <c r="X60" i="47"/>
  <c r="X56" i="47"/>
  <c r="X52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10" i="47"/>
  <c r="X53" i="47"/>
  <c r="X17" i="47"/>
  <c r="X57" i="47"/>
  <c r="X41" i="47"/>
  <c r="I15" i="67"/>
  <c r="X79" i="20"/>
  <c r="X75" i="20"/>
  <c r="X71" i="20"/>
  <c r="X67" i="20"/>
  <c r="X63" i="20"/>
  <c r="X55" i="20"/>
  <c r="X47" i="20"/>
  <c r="X43" i="20"/>
  <c r="X39" i="20"/>
  <c r="X35" i="20"/>
  <c r="X31" i="20"/>
  <c r="X22" i="20"/>
  <c r="X21" i="20"/>
  <c r="A20" i="20"/>
  <c r="X14" i="20"/>
  <c r="X13" i="20"/>
  <c r="X8" i="20"/>
  <c r="X5" i="20"/>
  <c r="X80" i="20"/>
  <c r="X76" i="20"/>
  <c r="X72" i="20"/>
  <c r="X64" i="20"/>
  <c r="X56" i="20"/>
  <c r="X52" i="20"/>
  <c r="X48" i="20"/>
  <c r="X44" i="20"/>
  <c r="X40" i="20"/>
  <c r="X32" i="20"/>
  <c r="X28" i="20"/>
  <c r="X24" i="20"/>
  <c r="X23" i="20"/>
  <c r="X16" i="20"/>
  <c r="X15" i="20"/>
  <c r="X6" i="20"/>
  <c r="X73" i="20"/>
  <c r="X49" i="20"/>
  <c r="X41" i="20"/>
  <c r="X25" i="20"/>
  <c r="X66" i="20"/>
  <c r="X58" i="20"/>
  <c r="X42" i="20"/>
  <c r="X34" i="20"/>
  <c r="X78" i="20"/>
  <c r="X69" i="20"/>
  <c r="X62" i="20"/>
  <c r="X53" i="20"/>
  <c r="X46" i="20"/>
  <c r="X37" i="20"/>
  <c r="X30" i="20"/>
  <c r="I20" i="68"/>
  <c r="X19" i="20"/>
  <c r="X11" i="20"/>
  <c r="X77" i="20"/>
  <c r="X70" i="20"/>
  <c r="X61" i="20"/>
  <c r="X45" i="20"/>
  <c r="X38" i="20"/>
  <c r="X29" i="20"/>
  <c r="X9" i="20"/>
  <c r="X22" i="6"/>
  <c r="X21" i="6"/>
  <c r="A20" i="6"/>
  <c r="X14" i="6"/>
  <c r="X5" i="6"/>
  <c r="X23" i="6"/>
  <c r="X18" i="6"/>
  <c r="X9" i="6"/>
  <c r="X10" i="6"/>
  <c r="X20" i="6"/>
  <c r="X15" i="6"/>
  <c r="X11" i="6"/>
  <c r="X7" i="6"/>
  <c r="X6" i="6"/>
  <c r="I10" i="68"/>
  <c r="X24" i="6"/>
  <c r="X17" i="6"/>
  <c r="X81" i="46"/>
  <c r="X77" i="46"/>
  <c r="X69" i="46"/>
  <c r="X61" i="46"/>
  <c r="X57" i="46"/>
  <c r="X49" i="46"/>
  <c r="X41" i="46"/>
  <c r="X37" i="46"/>
  <c r="X33" i="46"/>
  <c r="X25" i="46"/>
  <c r="X18" i="46"/>
  <c r="X10" i="46"/>
  <c r="X9" i="46"/>
  <c r="X82" i="46"/>
  <c r="X74" i="46"/>
  <c r="X70" i="46"/>
  <c r="X62" i="46"/>
  <c r="X54" i="46"/>
  <c r="X50" i="46"/>
  <c r="X42" i="46"/>
  <c r="X34" i="46"/>
  <c r="X30" i="46"/>
  <c r="X26" i="46"/>
  <c r="X20" i="46"/>
  <c r="X19" i="46"/>
  <c r="A18" i="46"/>
  <c r="X12" i="46"/>
  <c r="X11" i="46"/>
  <c r="X79" i="46"/>
  <c r="X71" i="46"/>
  <c r="X63" i="46"/>
  <c r="X59" i="46"/>
  <c r="X51" i="46"/>
  <c r="X47" i="46"/>
  <c r="X39" i="46"/>
  <c r="X31" i="46"/>
  <c r="X21" i="46"/>
  <c r="A20" i="46"/>
  <c r="X14" i="46"/>
  <c r="X13" i="46"/>
  <c r="X8" i="46"/>
  <c r="X76" i="46"/>
  <c r="X44" i="46"/>
  <c r="X28" i="46"/>
  <c r="X64" i="46"/>
  <c r="X48" i="46"/>
  <c r="X6" i="46"/>
  <c r="X52" i="46"/>
  <c r="X36" i="46"/>
  <c r="X56" i="46"/>
  <c r="X72" i="46"/>
  <c r="X24" i="46"/>
  <c r="I14" i="67"/>
  <c r="X22" i="60"/>
  <c r="X21" i="60"/>
  <c r="A20" i="60"/>
  <c r="X14" i="60"/>
  <c r="X13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X13" i="64"/>
  <c r="X5" i="64"/>
  <c r="X15" i="64"/>
  <c r="X8" i="64"/>
  <c r="X6" i="64"/>
  <c r="X10" i="64"/>
  <c r="X22" i="64"/>
  <c r="X18" i="64"/>
  <c r="I36" i="67"/>
  <c r="X513" i="15"/>
  <c r="X509" i="15"/>
  <c r="X505" i="15"/>
  <c r="X501" i="15"/>
  <c r="X485" i="15"/>
  <c r="X481" i="15"/>
  <c r="X477" i="15"/>
  <c r="X469" i="15"/>
  <c r="X465" i="15"/>
  <c r="X461" i="15"/>
  <c r="X457" i="15"/>
  <c r="X441" i="15"/>
  <c r="X433" i="15"/>
  <c r="X429" i="15"/>
  <c r="X425" i="15"/>
  <c r="X421" i="15"/>
  <c r="X417" i="15"/>
  <c r="X413" i="15"/>
  <c r="X409" i="15"/>
  <c r="X405" i="15"/>
  <c r="X397" i="15"/>
  <c r="X393" i="15"/>
  <c r="X385" i="15"/>
  <c r="X381" i="15"/>
  <c r="X377" i="15"/>
  <c r="X369" i="15"/>
  <c r="X365" i="15"/>
  <c r="X361" i="15"/>
  <c r="X353" i="15"/>
  <c r="X345" i="15"/>
  <c r="X341" i="15"/>
  <c r="X337" i="15"/>
  <c r="X333" i="15"/>
  <c r="X329" i="15"/>
  <c r="X317" i="15"/>
  <c r="X305" i="15"/>
  <c r="X301" i="15"/>
  <c r="X293" i="15"/>
  <c r="X289" i="15"/>
  <c r="X285" i="15"/>
  <c r="X277" i="15"/>
  <c r="X269" i="15"/>
  <c r="X265" i="15"/>
  <c r="X261" i="15"/>
  <c r="X253" i="15"/>
  <c r="X249" i="15"/>
  <c r="X245" i="15"/>
  <c r="X241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77" i="15"/>
  <c r="X173" i="15"/>
  <c r="X169" i="15"/>
  <c r="X165" i="15"/>
  <c r="X161" i="15"/>
  <c r="X157" i="15"/>
  <c r="X149" i="15"/>
  <c r="X141" i="15"/>
  <c r="X133" i="15"/>
  <c r="X129" i="15"/>
  <c r="X121" i="15"/>
  <c r="X117" i="15"/>
  <c r="X113" i="15"/>
  <c r="X109" i="15"/>
  <c r="X105" i="15"/>
  <c r="X101" i="15"/>
  <c r="X93" i="15"/>
  <c r="X89" i="15"/>
  <c r="X85" i="15"/>
  <c r="X81" i="15"/>
  <c r="X77" i="15"/>
  <c r="X73" i="15"/>
  <c r="X69" i="15"/>
  <c r="X65" i="15"/>
  <c r="X61" i="15"/>
  <c r="X53" i="15"/>
  <c r="X45" i="15"/>
  <c r="X37" i="15"/>
  <c r="X33" i="15"/>
  <c r="X25" i="15"/>
  <c r="X18" i="15"/>
  <c r="X9" i="15"/>
  <c r="X506" i="15"/>
  <c r="X502" i="15"/>
  <c r="X494" i="15"/>
  <c r="X486" i="15"/>
  <c r="X482" i="15"/>
  <c r="X474" i="15"/>
  <c r="X470" i="15"/>
  <c r="X462" i="15"/>
  <c r="X454" i="15"/>
  <c r="X446" i="15"/>
  <c r="X442" i="15"/>
  <c r="X438" i="15"/>
  <c r="X434" i="15"/>
  <c r="X418" i="15"/>
  <c r="X414" i="15"/>
  <c r="X410" i="15"/>
  <c r="X406" i="15"/>
  <c r="X402" i="15"/>
  <c r="X398" i="15"/>
  <c r="X390" i="15"/>
  <c r="X386" i="15"/>
  <c r="X378" i="15"/>
  <c r="X374" i="15"/>
  <c r="X370" i="15"/>
  <c r="X366" i="15"/>
  <c r="X346" i="15"/>
  <c r="X342" i="15"/>
  <c r="X338" i="15"/>
  <c r="X334" i="15"/>
  <c r="X322" i="15"/>
  <c r="X306" i="15"/>
  <c r="X302" i="15"/>
  <c r="X298" i="15"/>
  <c r="X286" i="15"/>
  <c r="X278" i="15"/>
  <c r="X274" i="15"/>
  <c r="X270" i="15"/>
  <c r="X266" i="15"/>
  <c r="X250" i="15"/>
  <c r="X246" i="15"/>
  <c r="X238" i="15"/>
  <c r="X230" i="15"/>
  <c r="X226" i="15"/>
  <c r="X222" i="15"/>
  <c r="X218" i="15"/>
  <c r="X202" i="15"/>
  <c r="X186" i="15"/>
  <c r="X511" i="15"/>
  <c r="X479" i="15"/>
  <c r="X463" i="15"/>
  <c r="X439" i="15"/>
  <c r="X431" i="15"/>
  <c r="X423" i="15"/>
  <c r="X407" i="15"/>
  <c r="X399" i="15"/>
  <c r="X391" i="15"/>
  <c r="X383" i="15"/>
  <c r="X375" i="15"/>
  <c r="X351" i="15"/>
  <c r="X335" i="15"/>
  <c r="X319" i="15"/>
  <c r="X311" i="15"/>
  <c r="X303" i="15"/>
  <c r="X295" i="15"/>
  <c r="X271" i="15"/>
  <c r="X263" i="15"/>
  <c r="X239" i="15"/>
  <c r="X231" i="15"/>
  <c r="X215" i="15"/>
  <c r="X168" i="15"/>
  <c r="X158" i="15"/>
  <c r="X155" i="15"/>
  <c r="X142" i="15"/>
  <c r="X126" i="15"/>
  <c r="X120" i="15"/>
  <c r="X107" i="15"/>
  <c r="X94" i="15"/>
  <c r="X91" i="15"/>
  <c r="X88" i="15"/>
  <c r="X78" i="15"/>
  <c r="X72" i="15"/>
  <c r="X46" i="15"/>
  <c r="X43" i="15"/>
  <c r="X40" i="15"/>
  <c r="X24" i="15"/>
  <c r="X19" i="15"/>
  <c r="X15" i="15"/>
  <c r="X6" i="15"/>
  <c r="X499" i="15"/>
  <c r="X491" i="15"/>
  <c r="X483" i="15"/>
  <c r="X459" i="15"/>
  <c r="X403" i="15"/>
  <c r="X371" i="15"/>
  <c r="X347" i="15"/>
  <c r="X323" i="15"/>
  <c r="X307" i="15"/>
  <c r="X283" i="15"/>
  <c r="X275" i="15"/>
  <c r="X267" i="15"/>
  <c r="X251" i="15"/>
  <c r="X243" i="15"/>
  <c r="X187" i="15"/>
  <c r="X160" i="15"/>
  <c r="X144" i="15"/>
  <c r="X131" i="15"/>
  <c r="X115" i="15"/>
  <c r="X112" i="15"/>
  <c r="X86" i="15"/>
  <c r="X64" i="15"/>
  <c r="X54" i="15"/>
  <c r="X35" i="15"/>
  <c r="X23" i="15"/>
  <c r="A18" i="15"/>
  <c r="X5" i="15"/>
  <c r="X512" i="15"/>
  <c r="X504" i="15"/>
  <c r="X496" i="15"/>
  <c r="X480" i="15"/>
  <c r="X456" i="15"/>
  <c r="X448" i="15"/>
  <c r="X432" i="15"/>
  <c r="X416" i="15"/>
  <c r="X408" i="15"/>
  <c r="X400" i="15"/>
  <c r="X392" i="15"/>
  <c r="X384" i="15"/>
  <c r="X376" i="15"/>
  <c r="X360" i="15"/>
  <c r="X352" i="15"/>
  <c r="X328" i="15"/>
  <c r="X312" i="15"/>
  <c r="X288" i="15"/>
  <c r="X280" i="15"/>
  <c r="X264" i="15"/>
  <c r="X256" i="15"/>
  <c r="X248" i="15"/>
  <c r="X232" i="15"/>
  <c r="X224" i="15"/>
  <c r="X192" i="15"/>
  <c r="X170" i="15"/>
  <c r="X167" i="15"/>
  <c r="X164" i="15"/>
  <c r="X154" i="15"/>
  <c r="X135" i="15"/>
  <c r="X132" i="15"/>
  <c r="X119" i="15"/>
  <c r="X116" i="15"/>
  <c r="X103" i="15"/>
  <c r="X100" i="15"/>
  <c r="X90" i="15"/>
  <c r="X71" i="15"/>
  <c r="X68" i="15"/>
  <c r="X58" i="15"/>
  <c r="X55" i="15"/>
  <c r="X52" i="15"/>
  <c r="X36" i="15"/>
  <c r="X21" i="15"/>
  <c r="X16" i="15"/>
  <c r="X14" i="15"/>
  <c r="I14" i="68"/>
  <c r="X515" i="15"/>
  <c r="X507" i="15"/>
  <c r="X475" i="15"/>
  <c r="X443" i="15"/>
  <c r="X419" i="15"/>
  <c r="X411" i="15"/>
  <c r="X331" i="15"/>
  <c r="X315" i="15"/>
  <c r="X291" i="15"/>
  <c r="X259" i="15"/>
  <c r="X235" i="15"/>
  <c r="X211" i="15"/>
  <c r="X203" i="15"/>
  <c r="X179" i="15"/>
  <c r="X166" i="15"/>
  <c r="X163" i="15"/>
  <c r="X134" i="15"/>
  <c r="X118" i="15"/>
  <c r="X96" i="15"/>
  <c r="X83" i="15"/>
  <c r="X70" i="15"/>
  <c r="X67" i="15"/>
  <c r="X20" i="15"/>
  <c r="X11" i="15"/>
  <c r="X22" i="15"/>
  <c r="X28" i="15"/>
  <c r="X31" i="15"/>
  <c r="X82" i="15"/>
  <c r="X92" i="15"/>
  <c r="X159" i="15"/>
  <c r="X180" i="15"/>
  <c r="X308" i="15"/>
  <c r="X404" i="15"/>
  <c r="X500" i="15"/>
  <c r="A18" i="20"/>
  <c r="X18" i="20"/>
  <c r="X62" i="22"/>
  <c r="X33" i="22"/>
  <c r="X29" i="22"/>
  <c r="X10" i="22"/>
  <c r="X9" i="22"/>
  <c r="X67" i="22"/>
  <c r="X63" i="22"/>
  <c r="X46" i="22"/>
  <c r="X38" i="22"/>
  <c r="X30" i="22"/>
  <c r="X26" i="22"/>
  <c r="X20" i="22"/>
  <c r="X11" i="22"/>
  <c r="X57" i="22"/>
  <c r="X48" i="22"/>
  <c r="X40" i="22"/>
  <c r="X60" i="22"/>
  <c r="X51" i="22"/>
  <c r="X43" i="22"/>
  <c r="X35" i="22"/>
  <c r="X27" i="22"/>
  <c r="X8" i="22"/>
  <c r="X22" i="22"/>
  <c r="A20" i="22"/>
  <c r="X56" i="22"/>
  <c r="X47" i="22"/>
  <c r="X31" i="22"/>
  <c r="X28" i="22"/>
  <c r="X21" i="22"/>
  <c r="I25" i="68"/>
  <c r="X13" i="22"/>
  <c r="X36" i="22"/>
  <c r="Z23" i="25"/>
  <c r="AB23" i="25" s="1"/>
  <c r="AO23" i="25" s="1"/>
  <c r="AA23" i="25"/>
  <c r="AC23" i="25" s="1"/>
  <c r="AP23" i="25" s="1"/>
  <c r="X82" i="29"/>
  <c r="X74" i="29"/>
  <c r="X70" i="29"/>
  <c r="X66" i="29"/>
  <c r="X62" i="29"/>
  <c r="X58" i="29"/>
  <c r="X54" i="29"/>
  <c r="X50" i="29"/>
  <c r="X46" i="29"/>
  <c r="X42" i="29"/>
  <c r="X34" i="29"/>
  <c r="X26" i="29"/>
  <c r="X20" i="29"/>
  <c r="X19" i="29"/>
  <c r="X12" i="29"/>
  <c r="X11" i="29"/>
  <c r="X79" i="29"/>
  <c r="X75" i="29"/>
  <c r="X67" i="29"/>
  <c r="X63" i="29"/>
  <c r="X59" i="29"/>
  <c r="X55" i="29"/>
  <c r="X51" i="29"/>
  <c r="X47" i="29"/>
  <c r="X43" i="29"/>
  <c r="X39" i="29"/>
  <c r="X31" i="29"/>
  <c r="X27" i="29"/>
  <c r="X22" i="29"/>
  <c r="X21" i="29"/>
  <c r="A20" i="29"/>
  <c r="X14" i="29"/>
  <c r="X13" i="29"/>
  <c r="X5" i="29"/>
  <c r="X68" i="29"/>
  <c r="X60" i="29"/>
  <c r="X52" i="29"/>
  <c r="X44" i="29"/>
  <c r="X36" i="29"/>
  <c r="X15" i="29"/>
  <c r="X10" i="29"/>
  <c r="X8" i="29"/>
  <c r="X7" i="29"/>
  <c r="X77" i="29"/>
  <c r="X69" i="29"/>
  <c r="X61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6" i="68"/>
  <c r="X80" i="29"/>
  <c r="X73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X13" i="51"/>
  <c r="X5" i="51"/>
  <c r="X18" i="51"/>
  <c r="X17" i="51"/>
  <c r="X9" i="51"/>
  <c r="X24" i="51"/>
  <c r="X23" i="51"/>
  <c r="X16" i="51"/>
  <c r="X6" i="51"/>
  <c r="X15" i="51"/>
  <c r="X10" i="51"/>
  <c r="I18" i="67"/>
  <c r="X18" i="40"/>
  <c r="X17" i="40"/>
  <c r="X24" i="40"/>
  <c r="X19" i="40"/>
  <c r="X15" i="40"/>
  <c r="X12" i="40"/>
  <c r="X10" i="40"/>
  <c r="X9" i="40"/>
  <c r="X21" i="40"/>
  <c r="X7" i="40"/>
  <c r="A20" i="40"/>
  <c r="X11" i="40"/>
  <c r="X6" i="40"/>
  <c r="X5" i="40"/>
  <c r="X22" i="40"/>
  <c r="A18" i="40"/>
  <c r="X23" i="40"/>
  <c r="X8" i="40"/>
  <c r="I9" i="67"/>
  <c r="X13" i="40"/>
  <c r="X22" i="13"/>
  <c r="X21" i="13"/>
  <c r="A20" i="13"/>
  <c r="X14" i="13"/>
  <c r="X13" i="13"/>
  <c r="X8" i="13"/>
  <c r="X5" i="13"/>
  <c r="X18" i="13"/>
  <c r="X9" i="13"/>
  <c r="X17" i="13"/>
  <c r="X10" i="13"/>
  <c r="X6" i="13"/>
  <c r="I12" i="68"/>
  <c r="X34" i="15"/>
  <c r="X300" i="15"/>
  <c r="X332" i="15"/>
  <c r="X396" i="15"/>
  <c r="X460" i="15"/>
  <c r="X492" i="15"/>
  <c r="I32" i="68"/>
  <c r="O65" i="67"/>
  <c r="X22" i="71"/>
  <c r="X21" i="71"/>
  <c r="A20" i="7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4" i="67"/>
  <c r="X22" i="23"/>
  <c r="X21" i="23"/>
  <c r="A20" i="23"/>
  <c r="X13" i="23"/>
  <c r="X8" i="23"/>
  <c r="X5" i="23"/>
  <c r="X24" i="23"/>
  <c r="X23" i="23"/>
  <c r="X6" i="23"/>
  <c r="X10" i="23"/>
  <c r="X9" i="23"/>
  <c r="X20" i="23"/>
  <c r="X19" i="23"/>
  <c r="X11" i="23"/>
  <c r="X26" i="23"/>
  <c r="I29" i="68"/>
  <c r="X45" i="57"/>
  <c r="X37" i="57"/>
  <c r="X29" i="57"/>
  <c r="X25" i="57"/>
  <c r="X18" i="57"/>
  <c r="X17" i="57"/>
  <c r="X46" i="57"/>
  <c r="X38" i="57"/>
  <c r="X34" i="57"/>
  <c r="X30" i="57"/>
  <c r="X26" i="57"/>
  <c r="X19" i="57"/>
  <c r="X12" i="57"/>
  <c r="X11" i="57"/>
  <c r="X47" i="57"/>
  <c r="X39" i="57"/>
  <c r="X31" i="57"/>
  <c r="X21" i="57"/>
  <c r="A20" i="57"/>
  <c r="X15" i="57"/>
  <c r="X13" i="57"/>
  <c r="X9" i="57"/>
  <c r="X8" i="57"/>
  <c r="X40" i="57"/>
  <c r="X32" i="57"/>
  <c r="X24" i="57"/>
  <c r="X23" i="57"/>
  <c r="X10" i="57"/>
  <c r="X44" i="57"/>
  <c r="X35" i="57"/>
  <c r="X16" i="57"/>
  <c r="X36" i="57"/>
  <c r="X27" i="57"/>
  <c r="X6" i="57"/>
  <c r="X5" i="57"/>
  <c r="X14" i="57"/>
  <c r="I30" i="67"/>
  <c r="A8" i="35"/>
  <c r="X20" i="16"/>
  <c r="X12" i="16"/>
  <c r="X11" i="16"/>
  <c r="X22" i="16"/>
  <c r="A20" i="16"/>
  <c r="X14" i="16"/>
  <c r="X13" i="16"/>
  <c r="X5" i="16"/>
  <c r="X18" i="16"/>
  <c r="X17" i="16"/>
  <c r="X9" i="16"/>
  <c r="X24" i="16"/>
  <c r="I15" i="68"/>
  <c r="X20" i="73"/>
  <c r="X12" i="73"/>
  <c r="X11" i="73"/>
  <c r="X7" i="73"/>
  <c r="X23" i="73"/>
  <c r="X18" i="73"/>
  <c r="X13" i="73"/>
  <c r="X9" i="73"/>
  <c r="X8" i="73"/>
  <c r="A20" i="73"/>
  <c r="X15" i="73"/>
  <c r="X6" i="73"/>
  <c r="X14" i="73"/>
  <c r="X5" i="73"/>
  <c r="X17" i="73"/>
  <c r="X24" i="73"/>
  <c r="I25" i="67"/>
  <c r="X22" i="33"/>
  <c r="X21" i="33"/>
  <c r="A20" i="33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40" i="68"/>
  <c r="X40" i="66"/>
  <c r="X36" i="66"/>
  <c r="X28" i="66"/>
  <c r="X24" i="66"/>
  <c r="X23" i="66"/>
  <c r="X15" i="66"/>
  <c r="X7" i="66"/>
  <c r="X37" i="66"/>
  <c r="X29" i="66"/>
  <c r="X25" i="66"/>
  <c r="X17" i="66"/>
  <c r="X10" i="66"/>
  <c r="X9" i="66"/>
  <c r="X5" i="66"/>
  <c r="X35" i="66"/>
  <c r="X27" i="66"/>
  <c r="X30" i="66"/>
  <c r="X20" i="66"/>
  <c r="A18" i="66"/>
  <c r="X14" i="66"/>
  <c r="X12" i="66"/>
  <c r="X11" i="66"/>
  <c r="X39" i="66"/>
  <c r="A20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6" i="75"/>
  <c r="X15" i="75"/>
  <c r="X6" i="75"/>
  <c r="X9" i="75"/>
  <c r="X10" i="75"/>
  <c r="X27" i="75"/>
  <c r="X20" i="61"/>
  <c r="X19" i="61"/>
  <c r="X12" i="61"/>
  <c r="X11" i="61"/>
  <c r="X7" i="61"/>
  <c r="X22" i="61"/>
  <c r="X21" i="61"/>
  <c r="A20" i="61"/>
  <c r="X14" i="61"/>
  <c r="X13" i="61"/>
  <c r="X8" i="61"/>
  <c r="X17" i="61"/>
  <c r="X24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X13" i="18"/>
  <c r="X7" i="18"/>
  <c r="X24" i="18"/>
  <c r="X19" i="18"/>
  <c r="X15" i="18"/>
  <c r="X12" i="18"/>
  <c r="X23" i="18"/>
  <c r="X20" i="18"/>
  <c r="X16" i="18"/>
  <c r="X6" i="18"/>
  <c r="X5" i="18"/>
  <c r="I18" i="68"/>
  <c r="X21" i="18"/>
  <c r="A18" i="18"/>
  <c r="X9" i="18"/>
  <c r="X22" i="44"/>
  <c r="X21" i="44"/>
  <c r="A20" i="44"/>
  <c r="X14" i="44"/>
  <c r="X8" i="44"/>
  <c r="X5" i="44"/>
  <c r="X24" i="44"/>
  <c r="X16" i="44"/>
  <c r="X7" i="44"/>
  <c r="X17" i="44"/>
  <c r="X12" i="44"/>
  <c r="X10" i="44"/>
  <c r="X9" i="44"/>
  <c r="X20" i="44"/>
  <c r="X19" i="44"/>
  <c r="A18" i="44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7" i="68"/>
  <c r="X182" i="65"/>
  <c r="X10" i="3"/>
  <c r="A18" i="6"/>
  <c r="A18" i="13"/>
  <c r="X13" i="15"/>
  <c r="X130" i="15"/>
  <c r="X140" i="15"/>
  <c r="X188" i="15"/>
  <c r="X220" i="15"/>
  <c r="X252" i="15"/>
  <c r="X284" i="15"/>
  <c r="X316" i="15"/>
  <c r="X348" i="15"/>
  <c r="X444" i="15"/>
  <c r="X10" i="16"/>
  <c r="X15" i="16"/>
  <c r="X12" i="20"/>
  <c r="X23" i="21"/>
  <c r="X7" i="23"/>
  <c r="X75" i="32"/>
  <c r="I51" i="68"/>
  <c r="N54" i="68"/>
  <c r="I64" i="68"/>
  <c r="N67" i="68"/>
  <c r="N73" i="68"/>
  <c r="I53" i="67"/>
  <c r="I58" i="67"/>
  <c r="N64" i="67"/>
  <c r="A18" i="74"/>
  <c r="O64" i="67"/>
  <c r="A18" i="12"/>
  <c r="A18" i="14"/>
  <c r="A18" i="16"/>
  <c r="A18" i="21"/>
  <c r="A18" i="23"/>
  <c r="A18" i="25"/>
  <c r="A18" i="30"/>
  <c r="A18" i="34"/>
  <c r="A18" i="33"/>
  <c r="A18" i="22"/>
  <c r="A18" i="70"/>
  <c r="A18" i="26"/>
  <c r="A18" i="29"/>
  <c r="A18" i="36"/>
  <c r="AA12" i="42"/>
  <c r="AC12" i="42" s="1"/>
  <c r="AP12" i="42" s="1"/>
  <c r="Z12" i="42"/>
  <c r="AB12" i="42" s="1"/>
  <c r="AO12" i="42" s="1"/>
  <c r="A18" i="75"/>
  <c r="A18" i="47"/>
  <c r="A18" i="53"/>
  <c r="X22" i="42"/>
  <c r="X21" i="42"/>
  <c r="A20" i="42"/>
  <c r="X14" i="42"/>
  <c r="X13" i="42"/>
  <c r="X8" i="42"/>
  <c r="X5" i="42"/>
  <c r="X9" i="42"/>
  <c r="X18" i="42"/>
  <c r="X23" i="42"/>
  <c r="A18" i="45"/>
  <c r="X16" i="42"/>
  <c r="X19" i="42"/>
  <c r="A18" i="71"/>
  <c r="A18" i="55"/>
  <c r="A18" i="52"/>
  <c r="A18" i="73"/>
  <c r="A18" i="51"/>
  <c r="A18" i="57"/>
  <c r="X15" i="50"/>
  <c r="X16" i="50"/>
  <c r="X23" i="50"/>
  <c r="X24" i="50"/>
  <c r="A20" i="50"/>
  <c r="X21" i="50"/>
  <c r="Z5" i="62"/>
  <c r="AB5" i="62" s="1"/>
  <c r="A18" i="60"/>
  <c r="A18" i="63"/>
  <c r="N39" i="67" s="1"/>
  <c r="A18" i="64"/>
  <c r="A18" i="61"/>
  <c r="X24" i="62"/>
  <c r="X23" i="62"/>
  <c r="X21" i="62"/>
  <c r="X11" i="62"/>
  <c r="X7" i="62"/>
  <c r="X10" i="62"/>
  <c r="X15" i="62"/>
  <c r="X8" i="62"/>
  <c r="X9" i="62"/>
  <c r="X13" i="62"/>
  <c r="X18" i="62"/>
  <c r="X9" i="27"/>
  <c r="AA9" i="27" s="1"/>
  <c r="AC9" i="27" s="1"/>
  <c r="X5" i="27"/>
  <c r="X6" i="27"/>
  <c r="X12" i="27"/>
  <c r="X14" i="27"/>
  <c r="A18" i="27"/>
  <c r="X20" i="27"/>
  <c r="X24" i="27"/>
  <c r="X10" i="27"/>
  <c r="X13" i="27"/>
  <c r="X16" i="27"/>
  <c r="X18" i="27"/>
  <c r="X21" i="27"/>
  <c r="X23" i="27"/>
  <c r="X8" i="27"/>
  <c r="X11" i="27"/>
  <c r="X15" i="27"/>
  <c r="R59" i="67" l="1"/>
  <c r="Q38" i="67"/>
  <c r="R47" i="67"/>
  <c r="Q50" i="67"/>
  <c r="K19" i="2"/>
  <c r="K25" i="2"/>
  <c r="R50" i="67"/>
  <c r="N49" i="67"/>
  <c r="M28" i="2"/>
  <c r="M32" i="2"/>
  <c r="M34" i="2" s="1"/>
  <c r="R65" i="67"/>
  <c r="P21" i="67"/>
  <c r="Q65" i="67"/>
  <c r="U11" i="67"/>
  <c r="N11" i="2" s="1"/>
  <c r="O44" i="67"/>
  <c r="O57" i="67"/>
  <c r="Q46" i="67"/>
  <c r="R46" i="67"/>
  <c r="Q59" i="67"/>
  <c r="Q45" i="67"/>
  <c r="R42" i="67"/>
  <c r="Q47" i="67"/>
  <c r="M30" i="2"/>
  <c r="O52" i="67"/>
  <c r="M26" i="2"/>
  <c r="N51" i="67"/>
  <c r="O56" i="67"/>
  <c r="M17" i="2"/>
  <c r="L21" i="67"/>
  <c r="M27" i="2"/>
  <c r="R45" i="67"/>
  <c r="O48" i="67"/>
  <c r="O43" i="67"/>
  <c r="K17" i="2"/>
  <c r="J20" i="67"/>
  <c r="M62" i="67"/>
  <c r="AN19" i="34"/>
  <c r="AJ14" i="34"/>
  <c r="AL11" i="34"/>
  <c r="AN9" i="34"/>
  <c r="AN23" i="34"/>
  <c r="I37" i="67"/>
  <c r="Z24" i="42"/>
  <c r="AB24" i="42" s="1"/>
  <c r="AO24" i="42" s="1"/>
  <c r="AC6" i="65"/>
  <c r="AP6" i="65" s="1"/>
  <c r="Z6" i="65"/>
  <c r="AB6" i="65" s="1"/>
  <c r="AO6" i="65" s="1"/>
  <c r="AJ22" i="70"/>
  <c r="AA104" i="22"/>
  <c r="AC104" i="22" s="1"/>
  <c r="AP104" i="22" s="1"/>
  <c r="Z104" i="22"/>
  <c r="AB104" i="22" s="1"/>
  <c r="AO104" i="22" s="1"/>
  <c r="AN45" i="22"/>
  <c r="AN20" i="22"/>
  <c r="AN51" i="22"/>
  <c r="Z105" i="22"/>
  <c r="AB105" i="22" s="1"/>
  <c r="AO105" i="22" s="1"/>
  <c r="AA105" i="22"/>
  <c r="AC105" i="22" s="1"/>
  <c r="AP105" i="22" s="1"/>
  <c r="AN14" i="22"/>
  <c r="AJ41" i="22"/>
  <c r="AN56" i="22"/>
  <c r="AN19" i="22"/>
  <c r="AN43" i="22"/>
  <c r="AJ17" i="22"/>
  <c r="AJ53" i="22"/>
  <c r="AN29" i="22"/>
  <c r="AN18" i="22"/>
  <c r="AL26" i="22"/>
  <c r="AL19" i="70"/>
  <c r="AJ19" i="70"/>
  <c r="Z36" i="70"/>
  <c r="AB36" i="70" s="1"/>
  <c r="AO36" i="70" s="1"/>
  <c r="AA36" i="70"/>
  <c r="AC36" i="70" s="1"/>
  <c r="AP36" i="70" s="1"/>
  <c r="Z45" i="70"/>
  <c r="AB45" i="70" s="1"/>
  <c r="AO45" i="70" s="1"/>
  <c r="AA45" i="70"/>
  <c r="AC45" i="70" s="1"/>
  <c r="AP45" i="70" s="1"/>
  <c r="Z40" i="70"/>
  <c r="AB40" i="70" s="1"/>
  <c r="AO40" i="70" s="1"/>
  <c r="AA40" i="70"/>
  <c r="AC40" i="70" s="1"/>
  <c r="AP40" i="70" s="1"/>
  <c r="Z33" i="70"/>
  <c r="AB33" i="70" s="1"/>
  <c r="AO33" i="70" s="1"/>
  <c r="AA33" i="70"/>
  <c r="AC33" i="70" s="1"/>
  <c r="AP33" i="70" s="1"/>
  <c r="Z24" i="70"/>
  <c r="AB24" i="70" s="1"/>
  <c r="AO24" i="70" s="1"/>
  <c r="AA24" i="70"/>
  <c r="AC24" i="70" s="1"/>
  <c r="AP24" i="70" s="1"/>
  <c r="AA30" i="70"/>
  <c r="AC30" i="70" s="1"/>
  <c r="AP30" i="70" s="1"/>
  <c r="Z30" i="70"/>
  <c r="AB30" i="70" s="1"/>
  <c r="AO30" i="70" s="1"/>
  <c r="AA43" i="70"/>
  <c r="AC43" i="70" s="1"/>
  <c r="AP43" i="70" s="1"/>
  <c r="Z43" i="70"/>
  <c r="AB43" i="70" s="1"/>
  <c r="AO43" i="70" s="1"/>
  <c r="Z37" i="70"/>
  <c r="AB37" i="70" s="1"/>
  <c r="AO37" i="70" s="1"/>
  <c r="AA37" i="70"/>
  <c r="AC37" i="70" s="1"/>
  <c r="AP37" i="70" s="1"/>
  <c r="Z28" i="70"/>
  <c r="AB28" i="70" s="1"/>
  <c r="AO28" i="70" s="1"/>
  <c r="AA28" i="70"/>
  <c r="AC28" i="70" s="1"/>
  <c r="AP28" i="70" s="1"/>
  <c r="Z27" i="70"/>
  <c r="AB27" i="70" s="1"/>
  <c r="AO27" i="70" s="1"/>
  <c r="AA27" i="70"/>
  <c r="AC27" i="70" s="1"/>
  <c r="AP27" i="70" s="1"/>
  <c r="AA31" i="70"/>
  <c r="AC31" i="70" s="1"/>
  <c r="AP31" i="70" s="1"/>
  <c r="Z31" i="70"/>
  <c r="AB31" i="70" s="1"/>
  <c r="AO31" i="70" s="1"/>
  <c r="Z25" i="70"/>
  <c r="AB25" i="70" s="1"/>
  <c r="AO25" i="70" s="1"/>
  <c r="AA25" i="70"/>
  <c r="AC25" i="70" s="1"/>
  <c r="AP25" i="70" s="1"/>
  <c r="Z41" i="70"/>
  <c r="AB41" i="70" s="1"/>
  <c r="AO41" i="70" s="1"/>
  <c r="AA41" i="70"/>
  <c r="AC41" i="70" s="1"/>
  <c r="AP41" i="70" s="1"/>
  <c r="Z34" i="70"/>
  <c r="AB34" i="70" s="1"/>
  <c r="AO34" i="70" s="1"/>
  <c r="AA34" i="70"/>
  <c r="AC34" i="70" s="1"/>
  <c r="AP34" i="70" s="1"/>
  <c r="Z44" i="70"/>
  <c r="AB44" i="70" s="1"/>
  <c r="AO44" i="70" s="1"/>
  <c r="AA44" i="70"/>
  <c r="AC44" i="70" s="1"/>
  <c r="AP44" i="70" s="1"/>
  <c r="Z38" i="70"/>
  <c r="AB38" i="70" s="1"/>
  <c r="AO38" i="70" s="1"/>
  <c r="AA38" i="70"/>
  <c r="AC38" i="70" s="1"/>
  <c r="AP38" i="70" s="1"/>
  <c r="Z29" i="70"/>
  <c r="AB29" i="70" s="1"/>
  <c r="AO29" i="70" s="1"/>
  <c r="AA29" i="70"/>
  <c r="AC29" i="70" s="1"/>
  <c r="AP29" i="70" s="1"/>
  <c r="Z32" i="70"/>
  <c r="AB32" i="70" s="1"/>
  <c r="AO32" i="70" s="1"/>
  <c r="AA32" i="70"/>
  <c r="AC32" i="70" s="1"/>
  <c r="AP32" i="70" s="1"/>
  <c r="Z35" i="70"/>
  <c r="AB35" i="70" s="1"/>
  <c r="AO35" i="70" s="1"/>
  <c r="AA35" i="70"/>
  <c r="AC35" i="70" s="1"/>
  <c r="AP35" i="70" s="1"/>
  <c r="Z26" i="70"/>
  <c r="AB26" i="70" s="1"/>
  <c r="AO26" i="70" s="1"/>
  <c r="AA26" i="70"/>
  <c r="AC26" i="70" s="1"/>
  <c r="AP26" i="70" s="1"/>
  <c r="AA42" i="70"/>
  <c r="AC42" i="70" s="1"/>
  <c r="AP42" i="70" s="1"/>
  <c r="Z42" i="70"/>
  <c r="AB42" i="70" s="1"/>
  <c r="AO42" i="70" s="1"/>
  <c r="Z39" i="70"/>
  <c r="AB39" i="70" s="1"/>
  <c r="AO39" i="70" s="1"/>
  <c r="AA39" i="70"/>
  <c r="AC39" i="70" s="1"/>
  <c r="AP39" i="70" s="1"/>
  <c r="Z23" i="70"/>
  <c r="AB23" i="70" s="1"/>
  <c r="AO23" i="70" s="1"/>
  <c r="AA23" i="70"/>
  <c r="AC23" i="70" s="1"/>
  <c r="AP23" i="70" s="1"/>
  <c r="AL35" i="22"/>
  <c r="AN10" i="22"/>
  <c r="AJ48" i="22"/>
  <c r="AN23" i="69"/>
  <c r="AN31" i="22"/>
  <c r="AL34" i="22"/>
  <c r="AA50" i="69"/>
  <c r="AC50" i="69" s="1"/>
  <c r="AP50" i="69" s="1"/>
  <c r="Z50" i="69"/>
  <c r="AB50" i="69" s="1"/>
  <c r="AO50" i="69" s="1"/>
  <c r="AA45" i="69"/>
  <c r="AC45" i="69" s="1"/>
  <c r="AP45" i="69" s="1"/>
  <c r="Z45" i="69"/>
  <c r="AB45" i="69" s="1"/>
  <c r="AO45" i="69" s="1"/>
  <c r="Z42" i="69"/>
  <c r="AB42" i="69" s="1"/>
  <c r="AO42" i="69" s="1"/>
  <c r="AA42" i="69"/>
  <c r="AC42" i="69" s="1"/>
  <c r="AP42" i="69" s="1"/>
  <c r="AN32" i="69"/>
  <c r="AJ29" i="69"/>
  <c r="AA52" i="69"/>
  <c r="AC52" i="69" s="1"/>
  <c r="AP52" i="69" s="1"/>
  <c r="Z52" i="69"/>
  <c r="AB52" i="69" s="1"/>
  <c r="AO52" i="69" s="1"/>
  <c r="AN26" i="69"/>
  <c r="AN27" i="69"/>
  <c r="AL28" i="69"/>
  <c r="AA37" i="69"/>
  <c r="AC37" i="69" s="1"/>
  <c r="AP37" i="69" s="1"/>
  <c r="Z37" i="69"/>
  <c r="AB37" i="69" s="1"/>
  <c r="AO37" i="69" s="1"/>
  <c r="AA47" i="69"/>
  <c r="AC47" i="69" s="1"/>
  <c r="AP47" i="69" s="1"/>
  <c r="Z47" i="69"/>
  <c r="AB47" i="69" s="1"/>
  <c r="AO47" i="69" s="1"/>
  <c r="AA57" i="69"/>
  <c r="AC57" i="69" s="1"/>
  <c r="AP57" i="69" s="1"/>
  <c r="Z57" i="69"/>
  <c r="AB57" i="69" s="1"/>
  <c r="AO57" i="69" s="1"/>
  <c r="Z54" i="69"/>
  <c r="AB54" i="69" s="1"/>
  <c r="AO54" i="69" s="1"/>
  <c r="AA54" i="69"/>
  <c r="AC54" i="69" s="1"/>
  <c r="AP54" i="69" s="1"/>
  <c r="AJ11" i="22"/>
  <c r="AN21" i="69"/>
  <c r="AJ38" i="22"/>
  <c r="AA49" i="69"/>
  <c r="AC49" i="69" s="1"/>
  <c r="AP49" i="69" s="1"/>
  <c r="Z49" i="69"/>
  <c r="AB49" i="69" s="1"/>
  <c r="AO49" i="69" s="1"/>
  <c r="AA59" i="69"/>
  <c r="AC59" i="69" s="1"/>
  <c r="AP59" i="69" s="1"/>
  <c r="Z59" i="69"/>
  <c r="AB59" i="69" s="1"/>
  <c r="AO59" i="69" s="1"/>
  <c r="AA44" i="69"/>
  <c r="AC44" i="69" s="1"/>
  <c r="AP44" i="69" s="1"/>
  <c r="Z44" i="69"/>
  <c r="AB44" i="69" s="1"/>
  <c r="AO44" i="69" s="1"/>
  <c r="AJ46" i="22"/>
  <c r="Z41" i="69"/>
  <c r="AB41" i="69" s="1"/>
  <c r="AO41" i="69" s="1"/>
  <c r="AA41" i="69"/>
  <c r="AC41" i="69" s="1"/>
  <c r="AP41" i="69" s="1"/>
  <c r="AJ36" i="22"/>
  <c r="AJ32" i="22"/>
  <c r="AJ17" i="69"/>
  <c r="AA51" i="69"/>
  <c r="AC51" i="69" s="1"/>
  <c r="AP51" i="69" s="1"/>
  <c r="Z51" i="69"/>
  <c r="AB51" i="69" s="1"/>
  <c r="AO51" i="69" s="1"/>
  <c r="AA46" i="69"/>
  <c r="AC46" i="69" s="1"/>
  <c r="AP46" i="69" s="1"/>
  <c r="Z46" i="69"/>
  <c r="AB46" i="69" s="1"/>
  <c r="AO46" i="69" s="1"/>
  <c r="AA56" i="69"/>
  <c r="AC56" i="69" s="1"/>
  <c r="AP56" i="69" s="1"/>
  <c r="Z56" i="69"/>
  <c r="AB56" i="69" s="1"/>
  <c r="AO56" i="69" s="1"/>
  <c r="AJ8" i="69"/>
  <c r="Z53" i="69"/>
  <c r="AB53" i="69" s="1"/>
  <c r="AO53" i="69" s="1"/>
  <c r="AA53" i="69"/>
  <c r="AC53" i="69" s="1"/>
  <c r="AP53" i="69" s="1"/>
  <c r="AA48" i="69"/>
  <c r="AC48" i="69" s="1"/>
  <c r="AP48" i="69" s="1"/>
  <c r="Z48" i="69"/>
  <c r="AB48" i="69" s="1"/>
  <c r="AO48" i="69" s="1"/>
  <c r="AA58" i="69"/>
  <c r="AC58" i="69" s="1"/>
  <c r="AP58" i="69" s="1"/>
  <c r="Z58" i="69"/>
  <c r="AB58" i="69" s="1"/>
  <c r="AO58" i="69" s="1"/>
  <c r="Z43" i="69"/>
  <c r="AB43" i="69" s="1"/>
  <c r="AO43" i="69" s="1"/>
  <c r="AA43" i="69"/>
  <c r="AC43" i="69" s="1"/>
  <c r="AP43" i="69" s="1"/>
  <c r="AA38" i="69"/>
  <c r="AC38" i="69" s="1"/>
  <c r="AP38" i="69" s="1"/>
  <c r="Z38" i="69"/>
  <c r="AB38" i="69" s="1"/>
  <c r="AO38" i="69" s="1"/>
  <c r="AJ12" i="22"/>
  <c r="AA40" i="69"/>
  <c r="AC40" i="69" s="1"/>
  <c r="AP40" i="69" s="1"/>
  <c r="Z40" i="69"/>
  <c r="AB40" i="69" s="1"/>
  <c r="AO40" i="69" s="1"/>
  <c r="AA39" i="69"/>
  <c r="AC39" i="69" s="1"/>
  <c r="AP39" i="69" s="1"/>
  <c r="Z39" i="69"/>
  <c r="AB39" i="69" s="1"/>
  <c r="AO39" i="69" s="1"/>
  <c r="Z55" i="69"/>
  <c r="AB55" i="69" s="1"/>
  <c r="AO55" i="69" s="1"/>
  <c r="AA55" i="69"/>
  <c r="AC55" i="69" s="1"/>
  <c r="AP55" i="69" s="1"/>
  <c r="AJ26" i="69"/>
  <c r="AN63" i="22"/>
  <c r="AL39" i="22"/>
  <c r="AJ16" i="22"/>
  <c r="AJ25" i="22"/>
  <c r="AL51" i="22"/>
  <c r="AN68" i="22"/>
  <c r="AJ5" i="69"/>
  <c r="AJ28" i="22"/>
  <c r="AL15" i="22"/>
  <c r="AJ49" i="22"/>
  <c r="AN13" i="69"/>
  <c r="C25" i="2"/>
  <c r="AJ24" i="22"/>
  <c r="AJ20" i="69"/>
  <c r="AJ32" i="69"/>
  <c r="AJ30" i="69"/>
  <c r="AJ7" i="69"/>
  <c r="AJ18" i="69"/>
  <c r="AJ22" i="22"/>
  <c r="AN15" i="69"/>
  <c r="AA272" i="3"/>
  <c r="AC272" i="3" s="1"/>
  <c r="AP272" i="3" s="1"/>
  <c r="Z272" i="3"/>
  <c r="AB272" i="3" s="1"/>
  <c r="AO272" i="3" s="1"/>
  <c r="Z237" i="3"/>
  <c r="AB237" i="3" s="1"/>
  <c r="AO237" i="3" s="1"/>
  <c r="AA237" i="3"/>
  <c r="AC237" i="3" s="1"/>
  <c r="AP237" i="3" s="1"/>
  <c r="Z188" i="3"/>
  <c r="AB188" i="3" s="1"/>
  <c r="AO188" i="3" s="1"/>
  <c r="AA188" i="3"/>
  <c r="AC188" i="3" s="1"/>
  <c r="AP188" i="3" s="1"/>
  <c r="Z41" i="3"/>
  <c r="AB41" i="3" s="1"/>
  <c r="AO41" i="3" s="1"/>
  <c r="AA41" i="3"/>
  <c r="AC41" i="3" s="1"/>
  <c r="AP41" i="3" s="1"/>
  <c r="Z323" i="3"/>
  <c r="AB323" i="3" s="1"/>
  <c r="AO323" i="3" s="1"/>
  <c r="AA323" i="3"/>
  <c r="AC323" i="3" s="1"/>
  <c r="AP323" i="3" s="1"/>
  <c r="Z307" i="3"/>
  <c r="AB307" i="3" s="1"/>
  <c r="AO307" i="3" s="1"/>
  <c r="AA307" i="3"/>
  <c r="AC307" i="3" s="1"/>
  <c r="AP307" i="3" s="1"/>
  <c r="AA231" i="3"/>
  <c r="AC231" i="3" s="1"/>
  <c r="AP231" i="3" s="1"/>
  <c r="Z231" i="3"/>
  <c r="AB231" i="3" s="1"/>
  <c r="AO231" i="3" s="1"/>
  <c r="Z286" i="3"/>
  <c r="AB286" i="3" s="1"/>
  <c r="AO286" i="3" s="1"/>
  <c r="AA286" i="3"/>
  <c r="AC286" i="3" s="1"/>
  <c r="AP286" i="3" s="1"/>
  <c r="Z249" i="3"/>
  <c r="AB249" i="3" s="1"/>
  <c r="AO249" i="3" s="1"/>
  <c r="AA249" i="3"/>
  <c r="AC249" i="3" s="1"/>
  <c r="AP249" i="3" s="1"/>
  <c r="Z235" i="3"/>
  <c r="AB235" i="3" s="1"/>
  <c r="AO235" i="3" s="1"/>
  <c r="AA235" i="3"/>
  <c r="AC235" i="3" s="1"/>
  <c r="AP235" i="3" s="1"/>
  <c r="Z289" i="3"/>
  <c r="AB289" i="3" s="1"/>
  <c r="AO289" i="3" s="1"/>
  <c r="AA289" i="3"/>
  <c r="AC289" i="3" s="1"/>
  <c r="AP289" i="3" s="1"/>
  <c r="Z219" i="3"/>
  <c r="AB219" i="3" s="1"/>
  <c r="AO219" i="3" s="1"/>
  <c r="AA219" i="3"/>
  <c r="AC219" i="3" s="1"/>
  <c r="AP219" i="3" s="1"/>
  <c r="Z228" i="3"/>
  <c r="AB228" i="3" s="1"/>
  <c r="AO228" i="3" s="1"/>
  <c r="AA228" i="3"/>
  <c r="AC228" i="3" s="1"/>
  <c r="AP228" i="3" s="1"/>
  <c r="Z199" i="3"/>
  <c r="AB199" i="3" s="1"/>
  <c r="AO199" i="3" s="1"/>
  <c r="AA199" i="3"/>
  <c r="AC199" i="3" s="1"/>
  <c r="AP199" i="3" s="1"/>
  <c r="Z226" i="3"/>
  <c r="AB226" i="3" s="1"/>
  <c r="AO226" i="3" s="1"/>
  <c r="AA226" i="3"/>
  <c r="AC226" i="3" s="1"/>
  <c r="AP226" i="3" s="1"/>
  <c r="Z227" i="3"/>
  <c r="AB227" i="3" s="1"/>
  <c r="AO227" i="3" s="1"/>
  <c r="AA227" i="3"/>
  <c r="AC227" i="3" s="1"/>
  <c r="AP227" i="3" s="1"/>
  <c r="Z205" i="3"/>
  <c r="AB205" i="3" s="1"/>
  <c r="AO205" i="3" s="1"/>
  <c r="AA205" i="3"/>
  <c r="AC205" i="3" s="1"/>
  <c r="AP205" i="3" s="1"/>
  <c r="Z134" i="3"/>
  <c r="AB134" i="3" s="1"/>
  <c r="AO134" i="3" s="1"/>
  <c r="AA134" i="3"/>
  <c r="AC134" i="3" s="1"/>
  <c r="AP134" i="3" s="1"/>
  <c r="Z168" i="3"/>
  <c r="AB168" i="3" s="1"/>
  <c r="AO168" i="3" s="1"/>
  <c r="AA168" i="3"/>
  <c r="AC168" i="3" s="1"/>
  <c r="AP168" i="3" s="1"/>
  <c r="Z93" i="3"/>
  <c r="AB93" i="3" s="1"/>
  <c r="AO93" i="3" s="1"/>
  <c r="AA93" i="3"/>
  <c r="AC93" i="3" s="1"/>
  <c r="AP93" i="3" s="1"/>
  <c r="Z96" i="3"/>
  <c r="AB96" i="3" s="1"/>
  <c r="AO96" i="3" s="1"/>
  <c r="AA96" i="3"/>
  <c r="AC96" i="3" s="1"/>
  <c r="AP96" i="3" s="1"/>
  <c r="Z98" i="3"/>
  <c r="AB98" i="3" s="1"/>
  <c r="AO98" i="3" s="1"/>
  <c r="AA98" i="3"/>
  <c r="AC98" i="3" s="1"/>
  <c r="AP98" i="3" s="1"/>
  <c r="AA94" i="3"/>
  <c r="AC94" i="3" s="1"/>
  <c r="AP94" i="3" s="1"/>
  <c r="Z94" i="3"/>
  <c r="AB94" i="3" s="1"/>
  <c r="AO94" i="3" s="1"/>
  <c r="Z52" i="3"/>
  <c r="AB52" i="3" s="1"/>
  <c r="AO52" i="3" s="1"/>
  <c r="AA52" i="3"/>
  <c r="AC52" i="3" s="1"/>
  <c r="AP52" i="3" s="1"/>
  <c r="Z329" i="3"/>
  <c r="AB329" i="3" s="1"/>
  <c r="AO329" i="3" s="1"/>
  <c r="AA329" i="3"/>
  <c r="AC329" i="3" s="1"/>
  <c r="AP329" i="3" s="1"/>
  <c r="Z250" i="3"/>
  <c r="AB250" i="3" s="1"/>
  <c r="AO250" i="3" s="1"/>
  <c r="AA250" i="3"/>
  <c r="AC250" i="3" s="1"/>
  <c r="AP250" i="3" s="1"/>
  <c r="Z233" i="3"/>
  <c r="AB233" i="3" s="1"/>
  <c r="AO233" i="3" s="1"/>
  <c r="AA233" i="3"/>
  <c r="AC233" i="3" s="1"/>
  <c r="AP233" i="3" s="1"/>
  <c r="Z306" i="3"/>
  <c r="AB306" i="3" s="1"/>
  <c r="AO306" i="3" s="1"/>
  <c r="AA306" i="3"/>
  <c r="AC306" i="3" s="1"/>
  <c r="AP306" i="3" s="1"/>
  <c r="Z320" i="3"/>
  <c r="AB320" i="3" s="1"/>
  <c r="AO320" i="3" s="1"/>
  <c r="AA320" i="3"/>
  <c r="AC320" i="3" s="1"/>
  <c r="AP320" i="3" s="1"/>
  <c r="Z271" i="3"/>
  <c r="AB271" i="3" s="1"/>
  <c r="AO271" i="3" s="1"/>
  <c r="AA271" i="3"/>
  <c r="AC271" i="3" s="1"/>
  <c r="AP271" i="3" s="1"/>
  <c r="Z257" i="3"/>
  <c r="AB257" i="3" s="1"/>
  <c r="AO257" i="3" s="1"/>
  <c r="AA257" i="3"/>
  <c r="AC257" i="3" s="1"/>
  <c r="AP257" i="3" s="1"/>
  <c r="Z300" i="3"/>
  <c r="AB300" i="3" s="1"/>
  <c r="AO300" i="3" s="1"/>
  <c r="AA300" i="3"/>
  <c r="AC300" i="3" s="1"/>
  <c r="AP300" i="3" s="1"/>
  <c r="AA328" i="3"/>
  <c r="AC328" i="3" s="1"/>
  <c r="AP328" i="3" s="1"/>
  <c r="Z328" i="3"/>
  <c r="AB328" i="3" s="1"/>
  <c r="AO328" i="3" s="1"/>
  <c r="Z317" i="3"/>
  <c r="AB317" i="3" s="1"/>
  <c r="AO317" i="3" s="1"/>
  <c r="AA317" i="3"/>
  <c r="AC317" i="3" s="1"/>
  <c r="AP317" i="3" s="1"/>
  <c r="AA221" i="3"/>
  <c r="AC221" i="3" s="1"/>
  <c r="AP221" i="3" s="1"/>
  <c r="Z221" i="3"/>
  <c r="AB221" i="3" s="1"/>
  <c r="AO221" i="3" s="1"/>
  <c r="AA260" i="3"/>
  <c r="AC260" i="3" s="1"/>
  <c r="AP260" i="3" s="1"/>
  <c r="Z260" i="3"/>
  <c r="AB260" i="3" s="1"/>
  <c r="AO260" i="3" s="1"/>
  <c r="Z240" i="3"/>
  <c r="AB240" i="3" s="1"/>
  <c r="AO240" i="3" s="1"/>
  <c r="AA240" i="3"/>
  <c r="AC240" i="3" s="1"/>
  <c r="AP240" i="3" s="1"/>
  <c r="Z185" i="3"/>
  <c r="AB185" i="3" s="1"/>
  <c r="AO185" i="3" s="1"/>
  <c r="AA185" i="3"/>
  <c r="AC185" i="3" s="1"/>
  <c r="AP185" i="3" s="1"/>
  <c r="Z222" i="3"/>
  <c r="AB222" i="3" s="1"/>
  <c r="AO222" i="3" s="1"/>
  <c r="AA222" i="3"/>
  <c r="AC222" i="3" s="1"/>
  <c r="AP222" i="3" s="1"/>
  <c r="Z208" i="3"/>
  <c r="AB208" i="3" s="1"/>
  <c r="AO208" i="3" s="1"/>
  <c r="AA208" i="3"/>
  <c r="AC208" i="3" s="1"/>
  <c r="AP208" i="3" s="1"/>
  <c r="Z181" i="3"/>
  <c r="AB181" i="3" s="1"/>
  <c r="AO181" i="3" s="1"/>
  <c r="AA181" i="3"/>
  <c r="AC181" i="3" s="1"/>
  <c r="AP181" i="3" s="1"/>
  <c r="Z179" i="3"/>
  <c r="AB179" i="3" s="1"/>
  <c r="AO179" i="3" s="1"/>
  <c r="AA179" i="3"/>
  <c r="AC179" i="3" s="1"/>
  <c r="AP179" i="3" s="1"/>
  <c r="Z204" i="3"/>
  <c r="AB204" i="3" s="1"/>
  <c r="AO204" i="3" s="1"/>
  <c r="AA204" i="3"/>
  <c r="AC204" i="3" s="1"/>
  <c r="AP204" i="3" s="1"/>
  <c r="Z149" i="3"/>
  <c r="AB149" i="3" s="1"/>
  <c r="AO149" i="3" s="1"/>
  <c r="AA149" i="3"/>
  <c r="AC149" i="3" s="1"/>
  <c r="AP149" i="3" s="1"/>
  <c r="Z163" i="3"/>
  <c r="AB163" i="3" s="1"/>
  <c r="AO163" i="3" s="1"/>
  <c r="AA163" i="3"/>
  <c r="AC163" i="3" s="1"/>
  <c r="AP163" i="3" s="1"/>
  <c r="Z152" i="3"/>
  <c r="AB152" i="3" s="1"/>
  <c r="AO152" i="3" s="1"/>
  <c r="AA152" i="3"/>
  <c r="AC152" i="3" s="1"/>
  <c r="AP152" i="3" s="1"/>
  <c r="Z178" i="3"/>
  <c r="AB178" i="3" s="1"/>
  <c r="AO178" i="3" s="1"/>
  <c r="AA178" i="3"/>
  <c r="AC178" i="3" s="1"/>
  <c r="AP178" i="3" s="1"/>
  <c r="AA167" i="3"/>
  <c r="AC167" i="3" s="1"/>
  <c r="AP167" i="3" s="1"/>
  <c r="Z167" i="3"/>
  <c r="AB167" i="3" s="1"/>
  <c r="AO167" i="3" s="1"/>
  <c r="Z85" i="3"/>
  <c r="AB85" i="3" s="1"/>
  <c r="AO85" i="3" s="1"/>
  <c r="AA85" i="3"/>
  <c r="AC85" i="3" s="1"/>
  <c r="AP85" i="3" s="1"/>
  <c r="Z103" i="3"/>
  <c r="AB103" i="3" s="1"/>
  <c r="AO103" i="3" s="1"/>
  <c r="AA103" i="3"/>
  <c r="AC103" i="3" s="1"/>
  <c r="AP103" i="3" s="1"/>
  <c r="AA118" i="3"/>
  <c r="AC118" i="3" s="1"/>
  <c r="AP118" i="3" s="1"/>
  <c r="Z118" i="3"/>
  <c r="AB118" i="3" s="1"/>
  <c r="AO118" i="3" s="1"/>
  <c r="Z107" i="3"/>
  <c r="AB107" i="3" s="1"/>
  <c r="AO107" i="3" s="1"/>
  <c r="AA107" i="3"/>
  <c r="AC107" i="3" s="1"/>
  <c r="AP107" i="3" s="1"/>
  <c r="Z91" i="3"/>
  <c r="AB91" i="3" s="1"/>
  <c r="AO91" i="3" s="1"/>
  <c r="AA91" i="3"/>
  <c r="AC91" i="3" s="1"/>
  <c r="AP91" i="3" s="1"/>
  <c r="Z83" i="3"/>
  <c r="AB83" i="3" s="1"/>
  <c r="AO83" i="3" s="1"/>
  <c r="AA83" i="3"/>
  <c r="AC83" i="3" s="1"/>
  <c r="AP83" i="3" s="1"/>
  <c r="Z60" i="3"/>
  <c r="AB60" i="3" s="1"/>
  <c r="AO60" i="3" s="1"/>
  <c r="AA60" i="3"/>
  <c r="AC60" i="3" s="1"/>
  <c r="AP60" i="3" s="1"/>
  <c r="Z74" i="3"/>
  <c r="AB74" i="3" s="1"/>
  <c r="AO74" i="3" s="1"/>
  <c r="AA74" i="3"/>
  <c r="AC74" i="3" s="1"/>
  <c r="AP74" i="3" s="1"/>
  <c r="Z63" i="3"/>
  <c r="AB63" i="3" s="1"/>
  <c r="AO63" i="3" s="1"/>
  <c r="AA63" i="3"/>
  <c r="AC63" i="3" s="1"/>
  <c r="AP63" i="3" s="1"/>
  <c r="Z90" i="3"/>
  <c r="AB90" i="3" s="1"/>
  <c r="AO90" i="3" s="1"/>
  <c r="AA90" i="3"/>
  <c r="AC90" i="3" s="1"/>
  <c r="AP90" i="3" s="1"/>
  <c r="Z325" i="3"/>
  <c r="AB325" i="3" s="1"/>
  <c r="AO325" i="3" s="1"/>
  <c r="AA325" i="3"/>
  <c r="AC325" i="3" s="1"/>
  <c r="AP325" i="3" s="1"/>
  <c r="Z330" i="3"/>
  <c r="AB330" i="3" s="1"/>
  <c r="AO330" i="3" s="1"/>
  <c r="AA330" i="3"/>
  <c r="AC330" i="3" s="1"/>
  <c r="AP330" i="3" s="1"/>
  <c r="Z296" i="3"/>
  <c r="AB296" i="3" s="1"/>
  <c r="AO296" i="3" s="1"/>
  <c r="AA296" i="3"/>
  <c r="AC296" i="3" s="1"/>
  <c r="AP296" i="3" s="1"/>
  <c r="Z269" i="3"/>
  <c r="AB269" i="3" s="1"/>
  <c r="AO269" i="3" s="1"/>
  <c r="AA269" i="3"/>
  <c r="AC269" i="3" s="1"/>
  <c r="AP269" i="3" s="1"/>
  <c r="Z311" i="3"/>
  <c r="AB311" i="3" s="1"/>
  <c r="AO311" i="3" s="1"/>
  <c r="AA311" i="3"/>
  <c r="AC311" i="3" s="1"/>
  <c r="AP311" i="3" s="1"/>
  <c r="Z338" i="3"/>
  <c r="AB338" i="3" s="1"/>
  <c r="AO338" i="3" s="1"/>
  <c r="AA338" i="3"/>
  <c r="AC338" i="3" s="1"/>
  <c r="AP338" i="3" s="1"/>
  <c r="Z281" i="3"/>
  <c r="AB281" i="3" s="1"/>
  <c r="AO281" i="3" s="1"/>
  <c r="AA281" i="3"/>
  <c r="AC281" i="3" s="1"/>
  <c r="AP281" i="3" s="1"/>
  <c r="Z259" i="3"/>
  <c r="AB259" i="3" s="1"/>
  <c r="AO259" i="3" s="1"/>
  <c r="AA259" i="3"/>
  <c r="AC259" i="3" s="1"/>
  <c r="AP259" i="3" s="1"/>
  <c r="Z225" i="3"/>
  <c r="AB225" i="3" s="1"/>
  <c r="AO225" i="3" s="1"/>
  <c r="AA225" i="3"/>
  <c r="AC225" i="3" s="1"/>
  <c r="AP225" i="3" s="1"/>
  <c r="Z230" i="3"/>
  <c r="AB230" i="3" s="1"/>
  <c r="AO230" i="3" s="1"/>
  <c r="AA230" i="3"/>
  <c r="AC230" i="3" s="1"/>
  <c r="AP230" i="3" s="1"/>
  <c r="Z277" i="3"/>
  <c r="AB277" i="3" s="1"/>
  <c r="AO277" i="3" s="1"/>
  <c r="AA277" i="3"/>
  <c r="AC277" i="3" s="1"/>
  <c r="AP277" i="3" s="1"/>
  <c r="Z290" i="3"/>
  <c r="AB290" i="3" s="1"/>
  <c r="AO290" i="3" s="1"/>
  <c r="AA290" i="3"/>
  <c r="AC290" i="3" s="1"/>
  <c r="AP290" i="3" s="1"/>
  <c r="AA172" i="3"/>
  <c r="AC172" i="3" s="1"/>
  <c r="AP172" i="3" s="1"/>
  <c r="Z172" i="3"/>
  <c r="AB172" i="3" s="1"/>
  <c r="AO172" i="3" s="1"/>
  <c r="Z187" i="3"/>
  <c r="AB187" i="3" s="1"/>
  <c r="AO187" i="3" s="1"/>
  <c r="AA187" i="3"/>
  <c r="AC187" i="3" s="1"/>
  <c r="AP187" i="3" s="1"/>
  <c r="Z175" i="3"/>
  <c r="AB175" i="3" s="1"/>
  <c r="AO175" i="3" s="1"/>
  <c r="AA175" i="3"/>
  <c r="AC175" i="3" s="1"/>
  <c r="AP175" i="3" s="1"/>
  <c r="Z214" i="3"/>
  <c r="AB214" i="3" s="1"/>
  <c r="AO214" i="3" s="1"/>
  <c r="AA214" i="3"/>
  <c r="AC214" i="3" s="1"/>
  <c r="AP214" i="3" s="1"/>
  <c r="Z215" i="3"/>
  <c r="AB215" i="3" s="1"/>
  <c r="AO215" i="3" s="1"/>
  <c r="AA215" i="3"/>
  <c r="AC215" i="3" s="1"/>
  <c r="AP215" i="3" s="1"/>
  <c r="Z193" i="3"/>
  <c r="AB193" i="3" s="1"/>
  <c r="AO193" i="3" s="1"/>
  <c r="AA193" i="3"/>
  <c r="AC193" i="3" s="1"/>
  <c r="AP193" i="3" s="1"/>
  <c r="Z159" i="3"/>
  <c r="AB159" i="3" s="1"/>
  <c r="AO159" i="3" s="1"/>
  <c r="AA159" i="3"/>
  <c r="AC159" i="3" s="1"/>
  <c r="AP159" i="3" s="1"/>
  <c r="Z156" i="3"/>
  <c r="AB156" i="3" s="1"/>
  <c r="AO156" i="3" s="1"/>
  <c r="AA156" i="3"/>
  <c r="AC156" i="3" s="1"/>
  <c r="AP156" i="3" s="1"/>
  <c r="Z126" i="3"/>
  <c r="AB126" i="3" s="1"/>
  <c r="AO126" i="3" s="1"/>
  <c r="AA126" i="3"/>
  <c r="AC126" i="3" s="1"/>
  <c r="AP126" i="3" s="1"/>
  <c r="Z81" i="3"/>
  <c r="AB81" i="3" s="1"/>
  <c r="AO81" i="3" s="1"/>
  <c r="AA81" i="3"/>
  <c r="AC81" i="3" s="1"/>
  <c r="AP81" i="3" s="1"/>
  <c r="Z80" i="3"/>
  <c r="AB80" i="3" s="1"/>
  <c r="AO80" i="3" s="1"/>
  <c r="AA80" i="3"/>
  <c r="AC80" i="3" s="1"/>
  <c r="AP80" i="3" s="1"/>
  <c r="Z40" i="3"/>
  <c r="AB40" i="3" s="1"/>
  <c r="AO40" i="3" s="1"/>
  <c r="AA40" i="3"/>
  <c r="AC40" i="3" s="1"/>
  <c r="AP40" i="3" s="1"/>
  <c r="Z75" i="3"/>
  <c r="AB75" i="3" s="1"/>
  <c r="AO75" i="3" s="1"/>
  <c r="AA75" i="3"/>
  <c r="AC75" i="3" s="1"/>
  <c r="AP75" i="3" s="1"/>
  <c r="AA349" i="3"/>
  <c r="AC349" i="3" s="1"/>
  <c r="AP349" i="3" s="1"/>
  <c r="Z349" i="3"/>
  <c r="AB349" i="3" s="1"/>
  <c r="AO349" i="3" s="1"/>
  <c r="Z348" i="3"/>
  <c r="AB348" i="3" s="1"/>
  <c r="AO348" i="3" s="1"/>
  <c r="AA348" i="3"/>
  <c r="AC348" i="3" s="1"/>
  <c r="AP348" i="3" s="1"/>
  <c r="Z344" i="3"/>
  <c r="AB344" i="3" s="1"/>
  <c r="AO344" i="3" s="1"/>
  <c r="AA344" i="3"/>
  <c r="AC344" i="3" s="1"/>
  <c r="AP344" i="3" s="1"/>
  <c r="AA333" i="3"/>
  <c r="AC333" i="3" s="1"/>
  <c r="AP333" i="3" s="1"/>
  <c r="Z333" i="3"/>
  <c r="AB333" i="3" s="1"/>
  <c r="AO333" i="3" s="1"/>
  <c r="Z322" i="3"/>
  <c r="AB322" i="3" s="1"/>
  <c r="AO322" i="3" s="1"/>
  <c r="AA322" i="3"/>
  <c r="AC322" i="3" s="1"/>
  <c r="AP322" i="3" s="1"/>
  <c r="Z316" i="3"/>
  <c r="AB316" i="3" s="1"/>
  <c r="AO316" i="3" s="1"/>
  <c r="AA316" i="3"/>
  <c r="AC316" i="3" s="1"/>
  <c r="AP316" i="3" s="1"/>
  <c r="Z305" i="3"/>
  <c r="AB305" i="3" s="1"/>
  <c r="AO305" i="3" s="1"/>
  <c r="AA305" i="3"/>
  <c r="AC305" i="3" s="1"/>
  <c r="AP305" i="3" s="1"/>
  <c r="AA248" i="3"/>
  <c r="AC248" i="3" s="1"/>
  <c r="AP248" i="3" s="1"/>
  <c r="Z248" i="3"/>
  <c r="AB248" i="3" s="1"/>
  <c r="AO248" i="3" s="1"/>
  <c r="AA279" i="3"/>
  <c r="AC279" i="3" s="1"/>
  <c r="AP279" i="3" s="1"/>
  <c r="Z279" i="3"/>
  <c r="AB279" i="3" s="1"/>
  <c r="AO279" i="3" s="1"/>
  <c r="Z292" i="3"/>
  <c r="AB292" i="3" s="1"/>
  <c r="AO292" i="3" s="1"/>
  <c r="AA292" i="3"/>
  <c r="AC292" i="3" s="1"/>
  <c r="AP292" i="3" s="1"/>
  <c r="Z218" i="3"/>
  <c r="AB218" i="3" s="1"/>
  <c r="AO218" i="3" s="1"/>
  <c r="AA218" i="3"/>
  <c r="AC218" i="3" s="1"/>
  <c r="AP218" i="3" s="1"/>
  <c r="Z196" i="3"/>
  <c r="AB196" i="3" s="1"/>
  <c r="AO196" i="3" s="1"/>
  <c r="AA196" i="3"/>
  <c r="AC196" i="3" s="1"/>
  <c r="AP196" i="3" s="1"/>
  <c r="Z210" i="3"/>
  <c r="AB210" i="3" s="1"/>
  <c r="AO210" i="3" s="1"/>
  <c r="AA210" i="3"/>
  <c r="AC210" i="3" s="1"/>
  <c r="AP210" i="3" s="1"/>
  <c r="Z171" i="3"/>
  <c r="AB171" i="3" s="1"/>
  <c r="AO171" i="3" s="1"/>
  <c r="AA171" i="3"/>
  <c r="AC171" i="3" s="1"/>
  <c r="AP171" i="3" s="1"/>
  <c r="Z192" i="3"/>
  <c r="AB192" i="3" s="1"/>
  <c r="AO192" i="3" s="1"/>
  <c r="AA192" i="3"/>
  <c r="AC192" i="3" s="1"/>
  <c r="AP192" i="3" s="1"/>
  <c r="Z139" i="3"/>
  <c r="AB139" i="3" s="1"/>
  <c r="AO139" i="3" s="1"/>
  <c r="AA139" i="3"/>
  <c r="AC139" i="3" s="1"/>
  <c r="AP139" i="3" s="1"/>
  <c r="Z151" i="3"/>
  <c r="AB151" i="3" s="1"/>
  <c r="AO151" i="3" s="1"/>
  <c r="AA151" i="3"/>
  <c r="AC151" i="3" s="1"/>
  <c r="AP151" i="3" s="1"/>
  <c r="AA135" i="3"/>
  <c r="AC135" i="3" s="1"/>
  <c r="AP135" i="3" s="1"/>
  <c r="Z135" i="3"/>
  <c r="AB135" i="3" s="1"/>
  <c r="AO135" i="3" s="1"/>
  <c r="Z166" i="3"/>
  <c r="AB166" i="3" s="1"/>
  <c r="AO166" i="3" s="1"/>
  <c r="AA166" i="3"/>
  <c r="AC166" i="3" s="1"/>
  <c r="AP166" i="3" s="1"/>
  <c r="Z155" i="3"/>
  <c r="AB155" i="3" s="1"/>
  <c r="AO155" i="3" s="1"/>
  <c r="AA155" i="3"/>
  <c r="AC155" i="3" s="1"/>
  <c r="AP155" i="3" s="1"/>
  <c r="Z117" i="3"/>
  <c r="AB117" i="3" s="1"/>
  <c r="AO117" i="3" s="1"/>
  <c r="AA117" i="3"/>
  <c r="AC117" i="3" s="1"/>
  <c r="AP117" i="3" s="1"/>
  <c r="Z106" i="3"/>
  <c r="AB106" i="3" s="1"/>
  <c r="AO106" i="3" s="1"/>
  <c r="AA106" i="3"/>
  <c r="AC106" i="3" s="1"/>
  <c r="AP106" i="3" s="1"/>
  <c r="Z79" i="3"/>
  <c r="AB79" i="3" s="1"/>
  <c r="AO79" i="3" s="1"/>
  <c r="AA79" i="3"/>
  <c r="AC79" i="3" s="1"/>
  <c r="AP79" i="3" s="1"/>
  <c r="Z67" i="3"/>
  <c r="AB67" i="3" s="1"/>
  <c r="AO67" i="3" s="1"/>
  <c r="AA67" i="3"/>
  <c r="AC67" i="3" s="1"/>
  <c r="AP67" i="3" s="1"/>
  <c r="Z71" i="3"/>
  <c r="AB71" i="3" s="1"/>
  <c r="AO71" i="3" s="1"/>
  <c r="AA71" i="3"/>
  <c r="AC71" i="3" s="1"/>
  <c r="AP71" i="3" s="1"/>
  <c r="Z48" i="3"/>
  <c r="AB48" i="3" s="1"/>
  <c r="AO48" i="3" s="1"/>
  <c r="AA48" i="3"/>
  <c r="AC48" i="3" s="1"/>
  <c r="AP48" i="3" s="1"/>
  <c r="Z62" i="3"/>
  <c r="AB62" i="3" s="1"/>
  <c r="AO62" i="3" s="1"/>
  <c r="AA62" i="3"/>
  <c r="AC62" i="3" s="1"/>
  <c r="AP62" i="3" s="1"/>
  <c r="Z51" i="3"/>
  <c r="AB51" i="3" s="1"/>
  <c r="AO51" i="3" s="1"/>
  <c r="AA51" i="3"/>
  <c r="AC51" i="3" s="1"/>
  <c r="AP51" i="3" s="1"/>
  <c r="Z89" i="3"/>
  <c r="AB89" i="3" s="1"/>
  <c r="AO89" i="3" s="1"/>
  <c r="AA89" i="3"/>
  <c r="AC89" i="3" s="1"/>
  <c r="AP89" i="3" s="1"/>
  <c r="Z78" i="3"/>
  <c r="AB78" i="3" s="1"/>
  <c r="AO78" i="3" s="1"/>
  <c r="AA78" i="3"/>
  <c r="AC78" i="3" s="1"/>
  <c r="AP78" i="3" s="1"/>
  <c r="Z341" i="3"/>
  <c r="AB341" i="3" s="1"/>
  <c r="AO341" i="3" s="1"/>
  <c r="AA341" i="3"/>
  <c r="AC341" i="3" s="1"/>
  <c r="AP341" i="3" s="1"/>
  <c r="AA342" i="3"/>
  <c r="AC342" i="3" s="1"/>
  <c r="AP342" i="3" s="1"/>
  <c r="Z342" i="3"/>
  <c r="AB342" i="3" s="1"/>
  <c r="AO342" i="3" s="1"/>
  <c r="AA291" i="3"/>
  <c r="AC291" i="3" s="1"/>
  <c r="AP291" i="3" s="1"/>
  <c r="Z291" i="3"/>
  <c r="AB291" i="3" s="1"/>
  <c r="AO291" i="3" s="1"/>
  <c r="Z299" i="3"/>
  <c r="AB299" i="3" s="1"/>
  <c r="AO299" i="3" s="1"/>
  <c r="AA299" i="3"/>
  <c r="AC299" i="3" s="1"/>
  <c r="AP299" i="3" s="1"/>
  <c r="Z288" i="3"/>
  <c r="AB288" i="3" s="1"/>
  <c r="AO288" i="3" s="1"/>
  <c r="AA288" i="3"/>
  <c r="AC288" i="3" s="1"/>
  <c r="AP288" i="3" s="1"/>
  <c r="AA326" i="3"/>
  <c r="AC326" i="3" s="1"/>
  <c r="AP326" i="3" s="1"/>
  <c r="Z326" i="3"/>
  <c r="AB326" i="3" s="1"/>
  <c r="AO326" i="3" s="1"/>
  <c r="Z247" i="3"/>
  <c r="AB247" i="3" s="1"/>
  <c r="AO247" i="3" s="1"/>
  <c r="AA247" i="3"/>
  <c r="AC247" i="3" s="1"/>
  <c r="AP247" i="3" s="1"/>
  <c r="Z232" i="3"/>
  <c r="AB232" i="3" s="1"/>
  <c r="AO232" i="3" s="1"/>
  <c r="AA232" i="3"/>
  <c r="AC232" i="3" s="1"/>
  <c r="AP232" i="3" s="1"/>
  <c r="Z287" i="3"/>
  <c r="AB287" i="3" s="1"/>
  <c r="AO287" i="3" s="1"/>
  <c r="AA287" i="3"/>
  <c r="AC287" i="3" s="1"/>
  <c r="AP287" i="3" s="1"/>
  <c r="Z265" i="3"/>
  <c r="AB265" i="3" s="1"/>
  <c r="AO265" i="3" s="1"/>
  <c r="AA265" i="3"/>
  <c r="AC265" i="3" s="1"/>
  <c r="AP265" i="3" s="1"/>
  <c r="Z278" i="3"/>
  <c r="AB278" i="3" s="1"/>
  <c r="AO278" i="3" s="1"/>
  <c r="AA278" i="3"/>
  <c r="AC278" i="3" s="1"/>
  <c r="AP278" i="3" s="1"/>
  <c r="Z207" i="3"/>
  <c r="AB207" i="3" s="1"/>
  <c r="AO207" i="3" s="1"/>
  <c r="AA207" i="3"/>
  <c r="AC207" i="3" s="1"/>
  <c r="AP207" i="3" s="1"/>
  <c r="Z138" i="3"/>
  <c r="AB138" i="3" s="1"/>
  <c r="AO138" i="3" s="1"/>
  <c r="AA138" i="3"/>
  <c r="AC138" i="3" s="1"/>
  <c r="AP138" i="3" s="1"/>
  <c r="Z202" i="3"/>
  <c r="AB202" i="3" s="1"/>
  <c r="AO202" i="3" s="1"/>
  <c r="AA202" i="3"/>
  <c r="AC202" i="3" s="1"/>
  <c r="AP202" i="3" s="1"/>
  <c r="Z203" i="3"/>
  <c r="AB203" i="3" s="1"/>
  <c r="AO203" i="3" s="1"/>
  <c r="AA203" i="3"/>
  <c r="AC203" i="3" s="1"/>
  <c r="AP203" i="3" s="1"/>
  <c r="Z147" i="3"/>
  <c r="AB147" i="3" s="1"/>
  <c r="AO147" i="3" s="1"/>
  <c r="AA147" i="3"/>
  <c r="AC147" i="3" s="1"/>
  <c r="AP147" i="3" s="1"/>
  <c r="Z132" i="3"/>
  <c r="AB132" i="3" s="1"/>
  <c r="AO132" i="3" s="1"/>
  <c r="AA132" i="3"/>
  <c r="AC132" i="3" s="1"/>
  <c r="AP132" i="3" s="1"/>
  <c r="Z177" i="3"/>
  <c r="AB177" i="3" s="1"/>
  <c r="AO177" i="3" s="1"/>
  <c r="AA177" i="3"/>
  <c r="AC177" i="3" s="1"/>
  <c r="AP177" i="3" s="1"/>
  <c r="Z144" i="3"/>
  <c r="AB144" i="3" s="1"/>
  <c r="AO144" i="3" s="1"/>
  <c r="AA144" i="3"/>
  <c r="AC144" i="3" s="1"/>
  <c r="AP144" i="3" s="1"/>
  <c r="Z112" i="3"/>
  <c r="AB112" i="3" s="1"/>
  <c r="AO112" i="3" s="1"/>
  <c r="AA112" i="3"/>
  <c r="AC112" i="3" s="1"/>
  <c r="AP112" i="3" s="1"/>
  <c r="Z114" i="3"/>
  <c r="AB114" i="3" s="1"/>
  <c r="AO114" i="3" s="1"/>
  <c r="AA114" i="3"/>
  <c r="AC114" i="3" s="1"/>
  <c r="AP114" i="3" s="1"/>
  <c r="Z72" i="3"/>
  <c r="AB72" i="3" s="1"/>
  <c r="AO72" i="3" s="1"/>
  <c r="AA72" i="3"/>
  <c r="AC72" i="3" s="1"/>
  <c r="AP72" i="3" s="1"/>
  <c r="Z319" i="3"/>
  <c r="AB319" i="3" s="1"/>
  <c r="AO319" i="3" s="1"/>
  <c r="AA319" i="3"/>
  <c r="AC319" i="3" s="1"/>
  <c r="AP319" i="3" s="1"/>
  <c r="Z285" i="3"/>
  <c r="AB285" i="3" s="1"/>
  <c r="AO285" i="3" s="1"/>
  <c r="AA285" i="3"/>
  <c r="AC285" i="3" s="1"/>
  <c r="AP285" i="3" s="1"/>
  <c r="AA321" i="3"/>
  <c r="AC321" i="3" s="1"/>
  <c r="AP321" i="3" s="1"/>
  <c r="Z321" i="3"/>
  <c r="AB321" i="3" s="1"/>
  <c r="AO321" i="3" s="1"/>
  <c r="Z310" i="3"/>
  <c r="AB310" i="3" s="1"/>
  <c r="AO310" i="3" s="1"/>
  <c r="AA310" i="3"/>
  <c r="AC310" i="3" s="1"/>
  <c r="AP310" i="3" s="1"/>
  <c r="AA284" i="3"/>
  <c r="AC284" i="3" s="1"/>
  <c r="AP284" i="3" s="1"/>
  <c r="Z284" i="3"/>
  <c r="AB284" i="3" s="1"/>
  <c r="AO284" i="3" s="1"/>
  <c r="Z245" i="3"/>
  <c r="AB245" i="3" s="1"/>
  <c r="AO245" i="3" s="1"/>
  <c r="AA245" i="3"/>
  <c r="AC245" i="3" s="1"/>
  <c r="AP245" i="3" s="1"/>
  <c r="Z304" i="3"/>
  <c r="AB304" i="3" s="1"/>
  <c r="AO304" i="3" s="1"/>
  <c r="AA304" i="3"/>
  <c r="AC304" i="3" s="1"/>
  <c r="AP304" i="3" s="1"/>
  <c r="Z293" i="3"/>
  <c r="AB293" i="3" s="1"/>
  <c r="AO293" i="3" s="1"/>
  <c r="AA293" i="3"/>
  <c r="AC293" i="3" s="1"/>
  <c r="AP293" i="3" s="1"/>
  <c r="Z220" i="3"/>
  <c r="AB220" i="3" s="1"/>
  <c r="AO220" i="3" s="1"/>
  <c r="AA220" i="3"/>
  <c r="AC220" i="3" s="1"/>
  <c r="AP220" i="3" s="1"/>
  <c r="Z264" i="3"/>
  <c r="AB264" i="3" s="1"/>
  <c r="AO264" i="3" s="1"/>
  <c r="AA264" i="3"/>
  <c r="AC264" i="3" s="1"/>
  <c r="AP264" i="3" s="1"/>
  <c r="Z267" i="3"/>
  <c r="AB267" i="3" s="1"/>
  <c r="AO267" i="3" s="1"/>
  <c r="AA267" i="3"/>
  <c r="AC267" i="3" s="1"/>
  <c r="AP267" i="3" s="1"/>
  <c r="Z280" i="3"/>
  <c r="AB280" i="3" s="1"/>
  <c r="AO280" i="3" s="1"/>
  <c r="AA280" i="3"/>
  <c r="AC280" i="3" s="1"/>
  <c r="AP280" i="3" s="1"/>
  <c r="Z198" i="3"/>
  <c r="AB198" i="3" s="1"/>
  <c r="AO198" i="3" s="1"/>
  <c r="AA198" i="3"/>
  <c r="AC198" i="3" s="1"/>
  <c r="AP198" i="3" s="1"/>
  <c r="Z224" i="3"/>
  <c r="AB224" i="3" s="1"/>
  <c r="AO224" i="3" s="1"/>
  <c r="AA224" i="3"/>
  <c r="AC224" i="3" s="1"/>
  <c r="AP224" i="3" s="1"/>
  <c r="Z201" i="3"/>
  <c r="AB201" i="3" s="1"/>
  <c r="AO201" i="3" s="1"/>
  <c r="AA201" i="3"/>
  <c r="AC201" i="3" s="1"/>
  <c r="AP201" i="3" s="1"/>
  <c r="AA164" i="3"/>
  <c r="AC164" i="3" s="1"/>
  <c r="AP164" i="3" s="1"/>
  <c r="Z164" i="3"/>
  <c r="AB164" i="3" s="1"/>
  <c r="AO164" i="3" s="1"/>
  <c r="AA125" i="3"/>
  <c r="AC125" i="3" s="1"/>
  <c r="AP125" i="3" s="1"/>
  <c r="Z125" i="3"/>
  <c r="AB125" i="3" s="1"/>
  <c r="AO125" i="3" s="1"/>
  <c r="Z140" i="3"/>
  <c r="AB140" i="3" s="1"/>
  <c r="AO140" i="3" s="1"/>
  <c r="AA140" i="3"/>
  <c r="AC140" i="3" s="1"/>
  <c r="AP140" i="3" s="1"/>
  <c r="Z154" i="3"/>
  <c r="AB154" i="3" s="1"/>
  <c r="AO154" i="3" s="1"/>
  <c r="AA154" i="3"/>
  <c r="AC154" i="3" s="1"/>
  <c r="AP154" i="3" s="1"/>
  <c r="Z143" i="3"/>
  <c r="AB143" i="3" s="1"/>
  <c r="AO143" i="3" s="1"/>
  <c r="AA143" i="3"/>
  <c r="AC143" i="3" s="1"/>
  <c r="AP143" i="3" s="1"/>
  <c r="Z105" i="3"/>
  <c r="AB105" i="3" s="1"/>
  <c r="AO105" i="3" s="1"/>
  <c r="AA105" i="3"/>
  <c r="AC105" i="3" s="1"/>
  <c r="AP105" i="3" s="1"/>
  <c r="Z97" i="3"/>
  <c r="AB97" i="3" s="1"/>
  <c r="AO97" i="3" s="1"/>
  <c r="AA97" i="3"/>
  <c r="AC97" i="3" s="1"/>
  <c r="AP97" i="3" s="1"/>
  <c r="AA82" i="3"/>
  <c r="AC82" i="3" s="1"/>
  <c r="AP82" i="3" s="1"/>
  <c r="Z82" i="3"/>
  <c r="AB82" i="3" s="1"/>
  <c r="AO82" i="3" s="1"/>
  <c r="Z44" i="3"/>
  <c r="AB44" i="3" s="1"/>
  <c r="AO44" i="3" s="1"/>
  <c r="AA44" i="3"/>
  <c r="AC44" i="3" s="1"/>
  <c r="AP44" i="3" s="1"/>
  <c r="Z55" i="3"/>
  <c r="AB55" i="3" s="1"/>
  <c r="AO55" i="3" s="1"/>
  <c r="AA55" i="3"/>
  <c r="AC55" i="3" s="1"/>
  <c r="AP55" i="3" s="1"/>
  <c r="AA59" i="3"/>
  <c r="AC59" i="3" s="1"/>
  <c r="AP59" i="3" s="1"/>
  <c r="Z59" i="3"/>
  <c r="AB59" i="3" s="1"/>
  <c r="AO59" i="3" s="1"/>
  <c r="AA73" i="3"/>
  <c r="AC73" i="3" s="1"/>
  <c r="AP73" i="3" s="1"/>
  <c r="Z73" i="3"/>
  <c r="AB73" i="3" s="1"/>
  <c r="AO73" i="3" s="1"/>
  <c r="Z50" i="3"/>
  <c r="AB50" i="3" s="1"/>
  <c r="AO50" i="3" s="1"/>
  <c r="AA50" i="3"/>
  <c r="AC50" i="3" s="1"/>
  <c r="AP50" i="3" s="1"/>
  <c r="Z39" i="3"/>
  <c r="AB39" i="3" s="1"/>
  <c r="AO39" i="3" s="1"/>
  <c r="AA39" i="3"/>
  <c r="AC39" i="3" s="1"/>
  <c r="AP39" i="3" s="1"/>
  <c r="Z77" i="3"/>
  <c r="AB77" i="3" s="1"/>
  <c r="AO77" i="3" s="1"/>
  <c r="AA77" i="3"/>
  <c r="AC77" i="3" s="1"/>
  <c r="AP77" i="3" s="1"/>
  <c r="Z66" i="3"/>
  <c r="AB66" i="3" s="1"/>
  <c r="AO66" i="3" s="1"/>
  <c r="AA66" i="3"/>
  <c r="AC66" i="3" s="1"/>
  <c r="AP66" i="3" s="1"/>
  <c r="Z303" i="3"/>
  <c r="AB303" i="3" s="1"/>
  <c r="AO303" i="3" s="1"/>
  <c r="AA303" i="3"/>
  <c r="AC303" i="3" s="1"/>
  <c r="AP303" i="3" s="1"/>
  <c r="Z145" i="3"/>
  <c r="AB145" i="3" s="1"/>
  <c r="AO145" i="3" s="1"/>
  <c r="AA145" i="3"/>
  <c r="AC145" i="3" s="1"/>
  <c r="AP145" i="3" s="1"/>
  <c r="AA46" i="3"/>
  <c r="AC46" i="3" s="1"/>
  <c r="AP46" i="3" s="1"/>
  <c r="Z46" i="3"/>
  <c r="AB46" i="3" s="1"/>
  <c r="AO46" i="3" s="1"/>
  <c r="Z119" i="3"/>
  <c r="AB119" i="3" s="1"/>
  <c r="AO119" i="3" s="1"/>
  <c r="AA119" i="3"/>
  <c r="AC119" i="3" s="1"/>
  <c r="AP119" i="3" s="1"/>
  <c r="AA334" i="3"/>
  <c r="AC334" i="3" s="1"/>
  <c r="AP334" i="3" s="1"/>
  <c r="Z334" i="3"/>
  <c r="AB334" i="3" s="1"/>
  <c r="AO334" i="3" s="1"/>
  <c r="Z347" i="3"/>
  <c r="AB347" i="3" s="1"/>
  <c r="AO347" i="3" s="1"/>
  <c r="AA347" i="3"/>
  <c r="AC347" i="3" s="1"/>
  <c r="AP347" i="3" s="1"/>
  <c r="Z206" i="3"/>
  <c r="AB206" i="3" s="1"/>
  <c r="AO206" i="3" s="1"/>
  <c r="AA206" i="3"/>
  <c r="AC206" i="3" s="1"/>
  <c r="AP206" i="3" s="1"/>
  <c r="Z314" i="3"/>
  <c r="AB314" i="3" s="1"/>
  <c r="AO314" i="3" s="1"/>
  <c r="AA314" i="3"/>
  <c r="AC314" i="3" s="1"/>
  <c r="AP314" i="3" s="1"/>
  <c r="Z176" i="3"/>
  <c r="AB176" i="3" s="1"/>
  <c r="AO176" i="3" s="1"/>
  <c r="AA176" i="3"/>
  <c r="AC176" i="3" s="1"/>
  <c r="AP176" i="3" s="1"/>
  <c r="Z238" i="3"/>
  <c r="AB238" i="3" s="1"/>
  <c r="AO238" i="3" s="1"/>
  <c r="AA238" i="3"/>
  <c r="AC238" i="3" s="1"/>
  <c r="AP238" i="3" s="1"/>
  <c r="Z275" i="3"/>
  <c r="AB275" i="3" s="1"/>
  <c r="AO275" i="3" s="1"/>
  <c r="AA275" i="3"/>
  <c r="AC275" i="3" s="1"/>
  <c r="AP275" i="3" s="1"/>
  <c r="Z253" i="3"/>
  <c r="AB253" i="3" s="1"/>
  <c r="AO253" i="3" s="1"/>
  <c r="AA253" i="3"/>
  <c r="AC253" i="3" s="1"/>
  <c r="AP253" i="3" s="1"/>
  <c r="Z266" i="3"/>
  <c r="AB266" i="3" s="1"/>
  <c r="AO266" i="3" s="1"/>
  <c r="AA266" i="3"/>
  <c r="AC266" i="3" s="1"/>
  <c r="AP266" i="3" s="1"/>
  <c r="Z195" i="3"/>
  <c r="AB195" i="3" s="1"/>
  <c r="AO195" i="3" s="1"/>
  <c r="AA195" i="3"/>
  <c r="AC195" i="3" s="1"/>
  <c r="AP195" i="3" s="1"/>
  <c r="Z190" i="3"/>
  <c r="AB190" i="3" s="1"/>
  <c r="AO190" i="3" s="1"/>
  <c r="AA190" i="3"/>
  <c r="AC190" i="3" s="1"/>
  <c r="AP190" i="3" s="1"/>
  <c r="Z191" i="3"/>
  <c r="AB191" i="3" s="1"/>
  <c r="AO191" i="3" s="1"/>
  <c r="AA191" i="3"/>
  <c r="AC191" i="3" s="1"/>
  <c r="AP191" i="3" s="1"/>
  <c r="Z129" i="3"/>
  <c r="AB129" i="3" s="1"/>
  <c r="AO129" i="3" s="1"/>
  <c r="AA129" i="3"/>
  <c r="AC129" i="3" s="1"/>
  <c r="AP129" i="3" s="1"/>
  <c r="Z169" i="3"/>
  <c r="AB169" i="3" s="1"/>
  <c r="AO169" i="3" s="1"/>
  <c r="AA169" i="3"/>
  <c r="AC169" i="3" s="1"/>
  <c r="AP169" i="3" s="1"/>
  <c r="Z174" i="3"/>
  <c r="AB174" i="3" s="1"/>
  <c r="AO174" i="3" s="1"/>
  <c r="AA174" i="3"/>
  <c r="AC174" i="3" s="1"/>
  <c r="AP174" i="3" s="1"/>
  <c r="Z165" i="3"/>
  <c r="AB165" i="3" s="1"/>
  <c r="AO165" i="3" s="1"/>
  <c r="AA165" i="3"/>
  <c r="AC165" i="3" s="1"/>
  <c r="AP165" i="3" s="1"/>
  <c r="Z136" i="3"/>
  <c r="AB136" i="3" s="1"/>
  <c r="AO136" i="3" s="1"/>
  <c r="AA136" i="3"/>
  <c r="AC136" i="3" s="1"/>
  <c r="AP136" i="3" s="1"/>
  <c r="Z100" i="3"/>
  <c r="AB100" i="3" s="1"/>
  <c r="AO100" i="3" s="1"/>
  <c r="AA100" i="3"/>
  <c r="AC100" i="3" s="1"/>
  <c r="AP100" i="3" s="1"/>
  <c r="Z102" i="3"/>
  <c r="AB102" i="3" s="1"/>
  <c r="AO102" i="3" s="1"/>
  <c r="AA102" i="3"/>
  <c r="AC102" i="3" s="1"/>
  <c r="AP102" i="3" s="1"/>
  <c r="Z128" i="3"/>
  <c r="AB128" i="3" s="1"/>
  <c r="AO128" i="3" s="1"/>
  <c r="AA128" i="3"/>
  <c r="AC128" i="3" s="1"/>
  <c r="AP128" i="3" s="1"/>
  <c r="Z133" i="3"/>
  <c r="AB133" i="3" s="1"/>
  <c r="AO133" i="3" s="1"/>
  <c r="AA133" i="3"/>
  <c r="AC133" i="3" s="1"/>
  <c r="AP133" i="3" s="1"/>
  <c r="Z88" i="3"/>
  <c r="AB88" i="3" s="1"/>
  <c r="AO88" i="3" s="1"/>
  <c r="AA88" i="3"/>
  <c r="AC88" i="3" s="1"/>
  <c r="AP88" i="3" s="1"/>
  <c r="Z331" i="3"/>
  <c r="AB331" i="3" s="1"/>
  <c r="AO331" i="3" s="1"/>
  <c r="AA331" i="3"/>
  <c r="AC331" i="3" s="1"/>
  <c r="AP331" i="3" s="1"/>
  <c r="Z312" i="3"/>
  <c r="AB312" i="3" s="1"/>
  <c r="AO312" i="3" s="1"/>
  <c r="AA312" i="3"/>
  <c r="AC312" i="3" s="1"/>
  <c r="AP312" i="3" s="1"/>
  <c r="Z246" i="3"/>
  <c r="AB246" i="3" s="1"/>
  <c r="AO246" i="3" s="1"/>
  <c r="AA246" i="3"/>
  <c r="AC246" i="3" s="1"/>
  <c r="AP246" i="3" s="1"/>
  <c r="Z194" i="3"/>
  <c r="AB194" i="3" s="1"/>
  <c r="AO194" i="3" s="1"/>
  <c r="AA194" i="3"/>
  <c r="AC194" i="3" s="1"/>
  <c r="AP194" i="3" s="1"/>
  <c r="Z244" i="3"/>
  <c r="AB244" i="3" s="1"/>
  <c r="AO244" i="3" s="1"/>
  <c r="AA244" i="3"/>
  <c r="AC244" i="3" s="1"/>
  <c r="AP244" i="3" s="1"/>
  <c r="AA216" i="3"/>
  <c r="AC216" i="3" s="1"/>
  <c r="AP216" i="3" s="1"/>
  <c r="Z216" i="3"/>
  <c r="AB216" i="3" s="1"/>
  <c r="AO216" i="3" s="1"/>
  <c r="AA101" i="3"/>
  <c r="AC101" i="3" s="1"/>
  <c r="AP101" i="3" s="1"/>
  <c r="Z101" i="3"/>
  <c r="AB101" i="3" s="1"/>
  <c r="AO101" i="3" s="1"/>
  <c r="Z115" i="3"/>
  <c r="AB115" i="3" s="1"/>
  <c r="AO115" i="3" s="1"/>
  <c r="AA115" i="3"/>
  <c r="AC115" i="3" s="1"/>
  <c r="AP115" i="3" s="1"/>
  <c r="Z130" i="3"/>
  <c r="AB130" i="3" s="1"/>
  <c r="AO130" i="3" s="1"/>
  <c r="AA130" i="3"/>
  <c r="AC130" i="3" s="1"/>
  <c r="AP130" i="3" s="1"/>
  <c r="Z335" i="3"/>
  <c r="AB335" i="3" s="1"/>
  <c r="AO335" i="3" s="1"/>
  <c r="AA335" i="3"/>
  <c r="AC335" i="3" s="1"/>
  <c r="AP335" i="3" s="1"/>
  <c r="Z337" i="3"/>
  <c r="AB337" i="3" s="1"/>
  <c r="AO337" i="3" s="1"/>
  <c r="AA337" i="3"/>
  <c r="AC337" i="3" s="1"/>
  <c r="AP337" i="3" s="1"/>
  <c r="Z346" i="3"/>
  <c r="AB346" i="3" s="1"/>
  <c r="AO346" i="3" s="1"/>
  <c r="AA346" i="3"/>
  <c r="AC346" i="3" s="1"/>
  <c r="AP346" i="3" s="1"/>
  <c r="Z345" i="3"/>
  <c r="AB345" i="3" s="1"/>
  <c r="AO345" i="3" s="1"/>
  <c r="AA345" i="3"/>
  <c r="AC345" i="3" s="1"/>
  <c r="AP345" i="3" s="1"/>
  <c r="Z273" i="3"/>
  <c r="AB273" i="3" s="1"/>
  <c r="AO273" i="3" s="1"/>
  <c r="AA273" i="3"/>
  <c r="AC273" i="3" s="1"/>
  <c r="AP273" i="3" s="1"/>
  <c r="AA309" i="3"/>
  <c r="AC309" i="3" s="1"/>
  <c r="AP309" i="3" s="1"/>
  <c r="Z309" i="3"/>
  <c r="AB309" i="3" s="1"/>
  <c r="AO309" i="3" s="1"/>
  <c r="Z298" i="3"/>
  <c r="AB298" i="3" s="1"/>
  <c r="AO298" i="3" s="1"/>
  <c r="AA298" i="3"/>
  <c r="AC298" i="3" s="1"/>
  <c r="AP298" i="3" s="1"/>
  <c r="AA336" i="3"/>
  <c r="AC336" i="3" s="1"/>
  <c r="AP336" i="3" s="1"/>
  <c r="Z336" i="3"/>
  <c r="AB336" i="3" s="1"/>
  <c r="AO336" i="3" s="1"/>
  <c r="Z327" i="3"/>
  <c r="AB327" i="3" s="1"/>
  <c r="AO327" i="3" s="1"/>
  <c r="AA327" i="3"/>
  <c r="AC327" i="3" s="1"/>
  <c r="AP327" i="3" s="1"/>
  <c r="Z270" i="3"/>
  <c r="AB270" i="3" s="1"/>
  <c r="AO270" i="3" s="1"/>
  <c r="AA270" i="3"/>
  <c r="AC270" i="3" s="1"/>
  <c r="AP270" i="3" s="1"/>
  <c r="Z234" i="3"/>
  <c r="AB234" i="3" s="1"/>
  <c r="AO234" i="3" s="1"/>
  <c r="AA234" i="3"/>
  <c r="AC234" i="3" s="1"/>
  <c r="AP234" i="3" s="1"/>
  <c r="Z213" i="3"/>
  <c r="AB213" i="3" s="1"/>
  <c r="AO213" i="3" s="1"/>
  <c r="AA213" i="3"/>
  <c r="AC213" i="3" s="1"/>
  <c r="AP213" i="3" s="1"/>
  <c r="Z274" i="3"/>
  <c r="AB274" i="3" s="1"/>
  <c r="AO274" i="3" s="1"/>
  <c r="AA274" i="3"/>
  <c r="AC274" i="3" s="1"/>
  <c r="AP274" i="3" s="1"/>
  <c r="Z252" i="3"/>
  <c r="AB252" i="3" s="1"/>
  <c r="AO252" i="3" s="1"/>
  <c r="AA252" i="3"/>
  <c r="AC252" i="3" s="1"/>
  <c r="AP252" i="3" s="1"/>
  <c r="Z255" i="3"/>
  <c r="AB255" i="3" s="1"/>
  <c r="AO255" i="3" s="1"/>
  <c r="AA255" i="3"/>
  <c r="AC255" i="3" s="1"/>
  <c r="AP255" i="3" s="1"/>
  <c r="Z268" i="3"/>
  <c r="AB268" i="3" s="1"/>
  <c r="AO268" i="3" s="1"/>
  <c r="AA268" i="3"/>
  <c r="AC268" i="3" s="1"/>
  <c r="AP268" i="3" s="1"/>
  <c r="AA161" i="3"/>
  <c r="AC161" i="3" s="1"/>
  <c r="AP161" i="3" s="1"/>
  <c r="Z161" i="3"/>
  <c r="AB161" i="3" s="1"/>
  <c r="AO161" i="3" s="1"/>
  <c r="Z186" i="3"/>
  <c r="AB186" i="3" s="1"/>
  <c r="AO186" i="3" s="1"/>
  <c r="AA186" i="3"/>
  <c r="AC186" i="3" s="1"/>
  <c r="AP186" i="3" s="1"/>
  <c r="Z212" i="3"/>
  <c r="AB212" i="3" s="1"/>
  <c r="AO212" i="3" s="1"/>
  <c r="AA212" i="3"/>
  <c r="AC212" i="3" s="1"/>
  <c r="AP212" i="3" s="1"/>
  <c r="Z189" i="3"/>
  <c r="AB189" i="3" s="1"/>
  <c r="AO189" i="3" s="1"/>
  <c r="AA189" i="3"/>
  <c r="AC189" i="3" s="1"/>
  <c r="AP189" i="3" s="1"/>
  <c r="Z127" i="3"/>
  <c r="AB127" i="3" s="1"/>
  <c r="AO127" i="3" s="1"/>
  <c r="AA127" i="3"/>
  <c r="AC127" i="3" s="1"/>
  <c r="AP127" i="3" s="1"/>
  <c r="Z158" i="3"/>
  <c r="AB158" i="3" s="1"/>
  <c r="AO158" i="3" s="1"/>
  <c r="AA158" i="3"/>
  <c r="AC158" i="3" s="1"/>
  <c r="AP158" i="3" s="1"/>
  <c r="AA137" i="3"/>
  <c r="AC137" i="3" s="1"/>
  <c r="AP137" i="3" s="1"/>
  <c r="Z137" i="3"/>
  <c r="AB137" i="3" s="1"/>
  <c r="AO137" i="3" s="1"/>
  <c r="Z142" i="3"/>
  <c r="AB142" i="3" s="1"/>
  <c r="AO142" i="3" s="1"/>
  <c r="AA142" i="3"/>
  <c r="AC142" i="3" s="1"/>
  <c r="AP142" i="3" s="1"/>
  <c r="Z92" i="3"/>
  <c r="AB92" i="3" s="1"/>
  <c r="AO92" i="3" s="1"/>
  <c r="AA92" i="3"/>
  <c r="AC92" i="3" s="1"/>
  <c r="AP92" i="3" s="1"/>
  <c r="Z69" i="3"/>
  <c r="AB69" i="3" s="1"/>
  <c r="AO69" i="3" s="1"/>
  <c r="AA69" i="3"/>
  <c r="AC69" i="3" s="1"/>
  <c r="AP69" i="3" s="1"/>
  <c r="Z43" i="3"/>
  <c r="AB43" i="3" s="1"/>
  <c r="AO43" i="3" s="1"/>
  <c r="AA43" i="3"/>
  <c r="AC43" i="3" s="1"/>
  <c r="AP43" i="3" s="1"/>
  <c r="AA47" i="3"/>
  <c r="AC47" i="3" s="1"/>
  <c r="AP47" i="3" s="1"/>
  <c r="Z47" i="3"/>
  <c r="AB47" i="3" s="1"/>
  <c r="AO47" i="3" s="1"/>
  <c r="AA61" i="3"/>
  <c r="AC61" i="3" s="1"/>
  <c r="AP61" i="3" s="1"/>
  <c r="Z61" i="3"/>
  <c r="AB61" i="3" s="1"/>
  <c r="AO61" i="3" s="1"/>
  <c r="Z99" i="3"/>
  <c r="AB99" i="3" s="1"/>
  <c r="AO99" i="3" s="1"/>
  <c r="AA99" i="3"/>
  <c r="AC99" i="3" s="1"/>
  <c r="AP99" i="3" s="1"/>
  <c r="Z65" i="3"/>
  <c r="AB65" i="3" s="1"/>
  <c r="AO65" i="3" s="1"/>
  <c r="AA65" i="3"/>
  <c r="AC65" i="3" s="1"/>
  <c r="AP65" i="3" s="1"/>
  <c r="Z54" i="3"/>
  <c r="AB54" i="3" s="1"/>
  <c r="AO54" i="3" s="1"/>
  <c r="AA54" i="3"/>
  <c r="AC54" i="3" s="1"/>
  <c r="AP54" i="3" s="1"/>
  <c r="Z45" i="3"/>
  <c r="AB45" i="3" s="1"/>
  <c r="AO45" i="3" s="1"/>
  <c r="AA45" i="3"/>
  <c r="AC45" i="3" s="1"/>
  <c r="AP45" i="3" s="1"/>
  <c r="AA351" i="3"/>
  <c r="AC351" i="3" s="1"/>
  <c r="AP351" i="3" s="1"/>
  <c r="Z351" i="3"/>
  <c r="AB351" i="3" s="1"/>
  <c r="AO351" i="3" s="1"/>
  <c r="AA294" i="3"/>
  <c r="AC294" i="3" s="1"/>
  <c r="AP294" i="3" s="1"/>
  <c r="Z294" i="3"/>
  <c r="AB294" i="3" s="1"/>
  <c r="AO294" i="3" s="1"/>
  <c r="Z313" i="3"/>
  <c r="AB313" i="3" s="1"/>
  <c r="AO313" i="3" s="1"/>
  <c r="AA313" i="3"/>
  <c r="AC313" i="3" s="1"/>
  <c r="AP313" i="3" s="1"/>
  <c r="Z302" i="3"/>
  <c r="AB302" i="3" s="1"/>
  <c r="AO302" i="3" s="1"/>
  <c r="AA302" i="3"/>
  <c r="AC302" i="3" s="1"/>
  <c r="AP302" i="3" s="1"/>
  <c r="Z263" i="3"/>
  <c r="AB263" i="3" s="1"/>
  <c r="AO263" i="3" s="1"/>
  <c r="AA263" i="3"/>
  <c r="AC263" i="3" s="1"/>
  <c r="AP263" i="3" s="1"/>
  <c r="Z241" i="3"/>
  <c r="AB241" i="3" s="1"/>
  <c r="AO241" i="3" s="1"/>
  <c r="AA241" i="3"/>
  <c r="AC241" i="3" s="1"/>
  <c r="AP241" i="3" s="1"/>
  <c r="Z254" i="3"/>
  <c r="AB254" i="3" s="1"/>
  <c r="AO254" i="3" s="1"/>
  <c r="AA254" i="3"/>
  <c r="AC254" i="3" s="1"/>
  <c r="AP254" i="3" s="1"/>
  <c r="Z183" i="3"/>
  <c r="AB183" i="3" s="1"/>
  <c r="AO183" i="3" s="1"/>
  <c r="AA183" i="3"/>
  <c r="AC183" i="3" s="1"/>
  <c r="AP183" i="3" s="1"/>
  <c r="AA209" i="3"/>
  <c r="AC209" i="3" s="1"/>
  <c r="AP209" i="3" s="1"/>
  <c r="Z209" i="3"/>
  <c r="AB209" i="3" s="1"/>
  <c r="AO209" i="3" s="1"/>
  <c r="Z229" i="3"/>
  <c r="AB229" i="3" s="1"/>
  <c r="AO229" i="3" s="1"/>
  <c r="AA229" i="3"/>
  <c r="AC229" i="3" s="1"/>
  <c r="AP229" i="3" s="1"/>
  <c r="AA160" i="3"/>
  <c r="AC160" i="3" s="1"/>
  <c r="AP160" i="3" s="1"/>
  <c r="Z160" i="3"/>
  <c r="AB160" i="3" s="1"/>
  <c r="AO160" i="3" s="1"/>
  <c r="Z162" i="3"/>
  <c r="AB162" i="3" s="1"/>
  <c r="AO162" i="3" s="1"/>
  <c r="AA162" i="3"/>
  <c r="AC162" i="3" s="1"/>
  <c r="AP162" i="3" s="1"/>
  <c r="Z153" i="3"/>
  <c r="AB153" i="3" s="1"/>
  <c r="AO153" i="3" s="1"/>
  <c r="AA153" i="3"/>
  <c r="AC153" i="3" s="1"/>
  <c r="AP153" i="3" s="1"/>
  <c r="Z56" i="3"/>
  <c r="AB56" i="3" s="1"/>
  <c r="AO56" i="3" s="1"/>
  <c r="AA56" i="3"/>
  <c r="AC56" i="3" s="1"/>
  <c r="AP56" i="3" s="1"/>
  <c r="Z95" i="3"/>
  <c r="AB95" i="3" s="1"/>
  <c r="AO95" i="3" s="1"/>
  <c r="AA95" i="3"/>
  <c r="AC95" i="3" s="1"/>
  <c r="AP95" i="3" s="1"/>
  <c r="Z116" i="3"/>
  <c r="AB116" i="3" s="1"/>
  <c r="AO116" i="3" s="1"/>
  <c r="AA116" i="3"/>
  <c r="AC116" i="3" s="1"/>
  <c r="AP116" i="3" s="1"/>
  <c r="AA70" i="3"/>
  <c r="AC70" i="3" s="1"/>
  <c r="AP70" i="3" s="1"/>
  <c r="Z70" i="3"/>
  <c r="AB70" i="3" s="1"/>
  <c r="AO70" i="3" s="1"/>
  <c r="Z120" i="3"/>
  <c r="AB120" i="3" s="1"/>
  <c r="AO120" i="3" s="1"/>
  <c r="AA120" i="3"/>
  <c r="AC120" i="3" s="1"/>
  <c r="AP120" i="3" s="1"/>
  <c r="Z121" i="3"/>
  <c r="AB121" i="3" s="1"/>
  <c r="AO121" i="3" s="1"/>
  <c r="AA121" i="3"/>
  <c r="AC121" i="3" s="1"/>
  <c r="AP121" i="3" s="1"/>
  <c r="Z76" i="3"/>
  <c r="AB76" i="3" s="1"/>
  <c r="AO76" i="3" s="1"/>
  <c r="AA76" i="3"/>
  <c r="AC76" i="3" s="1"/>
  <c r="AP76" i="3" s="1"/>
  <c r="Z86" i="3"/>
  <c r="AB86" i="3" s="1"/>
  <c r="AO86" i="3" s="1"/>
  <c r="AA86" i="3"/>
  <c r="AC86" i="3" s="1"/>
  <c r="AP86" i="3" s="1"/>
  <c r="Z339" i="3"/>
  <c r="AB339" i="3" s="1"/>
  <c r="AO339" i="3" s="1"/>
  <c r="AA339" i="3"/>
  <c r="AC339" i="3" s="1"/>
  <c r="AP339" i="3" s="1"/>
  <c r="AA350" i="3"/>
  <c r="AC350" i="3" s="1"/>
  <c r="AP350" i="3" s="1"/>
  <c r="Z350" i="3"/>
  <c r="AB350" i="3" s="1"/>
  <c r="AO350" i="3" s="1"/>
  <c r="Z332" i="3"/>
  <c r="AB332" i="3" s="1"/>
  <c r="AO332" i="3" s="1"/>
  <c r="AA332" i="3"/>
  <c r="AC332" i="3" s="1"/>
  <c r="AP332" i="3" s="1"/>
  <c r="AA297" i="3"/>
  <c r="AC297" i="3" s="1"/>
  <c r="AP297" i="3" s="1"/>
  <c r="Z297" i="3"/>
  <c r="AB297" i="3" s="1"/>
  <c r="AO297" i="3" s="1"/>
  <c r="AA282" i="3"/>
  <c r="AC282" i="3" s="1"/>
  <c r="AP282" i="3" s="1"/>
  <c r="Z282" i="3"/>
  <c r="AB282" i="3" s="1"/>
  <c r="AO282" i="3" s="1"/>
  <c r="Z324" i="3"/>
  <c r="AB324" i="3" s="1"/>
  <c r="AO324" i="3" s="1"/>
  <c r="AA324" i="3"/>
  <c r="AC324" i="3" s="1"/>
  <c r="AP324" i="3" s="1"/>
  <c r="Z315" i="3"/>
  <c r="AB315" i="3" s="1"/>
  <c r="AO315" i="3" s="1"/>
  <c r="AA315" i="3"/>
  <c r="AC315" i="3" s="1"/>
  <c r="AP315" i="3" s="1"/>
  <c r="Z283" i="3"/>
  <c r="AB283" i="3" s="1"/>
  <c r="AO283" i="3" s="1"/>
  <c r="AA283" i="3"/>
  <c r="AC283" i="3" s="1"/>
  <c r="AP283" i="3" s="1"/>
  <c r="Z258" i="3"/>
  <c r="AB258" i="3" s="1"/>
  <c r="AO258" i="3" s="1"/>
  <c r="AA258" i="3"/>
  <c r="AC258" i="3" s="1"/>
  <c r="AP258" i="3" s="1"/>
  <c r="Z110" i="3"/>
  <c r="AB110" i="3" s="1"/>
  <c r="AO110" i="3" s="1"/>
  <c r="AA110" i="3"/>
  <c r="AC110" i="3" s="1"/>
  <c r="AP110" i="3" s="1"/>
  <c r="Z262" i="3"/>
  <c r="AB262" i="3" s="1"/>
  <c r="AO262" i="3" s="1"/>
  <c r="AA262" i="3"/>
  <c r="AC262" i="3" s="1"/>
  <c r="AP262" i="3" s="1"/>
  <c r="Z236" i="3"/>
  <c r="AB236" i="3" s="1"/>
  <c r="AO236" i="3" s="1"/>
  <c r="AA236" i="3"/>
  <c r="AC236" i="3" s="1"/>
  <c r="AP236" i="3" s="1"/>
  <c r="Z243" i="3"/>
  <c r="AB243" i="3" s="1"/>
  <c r="AO243" i="3" s="1"/>
  <c r="AA243" i="3"/>
  <c r="AC243" i="3" s="1"/>
  <c r="AP243" i="3" s="1"/>
  <c r="Z256" i="3"/>
  <c r="AB256" i="3" s="1"/>
  <c r="AO256" i="3" s="1"/>
  <c r="AA256" i="3"/>
  <c r="AC256" i="3" s="1"/>
  <c r="AP256" i="3" s="1"/>
  <c r="Z200" i="3"/>
  <c r="AB200" i="3" s="1"/>
  <c r="AO200" i="3" s="1"/>
  <c r="AA200" i="3"/>
  <c r="AC200" i="3" s="1"/>
  <c r="AP200" i="3" s="1"/>
  <c r="Z184" i="3"/>
  <c r="AB184" i="3" s="1"/>
  <c r="AO184" i="3" s="1"/>
  <c r="AA184" i="3"/>
  <c r="AC184" i="3" s="1"/>
  <c r="AP184" i="3" s="1"/>
  <c r="AA182" i="3"/>
  <c r="AC182" i="3" s="1"/>
  <c r="AP182" i="3" s="1"/>
  <c r="Z182" i="3"/>
  <c r="AB182" i="3" s="1"/>
  <c r="AO182" i="3" s="1"/>
  <c r="Z146" i="3"/>
  <c r="AB146" i="3" s="1"/>
  <c r="AO146" i="3" s="1"/>
  <c r="AA146" i="3"/>
  <c r="AC146" i="3" s="1"/>
  <c r="AP146" i="3" s="1"/>
  <c r="Z123" i="3"/>
  <c r="AB123" i="3" s="1"/>
  <c r="AO123" i="3" s="1"/>
  <c r="AA123" i="3"/>
  <c r="AC123" i="3" s="1"/>
  <c r="AP123" i="3" s="1"/>
  <c r="Z111" i="3"/>
  <c r="AB111" i="3" s="1"/>
  <c r="AO111" i="3" s="1"/>
  <c r="AA111" i="3"/>
  <c r="AC111" i="3" s="1"/>
  <c r="AP111" i="3" s="1"/>
  <c r="AA113" i="3"/>
  <c r="AC113" i="3" s="1"/>
  <c r="AP113" i="3" s="1"/>
  <c r="Z113" i="3"/>
  <c r="AB113" i="3" s="1"/>
  <c r="AO113" i="3" s="1"/>
  <c r="AA58" i="3"/>
  <c r="AC58" i="3" s="1"/>
  <c r="AP58" i="3" s="1"/>
  <c r="Z58" i="3"/>
  <c r="AB58" i="3" s="1"/>
  <c r="AO58" i="3" s="1"/>
  <c r="Z68" i="3"/>
  <c r="AB68" i="3" s="1"/>
  <c r="AO68" i="3" s="1"/>
  <c r="AA68" i="3"/>
  <c r="AC68" i="3" s="1"/>
  <c r="AP68" i="3" s="1"/>
  <c r="Z131" i="3"/>
  <c r="AB131" i="3" s="1"/>
  <c r="AO131" i="3" s="1"/>
  <c r="AA131" i="3"/>
  <c r="AC131" i="3" s="1"/>
  <c r="AP131" i="3" s="1"/>
  <c r="Z57" i="3"/>
  <c r="AB57" i="3" s="1"/>
  <c r="AO57" i="3" s="1"/>
  <c r="AA57" i="3"/>
  <c r="AC57" i="3" s="1"/>
  <c r="AP57" i="3" s="1"/>
  <c r="Z84" i="3"/>
  <c r="AB84" i="3" s="1"/>
  <c r="AO84" i="3" s="1"/>
  <c r="AA84" i="3"/>
  <c r="AC84" i="3" s="1"/>
  <c r="AP84" i="3" s="1"/>
  <c r="AA49" i="3"/>
  <c r="AC49" i="3" s="1"/>
  <c r="AP49" i="3" s="1"/>
  <c r="Z49" i="3"/>
  <c r="AB49" i="3" s="1"/>
  <c r="AO49" i="3" s="1"/>
  <c r="Z87" i="3"/>
  <c r="AB87" i="3" s="1"/>
  <c r="AO87" i="3" s="1"/>
  <c r="AA87" i="3"/>
  <c r="AC87" i="3" s="1"/>
  <c r="AP87" i="3" s="1"/>
  <c r="Z53" i="3"/>
  <c r="AB53" i="3" s="1"/>
  <c r="AO53" i="3" s="1"/>
  <c r="AA53" i="3"/>
  <c r="AC53" i="3" s="1"/>
  <c r="AP53" i="3" s="1"/>
  <c r="Z42" i="3"/>
  <c r="AB42" i="3" s="1"/>
  <c r="AO42" i="3" s="1"/>
  <c r="AA42" i="3"/>
  <c r="AC42" i="3" s="1"/>
  <c r="AP42" i="3" s="1"/>
  <c r="AA340" i="3"/>
  <c r="AC340" i="3" s="1"/>
  <c r="AP340" i="3" s="1"/>
  <c r="Z340" i="3"/>
  <c r="AB340" i="3" s="1"/>
  <c r="AO340" i="3" s="1"/>
  <c r="AA343" i="3"/>
  <c r="AC343" i="3" s="1"/>
  <c r="AP343" i="3" s="1"/>
  <c r="Z343" i="3"/>
  <c r="AB343" i="3" s="1"/>
  <c r="AO343" i="3" s="1"/>
  <c r="Z318" i="3"/>
  <c r="AB318" i="3" s="1"/>
  <c r="AO318" i="3" s="1"/>
  <c r="AA318" i="3"/>
  <c r="AC318" i="3" s="1"/>
  <c r="AP318" i="3" s="1"/>
  <c r="Z308" i="3"/>
  <c r="AB308" i="3" s="1"/>
  <c r="AO308" i="3" s="1"/>
  <c r="AA308" i="3"/>
  <c r="AC308" i="3" s="1"/>
  <c r="AP308" i="3" s="1"/>
  <c r="Z276" i="3"/>
  <c r="AB276" i="3" s="1"/>
  <c r="AO276" i="3" s="1"/>
  <c r="AA276" i="3"/>
  <c r="AC276" i="3" s="1"/>
  <c r="AP276" i="3" s="1"/>
  <c r="Z301" i="3"/>
  <c r="AB301" i="3" s="1"/>
  <c r="AO301" i="3" s="1"/>
  <c r="AA301" i="3"/>
  <c r="AC301" i="3" s="1"/>
  <c r="AP301" i="3" s="1"/>
  <c r="Z295" i="3"/>
  <c r="AB295" i="3" s="1"/>
  <c r="AO295" i="3" s="1"/>
  <c r="AA295" i="3"/>
  <c r="AC295" i="3" s="1"/>
  <c r="AP295" i="3" s="1"/>
  <c r="Z157" i="3"/>
  <c r="AB157" i="3" s="1"/>
  <c r="AO157" i="3" s="1"/>
  <c r="AA157" i="3"/>
  <c r="AC157" i="3" s="1"/>
  <c r="AP157" i="3" s="1"/>
  <c r="Z261" i="3"/>
  <c r="AB261" i="3" s="1"/>
  <c r="AO261" i="3" s="1"/>
  <c r="AA261" i="3"/>
  <c r="AC261" i="3" s="1"/>
  <c r="AP261" i="3" s="1"/>
  <c r="Z251" i="3"/>
  <c r="AB251" i="3" s="1"/>
  <c r="AO251" i="3" s="1"/>
  <c r="AA251" i="3"/>
  <c r="AC251" i="3" s="1"/>
  <c r="AP251" i="3" s="1"/>
  <c r="Z223" i="3"/>
  <c r="AB223" i="3" s="1"/>
  <c r="AO223" i="3" s="1"/>
  <c r="AA223" i="3"/>
  <c r="AC223" i="3" s="1"/>
  <c r="AP223" i="3" s="1"/>
  <c r="Z242" i="3"/>
  <c r="AB242" i="3" s="1"/>
  <c r="AO242" i="3" s="1"/>
  <c r="AA242" i="3"/>
  <c r="AC242" i="3" s="1"/>
  <c r="AP242" i="3" s="1"/>
  <c r="Z173" i="3"/>
  <c r="AB173" i="3" s="1"/>
  <c r="AO173" i="3" s="1"/>
  <c r="AA173" i="3"/>
  <c r="AC173" i="3" s="1"/>
  <c r="AP173" i="3" s="1"/>
  <c r="AA197" i="3"/>
  <c r="AC197" i="3" s="1"/>
  <c r="AP197" i="3" s="1"/>
  <c r="Z197" i="3"/>
  <c r="AB197" i="3" s="1"/>
  <c r="AO197" i="3" s="1"/>
  <c r="Z211" i="3"/>
  <c r="AB211" i="3" s="1"/>
  <c r="AO211" i="3" s="1"/>
  <c r="AA211" i="3"/>
  <c r="AC211" i="3" s="1"/>
  <c r="AP211" i="3" s="1"/>
  <c r="AA239" i="3"/>
  <c r="AC239" i="3" s="1"/>
  <c r="AP239" i="3" s="1"/>
  <c r="Z239" i="3"/>
  <c r="AB239" i="3" s="1"/>
  <c r="AO239" i="3" s="1"/>
  <c r="Z170" i="3"/>
  <c r="AB170" i="3" s="1"/>
  <c r="AO170" i="3" s="1"/>
  <c r="AA170" i="3"/>
  <c r="AC170" i="3" s="1"/>
  <c r="AP170" i="3" s="1"/>
  <c r="Z217" i="3"/>
  <c r="AB217" i="3" s="1"/>
  <c r="AO217" i="3" s="1"/>
  <c r="AA217" i="3"/>
  <c r="AC217" i="3" s="1"/>
  <c r="AP217" i="3" s="1"/>
  <c r="AA148" i="3"/>
  <c r="AC148" i="3" s="1"/>
  <c r="AP148" i="3" s="1"/>
  <c r="Z148" i="3"/>
  <c r="AB148" i="3" s="1"/>
  <c r="AO148" i="3" s="1"/>
  <c r="Z150" i="3"/>
  <c r="AB150" i="3" s="1"/>
  <c r="AO150" i="3" s="1"/>
  <c r="AA150" i="3"/>
  <c r="AC150" i="3" s="1"/>
  <c r="AP150" i="3" s="1"/>
  <c r="Z124" i="3"/>
  <c r="AB124" i="3" s="1"/>
  <c r="AO124" i="3" s="1"/>
  <c r="AA124" i="3"/>
  <c r="AC124" i="3" s="1"/>
  <c r="AP124" i="3" s="1"/>
  <c r="Z141" i="3"/>
  <c r="AB141" i="3" s="1"/>
  <c r="AO141" i="3" s="1"/>
  <c r="AA141" i="3"/>
  <c r="AC141" i="3" s="1"/>
  <c r="AP141" i="3" s="1"/>
  <c r="Z122" i="3"/>
  <c r="AB122" i="3" s="1"/>
  <c r="AO122" i="3" s="1"/>
  <c r="AA122" i="3"/>
  <c r="AC122" i="3" s="1"/>
  <c r="AP122" i="3" s="1"/>
  <c r="Z180" i="3"/>
  <c r="AB180" i="3" s="1"/>
  <c r="AO180" i="3" s="1"/>
  <c r="AA180" i="3"/>
  <c r="AC180" i="3" s="1"/>
  <c r="AP180" i="3" s="1"/>
  <c r="Z104" i="3"/>
  <c r="AB104" i="3" s="1"/>
  <c r="AO104" i="3" s="1"/>
  <c r="AA104" i="3"/>
  <c r="AC104" i="3" s="1"/>
  <c r="AP104" i="3" s="1"/>
  <c r="Z108" i="3"/>
  <c r="AB108" i="3" s="1"/>
  <c r="AO108" i="3" s="1"/>
  <c r="AA108" i="3"/>
  <c r="AC108" i="3" s="1"/>
  <c r="AP108" i="3" s="1"/>
  <c r="Z109" i="3"/>
  <c r="AB109" i="3" s="1"/>
  <c r="AO109" i="3" s="1"/>
  <c r="AA109" i="3"/>
  <c r="AC109" i="3" s="1"/>
  <c r="AP109" i="3" s="1"/>
  <c r="Z64" i="3"/>
  <c r="AB64" i="3" s="1"/>
  <c r="AO64" i="3" s="1"/>
  <c r="AA64" i="3"/>
  <c r="AC64" i="3" s="1"/>
  <c r="AP64" i="3" s="1"/>
  <c r="Z179" i="65"/>
  <c r="AB179" i="65" s="1"/>
  <c r="AO179" i="65" s="1"/>
  <c r="AC179" i="65"/>
  <c r="AP179" i="65" s="1"/>
  <c r="Z173" i="65"/>
  <c r="AB173" i="65" s="1"/>
  <c r="AO173" i="65" s="1"/>
  <c r="AC173" i="65"/>
  <c r="AP173" i="65" s="1"/>
  <c r="AC74" i="65"/>
  <c r="AP74" i="65" s="1"/>
  <c r="Z74" i="65"/>
  <c r="AB74" i="65" s="1"/>
  <c r="AO74" i="65" s="1"/>
  <c r="Z136" i="65"/>
  <c r="AB136" i="65" s="1"/>
  <c r="AO136" i="65" s="1"/>
  <c r="AC136" i="65"/>
  <c r="AP136" i="65" s="1"/>
  <c r="Z157" i="65"/>
  <c r="AB157" i="65" s="1"/>
  <c r="AO157" i="65" s="1"/>
  <c r="AC157" i="65"/>
  <c r="AP157" i="65" s="1"/>
  <c r="Z122" i="65"/>
  <c r="AB122" i="65" s="1"/>
  <c r="AO122" i="65" s="1"/>
  <c r="AC122" i="65"/>
  <c r="AP122" i="65" s="1"/>
  <c r="Z137" i="65"/>
  <c r="AB137" i="65" s="1"/>
  <c r="AO137" i="65" s="1"/>
  <c r="AC137" i="65"/>
  <c r="AP137" i="65" s="1"/>
  <c r="Z106" i="65"/>
  <c r="AB106" i="65" s="1"/>
  <c r="AO106" i="65" s="1"/>
  <c r="AC106" i="65"/>
  <c r="AP106" i="65" s="1"/>
  <c r="Z70" i="65"/>
  <c r="AB70" i="65" s="1"/>
  <c r="AO70" i="65" s="1"/>
  <c r="AC70" i="65"/>
  <c r="AP70" i="65" s="1"/>
  <c r="Z93" i="65"/>
  <c r="AB93" i="65" s="1"/>
  <c r="AO93" i="65" s="1"/>
  <c r="AC93" i="65"/>
  <c r="AP93" i="65" s="1"/>
  <c r="Z19" i="65"/>
  <c r="AB19" i="65" s="1"/>
  <c r="AO19" i="65" s="1"/>
  <c r="AC19" i="65"/>
  <c r="AP19" i="65" s="1"/>
  <c r="Z21" i="65"/>
  <c r="AB21" i="65" s="1"/>
  <c r="AO21" i="65" s="1"/>
  <c r="AC21" i="65"/>
  <c r="AP21" i="65" s="1"/>
  <c r="Z10" i="65"/>
  <c r="AB10" i="65" s="1"/>
  <c r="AO10" i="65" s="1"/>
  <c r="AC10" i="65"/>
  <c r="AP10" i="65" s="1"/>
  <c r="Z171" i="65"/>
  <c r="AB171" i="65" s="1"/>
  <c r="AO171" i="65" s="1"/>
  <c r="AC171" i="65"/>
  <c r="AP171" i="65" s="1"/>
  <c r="Z149" i="65"/>
  <c r="AB149" i="65" s="1"/>
  <c r="AO149" i="65" s="1"/>
  <c r="AC149" i="65"/>
  <c r="AP149" i="65" s="1"/>
  <c r="Z165" i="65"/>
  <c r="AB165" i="65" s="1"/>
  <c r="AO165" i="65" s="1"/>
  <c r="AC165" i="65"/>
  <c r="AP165" i="65" s="1"/>
  <c r="AC131" i="65"/>
  <c r="AP131" i="65" s="1"/>
  <c r="Z131" i="65"/>
  <c r="AB131" i="65" s="1"/>
  <c r="AO131" i="65" s="1"/>
  <c r="Z168" i="65"/>
  <c r="AB168" i="65" s="1"/>
  <c r="AO168" i="65" s="1"/>
  <c r="AC168" i="65"/>
  <c r="AP168" i="65" s="1"/>
  <c r="Z107" i="65"/>
  <c r="AB107" i="65" s="1"/>
  <c r="AO107" i="65" s="1"/>
  <c r="AC107" i="65"/>
  <c r="AP107" i="65" s="1"/>
  <c r="Z111" i="65"/>
  <c r="AB111" i="65" s="1"/>
  <c r="AO111" i="65" s="1"/>
  <c r="AC111" i="65"/>
  <c r="AP111" i="65" s="1"/>
  <c r="Z114" i="65"/>
  <c r="AB114" i="65" s="1"/>
  <c r="AO114" i="65" s="1"/>
  <c r="AC114" i="65"/>
  <c r="AP114" i="65" s="1"/>
  <c r="Z90" i="65"/>
  <c r="AB90" i="65" s="1"/>
  <c r="AO90" i="65" s="1"/>
  <c r="AC90" i="65"/>
  <c r="AP90" i="65" s="1"/>
  <c r="Z53" i="65"/>
  <c r="AB53" i="65" s="1"/>
  <c r="AO53" i="65" s="1"/>
  <c r="AC53" i="65"/>
  <c r="AP53" i="65" s="1"/>
  <c r="Z91" i="65"/>
  <c r="AB91" i="65" s="1"/>
  <c r="AO91" i="65" s="1"/>
  <c r="AC91" i="65"/>
  <c r="AP91" i="65" s="1"/>
  <c r="Z30" i="65"/>
  <c r="AB30" i="65" s="1"/>
  <c r="AO30" i="65" s="1"/>
  <c r="AC30" i="65"/>
  <c r="AP30" i="65" s="1"/>
  <c r="AC59" i="65"/>
  <c r="AP59" i="65" s="1"/>
  <c r="Z59" i="65"/>
  <c r="AB59" i="65" s="1"/>
  <c r="AO59" i="65" s="1"/>
  <c r="Z36" i="65"/>
  <c r="AB36" i="65" s="1"/>
  <c r="AO36" i="65" s="1"/>
  <c r="AC36" i="65"/>
  <c r="AP36" i="65" s="1"/>
  <c r="Z38" i="65"/>
  <c r="AB38" i="65" s="1"/>
  <c r="AO38" i="65" s="1"/>
  <c r="AC38" i="65"/>
  <c r="AP38" i="65" s="1"/>
  <c r="Z15" i="65"/>
  <c r="AB15" i="65" s="1"/>
  <c r="AO15" i="65" s="1"/>
  <c r="AC15" i="65"/>
  <c r="AP15" i="65" s="1"/>
  <c r="AC162" i="65"/>
  <c r="AP162" i="65" s="1"/>
  <c r="Z162" i="65"/>
  <c r="AB162" i="65" s="1"/>
  <c r="AO162" i="65" s="1"/>
  <c r="Z181" i="65"/>
  <c r="AB181" i="65" s="1"/>
  <c r="AO181" i="65" s="1"/>
  <c r="AC181" i="65"/>
  <c r="AP181" i="65" s="1"/>
  <c r="Z135" i="65"/>
  <c r="AB135" i="65" s="1"/>
  <c r="AO135" i="65" s="1"/>
  <c r="AC135" i="65"/>
  <c r="AP135" i="65" s="1"/>
  <c r="Z145" i="65"/>
  <c r="AB145" i="65" s="1"/>
  <c r="AO145" i="65" s="1"/>
  <c r="AC145" i="65"/>
  <c r="AP145" i="65" s="1"/>
  <c r="Z130" i="65"/>
  <c r="AB130" i="65" s="1"/>
  <c r="AO130" i="65" s="1"/>
  <c r="AC130" i="65"/>
  <c r="AP130" i="65" s="1"/>
  <c r="AC120" i="65"/>
  <c r="AP120" i="65" s="1"/>
  <c r="Z120" i="65"/>
  <c r="AB120" i="65" s="1"/>
  <c r="AO120" i="65" s="1"/>
  <c r="Z110" i="65"/>
  <c r="AB110" i="65" s="1"/>
  <c r="AO110" i="65" s="1"/>
  <c r="AC110" i="65"/>
  <c r="AP110" i="65" s="1"/>
  <c r="Z125" i="65"/>
  <c r="AB125" i="65" s="1"/>
  <c r="AO125" i="65" s="1"/>
  <c r="AC125" i="65"/>
  <c r="AP125" i="65" s="1"/>
  <c r="Z86" i="65"/>
  <c r="AB86" i="65" s="1"/>
  <c r="AO86" i="65" s="1"/>
  <c r="AC86" i="65"/>
  <c r="AP86" i="65" s="1"/>
  <c r="Z64" i="65"/>
  <c r="AB64" i="65" s="1"/>
  <c r="AO64" i="65" s="1"/>
  <c r="AC64" i="65"/>
  <c r="AP64" i="65" s="1"/>
  <c r="Z75" i="65"/>
  <c r="AB75" i="65" s="1"/>
  <c r="AO75" i="65" s="1"/>
  <c r="AC75" i="65"/>
  <c r="AP75" i="65" s="1"/>
  <c r="Z81" i="65"/>
  <c r="AB81" i="65" s="1"/>
  <c r="AO81" i="65" s="1"/>
  <c r="AC81" i="65"/>
  <c r="AP81" i="65" s="1"/>
  <c r="Z8" i="65"/>
  <c r="AB8" i="65" s="1"/>
  <c r="AO8" i="65" s="1"/>
  <c r="AC8" i="65"/>
  <c r="AP8" i="65" s="1"/>
  <c r="Z9" i="65"/>
  <c r="AB9" i="65" s="1"/>
  <c r="AO9" i="65" s="1"/>
  <c r="AC9" i="65"/>
  <c r="AP9" i="65" s="1"/>
  <c r="Z161" i="65"/>
  <c r="AB161" i="65" s="1"/>
  <c r="AO161" i="65" s="1"/>
  <c r="AC161" i="65"/>
  <c r="AP161" i="65" s="1"/>
  <c r="Z134" i="65"/>
  <c r="AB134" i="65" s="1"/>
  <c r="AO134" i="65" s="1"/>
  <c r="AC134" i="65"/>
  <c r="AP134" i="65" s="1"/>
  <c r="Z153" i="65"/>
  <c r="AB153" i="65" s="1"/>
  <c r="AO153" i="65" s="1"/>
  <c r="AC153" i="65"/>
  <c r="AP153" i="65" s="1"/>
  <c r="Z167" i="65"/>
  <c r="AB167" i="65" s="1"/>
  <c r="AO167" i="65" s="1"/>
  <c r="AC167" i="65"/>
  <c r="AP167" i="65" s="1"/>
  <c r="Z156" i="65"/>
  <c r="AB156" i="65" s="1"/>
  <c r="AO156" i="65" s="1"/>
  <c r="AC156" i="65"/>
  <c r="AP156" i="65" s="1"/>
  <c r="Z101" i="65"/>
  <c r="AB101" i="65" s="1"/>
  <c r="AO101" i="65" s="1"/>
  <c r="AC101" i="65"/>
  <c r="AP101" i="65" s="1"/>
  <c r="Z128" i="65"/>
  <c r="AB128" i="65" s="1"/>
  <c r="AO128" i="65" s="1"/>
  <c r="AC128" i="65"/>
  <c r="AP128" i="65" s="1"/>
  <c r="Z54" i="65"/>
  <c r="AB54" i="65" s="1"/>
  <c r="AO54" i="65" s="1"/>
  <c r="AC54" i="65"/>
  <c r="AP54" i="65" s="1"/>
  <c r="Z25" i="65"/>
  <c r="AB25" i="65" s="1"/>
  <c r="AO25" i="65" s="1"/>
  <c r="AC25" i="65"/>
  <c r="AP25" i="65" s="1"/>
  <c r="Z78" i="65"/>
  <c r="AB78" i="65" s="1"/>
  <c r="AO78" i="65" s="1"/>
  <c r="AC78" i="65"/>
  <c r="AP78" i="65" s="1"/>
  <c r="AC79" i="65"/>
  <c r="AP79" i="65" s="1"/>
  <c r="Z79" i="65"/>
  <c r="AB79" i="65" s="1"/>
  <c r="AO79" i="65" s="1"/>
  <c r="Z18" i="65"/>
  <c r="AB18" i="65" s="1"/>
  <c r="AO18" i="65" s="1"/>
  <c r="AC18" i="65"/>
  <c r="AP18" i="65" s="1"/>
  <c r="Z47" i="65"/>
  <c r="AB47" i="65" s="1"/>
  <c r="AO47" i="65" s="1"/>
  <c r="AC47" i="65"/>
  <c r="AP47" i="65" s="1"/>
  <c r="Z24" i="65"/>
  <c r="AB24" i="65" s="1"/>
  <c r="AO24" i="65" s="1"/>
  <c r="AC24" i="65"/>
  <c r="AP24" i="65" s="1"/>
  <c r="Z26" i="65"/>
  <c r="AB26" i="65" s="1"/>
  <c r="AO26" i="65" s="1"/>
  <c r="AC26" i="65"/>
  <c r="AP26" i="65" s="1"/>
  <c r="Z147" i="65"/>
  <c r="AB147" i="65" s="1"/>
  <c r="AO147" i="65" s="1"/>
  <c r="AC147" i="65"/>
  <c r="AP147" i="65" s="1"/>
  <c r="Z132" i="65"/>
  <c r="AB132" i="65" s="1"/>
  <c r="AO132" i="65" s="1"/>
  <c r="AC132" i="65"/>
  <c r="AP132" i="65" s="1"/>
  <c r="Z140" i="65"/>
  <c r="AB140" i="65" s="1"/>
  <c r="AO140" i="65" s="1"/>
  <c r="AC140" i="65"/>
  <c r="AP140" i="65" s="1"/>
  <c r="AC108" i="65"/>
  <c r="AP108" i="65" s="1"/>
  <c r="Z108" i="65"/>
  <c r="AB108" i="65" s="1"/>
  <c r="AO108" i="65" s="1"/>
  <c r="Z87" i="65"/>
  <c r="AB87" i="65" s="1"/>
  <c r="AO87" i="65" s="1"/>
  <c r="AC87" i="65"/>
  <c r="AP87" i="65" s="1"/>
  <c r="Z113" i="65"/>
  <c r="AB113" i="65" s="1"/>
  <c r="AO113" i="65" s="1"/>
  <c r="AC113" i="65"/>
  <c r="AP113" i="65" s="1"/>
  <c r="Z102" i="65"/>
  <c r="AB102" i="65" s="1"/>
  <c r="AO102" i="65" s="1"/>
  <c r="AC102" i="65"/>
  <c r="AP102" i="65" s="1"/>
  <c r="Z45" i="65"/>
  <c r="AB45" i="65" s="1"/>
  <c r="AO45" i="65" s="1"/>
  <c r="AC45" i="65"/>
  <c r="AP45" i="65" s="1"/>
  <c r="Z13" i="65"/>
  <c r="AB13" i="65" s="1"/>
  <c r="AO13" i="65" s="1"/>
  <c r="AC13" i="65"/>
  <c r="AP13" i="65" s="1"/>
  <c r="AC52" i="65"/>
  <c r="AP52" i="65" s="1"/>
  <c r="Z52" i="65"/>
  <c r="AB52" i="65" s="1"/>
  <c r="AO52" i="65" s="1"/>
  <c r="Z69" i="65"/>
  <c r="AB69" i="65" s="1"/>
  <c r="AO69" i="65" s="1"/>
  <c r="AC69" i="65"/>
  <c r="AP69" i="65" s="1"/>
  <c r="AC44" i="65"/>
  <c r="AP44" i="65" s="1"/>
  <c r="Z44" i="65"/>
  <c r="AB44" i="65" s="1"/>
  <c r="AO44" i="65" s="1"/>
  <c r="Z58" i="65"/>
  <c r="AB58" i="65" s="1"/>
  <c r="AO58" i="65" s="1"/>
  <c r="AC58" i="65"/>
  <c r="AP58" i="65" s="1"/>
  <c r="AC172" i="65"/>
  <c r="AP172" i="65" s="1"/>
  <c r="Z172" i="65"/>
  <c r="AB172" i="65" s="1"/>
  <c r="AO172" i="65" s="1"/>
  <c r="Z118" i="65"/>
  <c r="AB118" i="65" s="1"/>
  <c r="AO118" i="65" s="1"/>
  <c r="AC118" i="65"/>
  <c r="AP118" i="65" s="1"/>
  <c r="Z155" i="65"/>
  <c r="AB155" i="65" s="1"/>
  <c r="AO155" i="65" s="1"/>
  <c r="AC155" i="65"/>
  <c r="AP155" i="65" s="1"/>
  <c r="Z144" i="65"/>
  <c r="AB144" i="65" s="1"/>
  <c r="AO144" i="65" s="1"/>
  <c r="AC144" i="65"/>
  <c r="AP144" i="65" s="1"/>
  <c r="Z104" i="65"/>
  <c r="AB104" i="65" s="1"/>
  <c r="AO104" i="65" s="1"/>
  <c r="AC104" i="65"/>
  <c r="AP104" i="65" s="1"/>
  <c r="AC83" i="65"/>
  <c r="AP83" i="65" s="1"/>
  <c r="Z83" i="65"/>
  <c r="AB83" i="65" s="1"/>
  <c r="AO83" i="65" s="1"/>
  <c r="Z116" i="65"/>
  <c r="AB116" i="65" s="1"/>
  <c r="AO116" i="65" s="1"/>
  <c r="AC116" i="65"/>
  <c r="AP116" i="65" s="1"/>
  <c r="Z84" i="65"/>
  <c r="AB84" i="65" s="1"/>
  <c r="AO84" i="65" s="1"/>
  <c r="AC84" i="65"/>
  <c r="AP84" i="65" s="1"/>
  <c r="AC97" i="65"/>
  <c r="AP97" i="65" s="1"/>
  <c r="Z97" i="65"/>
  <c r="AB97" i="65" s="1"/>
  <c r="AO97" i="65" s="1"/>
  <c r="Z76" i="65"/>
  <c r="AB76" i="65" s="1"/>
  <c r="AO76" i="65" s="1"/>
  <c r="AC76" i="65"/>
  <c r="AP76" i="65" s="1"/>
  <c r="Z67" i="65"/>
  <c r="AB67" i="65" s="1"/>
  <c r="AO67" i="65" s="1"/>
  <c r="AC67" i="65"/>
  <c r="AP67" i="65" s="1"/>
  <c r="Z29" i="65"/>
  <c r="AB29" i="65" s="1"/>
  <c r="AO29" i="65" s="1"/>
  <c r="AC29" i="65"/>
  <c r="AP29" i="65" s="1"/>
  <c r="Z35" i="65"/>
  <c r="AB35" i="65" s="1"/>
  <c r="AO35" i="65" s="1"/>
  <c r="AC35" i="65"/>
  <c r="AP35" i="65" s="1"/>
  <c r="Z12" i="65"/>
  <c r="AB12" i="65" s="1"/>
  <c r="AO12" i="65" s="1"/>
  <c r="AC12" i="65"/>
  <c r="AP12" i="65" s="1"/>
  <c r="Z14" i="65"/>
  <c r="AB14" i="65" s="1"/>
  <c r="AO14" i="65" s="1"/>
  <c r="AC14" i="65"/>
  <c r="AP14" i="65" s="1"/>
  <c r="Z164" i="65"/>
  <c r="AB164" i="65" s="1"/>
  <c r="AO164" i="65" s="1"/>
  <c r="AC164" i="65"/>
  <c r="AP164" i="65" s="1"/>
  <c r="Z117" i="65"/>
  <c r="AB117" i="65" s="1"/>
  <c r="AO117" i="65" s="1"/>
  <c r="AC117" i="65"/>
  <c r="AP117" i="65" s="1"/>
  <c r="AC95" i="65"/>
  <c r="AP95" i="65" s="1"/>
  <c r="Z95" i="65"/>
  <c r="AB95" i="65" s="1"/>
  <c r="AO95" i="65" s="1"/>
  <c r="AC100" i="65"/>
  <c r="AP100" i="65" s="1"/>
  <c r="Z100" i="65"/>
  <c r="AB100" i="65" s="1"/>
  <c r="AO100" i="65" s="1"/>
  <c r="Z98" i="65"/>
  <c r="AB98" i="65" s="1"/>
  <c r="AO98" i="65" s="1"/>
  <c r="AC98" i="65"/>
  <c r="AP98" i="65" s="1"/>
  <c r="AC112" i="65"/>
  <c r="AP112" i="65" s="1"/>
  <c r="Z112" i="65"/>
  <c r="AB112" i="65" s="1"/>
  <c r="AO112" i="65" s="1"/>
  <c r="Z92" i="65"/>
  <c r="AB92" i="65" s="1"/>
  <c r="AO92" i="65" s="1"/>
  <c r="AC92" i="65"/>
  <c r="AP92" i="65" s="1"/>
  <c r="Z49" i="65"/>
  <c r="AB49" i="65" s="1"/>
  <c r="AO49" i="65" s="1"/>
  <c r="AC49" i="65"/>
  <c r="AP49" i="65" s="1"/>
  <c r="Z55" i="65"/>
  <c r="AB55" i="65" s="1"/>
  <c r="AO55" i="65" s="1"/>
  <c r="AC55" i="65"/>
  <c r="AP55" i="65" s="1"/>
  <c r="AC32" i="65"/>
  <c r="AP32" i="65" s="1"/>
  <c r="Z32" i="65"/>
  <c r="AB32" i="65" s="1"/>
  <c r="AO32" i="65" s="1"/>
  <c r="Z46" i="65"/>
  <c r="AB46" i="65" s="1"/>
  <c r="AO46" i="65" s="1"/>
  <c r="AC46" i="65"/>
  <c r="AP46" i="65" s="1"/>
  <c r="AC40" i="65"/>
  <c r="AP40" i="65" s="1"/>
  <c r="Z40" i="65"/>
  <c r="AB40" i="65" s="1"/>
  <c r="AO40" i="65" s="1"/>
  <c r="Z159" i="65"/>
  <c r="AB159" i="65" s="1"/>
  <c r="AO159" i="65" s="1"/>
  <c r="AC159" i="65"/>
  <c r="AP159" i="65" s="1"/>
  <c r="Z148" i="65"/>
  <c r="AB148" i="65" s="1"/>
  <c r="AO148" i="65" s="1"/>
  <c r="AC148" i="65"/>
  <c r="AP148" i="65" s="1"/>
  <c r="Z166" i="65"/>
  <c r="AB166" i="65" s="1"/>
  <c r="AO166" i="65" s="1"/>
  <c r="AC166" i="65"/>
  <c r="AP166" i="65" s="1"/>
  <c r="AC150" i="65"/>
  <c r="AP150" i="65" s="1"/>
  <c r="Z150" i="65"/>
  <c r="AB150" i="65" s="1"/>
  <c r="AO150" i="65" s="1"/>
  <c r="Z143" i="65"/>
  <c r="AB143" i="65" s="1"/>
  <c r="AO143" i="65" s="1"/>
  <c r="AC143" i="65"/>
  <c r="AP143" i="65" s="1"/>
  <c r="Z133" i="65"/>
  <c r="AB133" i="65" s="1"/>
  <c r="AO133" i="65" s="1"/>
  <c r="AC133" i="65"/>
  <c r="AP133" i="65" s="1"/>
  <c r="Z170" i="65"/>
  <c r="AB170" i="65" s="1"/>
  <c r="AO170" i="65" s="1"/>
  <c r="AC170" i="65"/>
  <c r="AP170" i="65" s="1"/>
  <c r="Z109" i="65"/>
  <c r="AB109" i="65" s="1"/>
  <c r="AO109" i="65" s="1"/>
  <c r="AC109" i="65"/>
  <c r="AP109" i="65" s="1"/>
  <c r="Z96" i="65"/>
  <c r="AB96" i="65" s="1"/>
  <c r="AO96" i="65" s="1"/>
  <c r="AC96" i="65"/>
  <c r="AP96" i="65" s="1"/>
  <c r="Z82" i="65"/>
  <c r="AB82" i="65" s="1"/>
  <c r="AO82" i="65" s="1"/>
  <c r="AC82" i="65"/>
  <c r="AP82" i="65" s="1"/>
  <c r="Z72" i="65"/>
  <c r="AB72" i="65" s="1"/>
  <c r="AO72" i="65" s="1"/>
  <c r="AC72" i="65"/>
  <c r="AP72" i="65" s="1"/>
  <c r="AC85" i="65"/>
  <c r="AP85" i="65" s="1"/>
  <c r="Z85" i="65"/>
  <c r="AB85" i="65" s="1"/>
  <c r="AO85" i="65" s="1"/>
  <c r="AC66" i="65"/>
  <c r="AP66" i="65" s="1"/>
  <c r="Z66" i="65"/>
  <c r="AB66" i="65" s="1"/>
  <c r="AO66" i="65" s="1"/>
  <c r="Z41" i="65"/>
  <c r="AB41" i="65" s="1"/>
  <c r="AO41" i="65" s="1"/>
  <c r="AC41" i="65"/>
  <c r="AP41" i="65" s="1"/>
  <c r="Z17" i="65"/>
  <c r="AB17" i="65" s="1"/>
  <c r="AO17" i="65" s="1"/>
  <c r="AC17" i="65"/>
  <c r="AP17" i="65" s="1"/>
  <c r="Z23" i="65"/>
  <c r="AB23" i="65" s="1"/>
  <c r="AO23" i="65" s="1"/>
  <c r="AC23" i="65"/>
  <c r="AP23" i="65" s="1"/>
  <c r="Z51" i="65"/>
  <c r="AB51" i="65" s="1"/>
  <c r="AO51" i="65" s="1"/>
  <c r="AC51" i="65"/>
  <c r="AP51" i="65" s="1"/>
  <c r="Z152" i="65"/>
  <c r="AB152" i="65" s="1"/>
  <c r="AO152" i="65" s="1"/>
  <c r="AC152" i="65"/>
  <c r="AP152" i="65" s="1"/>
  <c r="Z154" i="65"/>
  <c r="AB154" i="65" s="1"/>
  <c r="AO154" i="65" s="1"/>
  <c r="AC154" i="65"/>
  <c r="AP154" i="65" s="1"/>
  <c r="Z121" i="65"/>
  <c r="AB121" i="65" s="1"/>
  <c r="AO121" i="65" s="1"/>
  <c r="AC121" i="65"/>
  <c r="AP121" i="65" s="1"/>
  <c r="AC127" i="65"/>
  <c r="AP127" i="65" s="1"/>
  <c r="Z127" i="65"/>
  <c r="AB127" i="65" s="1"/>
  <c r="AO127" i="65" s="1"/>
  <c r="Z99" i="65"/>
  <c r="AB99" i="65" s="1"/>
  <c r="AO99" i="65" s="1"/>
  <c r="AC99" i="65"/>
  <c r="AP99" i="65" s="1"/>
  <c r="AC63" i="65"/>
  <c r="AP63" i="65" s="1"/>
  <c r="Z63" i="65"/>
  <c r="AB63" i="65" s="1"/>
  <c r="AO63" i="65" s="1"/>
  <c r="Z43" i="65"/>
  <c r="AB43" i="65" s="1"/>
  <c r="AO43" i="65" s="1"/>
  <c r="AC43" i="65"/>
  <c r="AP43" i="65" s="1"/>
  <c r="AC20" i="65"/>
  <c r="AP20" i="65" s="1"/>
  <c r="Z20" i="65"/>
  <c r="AB20" i="65" s="1"/>
  <c r="AO20" i="65" s="1"/>
  <c r="Z34" i="65"/>
  <c r="AB34" i="65" s="1"/>
  <c r="AO34" i="65" s="1"/>
  <c r="AC34" i="65"/>
  <c r="AP34" i="65" s="1"/>
  <c r="Z5" i="65"/>
  <c r="AB5" i="65" s="1"/>
  <c r="AO5" i="65" s="1"/>
  <c r="AC5" i="65"/>
  <c r="AP5" i="65" s="1"/>
  <c r="AC28" i="65"/>
  <c r="AP28" i="65" s="1"/>
  <c r="Z28" i="65"/>
  <c r="AB28" i="65" s="1"/>
  <c r="AO28" i="65" s="1"/>
  <c r="AC174" i="65"/>
  <c r="AP174" i="65" s="1"/>
  <c r="Z174" i="65"/>
  <c r="AB174" i="65" s="1"/>
  <c r="AO174" i="65" s="1"/>
  <c r="Z175" i="65"/>
  <c r="AB175" i="65" s="1"/>
  <c r="AO175" i="65" s="1"/>
  <c r="AC175" i="65"/>
  <c r="AP175" i="65" s="1"/>
  <c r="Z141" i="65"/>
  <c r="AB141" i="65" s="1"/>
  <c r="AO141" i="65" s="1"/>
  <c r="AC141" i="65"/>
  <c r="AP141" i="65" s="1"/>
  <c r="Z158" i="65"/>
  <c r="AB158" i="65" s="1"/>
  <c r="AO158" i="65" s="1"/>
  <c r="AC158" i="65"/>
  <c r="AP158" i="65" s="1"/>
  <c r="Z56" i="65"/>
  <c r="AB56" i="65" s="1"/>
  <c r="AO56" i="65" s="1"/>
  <c r="AC56" i="65"/>
  <c r="AP56" i="65" s="1"/>
  <c r="AC89" i="65"/>
  <c r="AP89" i="65" s="1"/>
  <c r="Z89" i="65"/>
  <c r="AB89" i="65" s="1"/>
  <c r="AO89" i="65" s="1"/>
  <c r="Z138" i="65"/>
  <c r="AB138" i="65" s="1"/>
  <c r="AO138" i="65" s="1"/>
  <c r="AC138" i="65"/>
  <c r="AP138" i="65" s="1"/>
  <c r="AC73" i="65"/>
  <c r="AP73" i="65" s="1"/>
  <c r="Z73" i="65"/>
  <c r="AB73" i="65" s="1"/>
  <c r="AO73" i="65" s="1"/>
  <c r="Z61" i="65"/>
  <c r="AB61" i="65" s="1"/>
  <c r="AO61" i="65" s="1"/>
  <c r="AC61" i="65"/>
  <c r="AP61" i="65" s="1"/>
  <c r="Z57" i="65"/>
  <c r="AB57" i="65" s="1"/>
  <c r="AO57" i="65" s="1"/>
  <c r="AC57" i="65"/>
  <c r="AP57" i="65" s="1"/>
  <c r="Z7" i="65"/>
  <c r="AB7" i="65" s="1"/>
  <c r="AO7" i="65" s="1"/>
  <c r="AC7" i="65"/>
  <c r="AP7" i="65" s="1"/>
  <c r="Z11" i="65"/>
  <c r="AB11" i="65" s="1"/>
  <c r="AO11" i="65" s="1"/>
  <c r="AC11" i="65"/>
  <c r="AP11" i="65" s="1"/>
  <c r="AC62" i="65"/>
  <c r="AP62" i="65" s="1"/>
  <c r="Z62" i="65"/>
  <c r="AB62" i="65" s="1"/>
  <c r="AO62" i="65" s="1"/>
  <c r="Z39" i="65"/>
  <c r="AB39" i="65" s="1"/>
  <c r="AO39" i="65" s="1"/>
  <c r="AC39" i="65"/>
  <c r="AP39" i="65" s="1"/>
  <c r="Z163" i="65"/>
  <c r="AB163" i="65" s="1"/>
  <c r="AO163" i="65" s="1"/>
  <c r="AC163" i="65"/>
  <c r="AP163" i="65" s="1"/>
  <c r="Z160" i="65"/>
  <c r="AB160" i="65" s="1"/>
  <c r="AO160" i="65" s="1"/>
  <c r="AC160" i="65"/>
  <c r="AP160" i="65" s="1"/>
  <c r="AC124" i="65"/>
  <c r="AP124" i="65" s="1"/>
  <c r="Z124" i="65"/>
  <c r="AB124" i="65" s="1"/>
  <c r="AO124" i="65" s="1"/>
  <c r="Z142" i="65"/>
  <c r="AB142" i="65" s="1"/>
  <c r="AO142" i="65" s="1"/>
  <c r="AC142" i="65"/>
  <c r="AP142" i="65" s="1"/>
  <c r="Z68" i="65"/>
  <c r="AB68" i="65" s="1"/>
  <c r="AO68" i="65" s="1"/>
  <c r="AC68" i="65"/>
  <c r="AP68" i="65" s="1"/>
  <c r="AC169" i="65"/>
  <c r="AP169" i="65" s="1"/>
  <c r="Z169" i="65"/>
  <c r="AB169" i="65" s="1"/>
  <c r="AO169" i="65" s="1"/>
  <c r="AC71" i="65"/>
  <c r="AP71" i="65" s="1"/>
  <c r="Z71" i="65"/>
  <c r="AB71" i="65" s="1"/>
  <c r="AO71" i="65" s="1"/>
  <c r="Z94" i="65"/>
  <c r="AB94" i="65" s="1"/>
  <c r="AO94" i="65" s="1"/>
  <c r="AC94" i="65"/>
  <c r="AP94" i="65" s="1"/>
  <c r="Z115" i="65"/>
  <c r="AB115" i="65" s="1"/>
  <c r="AO115" i="65" s="1"/>
  <c r="AC115" i="65"/>
  <c r="AP115" i="65" s="1"/>
  <c r="Z88" i="65"/>
  <c r="AB88" i="65" s="1"/>
  <c r="AO88" i="65" s="1"/>
  <c r="AC88" i="65"/>
  <c r="AP88" i="65" s="1"/>
  <c r="Z37" i="65"/>
  <c r="AB37" i="65" s="1"/>
  <c r="AO37" i="65" s="1"/>
  <c r="AC37" i="65"/>
  <c r="AP37" i="65" s="1"/>
  <c r="Z105" i="65"/>
  <c r="AB105" i="65" s="1"/>
  <c r="AO105" i="65" s="1"/>
  <c r="AC105" i="65"/>
  <c r="AP105" i="65" s="1"/>
  <c r="Z31" i="65"/>
  <c r="AB31" i="65" s="1"/>
  <c r="AO31" i="65" s="1"/>
  <c r="AC31" i="65"/>
  <c r="AP31" i="65" s="1"/>
  <c r="Z33" i="65"/>
  <c r="AB33" i="65" s="1"/>
  <c r="AO33" i="65" s="1"/>
  <c r="AC33" i="65"/>
  <c r="AP33" i="65" s="1"/>
  <c r="Z22" i="65"/>
  <c r="AB22" i="65" s="1"/>
  <c r="AO22" i="65" s="1"/>
  <c r="AC22" i="65"/>
  <c r="AP22" i="65" s="1"/>
  <c r="AC16" i="65"/>
  <c r="AP16" i="65" s="1"/>
  <c r="Z16" i="65"/>
  <c r="AB16" i="65" s="1"/>
  <c r="AO16" i="65" s="1"/>
  <c r="Z178" i="65"/>
  <c r="AB178" i="65" s="1"/>
  <c r="AO178" i="65" s="1"/>
  <c r="AC178" i="65"/>
  <c r="AP178" i="65" s="1"/>
  <c r="AC176" i="65"/>
  <c r="AP176" i="65" s="1"/>
  <c r="Z176" i="65"/>
  <c r="AB176" i="65" s="1"/>
  <c r="AO176" i="65" s="1"/>
  <c r="Z177" i="65"/>
  <c r="AB177" i="65" s="1"/>
  <c r="AO177" i="65" s="1"/>
  <c r="AC177" i="65"/>
  <c r="AP177" i="65" s="1"/>
  <c r="Z151" i="65"/>
  <c r="AB151" i="65" s="1"/>
  <c r="AO151" i="65" s="1"/>
  <c r="AC151" i="65"/>
  <c r="AP151" i="65" s="1"/>
  <c r="Z129" i="65"/>
  <c r="AB129" i="65" s="1"/>
  <c r="AO129" i="65" s="1"/>
  <c r="AC129" i="65"/>
  <c r="AP129" i="65" s="1"/>
  <c r="Z139" i="65"/>
  <c r="AB139" i="65" s="1"/>
  <c r="AO139" i="65" s="1"/>
  <c r="AC139" i="65"/>
  <c r="AP139" i="65" s="1"/>
  <c r="Z180" i="65"/>
  <c r="AB180" i="65" s="1"/>
  <c r="AO180" i="65" s="1"/>
  <c r="AC180" i="65"/>
  <c r="AP180" i="65" s="1"/>
  <c r="Z146" i="65"/>
  <c r="AB146" i="65" s="1"/>
  <c r="AO146" i="65" s="1"/>
  <c r="AC146" i="65"/>
  <c r="AP146" i="65" s="1"/>
  <c r="Z119" i="65"/>
  <c r="AB119" i="65" s="1"/>
  <c r="AO119" i="65" s="1"/>
  <c r="AC119" i="65"/>
  <c r="AP119" i="65" s="1"/>
  <c r="Z123" i="65"/>
  <c r="AB123" i="65" s="1"/>
  <c r="AO123" i="65" s="1"/>
  <c r="AC123" i="65"/>
  <c r="AP123" i="65" s="1"/>
  <c r="Z126" i="65"/>
  <c r="AB126" i="65" s="1"/>
  <c r="AO126" i="65" s="1"/>
  <c r="AC126" i="65"/>
  <c r="AP126" i="65" s="1"/>
  <c r="Z80" i="65"/>
  <c r="AB80" i="65" s="1"/>
  <c r="AO80" i="65" s="1"/>
  <c r="AC80" i="65"/>
  <c r="AP80" i="65" s="1"/>
  <c r="Z60" i="65"/>
  <c r="AB60" i="65" s="1"/>
  <c r="AO60" i="65" s="1"/>
  <c r="AC60" i="65"/>
  <c r="AP60" i="65" s="1"/>
  <c r="Z65" i="65"/>
  <c r="AB65" i="65" s="1"/>
  <c r="AO65" i="65" s="1"/>
  <c r="AC65" i="65"/>
  <c r="AP65" i="65" s="1"/>
  <c r="AC77" i="65"/>
  <c r="AP77" i="65" s="1"/>
  <c r="Z77" i="65"/>
  <c r="AB77" i="65" s="1"/>
  <c r="AO77" i="65" s="1"/>
  <c r="Z103" i="65"/>
  <c r="AB103" i="65" s="1"/>
  <c r="AO103" i="65" s="1"/>
  <c r="AC103" i="65"/>
  <c r="AP103" i="65" s="1"/>
  <c r="Z42" i="65"/>
  <c r="AB42" i="65" s="1"/>
  <c r="AO42" i="65" s="1"/>
  <c r="AC42" i="65"/>
  <c r="AP42" i="65" s="1"/>
  <c r="AC48" i="65"/>
  <c r="AP48" i="65" s="1"/>
  <c r="Z48" i="65"/>
  <c r="AB48" i="65" s="1"/>
  <c r="AO48" i="65" s="1"/>
  <c r="Z50" i="65"/>
  <c r="AB50" i="65" s="1"/>
  <c r="AO50" i="65" s="1"/>
  <c r="AC50" i="65"/>
  <c r="AP50" i="65" s="1"/>
  <c r="Z27" i="65"/>
  <c r="AB27" i="65" s="1"/>
  <c r="AO27" i="65" s="1"/>
  <c r="AC27" i="65"/>
  <c r="AP27" i="65" s="1"/>
  <c r="C23" i="2"/>
  <c r="AN187" i="65"/>
  <c r="AN212" i="65"/>
  <c r="AN218" i="65"/>
  <c r="AN209" i="65"/>
  <c r="AL184" i="65"/>
  <c r="AN230" i="65"/>
  <c r="AN210" i="65"/>
  <c r="AL204" i="65"/>
  <c r="AJ220" i="65"/>
  <c r="AN228" i="65"/>
  <c r="AN219" i="65"/>
  <c r="AJ213" i="65"/>
  <c r="L23" i="68"/>
  <c r="AN231" i="65"/>
  <c r="P23" i="68"/>
  <c r="AN201" i="65"/>
  <c r="O59" i="68"/>
  <c r="Q58" i="68"/>
  <c r="O47" i="68"/>
  <c r="N55" i="68"/>
  <c r="N68" i="68"/>
  <c r="Q54" i="68"/>
  <c r="N72" i="68"/>
  <c r="R54" i="68"/>
  <c r="Q52" i="68"/>
  <c r="O58" i="68"/>
  <c r="Z22" i="50"/>
  <c r="AB22" i="50" s="1"/>
  <c r="AO22" i="50" s="1"/>
  <c r="R67" i="68"/>
  <c r="O56" i="68"/>
  <c r="Q60" i="68"/>
  <c r="R73" i="68"/>
  <c r="O53" i="68"/>
  <c r="O66" i="68"/>
  <c r="O46" i="68"/>
  <c r="O57" i="68"/>
  <c r="R60" i="68"/>
  <c r="Q73" i="68"/>
  <c r="O61" i="68"/>
  <c r="Q67" i="68"/>
  <c r="R52" i="68"/>
  <c r="N56" i="67"/>
  <c r="O50" i="68"/>
  <c r="I63" i="68"/>
  <c r="K44" i="68"/>
  <c r="J22" i="68"/>
  <c r="Z5" i="50"/>
  <c r="AB5" i="50" s="1"/>
  <c r="A22" i="50" s="1"/>
  <c r="Z6" i="62"/>
  <c r="AB6" i="62" s="1"/>
  <c r="AO6" i="62" s="1"/>
  <c r="N48" i="67"/>
  <c r="Z190" i="65"/>
  <c r="AB190" i="65" s="1"/>
  <c r="AO190" i="65" s="1"/>
  <c r="Z7" i="50"/>
  <c r="AB7" i="50" s="1"/>
  <c r="AO7" i="50" s="1"/>
  <c r="Z14" i="62"/>
  <c r="AB14" i="62" s="1"/>
  <c r="AO14" i="62" s="1"/>
  <c r="S38" i="67"/>
  <c r="K33" i="67"/>
  <c r="AJ17" i="59"/>
  <c r="AN14" i="59"/>
  <c r="K32" i="67"/>
  <c r="AN20" i="59"/>
  <c r="K31" i="67"/>
  <c r="A16" i="58"/>
  <c r="AN44" i="57"/>
  <c r="AL42" i="57"/>
  <c r="K27" i="67"/>
  <c r="AJ22" i="55"/>
  <c r="S27" i="67"/>
  <c r="AJ10" i="54"/>
  <c r="AJ23" i="54"/>
  <c r="K26" i="67"/>
  <c r="F25" i="67"/>
  <c r="T25" i="67"/>
  <c r="H20" i="67"/>
  <c r="S23" i="67"/>
  <c r="AJ44" i="53"/>
  <c r="AL31" i="53"/>
  <c r="AL51" i="53"/>
  <c r="AJ41" i="53"/>
  <c r="K23" i="67"/>
  <c r="AN30" i="53"/>
  <c r="AN16" i="52"/>
  <c r="AL14" i="52"/>
  <c r="K19" i="67"/>
  <c r="A16" i="52"/>
  <c r="AL20" i="51"/>
  <c r="K18" i="67"/>
  <c r="A16" i="49"/>
  <c r="AN7" i="49"/>
  <c r="K15" i="67"/>
  <c r="AJ66" i="46"/>
  <c r="AN46" i="46"/>
  <c r="AJ48" i="46"/>
  <c r="K14" i="67"/>
  <c r="AN60" i="46"/>
  <c r="AN45" i="46"/>
  <c r="AN63" i="46"/>
  <c r="AN65" i="46"/>
  <c r="AJ77" i="46"/>
  <c r="K12" i="67"/>
  <c r="AA13" i="43"/>
  <c r="AC13" i="43" s="1"/>
  <c r="AP13" i="43" s="1"/>
  <c r="AN16" i="43"/>
  <c r="K9" i="67"/>
  <c r="AJ23" i="40"/>
  <c r="AN13" i="39"/>
  <c r="AJ22" i="39"/>
  <c r="K8" i="67"/>
  <c r="K6" i="67"/>
  <c r="A16" i="38"/>
  <c r="T43" i="68"/>
  <c r="E39" i="2" s="1"/>
  <c r="S42" i="68"/>
  <c r="T42" i="68"/>
  <c r="Z57" i="32"/>
  <c r="AB57" i="32" s="1"/>
  <c r="AO57" i="32" s="1"/>
  <c r="AA57" i="32"/>
  <c r="AC57" i="32" s="1"/>
  <c r="AP57" i="32" s="1"/>
  <c r="AN170" i="32"/>
  <c r="AJ168" i="32"/>
  <c r="AJ166" i="32"/>
  <c r="AJ88" i="32"/>
  <c r="AJ147" i="32"/>
  <c r="AJ133" i="32"/>
  <c r="AN117" i="32"/>
  <c r="AJ114" i="32"/>
  <c r="AJ99" i="32"/>
  <c r="AN156" i="32"/>
  <c r="AJ37" i="31"/>
  <c r="AN46" i="31"/>
  <c r="K38" i="68"/>
  <c r="AL56" i="31"/>
  <c r="AL32" i="31"/>
  <c r="S38" i="68"/>
  <c r="AJ40" i="31"/>
  <c r="AL44" i="31"/>
  <c r="Z23" i="30"/>
  <c r="AB23" i="30" s="1"/>
  <c r="AO23" i="30" s="1"/>
  <c r="AA23" i="30"/>
  <c r="AC23" i="30" s="1"/>
  <c r="AP23" i="30" s="1"/>
  <c r="N50" i="68"/>
  <c r="AC210" i="65"/>
  <c r="AP210" i="65" s="1"/>
  <c r="Z206" i="65"/>
  <c r="AB206" i="65" s="1"/>
  <c r="AO206" i="65" s="1"/>
  <c r="Z13" i="50"/>
  <c r="AB13" i="50" s="1"/>
  <c r="AO13" i="50" s="1"/>
  <c r="O16" i="67"/>
  <c r="O18" i="67"/>
  <c r="N36" i="67"/>
  <c r="N18" i="67"/>
  <c r="N31" i="68"/>
  <c r="O35" i="67"/>
  <c r="O28" i="68"/>
  <c r="N28" i="68"/>
  <c r="O27" i="67"/>
  <c r="X88" i="31"/>
  <c r="Z88" i="31" s="1"/>
  <c r="AB88" i="31" s="1"/>
  <c r="AO88" i="31" s="1"/>
  <c r="X70" i="31"/>
  <c r="N8" i="68"/>
  <c r="X80" i="31"/>
  <c r="Z80" i="31" s="1"/>
  <c r="AB80" i="31" s="1"/>
  <c r="AO80" i="31" s="1"/>
  <c r="X73" i="31"/>
  <c r="AA73" i="31" s="1"/>
  <c r="AC73" i="31" s="1"/>
  <c r="AP73" i="31" s="1"/>
  <c r="X75" i="31"/>
  <c r="Z75" i="31" s="1"/>
  <c r="AB75" i="31" s="1"/>
  <c r="AO75" i="31" s="1"/>
  <c r="N27" i="68"/>
  <c r="N42" i="68"/>
  <c r="O25" i="67"/>
  <c r="N33" i="68"/>
  <c r="N25" i="67"/>
  <c r="N29" i="68"/>
  <c r="N12" i="68"/>
  <c r="N33" i="67"/>
  <c r="N19" i="67"/>
  <c r="N21" i="68"/>
  <c r="N10" i="68"/>
  <c r="O6" i="67"/>
  <c r="N32" i="67"/>
  <c r="N31" i="67"/>
  <c r="X76" i="31"/>
  <c r="AA76" i="31" s="1"/>
  <c r="AC76" i="31" s="1"/>
  <c r="AP76" i="31" s="1"/>
  <c r="X83" i="31"/>
  <c r="Z83" i="31" s="1"/>
  <c r="AB83" i="31" s="1"/>
  <c r="AO83" i="31" s="1"/>
  <c r="N15" i="68"/>
  <c r="N12" i="67"/>
  <c r="O31" i="68"/>
  <c r="N14" i="68"/>
  <c r="N19" i="68"/>
  <c r="N46" i="68"/>
  <c r="Q46" i="68" s="1"/>
  <c r="O23" i="67"/>
  <c r="X68" i="31"/>
  <c r="AA68" i="31" s="1"/>
  <c r="AC68" i="31" s="1"/>
  <c r="AP68" i="31" s="1"/>
  <c r="X61" i="31"/>
  <c r="Z61" i="31" s="1"/>
  <c r="AB61" i="31" s="1"/>
  <c r="AO61" i="31" s="1"/>
  <c r="X63" i="31"/>
  <c r="Z63" i="31" s="1"/>
  <c r="AB63" i="31" s="1"/>
  <c r="AO63" i="31" s="1"/>
  <c r="O36" i="67"/>
  <c r="O39" i="68"/>
  <c r="N8" i="67"/>
  <c r="Q8" i="67" s="1"/>
  <c r="O26" i="68"/>
  <c r="X78" i="31"/>
  <c r="AA78" i="31" s="1"/>
  <c r="AC78" i="31" s="1"/>
  <c r="AP78" i="31" s="1"/>
  <c r="X71" i="31"/>
  <c r="Z71" i="31" s="1"/>
  <c r="AB71" i="31" s="1"/>
  <c r="AO71" i="31" s="1"/>
  <c r="X86" i="31"/>
  <c r="Z86" i="31" s="1"/>
  <c r="AB86" i="31" s="1"/>
  <c r="AO86" i="31" s="1"/>
  <c r="N17" i="68"/>
  <c r="N13" i="68"/>
  <c r="O12" i="67"/>
  <c r="N27" i="67"/>
  <c r="N20" i="68"/>
  <c r="N14" i="67"/>
  <c r="O15" i="67"/>
  <c r="A18" i="31"/>
  <c r="N6" i="68"/>
  <c r="O28" i="67"/>
  <c r="X81" i="31"/>
  <c r="Z81" i="31" s="1"/>
  <c r="AB81" i="31" s="1"/>
  <c r="AO81" i="31" s="1"/>
  <c r="N47" i="68"/>
  <c r="O14" i="67"/>
  <c r="N36" i="68"/>
  <c r="N11" i="68"/>
  <c r="N24" i="67"/>
  <c r="N32" i="68"/>
  <c r="N9" i="67"/>
  <c r="O19" i="67"/>
  <c r="O17" i="67"/>
  <c r="O26" i="67"/>
  <c r="X89" i="31"/>
  <c r="Z89" i="31" s="1"/>
  <c r="AB89" i="31" s="1"/>
  <c r="AO89" i="31" s="1"/>
  <c r="X66" i="31"/>
  <c r="Z66" i="31" s="1"/>
  <c r="AB66" i="31" s="1"/>
  <c r="AO66" i="31" s="1"/>
  <c r="X84" i="31"/>
  <c r="Z84" i="31" s="1"/>
  <c r="AB84" i="31" s="1"/>
  <c r="AO84" i="31" s="1"/>
  <c r="X74" i="31"/>
  <c r="Z74" i="31" s="1"/>
  <c r="AB74" i="31" s="1"/>
  <c r="AO74" i="31" s="1"/>
  <c r="O8" i="67"/>
  <c r="X69" i="31"/>
  <c r="Z69" i="31" s="1"/>
  <c r="AB69" i="31" s="1"/>
  <c r="AO69" i="31" s="1"/>
  <c r="N23" i="67"/>
  <c r="N25" i="68"/>
  <c r="N18" i="68"/>
  <c r="O24" i="67"/>
  <c r="N35" i="68"/>
  <c r="N45" i="68"/>
  <c r="N28" i="67"/>
  <c r="O13" i="67"/>
  <c r="X77" i="31"/>
  <c r="Z77" i="31" s="1"/>
  <c r="AB77" i="31" s="1"/>
  <c r="AO77" i="31" s="1"/>
  <c r="X72" i="31"/>
  <c r="Z72" i="31" s="1"/>
  <c r="AB72" i="31" s="1"/>
  <c r="AO72" i="31" s="1"/>
  <c r="X62" i="31"/>
  <c r="AA62" i="31" s="1"/>
  <c r="AC62" i="31" s="1"/>
  <c r="AP62" i="31" s="1"/>
  <c r="N13" i="67"/>
  <c r="Q13" i="67" s="1"/>
  <c r="N15" i="67"/>
  <c r="N40" i="68"/>
  <c r="O40" i="68"/>
  <c r="O37" i="68"/>
  <c r="N39" i="68"/>
  <c r="O32" i="67"/>
  <c r="N17" i="67"/>
  <c r="X79" i="31"/>
  <c r="AA79" i="31" s="1"/>
  <c r="AC79" i="31" s="1"/>
  <c r="AP79" i="31" s="1"/>
  <c r="O33" i="67"/>
  <c r="O42" i="68"/>
  <c r="O31" i="67"/>
  <c r="N26" i="68"/>
  <c r="N26" i="67"/>
  <c r="X65" i="31"/>
  <c r="Z65" i="31" s="1"/>
  <c r="AB65" i="31" s="1"/>
  <c r="AO65" i="31" s="1"/>
  <c r="X82" i="31"/>
  <c r="Z82" i="31" s="1"/>
  <c r="AB82" i="31" s="1"/>
  <c r="AO82" i="31" s="1"/>
  <c r="X60" i="31"/>
  <c r="Z60" i="31" s="1"/>
  <c r="AB60" i="31" s="1"/>
  <c r="AO60" i="31" s="1"/>
  <c r="X64" i="31"/>
  <c r="Z64" i="31" s="1"/>
  <c r="AB64" i="31" s="1"/>
  <c r="AO64" i="31" s="1"/>
  <c r="N6" i="67"/>
  <c r="N35" i="67"/>
  <c r="N30" i="67"/>
  <c r="N16" i="67"/>
  <c r="N37" i="68"/>
  <c r="O30" i="67"/>
  <c r="O9" i="67"/>
  <c r="N30" i="68"/>
  <c r="N9" i="68"/>
  <c r="X67" i="31"/>
  <c r="AA67" i="31" s="1"/>
  <c r="AC67" i="31" s="1"/>
  <c r="AP67" i="31" s="1"/>
  <c r="X85" i="31"/>
  <c r="Z85" i="31" s="1"/>
  <c r="AB85" i="31" s="1"/>
  <c r="AO85" i="31" s="1"/>
  <c r="X87" i="31"/>
  <c r="Z87" i="31" s="1"/>
  <c r="AB87" i="31" s="1"/>
  <c r="AO87" i="31" s="1"/>
  <c r="AL78" i="29"/>
  <c r="AJ66" i="29"/>
  <c r="K36" i="68"/>
  <c r="O36" i="68"/>
  <c r="AN64" i="29"/>
  <c r="AL65" i="29"/>
  <c r="AJ80" i="29"/>
  <c r="AN80" i="29"/>
  <c r="AJ79" i="29"/>
  <c r="AJ47" i="28"/>
  <c r="AN45" i="28"/>
  <c r="Z29" i="28"/>
  <c r="AB29" i="28" s="1"/>
  <c r="AO29" i="28" s="1"/>
  <c r="O35" i="68"/>
  <c r="Z7" i="27"/>
  <c r="AB7" i="27" s="1"/>
  <c r="AO7" i="27" s="1"/>
  <c r="AA7" i="27"/>
  <c r="AC7" i="27" s="1"/>
  <c r="AP7" i="27" s="1"/>
  <c r="O33" i="68"/>
  <c r="A16" i="27"/>
  <c r="S33" i="68"/>
  <c r="AJ14" i="27"/>
  <c r="AA16" i="26"/>
  <c r="AC16" i="26" s="1"/>
  <c r="AP16" i="26" s="1"/>
  <c r="Z16" i="26"/>
  <c r="AB16" i="26" s="1"/>
  <c r="AO16" i="26" s="1"/>
  <c r="O32" i="68"/>
  <c r="A16" i="26"/>
  <c r="AN28" i="24"/>
  <c r="AJ20" i="24"/>
  <c r="S30" i="68"/>
  <c r="O30" i="68"/>
  <c r="T30" i="68"/>
  <c r="E27" i="2" s="1"/>
  <c r="AN17" i="24"/>
  <c r="K30" i="68"/>
  <c r="O29" i="68"/>
  <c r="K27" i="68"/>
  <c r="O27" i="68"/>
  <c r="AJ58" i="22"/>
  <c r="AJ60" i="22"/>
  <c r="Z109" i="22"/>
  <c r="AB109" i="22" s="1"/>
  <c r="AO109" i="22" s="1"/>
  <c r="AA109" i="22"/>
  <c r="AC109" i="22" s="1"/>
  <c r="AP109" i="22" s="1"/>
  <c r="Z100" i="22"/>
  <c r="AB100" i="22" s="1"/>
  <c r="AO100" i="22" s="1"/>
  <c r="AA100" i="22"/>
  <c r="AC100" i="22" s="1"/>
  <c r="AP100" i="22" s="1"/>
  <c r="AA97" i="22"/>
  <c r="AC97" i="22" s="1"/>
  <c r="AP97" i="22" s="1"/>
  <c r="Z97" i="22"/>
  <c r="AB97" i="22" s="1"/>
  <c r="AO97" i="22" s="1"/>
  <c r="Z101" i="22"/>
  <c r="AB101" i="22" s="1"/>
  <c r="AO101" i="22" s="1"/>
  <c r="AA101" i="22"/>
  <c r="AC101" i="22" s="1"/>
  <c r="AP101" i="22" s="1"/>
  <c r="Z103" i="22"/>
  <c r="AB103" i="22" s="1"/>
  <c r="AO103" i="22" s="1"/>
  <c r="AA103" i="22"/>
  <c r="AC103" i="22" s="1"/>
  <c r="AP103" i="22" s="1"/>
  <c r="Z89" i="22"/>
  <c r="AB89" i="22" s="1"/>
  <c r="AO89" i="22" s="1"/>
  <c r="AA89" i="22"/>
  <c r="AC89" i="22" s="1"/>
  <c r="AP89" i="22" s="1"/>
  <c r="Z106" i="22"/>
  <c r="AB106" i="22" s="1"/>
  <c r="AO106" i="22" s="1"/>
  <c r="AA106" i="22"/>
  <c r="AC106" i="22" s="1"/>
  <c r="AP106" i="22" s="1"/>
  <c r="Z91" i="22"/>
  <c r="AB91" i="22" s="1"/>
  <c r="AO91" i="22" s="1"/>
  <c r="AA91" i="22"/>
  <c r="AC91" i="22" s="1"/>
  <c r="AP91" i="22" s="1"/>
  <c r="Z95" i="22"/>
  <c r="AB95" i="22" s="1"/>
  <c r="AO95" i="22" s="1"/>
  <c r="AA95" i="22"/>
  <c r="AC95" i="22" s="1"/>
  <c r="AP95" i="22" s="1"/>
  <c r="Z98" i="22"/>
  <c r="AB98" i="22" s="1"/>
  <c r="AO98" i="22" s="1"/>
  <c r="AA98" i="22"/>
  <c r="AC98" i="22" s="1"/>
  <c r="AP98" i="22" s="1"/>
  <c r="Z107" i="22"/>
  <c r="AB107" i="22" s="1"/>
  <c r="AO107" i="22" s="1"/>
  <c r="AA107" i="22"/>
  <c r="AC107" i="22" s="1"/>
  <c r="AP107" i="22" s="1"/>
  <c r="Z93" i="22"/>
  <c r="AB93" i="22" s="1"/>
  <c r="AO93" i="22" s="1"/>
  <c r="AA93" i="22"/>
  <c r="AC93" i="22" s="1"/>
  <c r="AP93" i="22" s="1"/>
  <c r="Z110" i="22"/>
  <c r="AB110" i="22" s="1"/>
  <c r="AO110" i="22" s="1"/>
  <c r="AA110" i="22"/>
  <c r="AC110" i="22" s="1"/>
  <c r="AP110" i="22" s="1"/>
  <c r="Z99" i="22"/>
  <c r="AB99" i="22" s="1"/>
  <c r="AO99" i="22" s="1"/>
  <c r="AA99" i="22"/>
  <c r="AC99" i="22" s="1"/>
  <c r="AP99" i="22" s="1"/>
  <c r="Z102" i="22"/>
  <c r="AB102" i="22" s="1"/>
  <c r="AO102" i="22" s="1"/>
  <c r="AA102" i="22"/>
  <c r="AC102" i="22" s="1"/>
  <c r="AP102" i="22" s="1"/>
  <c r="AA96" i="22"/>
  <c r="AC96" i="22" s="1"/>
  <c r="AP96" i="22" s="1"/>
  <c r="Z96" i="22"/>
  <c r="AB96" i="22" s="1"/>
  <c r="AO96" i="22" s="1"/>
  <c r="Z108" i="22"/>
  <c r="AB108" i="22" s="1"/>
  <c r="AO108" i="22" s="1"/>
  <c r="AA108" i="22"/>
  <c r="AC108" i="22" s="1"/>
  <c r="AP108" i="22" s="1"/>
  <c r="Z92" i="22"/>
  <c r="AB92" i="22" s="1"/>
  <c r="AO92" i="22" s="1"/>
  <c r="AA92" i="22"/>
  <c r="AC92" i="22" s="1"/>
  <c r="AP92" i="22" s="1"/>
  <c r="Z94" i="22"/>
  <c r="AB94" i="22" s="1"/>
  <c r="AO94" i="22" s="1"/>
  <c r="AA94" i="22"/>
  <c r="AC94" i="22" s="1"/>
  <c r="AP94" i="22" s="1"/>
  <c r="Z90" i="22"/>
  <c r="AB90" i="22" s="1"/>
  <c r="AO90" i="22" s="1"/>
  <c r="AA90" i="22"/>
  <c r="AC90" i="22" s="1"/>
  <c r="AP90" i="22" s="1"/>
  <c r="AN65" i="22"/>
  <c r="AN59" i="22"/>
  <c r="AJ65" i="22"/>
  <c r="AL57" i="22"/>
  <c r="K25" i="68"/>
  <c r="AJ67" i="22"/>
  <c r="O25" i="68"/>
  <c r="S25" i="68"/>
  <c r="A16" i="21"/>
  <c r="S21" i="68"/>
  <c r="O21" i="68"/>
  <c r="AN11" i="21"/>
  <c r="AN67" i="20"/>
  <c r="AN77" i="20"/>
  <c r="AJ76" i="20"/>
  <c r="AN72" i="20"/>
  <c r="S20" i="68"/>
  <c r="AN80" i="20"/>
  <c r="AL72" i="20"/>
  <c r="K20" i="68"/>
  <c r="O20" i="68"/>
  <c r="A16" i="19"/>
  <c r="O19" i="68"/>
  <c r="K19" i="68"/>
  <c r="AA11" i="18"/>
  <c r="AC11" i="18" s="1"/>
  <c r="Z11" i="18"/>
  <c r="AB11" i="18" s="1"/>
  <c r="AO11" i="18" s="1"/>
  <c r="O18" i="68"/>
  <c r="K18" i="68"/>
  <c r="AN11" i="18"/>
  <c r="Z8" i="74"/>
  <c r="AB8" i="74" s="1"/>
  <c r="AO8" i="74" s="1"/>
  <c r="AA8" i="74"/>
  <c r="AC8" i="74" s="1"/>
  <c r="AP8" i="74" s="1"/>
  <c r="O17" i="68"/>
  <c r="F17" i="68"/>
  <c r="O15" i="68"/>
  <c r="AN6" i="16"/>
  <c r="K15" i="68"/>
  <c r="Z484" i="15"/>
  <c r="AB484" i="15" s="1"/>
  <c r="AO484" i="15" s="1"/>
  <c r="AA484" i="15"/>
  <c r="AC484" i="15" s="1"/>
  <c r="AP484" i="15" s="1"/>
  <c r="AN182" i="15"/>
  <c r="AJ137" i="15"/>
  <c r="AJ167" i="15"/>
  <c r="AN158" i="15"/>
  <c r="AJ179" i="15"/>
  <c r="AN157" i="15"/>
  <c r="AN169" i="15"/>
  <c r="AN152" i="15"/>
  <c r="AN160" i="15"/>
  <c r="AN138" i="15"/>
  <c r="AN212" i="15"/>
  <c r="AN122" i="15"/>
  <c r="O14" i="68"/>
  <c r="AN140" i="15"/>
  <c r="K14" i="68"/>
  <c r="AJ230" i="15"/>
  <c r="AN153" i="15"/>
  <c r="AL233" i="15"/>
  <c r="AN187" i="15"/>
  <c r="AJ195" i="15"/>
  <c r="AJ231" i="15"/>
  <c r="AN135" i="15"/>
  <c r="AL128" i="15"/>
  <c r="AN209" i="15"/>
  <c r="O13" i="68"/>
  <c r="AJ19" i="14"/>
  <c r="K13" i="68"/>
  <c r="T13" i="68"/>
  <c r="E14" i="2" s="1"/>
  <c r="AL16" i="13"/>
  <c r="AJ18" i="13"/>
  <c r="S12" i="68"/>
  <c r="K12" i="68"/>
  <c r="O12" i="68"/>
  <c r="K11" i="68"/>
  <c r="AJ30" i="12"/>
  <c r="AJ44" i="12"/>
  <c r="AN29" i="12"/>
  <c r="S11" i="68"/>
  <c r="AN34" i="12"/>
  <c r="O11" i="68"/>
  <c r="AJ40" i="12"/>
  <c r="AN18" i="6"/>
  <c r="K10" i="68"/>
  <c r="O10" i="68"/>
  <c r="S10" i="68"/>
  <c r="AN13" i="6"/>
  <c r="AJ14" i="6"/>
  <c r="AN40" i="5"/>
  <c r="AJ45" i="5"/>
  <c r="AJ46" i="5"/>
  <c r="K9" i="68"/>
  <c r="O9" i="68"/>
  <c r="AN22" i="3"/>
  <c r="AN16" i="3"/>
  <c r="O8" i="68"/>
  <c r="K8" i="68"/>
  <c r="Z194" i="65"/>
  <c r="AB194" i="65" s="1"/>
  <c r="AO194" i="65" s="1"/>
  <c r="K6" i="68"/>
  <c r="O6" i="68"/>
  <c r="A16" i="34"/>
  <c r="AL222" i="65"/>
  <c r="AL207" i="65"/>
  <c r="AL187" i="65"/>
  <c r="AJ202" i="65"/>
  <c r="T6" i="68"/>
  <c r="AJ194" i="65"/>
  <c r="Z98" i="66"/>
  <c r="AB98" i="66" s="1"/>
  <c r="AO98" i="66" s="1"/>
  <c r="AA98" i="66"/>
  <c r="AC98" i="66" s="1"/>
  <c r="AP98" i="66" s="1"/>
  <c r="Z147" i="66"/>
  <c r="AB147" i="66" s="1"/>
  <c r="AO147" i="66" s="1"/>
  <c r="AA147" i="66"/>
  <c r="AC147" i="66" s="1"/>
  <c r="AP147" i="66" s="1"/>
  <c r="Z125" i="66"/>
  <c r="AB125" i="66" s="1"/>
  <c r="AO125" i="66" s="1"/>
  <c r="AA125" i="66"/>
  <c r="AC125" i="66" s="1"/>
  <c r="AP125" i="66" s="1"/>
  <c r="AA143" i="66"/>
  <c r="AC143" i="66" s="1"/>
  <c r="AP143" i="66" s="1"/>
  <c r="Z143" i="66"/>
  <c r="AB143" i="66" s="1"/>
  <c r="AO143" i="66" s="1"/>
  <c r="AA107" i="66"/>
  <c r="AC107" i="66" s="1"/>
  <c r="AP107" i="66" s="1"/>
  <c r="Z107" i="66"/>
  <c r="AB107" i="66" s="1"/>
  <c r="AO107" i="66" s="1"/>
  <c r="Z121" i="66"/>
  <c r="AB121" i="66" s="1"/>
  <c r="AO121" i="66" s="1"/>
  <c r="AA121" i="66"/>
  <c r="AC121" i="66" s="1"/>
  <c r="AP121" i="66" s="1"/>
  <c r="Z74" i="66"/>
  <c r="AB74" i="66" s="1"/>
  <c r="AO74" i="66" s="1"/>
  <c r="AA74" i="66"/>
  <c r="AC74" i="66" s="1"/>
  <c r="AP74" i="66" s="1"/>
  <c r="Z55" i="66"/>
  <c r="AB55" i="66" s="1"/>
  <c r="AO55" i="66" s="1"/>
  <c r="AA55" i="66"/>
  <c r="AC55" i="66" s="1"/>
  <c r="AP55" i="66" s="1"/>
  <c r="Z156" i="66"/>
  <c r="AB156" i="66" s="1"/>
  <c r="AO156" i="66" s="1"/>
  <c r="AA156" i="66"/>
  <c r="AC156" i="66" s="1"/>
  <c r="AP156" i="66" s="1"/>
  <c r="Z146" i="66"/>
  <c r="AB146" i="66" s="1"/>
  <c r="AO146" i="66" s="1"/>
  <c r="AA146" i="66"/>
  <c r="AC146" i="66" s="1"/>
  <c r="AP146" i="66" s="1"/>
  <c r="Z150" i="66"/>
  <c r="AB150" i="66" s="1"/>
  <c r="AO150" i="66" s="1"/>
  <c r="AA150" i="66"/>
  <c r="AC150" i="66" s="1"/>
  <c r="AP150" i="66" s="1"/>
  <c r="Z83" i="66"/>
  <c r="AB83" i="66" s="1"/>
  <c r="AO83" i="66" s="1"/>
  <c r="AA83" i="66"/>
  <c r="AC83" i="66" s="1"/>
  <c r="AP83" i="66" s="1"/>
  <c r="Z112" i="66"/>
  <c r="AB112" i="66" s="1"/>
  <c r="AO112" i="66" s="1"/>
  <c r="AA112" i="66"/>
  <c r="AC112" i="66" s="1"/>
  <c r="AP112" i="66" s="1"/>
  <c r="AA139" i="66"/>
  <c r="AC139" i="66" s="1"/>
  <c r="AP139" i="66" s="1"/>
  <c r="Z139" i="66"/>
  <c r="AB139" i="66" s="1"/>
  <c r="AO139" i="66" s="1"/>
  <c r="Z58" i="66"/>
  <c r="AB58" i="66" s="1"/>
  <c r="AO58" i="66" s="1"/>
  <c r="AA58" i="66"/>
  <c r="AC58" i="66" s="1"/>
  <c r="AP58" i="66" s="1"/>
  <c r="AA73" i="66"/>
  <c r="AC73" i="66" s="1"/>
  <c r="AP73" i="66" s="1"/>
  <c r="Z73" i="66"/>
  <c r="AB73" i="66" s="1"/>
  <c r="AO73" i="66" s="1"/>
  <c r="AA87" i="66"/>
  <c r="AC87" i="66" s="1"/>
  <c r="AP87" i="66" s="1"/>
  <c r="Z87" i="66"/>
  <c r="AB87" i="66" s="1"/>
  <c r="AO87" i="66" s="1"/>
  <c r="Z52" i="66"/>
  <c r="AB52" i="66" s="1"/>
  <c r="AO52" i="66" s="1"/>
  <c r="AA52" i="66"/>
  <c r="AC52" i="66" s="1"/>
  <c r="AP52" i="66" s="1"/>
  <c r="Z66" i="66"/>
  <c r="AB66" i="66" s="1"/>
  <c r="AO66" i="66" s="1"/>
  <c r="AA66" i="66"/>
  <c r="AC66" i="66" s="1"/>
  <c r="AP66" i="66" s="1"/>
  <c r="AA93" i="66"/>
  <c r="AC93" i="66" s="1"/>
  <c r="AP93" i="66" s="1"/>
  <c r="Z93" i="66"/>
  <c r="AB93" i="66" s="1"/>
  <c r="AO93" i="66" s="1"/>
  <c r="Z162" i="66"/>
  <c r="AB162" i="66" s="1"/>
  <c r="AO162" i="66" s="1"/>
  <c r="AA162" i="66"/>
  <c r="AC162" i="66" s="1"/>
  <c r="AP162" i="66" s="1"/>
  <c r="Z152" i="66"/>
  <c r="AB152" i="66" s="1"/>
  <c r="AO152" i="66" s="1"/>
  <c r="AA152" i="66"/>
  <c r="AC152" i="66" s="1"/>
  <c r="AP152" i="66" s="1"/>
  <c r="Z109" i="66"/>
  <c r="AB109" i="66" s="1"/>
  <c r="AO109" i="66" s="1"/>
  <c r="AA109" i="66"/>
  <c r="AC109" i="66" s="1"/>
  <c r="AP109" i="66" s="1"/>
  <c r="Z59" i="66"/>
  <c r="AB59" i="66" s="1"/>
  <c r="AO59" i="66" s="1"/>
  <c r="AA59" i="66"/>
  <c r="AC59" i="66" s="1"/>
  <c r="AP59" i="66" s="1"/>
  <c r="Z43" i="66"/>
  <c r="AB43" i="66" s="1"/>
  <c r="AO43" i="66" s="1"/>
  <c r="AA43" i="66"/>
  <c r="AC43" i="66" s="1"/>
  <c r="AP43" i="66" s="1"/>
  <c r="Z144" i="66"/>
  <c r="AB144" i="66" s="1"/>
  <c r="AO144" i="66" s="1"/>
  <c r="AA144" i="66"/>
  <c r="AC144" i="66" s="1"/>
  <c r="AP144" i="66" s="1"/>
  <c r="AA134" i="66"/>
  <c r="AC134" i="66" s="1"/>
  <c r="AP134" i="66" s="1"/>
  <c r="Z134" i="66"/>
  <c r="AB134" i="66" s="1"/>
  <c r="AO134" i="66" s="1"/>
  <c r="Z140" i="66"/>
  <c r="AB140" i="66" s="1"/>
  <c r="AO140" i="66" s="1"/>
  <c r="AA140" i="66"/>
  <c r="AC140" i="66" s="1"/>
  <c r="AP140" i="66" s="1"/>
  <c r="Z106" i="66"/>
  <c r="AB106" i="66" s="1"/>
  <c r="AO106" i="66" s="1"/>
  <c r="AA106" i="66"/>
  <c r="AC106" i="66" s="1"/>
  <c r="AP106" i="66" s="1"/>
  <c r="AA123" i="66"/>
  <c r="AC123" i="66" s="1"/>
  <c r="AP123" i="66" s="1"/>
  <c r="Z123" i="66"/>
  <c r="AB123" i="66" s="1"/>
  <c r="AO123" i="66" s="1"/>
  <c r="Z100" i="66"/>
  <c r="AB100" i="66" s="1"/>
  <c r="AO100" i="66" s="1"/>
  <c r="AA100" i="66"/>
  <c r="AC100" i="66" s="1"/>
  <c r="AP100" i="66" s="1"/>
  <c r="Z138" i="66"/>
  <c r="AB138" i="66" s="1"/>
  <c r="AO138" i="66" s="1"/>
  <c r="AA138" i="66"/>
  <c r="AC138" i="66" s="1"/>
  <c r="AP138" i="66" s="1"/>
  <c r="Z127" i="66"/>
  <c r="AB127" i="66" s="1"/>
  <c r="AO127" i="66" s="1"/>
  <c r="AA127" i="66"/>
  <c r="AC127" i="66" s="1"/>
  <c r="AP127" i="66" s="1"/>
  <c r="Z46" i="66"/>
  <c r="AB46" i="66" s="1"/>
  <c r="AO46" i="66" s="1"/>
  <c r="AA46" i="66"/>
  <c r="AC46" i="66" s="1"/>
  <c r="AP46" i="66" s="1"/>
  <c r="AA61" i="66"/>
  <c r="AC61" i="66" s="1"/>
  <c r="AP61" i="66" s="1"/>
  <c r="Z61" i="66"/>
  <c r="AB61" i="66" s="1"/>
  <c r="AO61" i="66" s="1"/>
  <c r="Z75" i="66"/>
  <c r="AB75" i="66" s="1"/>
  <c r="AO75" i="66" s="1"/>
  <c r="AA75" i="66"/>
  <c r="AC75" i="66" s="1"/>
  <c r="AP75" i="66" s="1"/>
  <c r="Z54" i="66"/>
  <c r="AB54" i="66" s="1"/>
  <c r="AO54" i="66" s="1"/>
  <c r="AA54" i="66"/>
  <c r="AC54" i="66" s="1"/>
  <c r="AP54" i="66" s="1"/>
  <c r="Z92" i="66"/>
  <c r="AB92" i="66" s="1"/>
  <c r="AO92" i="66" s="1"/>
  <c r="AA92" i="66"/>
  <c r="AC92" i="66" s="1"/>
  <c r="AP92" i="66" s="1"/>
  <c r="Z81" i="66"/>
  <c r="AB81" i="66" s="1"/>
  <c r="AO81" i="66" s="1"/>
  <c r="AA81" i="66"/>
  <c r="AC81" i="66" s="1"/>
  <c r="AP81" i="66" s="1"/>
  <c r="AA132" i="66"/>
  <c r="AC132" i="66" s="1"/>
  <c r="AP132" i="66" s="1"/>
  <c r="Z132" i="66"/>
  <c r="AB132" i="66" s="1"/>
  <c r="AO132" i="66" s="1"/>
  <c r="AA137" i="66"/>
  <c r="AC137" i="66" s="1"/>
  <c r="AP137" i="66" s="1"/>
  <c r="Z137" i="66"/>
  <c r="AB137" i="66" s="1"/>
  <c r="AO137" i="66" s="1"/>
  <c r="Z161" i="66"/>
  <c r="AB161" i="66" s="1"/>
  <c r="AO161" i="66" s="1"/>
  <c r="AA161" i="66"/>
  <c r="AC161" i="66" s="1"/>
  <c r="AP161" i="66" s="1"/>
  <c r="Z135" i="66"/>
  <c r="AB135" i="66" s="1"/>
  <c r="AO135" i="66" s="1"/>
  <c r="AA135" i="66"/>
  <c r="AC135" i="66" s="1"/>
  <c r="AP135" i="66" s="1"/>
  <c r="AA128" i="66"/>
  <c r="AC128" i="66" s="1"/>
  <c r="AP128" i="66" s="1"/>
  <c r="Z128" i="66"/>
  <c r="AB128" i="66" s="1"/>
  <c r="AO128" i="66" s="1"/>
  <c r="Z99" i="66"/>
  <c r="AB99" i="66" s="1"/>
  <c r="AO99" i="66" s="1"/>
  <c r="AA99" i="66"/>
  <c r="AC99" i="66" s="1"/>
  <c r="AP99" i="66" s="1"/>
  <c r="Z94" i="66"/>
  <c r="AB94" i="66" s="1"/>
  <c r="AO94" i="66" s="1"/>
  <c r="AA94" i="66"/>
  <c r="AC94" i="66" s="1"/>
  <c r="AP94" i="66" s="1"/>
  <c r="AA77" i="66"/>
  <c r="AC77" i="66" s="1"/>
  <c r="AP77" i="66" s="1"/>
  <c r="Z77" i="66"/>
  <c r="AB77" i="66" s="1"/>
  <c r="AO77" i="66" s="1"/>
  <c r="Z158" i="66"/>
  <c r="AB158" i="66" s="1"/>
  <c r="AO158" i="66" s="1"/>
  <c r="AA158" i="66"/>
  <c r="AC158" i="66" s="1"/>
  <c r="AP158" i="66" s="1"/>
  <c r="Z118" i="66"/>
  <c r="AB118" i="66" s="1"/>
  <c r="AO118" i="66" s="1"/>
  <c r="AA118" i="66"/>
  <c r="AC118" i="66" s="1"/>
  <c r="AP118" i="66" s="1"/>
  <c r="Z71" i="66"/>
  <c r="AB71" i="66" s="1"/>
  <c r="AO71" i="66" s="1"/>
  <c r="AA71" i="66"/>
  <c r="AC71" i="66" s="1"/>
  <c r="AP71" i="66" s="1"/>
  <c r="AA108" i="66"/>
  <c r="AC108" i="66" s="1"/>
  <c r="AP108" i="66" s="1"/>
  <c r="Z108" i="66"/>
  <c r="AB108" i="66" s="1"/>
  <c r="AO108" i="66" s="1"/>
  <c r="Z96" i="66"/>
  <c r="AB96" i="66" s="1"/>
  <c r="AO96" i="66" s="1"/>
  <c r="AA96" i="66"/>
  <c r="AC96" i="66" s="1"/>
  <c r="AP96" i="66" s="1"/>
  <c r="AA111" i="66"/>
  <c r="AC111" i="66" s="1"/>
  <c r="AP111" i="66" s="1"/>
  <c r="Z111" i="66"/>
  <c r="AB111" i="66" s="1"/>
  <c r="AO111" i="66" s="1"/>
  <c r="Z126" i="66"/>
  <c r="AB126" i="66" s="1"/>
  <c r="AO126" i="66" s="1"/>
  <c r="AA126" i="66"/>
  <c r="AC126" i="66" s="1"/>
  <c r="AP126" i="66" s="1"/>
  <c r="Z115" i="66"/>
  <c r="AB115" i="66" s="1"/>
  <c r="AO115" i="66" s="1"/>
  <c r="AA115" i="66"/>
  <c r="AC115" i="66" s="1"/>
  <c r="AP115" i="66" s="1"/>
  <c r="Z72" i="66"/>
  <c r="AB72" i="66" s="1"/>
  <c r="AO72" i="66" s="1"/>
  <c r="AA72" i="66"/>
  <c r="AC72" i="66" s="1"/>
  <c r="AP72" i="66" s="1"/>
  <c r="AA49" i="66"/>
  <c r="AC49" i="66" s="1"/>
  <c r="AP49" i="66" s="1"/>
  <c r="Z49" i="66"/>
  <c r="AB49" i="66" s="1"/>
  <c r="AO49" i="66" s="1"/>
  <c r="Z63" i="66"/>
  <c r="AB63" i="66" s="1"/>
  <c r="AO63" i="66" s="1"/>
  <c r="AA63" i="66"/>
  <c r="AC63" i="66" s="1"/>
  <c r="AP63" i="66" s="1"/>
  <c r="Z42" i="66"/>
  <c r="AB42" i="66" s="1"/>
  <c r="AO42" i="66" s="1"/>
  <c r="AA42" i="66"/>
  <c r="AC42" i="66" s="1"/>
  <c r="AP42" i="66" s="1"/>
  <c r="Z80" i="66"/>
  <c r="AB80" i="66" s="1"/>
  <c r="AO80" i="66" s="1"/>
  <c r="AA80" i="66"/>
  <c r="AC80" i="66" s="1"/>
  <c r="AP80" i="66" s="1"/>
  <c r="Z69" i="66"/>
  <c r="AB69" i="66" s="1"/>
  <c r="AO69" i="66" s="1"/>
  <c r="AA69" i="66"/>
  <c r="AC69" i="66" s="1"/>
  <c r="AP69" i="66" s="1"/>
  <c r="Z129" i="66"/>
  <c r="AB129" i="66" s="1"/>
  <c r="AO129" i="66" s="1"/>
  <c r="AA129" i="66"/>
  <c r="AC129" i="66" s="1"/>
  <c r="AP129" i="66" s="1"/>
  <c r="AA120" i="66"/>
  <c r="AC120" i="66" s="1"/>
  <c r="AP120" i="66" s="1"/>
  <c r="Z120" i="66"/>
  <c r="AB120" i="66" s="1"/>
  <c r="AO120" i="66" s="1"/>
  <c r="Z160" i="66"/>
  <c r="AB160" i="66" s="1"/>
  <c r="AO160" i="66" s="1"/>
  <c r="AA160" i="66"/>
  <c r="AC160" i="66" s="1"/>
  <c r="AP160" i="66" s="1"/>
  <c r="Z149" i="66"/>
  <c r="AB149" i="66" s="1"/>
  <c r="AO149" i="66" s="1"/>
  <c r="AA149" i="66"/>
  <c r="AC149" i="66" s="1"/>
  <c r="AP149" i="66" s="1"/>
  <c r="Z105" i="66"/>
  <c r="AB105" i="66" s="1"/>
  <c r="AO105" i="66" s="1"/>
  <c r="AA105" i="66"/>
  <c r="AC105" i="66" s="1"/>
  <c r="AP105" i="66" s="1"/>
  <c r="Z116" i="66"/>
  <c r="AB116" i="66" s="1"/>
  <c r="AO116" i="66" s="1"/>
  <c r="AA116" i="66"/>
  <c r="AC116" i="66" s="1"/>
  <c r="AP116" i="66" s="1"/>
  <c r="Z84" i="66"/>
  <c r="AB84" i="66" s="1"/>
  <c r="AO84" i="66" s="1"/>
  <c r="AA84" i="66"/>
  <c r="AC84" i="66" s="1"/>
  <c r="AP84" i="66" s="1"/>
  <c r="Z113" i="66"/>
  <c r="AB113" i="66" s="1"/>
  <c r="AO113" i="66" s="1"/>
  <c r="AA113" i="66"/>
  <c r="AC113" i="66" s="1"/>
  <c r="AP113" i="66" s="1"/>
  <c r="Z65" i="66"/>
  <c r="AB65" i="66" s="1"/>
  <c r="AO65" i="66" s="1"/>
  <c r="AA65" i="66"/>
  <c r="AC65" i="66" s="1"/>
  <c r="AP65" i="66" s="1"/>
  <c r="AA91" i="66"/>
  <c r="AC91" i="66" s="1"/>
  <c r="AP91" i="66" s="1"/>
  <c r="Z91" i="66"/>
  <c r="AB91" i="66" s="1"/>
  <c r="AO91" i="66" s="1"/>
  <c r="AA157" i="66"/>
  <c r="AC157" i="66" s="1"/>
  <c r="AP157" i="66" s="1"/>
  <c r="Z157" i="66"/>
  <c r="AB157" i="66" s="1"/>
  <c r="AO157" i="66" s="1"/>
  <c r="Z130" i="66"/>
  <c r="AB130" i="66" s="1"/>
  <c r="AO130" i="66" s="1"/>
  <c r="AA130" i="66"/>
  <c r="AC130" i="66" s="1"/>
  <c r="AP130" i="66" s="1"/>
  <c r="Z163" i="66"/>
  <c r="AB163" i="66" s="1"/>
  <c r="AO163" i="66" s="1"/>
  <c r="AA163" i="66"/>
  <c r="AC163" i="66" s="1"/>
  <c r="AP163" i="66" s="1"/>
  <c r="AA86" i="66"/>
  <c r="AC86" i="66" s="1"/>
  <c r="AP86" i="66" s="1"/>
  <c r="Z86" i="66"/>
  <c r="AB86" i="66" s="1"/>
  <c r="AO86" i="66" s="1"/>
  <c r="Z122" i="66"/>
  <c r="AB122" i="66" s="1"/>
  <c r="AO122" i="66" s="1"/>
  <c r="AA122" i="66"/>
  <c r="AC122" i="66" s="1"/>
  <c r="AP122" i="66" s="1"/>
  <c r="Z114" i="66"/>
  <c r="AB114" i="66" s="1"/>
  <c r="AO114" i="66" s="1"/>
  <c r="AA114" i="66"/>
  <c r="AC114" i="66" s="1"/>
  <c r="AP114" i="66" s="1"/>
  <c r="Z103" i="66"/>
  <c r="AB103" i="66" s="1"/>
  <c r="AO103" i="66" s="1"/>
  <c r="AA103" i="66"/>
  <c r="AC103" i="66" s="1"/>
  <c r="AP103" i="66" s="1"/>
  <c r="Z60" i="66"/>
  <c r="AB60" i="66" s="1"/>
  <c r="AO60" i="66" s="1"/>
  <c r="AA60" i="66"/>
  <c r="AC60" i="66" s="1"/>
  <c r="AP60" i="66" s="1"/>
  <c r="Z51" i="66"/>
  <c r="AB51" i="66" s="1"/>
  <c r="AO51" i="66" s="1"/>
  <c r="AA51" i="66"/>
  <c r="AC51" i="66" s="1"/>
  <c r="AP51" i="66" s="1"/>
  <c r="Z68" i="66"/>
  <c r="AB68" i="66" s="1"/>
  <c r="AO68" i="66" s="1"/>
  <c r="AA68" i="66"/>
  <c r="AC68" i="66" s="1"/>
  <c r="AP68" i="66" s="1"/>
  <c r="Z57" i="66"/>
  <c r="AB57" i="66" s="1"/>
  <c r="AO57" i="66" s="1"/>
  <c r="AA57" i="66"/>
  <c r="AC57" i="66" s="1"/>
  <c r="AP57" i="66" s="1"/>
  <c r="Z154" i="66"/>
  <c r="AB154" i="66" s="1"/>
  <c r="AO154" i="66" s="1"/>
  <c r="AA154" i="66"/>
  <c r="AC154" i="66" s="1"/>
  <c r="AP154" i="66" s="1"/>
  <c r="Z155" i="66"/>
  <c r="AB155" i="66" s="1"/>
  <c r="AO155" i="66" s="1"/>
  <c r="AA155" i="66"/>
  <c r="AC155" i="66" s="1"/>
  <c r="AP155" i="66" s="1"/>
  <c r="Z148" i="66"/>
  <c r="AB148" i="66" s="1"/>
  <c r="AO148" i="66" s="1"/>
  <c r="AA148" i="66"/>
  <c r="AC148" i="66" s="1"/>
  <c r="AP148" i="66" s="1"/>
  <c r="Z142" i="66"/>
  <c r="AB142" i="66" s="1"/>
  <c r="AO142" i="66" s="1"/>
  <c r="AA142" i="66"/>
  <c r="AC142" i="66" s="1"/>
  <c r="AP142" i="66" s="1"/>
  <c r="Z95" i="66"/>
  <c r="AB95" i="66" s="1"/>
  <c r="AO95" i="66" s="1"/>
  <c r="AA95" i="66"/>
  <c r="AC95" i="66" s="1"/>
  <c r="AP95" i="66" s="1"/>
  <c r="Z104" i="66"/>
  <c r="AB104" i="66" s="1"/>
  <c r="AO104" i="66" s="1"/>
  <c r="AA104" i="66"/>
  <c r="AC104" i="66" s="1"/>
  <c r="AP104" i="66" s="1"/>
  <c r="Z47" i="66"/>
  <c r="AB47" i="66" s="1"/>
  <c r="AO47" i="66" s="1"/>
  <c r="AA47" i="66"/>
  <c r="AC47" i="66" s="1"/>
  <c r="AP47" i="66" s="1"/>
  <c r="Z101" i="66"/>
  <c r="AB101" i="66" s="1"/>
  <c r="AO101" i="66" s="1"/>
  <c r="AA101" i="66"/>
  <c r="AC101" i="66" s="1"/>
  <c r="AP101" i="66" s="1"/>
  <c r="AA62" i="66"/>
  <c r="AC62" i="66" s="1"/>
  <c r="AP62" i="66" s="1"/>
  <c r="Z62" i="66"/>
  <c r="AB62" i="66" s="1"/>
  <c r="AO62" i="66" s="1"/>
  <c r="Z53" i="66"/>
  <c r="AB53" i="66" s="1"/>
  <c r="AO53" i="66" s="1"/>
  <c r="AA53" i="66"/>
  <c r="AC53" i="66" s="1"/>
  <c r="AP53" i="66" s="1"/>
  <c r="Z79" i="66"/>
  <c r="AB79" i="66" s="1"/>
  <c r="AO79" i="66" s="1"/>
  <c r="AA79" i="66"/>
  <c r="AC79" i="66" s="1"/>
  <c r="AP79" i="66" s="1"/>
  <c r="AA145" i="66"/>
  <c r="AC145" i="66" s="1"/>
  <c r="AP145" i="66" s="1"/>
  <c r="Z145" i="66"/>
  <c r="AB145" i="66" s="1"/>
  <c r="AO145" i="66" s="1"/>
  <c r="Z136" i="66"/>
  <c r="AB136" i="66" s="1"/>
  <c r="AO136" i="66" s="1"/>
  <c r="AA136" i="66"/>
  <c r="AC136" i="66" s="1"/>
  <c r="AP136" i="66" s="1"/>
  <c r="AA131" i="66"/>
  <c r="AC131" i="66" s="1"/>
  <c r="AP131" i="66" s="1"/>
  <c r="Z131" i="66"/>
  <c r="AB131" i="66" s="1"/>
  <c r="AO131" i="66" s="1"/>
  <c r="Z151" i="66"/>
  <c r="AB151" i="66" s="1"/>
  <c r="AO151" i="66" s="1"/>
  <c r="AA151" i="66"/>
  <c r="AC151" i="66" s="1"/>
  <c r="AP151" i="66" s="1"/>
  <c r="Z110" i="66"/>
  <c r="AB110" i="66" s="1"/>
  <c r="AO110" i="66" s="1"/>
  <c r="AA110" i="66"/>
  <c r="AC110" i="66" s="1"/>
  <c r="AP110" i="66" s="1"/>
  <c r="Z102" i="66"/>
  <c r="AB102" i="66" s="1"/>
  <c r="AO102" i="66" s="1"/>
  <c r="AA102" i="66"/>
  <c r="AC102" i="66" s="1"/>
  <c r="AP102" i="66" s="1"/>
  <c r="Z88" i="66"/>
  <c r="AB88" i="66" s="1"/>
  <c r="AO88" i="66" s="1"/>
  <c r="AA88" i="66"/>
  <c r="AC88" i="66" s="1"/>
  <c r="AP88" i="66" s="1"/>
  <c r="Z48" i="66"/>
  <c r="AB48" i="66" s="1"/>
  <c r="AO48" i="66" s="1"/>
  <c r="AA48" i="66"/>
  <c r="AC48" i="66" s="1"/>
  <c r="AP48" i="66" s="1"/>
  <c r="Z76" i="66"/>
  <c r="AB76" i="66" s="1"/>
  <c r="AO76" i="66" s="1"/>
  <c r="AA76" i="66"/>
  <c r="AC76" i="66" s="1"/>
  <c r="AP76" i="66" s="1"/>
  <c r="Z56" i="66"/>
  <c r="AB56" i="66" s="1"/>
  <c r="AO56" i="66" s="1"/>
  <c r="AA56" i="66"/>
  <c r="AC56" i="66" s="1"/>
  <c r="AP56" i="66" s="1"/>
  <c r="Z45" i="66"/>
  <c r="AB45" i="66" s="1"/>
  <c r="AO45" i="66" s="1"/>
  <c r="AA45" i="66"/>
  <c r="AC45" i="66" s="1"/>
  <c r="AP45" i="66" s="1"/>
  <c r="Z141" i="66"/>
  <c r="AB141" i="66" s="1"/>
  <c r="AO141" i="66" s="1"/>
  <c r="AA141" i="66"/>
  <c r="AC141" i="66" s="1"/>
  <c r="AP141" i="66" s="1"/>
  <c r="Z159" i="66"/>
  <c r="AB159" i="66" s="1"/>
  <c r="AO159" i="66" s="1"/>
  <c r="AA159" i="66"/>
  <c r="AC159" i="66" s="1"/>
  <c r="AP159" i="66" s="1"/>
  <c r="Z153" i="66"/>
  <c r="AB153" i="66" s="1"/>
  <c r="AO153" i="66" s="1"/>
  <c r="AA153" i="66"/>
  <c r="AC153" i="66" s="1"/>
  <c r="AP153" i="66" s="1"/>
  <c r="AA119" i="66"/>
  <c r="AC119" i="66" s="1"/>
  <c r="AP119" i="66" s="1"/>
  <c r="Z119" i="66"/>
  <c r="AB119" i="66" s="1"/>
  <c r="AO119" i="66" s="1"/>
  <c r="Z133" i="66"/>
  <c r="AB133" i="66" s="1"/>
  <c r="AO133" i="66" s="1"/>
  <c r="AA133" i="66"/>
  <c r="AC133" i="66" s="1"/>
  <c r="AP133" i="66" s="1"/>
  <c r="Z82" i="66"/>
  <c r="AB82" i="66" s="1"/>
  <c r="AO82" i="66" s="1"/>
  <c r="AA82" i="66"/>
  <c r="AC82" i="66" s="1"/>
  <c r="AP82" i="66" s="1"/>
  <c r="Z90" i="66"/>
  <c r="AB90" i="66" s="1"/>
  <c r="AO90" i="66" s="1"/>
  <c r="AA90" i="66"/>
  <c r="AC90" i="66" s="1"/>
  <c r="AP90" i="66" s="1"/>
  <c r="AA50" i="66"/>
  <c r="AC50" i="66" s="1"/>
  <c r="AP50" i="66" s="1"/>
  <c r="Z50" i="66"/>
  <c r="AB50" i="66" s="1"/>
  <c r="AO50" i="66" s="1"/>
  <c r="Z67" i="66"/>
  <c r="AB67" i="66" s="1"/>
  <c r="AO67" i="66" s="1"/>
  <c r="AA67" i="66"/>
  <c r="AC67" i="66" s="1"/>
  <c r="AP67" i="66" s="1"/>
  <c r="Z117" i="66"/>
  <c r="AB117" i="66" s="1"/>
  <c r="AO117" i="66" s="1"/>
  <c r="AA117" i="66"/>
  <c r="AC117" i="66" s="1"/>
  <c r="AP117" i="66" s="1"/>
  <c r="Z89" i="66"/>
  <c r="AB89" i="66" s="1"/>
  <c r="AO89" i="66" s="1"/>
  <c r="AA89" i="66"/>
  <c r="AC89" i="66" s="1"/>
  <c r="AP89" i="66" s="1"/>
  <c r="Z124" i="66"/>
  <c r="AB124" i="66" s="1"/>
  <c r="AO124" i="66" s="1"/>
  <c r="AA124" i="66"/>
  <c r="AC124" i="66" s="1"/>
  <c r="AP124" i="66" s="1"/>
  <c r="AA97" i="66"/>
  <c r="AC97" i="66" s="1"/>
  <c r="AP97" i="66" s="1"/>
  <c r="Z97" i="66"/>
  <c r="AB97" i="66" s="1"/>
  <c r="AO97" i="66" s="1"/>
  <c r="Z70" i="66"/>
  <c r="AB70" i="66" s="1"/>
  <c r="AO70" i="66" s="1"/>
  <c r="AA70" i="66"/>
  <c r="AC70" i="66" s="1"/>
  <c r="AP70" i="66" s="1"/>
  <c r="AA85" i="66"/>
  <c r="AC85" i="66" s="1"/>
  <c r="AP85" i="66" s="1"/>
  <c r="Z85" i="66"/>
  <c r="AB85" i="66" s="1"/>
  <c r="AO85" i="66" s="1"/>
  <c r="Z64" i="66"/>
  <c r="AB64" i="66" s="1"/>
  <c r="AO64" i="66" s="1"/>
  <c r="AA64" i="66"/>
  <c r="AC64" i="66" s="1"/>
  <c r="AP64" i="66" s="1"/>
  <c r="Z78" i="66"/>
  <c r="AB78" i="66" s="1"/>
  <c r="AO78" i="66" s="1"/>
  <c r="AA78" i="66"/>
  <c r="AC78" i="66" s="1"/>
  <c r="AP78" i="66" s="1"/>
  <c r="Z44" i="66"/>
  <c r="AB44" i="66" s="1"/>
  <c r="AO44" i="66" s="1"/>
  <c r="AA44" i="66"/>
  <c r="AC44" i="66" s="1"/>
  <c r="AP44" i="66" s="1"/>
  <c r="A16" i="37"/>
  <c r="AJ211" i="65"/>
  <c r="AJ198" i="65"/>
  <c r="A16" i="65"/>
  <c r="AJ186" i="65"/>
  <c r="AP206" i="65"/>
  <c r="AP194" i="65"/>
  <c r="S6" i="68"/>
  <c r="AJ206" i="65"/>
  <c r="AJ210" i="65"/>
  <c r="AJ190" i="65"/>
  <c r="AJ182" i="65"/>
  <c r="T6" i="67"/>
  <c r="S6" i="67"/>
  <c r="Z173" i="66"/>
  <c r="AB173" i="66" s="1"/>
  <c r="AO173" i="66" s="1"/>
  <c r="AA173" i="66"/>
  <c r="AC173" i="66" s="1"/>
  <c r="AP173" i="66" s="1"/>
  <c r="Z172" i="66"/>
  <c r="AB172" i="66" s="1"/>
  <c r="AO172" i="66" s="1"/>
  <c r="AA172" i="66"/>
  <c r="AC172" i="66" s="1"/>
  <c r="AP172" i="66" s="1"/>
  <c r="Z174" i="66"/>
  <c r="AB174" i="66" s="1"/>
  <c r="AO174" i="66" s="1"/>
  <c r="AA174" i="66"/>
  <c r="AC174" i="66" s="1"/>
  <c r="AP174" i="66" s="1"/>
  <c r="Z179" i="66"/>
  <c r="AB179" i="66" s="1"/>
  <c r="AO179" i="66" s="1"/>
  <c r="AA179" i="66"/>
  <c r="AC179" i="66" s="1"/>
  <c r="AP179" i="66" s="1"/>
  <c r="Z178" i="66"/>
  <c r="AB178" i="66" s="1"/>
  <c r="AO178" i="66" s="1"/>
  <c r="AA178" i="66"/>
  <c r="AC178" i="66" s="1"/>
  <c r="AP178" i="66" s="1"/>
  <c r="Z168" i="66"/>
  <c r="AB168" i="66" s="1"/>
  <c r="AO168" i="66" s="1"/>
  <c r="AA168" i="66"/>
  <c r="AC168" i="66" s="1"/>
  <c r="AP168" i="66" s="1"/>
  <c r="Z165" i="66"/>
  <c r="AB165" i="66" s="1"/>
  <c r="AO165" i="66" s="1"/>
  <c r="AA165" i="66"/>
  <c r="AC165" i="66" s="1"/>
  <c r="AP165" i="66" s="1"/>
  <c r="AA181" i="66"/>
  <c r="AC181" i="66" s="1"/>
  <c r="AP181" i="66" s="1"/>
  <c r="Z181" i="66"/>
  <c r="AB181" i="66" s="1"/>
  <c r="AO181" i="66" s="1"/>
  <c r="Z176" i="66"/>
  <c r="AB176" i="66" s="1"/>
  <c r="AO176" i="66" s="1"/>
  <c r="AA176" i="66"/>
  <c r="AC176" i="66" s="1"/>
  <c r="AP176" i="66" s="1"/>
  <c r="AA183" i="66"/>
  <c r="AC183" i="66" s="1"/>
  <c r="AP183" i="66" s="1"/>
  <c r="Z183" i="66"/>
  <c r="AB183" i="66" s="1"/>
  <c r="AO183" i="66" s="1"/>
  <c r="Z186" i="66"/>
  <c r="AB186" i="66" s="1"/>
  <c r="AO186" i="66" s="1"/>
  <c r="AA186" i="66"/>
  <c r="AC186" i="66" s="1"/>
  <c r="AP186" i="66" s="1"/>
  <c r="Z167" i="66"/>
  <c r="AB167" i="66" s="1"/>
  <c r="AO167" i="66" s="1"/>
  <c r="AA167" i="66"/>
  <c r="AC167" i="66" s="1"/>
  <c r="AP167" i="66" s="1"/>
  <c r="Z182" i="66"/>
  <c r="AB182" i="66" s="1"/>
  <c r="AO182" i="66" s="1"/>
  <c r="AA182" i="66"/>
  <c r="AC182" i="66" s="1"/>
  <c r="AP182" i="66" s="1"/>
  <c r="AA164" i="66"/>
  <c r="AC164" i="66" s="1"/>
  <c r="AP164" i="66" s="1"/>
  <c r="Z164" i="66"/>
  <c r="AB164" i="66" s="1"/>
  <c r="AO164" i="66" s="1"/>
  <c r="Z171" i="66"/>
  <c r="AB171" i="66" s="1"/>
  <c r="AO171" i="66" s="1"/>
  <c r="AA171" i="66"/>
  <c r="AC171" i="66" s="1"/>
  <c r="AP171" i="66" s="1"/>
  <c r="AA187" i="66"/>
  <c r="AC187" i="66" s="1"/>
  <c r="AP187" i="66" s="1"/>
  <c r="Z187" i="66"/>
  <c r="AB187" i="66" s="1"/>
  <c r="AO187" i="66" s="1"/>
  <c r="Z177" i="66"/>
  <c r="AB177" i="66" s="1"/>
  <c r="AO177" i="66" s="1"/>
  <c r="AA177" i="66"/>
  <c r="AC177" i="66" s="1"/>
  <c r="AP177" i="66" s="1"/>
  <c r="AA185" i="66"/>
  <c r="AC185" i="66" s="1"/>
  <c r="AP185" i="66" s="1"/>
  <c r="Z185" i="66"/>
  <c r="AB185" i="66" s="1"/>
  <c r="AO185" i="66" s="1"/>
  <c r="Z170" i="66"/>
  <c r="AB170" i="66" s="1"/>
  <c r="AO170" i="66" s="1"/>
  <c r="AA170" i="66"/>
  <c r="AC170" i="66" s="1"/>
  <c r="AP170" i="66" s="1"/>
  <c r="A16" i="66"/>
  <c r="AA175" i="66"/>
  <c r="AC175" i="66" s="1"/>
  <c r="AP175" i="66" s="1"/>
  <c r="Z175" i="66"/>
  <c r="AB175" i="66" s="1"/>
  <c r="AO175" i="66" s="1"/>
  <c r="Z180" i="66"/>
  <c r="AB180" i="66" s="1"/>
  <c r="AO180" i="66" s="1"/>
  <c r="AA180" i="66"/>
  <c r="AC180" i="66" s="1"/>
  <c r="AP180" i="66" s="1"/>
  <c r="Z184" i="66"/>
  <c r="AB184" i="66" s="1"/>
  <c r="AO184" i="66" s="1"/>
  <c r="AA184" i="66"/>
  <c r="AC184" i="66" s="1"/>
  <c r="AP184" i="66" s="1"/>
  <c r="Z166" i="66"/>
  <c r="AB166" i="66" s="1"/>
  <c r="AO166" i="66" s="1"/>
  <c r="AA166" i="66"/>
  <c r="AC166" i="66" s="1"/>
  <c r="AP166" i="66" s="1"/>
  <c r="Z169" i="66"/>
  <c r="AB169" i="66" s="1"/>
  <c r="AO169" i="66" s="1"/>
  <c r="AA169" i="66"/>
  <c r="AC169" i="66" s="1"/>
  <c r="AP169" i="66" s="1"/>
  <c r="A16" i="62"/>
  <c r="L62" i="67"/>
  <c r="AN23" i="13"/>
  <c r="AN196" i="15"/>
  <c r="T8" i="67"/>
  <c r="AN228" i="15"/>
  <c r="AN54" i="31"/>
  <c r="AN24" i="44"/>
  <c r="AN21" i="54"/>
  <c r="AN26" i="23"/>
  <c r="AN169" i="32"/>
  <c r="T14" i="67"/>
  <c r="AN220" i="15"/>
  <c r="AN136" i="15"/>
  <c r="AN20" i="39"/>
  <c r="T19" i="67"/>
  <c r="AN56" i="29"/>
  <c r="AN14" i="40"/>
  <c r="T18" i="68"/>
  <c r="E19" i="2" s="1"/>
  <c r="AN80" i="46"/>
  <c r="AN43" i="53"/>
  <c r="AN37" i="57"/>
  <c r="AN50" i="5"/>
  <c r="AN227" i="15"/>
  <c r="AN30" i="31"/>
  <c r="AN108" i="32"/>
  <c r="T20" i="68"/>
  <c r="E21" i="2" s="1"/>
  <c r="T9" i="68"/>
  <c r="E10" i="2" s="1"/>
  <c r="T18" i="67"/>
  <c r="Z119" i="60"/>
  <c r="AB119" i="60" s="1"/>
  <c r="AO119" i="60" s="1"/>
  <c r="AA119" i="60"/>
  <c r="AC119" i="60" s="1"/>
  <c r="AP119" i="60" s="1"/>
  <c r="Z107" i="60"/>
  <c r="AB107" i="60" s="1"/>
  <c r="AO107" i="60" s="1"/>
  <c r="AA107" i="60"/>
  <c r="AC107" i="60" s="1"/>
  <c r="AP107" i="60" s="1"/>
  <c r="AA106" i="60"/>
  <c r="AC106" i="60" s="1"/>
  <c r="AP106" i="60" s="1"/>
  <c r="Z106" i="60"/>
  <c r="AB106" i="60" s="1"/>
  <c r="AO106" i="60" s="1"/>
  <c r="Z99" i="60"/>
  <c r="AB99" i="60" s="1"/>
  <c r="AO99" i="60" s="1"/>
  <c r="AA99" i="60"/>
  <c r="AC99" i="60" s="1"/>
  <c r="AP99" i="60" s="1"/>
  <c r="Z125" i="60"/>
  <c r="AB125" i="60" s="1"/>
  <c r="AO125" i="60" s="1"/>
  <c r="AA125" i="60"/>
  <c r="AC125" i="60" s="1"/>
  <c r="AP125" i="60" s="1"/>
  <c r="Z30" i="60"/>
  <c r="AB30" i="60" s="1"/>
  <c r="AO30" i="60" s="1"/>
  <c r="AA30" i="60"/>
  <c r="AC30" i="60" s="1"/>
  <c r="AP30" i="60" s="1"/>
  <c r="Z66" i="60"/>
  <c r="AB66" i="60" s="1"/>
  <c r="AO66" i="60" s="1"/>
  <c r="AA66" i="60"/>
  <c r="AC66" i="60" s="1"/>
  <c r="AP66" i="60" s="1"/>
  <c r="Z69" i="60"/>
  <c r="AB69" i="60" s="1"/>
  <c r="AO69" i="60" s="1"/>
  <c r="AA69" i="60"/>
  <c r="AC69" i="60" s="1"/>
  <c r="AP69" i="60" s="1"/>
  <c r="Z46" i="60"/>
  <c r="AB46" i="60" s="1"/>
  <c r="AO46" i="60" s="1"/>
  <c r="AA46" i="60"/>
  <c r="AC46" i="60" s="1"/>
  <c r="AP46" i="60" s="1"/>
  <c r="Z35" i="60"/>
  <c r="AB35" i="60" s="1"/>
  <c r="AO35" i="60" s="1"/>
  <c r="AA35" i="60"/>
  <c r="AC35" i="60" s="1"/>
  <c r="AP35" i="60" s="1"/>
  <c r="Z37" i="60"/>
  <c r="AB37" i="60" s="1"/>
  <c r="AO37" i="60" s="1"/>
  <c r="AA37" i="60"/>
  <c r="AC37" i="60" s="1"/>
  <c r="AP37" i="60" s="1"/>
  <c r="Z26" i="60"/>
  <c r="AB26" i="60" s="1"/>
  <c r="AO26" i="60" s="1"/>
  <c r="AA26" i="60"/>
  <c r="AC26" i="60" s="1"/>
  <c r="AP26" i="60" s="1"/>
  <c r="Z64" i="60"/>
  <c r="AB64" i="60" s="1"/>
  <c r="AO64" i="60" s="1"/>
  <c r="AA64" i="60"/>
  <c r="AC64" i="60" s="1"/>
  <c r="AP64" i="60" s="1"/>
  <c r="Z97" i="60"/>
  <c r="AB97" i="60" s="1"/>
  <c r="AO97" i="60" s="1"/>
  <c r="AA97" i="60"/>
  <c r="AC97" i="60" s="1"/>
  <c r="AP97" i="60" s="1"/>
  <c r="Z102" i="60"/>
  <c r="AB102" i="60" s="1"/>
  <c r="AO102" i="60" s="1"/>
  <c r="AA102" i="60"/>
  <c r="AC102" i="60" s="1"/>
  <c r="AP102" i="60" s="1"/>
  <c r="Z87" i="60"/>
  <c r="AB87" i="60" s="1"/>
  <c r="AO87" i="60" s="1"/>
  <c r="AA87" i="60"/>
  <c r="AC87" i="60" s="1"/>
  <c r="AP87" i="60" s="1"/>
  <c r="Z113" i="60"/>
  <c r="AB113" i="60" s="1"/>
  <c r="AO113" i="60" s="1"/>
  <c r="AA113" i="60"/>
  <c r="AC113" i="60" s="1"/>
  <c r="AP113" i="60" s="1"/>
  <c r="Z54" i="60"/>
  <c r="AB54" i="60" s="1"/>
  <c r="AO54" i="60" s="1"/>
  <c r="AA54" i="60"/>
  <c r="AC54" i="60" s="1"/>
  <c r="AP54" i="60" s="1"/>
  <c r="Z79" i="60"/>
  <c r="AB79" i="60" s="1"/>
  <c r="AO79" i="60" s="1"/>
  <c r="AA79" i="60"/>
  <c r="AC79" i="60" s="1"/>
  <c r="AP79" i="60" s="1"/>
  <c r="AA57" i="60"/>
  <c r="AC57" i="60" s="1"/>
  <c r="AP57" i="60" s="1"/>
  <c r="Z57" i="60"/>
  <c r="AB57" i="60" s="1"/>
  <c r="AO57" i="60" s="1"/>
  <c r="Z34" i="60"/>
  <c r="AB34" i="60" s="1"/>
  <c r="AO34" i="60" s="1"/>
  <c r="AA34" i="60"/>
  <c r="AC34" i="60" s="1"/>
  <c r="AP34" i="60" s="1"/>
  <c r="Z60" i="60"/>
  <c r="AB60" i="60" s="1"/>
  <c r="AO60" i="60" s="1"/>
  <c r="AA60" i="60"/>
  <c r="AC60" i="60" s="1"/>
  <c r="AP60" i="60" s="1"/>
  <c r="Z25" i="60"/>
  <c r="AB25" i="60" s="1"/>
  <c r="AO25" i="60" s="1"/>
  <c r="AA25" i="60"/>
  <c r="AC25" i="60" s="1"/>
  <c r="AP25" i="60" s="1"/>
  <c r="Z63" i="60"/>
  <c r="AB63" i="60" s="1"/>
  <c r="AO63" i="60" s="1"/>
  <c r="AA63" i="60"/>
  <c r="AC63" i="60" s="1"/>
  <c r="AP63" i="60" s="1"/>
  <c r="Z52" i="60"/>
  <c r="AB52" i="60" s="1"/>
  <c r="AO52" i="60" s="1"/>
  <c r="AA52" i="60"/>
  <c r="AC52" i="60" s="1"/>
  <c r="AP52" i="60" s="1"/>
  <c r="Z108" i="60"/>
  <c r="AB108" i="60" s="1"/>
  <c r="AO108" i="60" s="1"/>
  <c r="AA108" i="60"/>
  <c r="AC108" i="60" s="1"/>
  <c r="AP108" i="60" s="1"/>
  <c r="AA111" i="60"/>
  <c r="AC111" i="60" s="1"/>
  <c r="AP111" i="60" s="1"/>
  <c r="Z111" i="60"/>
  <c r="AB111" i="60" s="1"/>
  <c r="AO111" i="60" s="1"/>
  <c r="Z95" i="60"/>
  <c r="AB95" i="60" s="1"/>
  <c r="AO95" i="60" s="1"/>
  <c r="AA95" i="60"/>
  <c r="AC95" i="60" s="1"/>
  <c r="AP95" i="60" s="1"/>
  <c r="Z96" i="60"/>
  <c r="AB96" i="60" s="1"/>
  <c r="AO96" i="60" s="1"/>
  <c r="AA96" i="60"/>
  <c r="AC96" i="60" s="1"/>
  <c r="AP96" i="60" s="1"/>
  <c r="Z85" i="60"/>
  <c r="AB85" i="60" s="1"/>
  <c r="AO85" i="60" s="1"/>
  <c r="AA85" i="60"/>
  <c r="AC85" i="60" s="1"/>
  <c r="AP85" i="60" s="1"/>
  <c r="Z90" i="60"/>
  <c r="AB90" i="60" s="1"/>
  <c r="AO90" i="60" s="1"/>
  <c r="AA90" i="60"/>
  <c r="AC90" i="60" s="1"/>
  <c r="AP90" i="60" s="1"/>
  <c r="Z128" i="60"/>
  <c r="AB128" i="60" s="1"/>
  <c r="AO128" i="60" s="1"/>
  <c r="AA128" i="60"/>
  <c r="AC128" i="60" s="1"/>
  <c r="AP128" i="60" s="1"/>
  <c r="AA117" i="60"/>
  <c r="AC117" i="60" s="1"/>
  <c r="AP117" i="60" s="1"/>
  <c r="Z117" i="60"/>
  <c r="AB117" i="60" s="1"/>
  <c r="AO117" i="60" s="1"/>
  <c r="Z53" i="60"/>
  <c r="AB53" i="60" s="1"/>
  <c r="AO53" i="60" s="1"/>
  <c r="AA53" i="60"/>
  <c r="AC53" i="60" s="1"/>
  <c r="AP53" i="60" s="1"/>
  <c r="AA68" i="60"/>
  <c r="AC68" i="60" s="1"/>
  <c r="AP68" i="60" s="1"/>
  <c r="Z68" i="60"/>
  <c r="AB68" i="60" s="1"/>
  <c r="AO68" i="60" s="1"/>
  <c r="Z67" i="60"/>
  <c r="AB67" i="60" s="1"/>
  <c r="AO67" i="60" s="1"/>
  <c r="AA67" i="60"/>
  <c r="AC67" i="60" s="1"/>
  <c r="AP67" i="60" s="1"/>
  <c r="Z103" i="60"/>
  <c r="AB103" i="60" s="1"/>
  <c r="AO103" i="60" s="1"/>
  <c r="AA103" i="60"/>
  <c r="AC103" i="60" s="1"/>
  <c r="AP103" i="60" s="1"/>
  <c r="Z73" i="60"/>
  <c r="AB73" i="60" s="1"/>
  <c r="AO73" i="60" s="1"/>
  <c r="AA73" i="60"/>
  <c r="AC73" i="60" s="1"/>
  <c r="AP73" i="60" s="1"/>
  <c r="Z123" i="60"/>
  <c r="AB123" i="60" s="1"/>
  <c r="AO123" i="60" s="1"/>
  <c r="AA123" i="60"/>
  <c r="AC123" i="60" s="1"/>
  <c r="AP123" i="60" s="1"/>
  <c r="AA75" i="60"/>
  <c r="AC75" i="60" s="1"/>
  <c r="AP75" i="60" s="1"/>
  <c r="Z75" i="60"/>
  <c r="AB75" i="60" s="1"/>
  <c r="AO75" i="60" s="1"/>
  <c r="AA101" i="60"/>
  <c r="AC101" i="60" s="1"/>
  <c r="AP101" i="60" s="1"/>
  <c r="Z101" i="60"/>
  <c r="AB101" i="60" s="1"/>
  <c r="AO101" i="60" s="1"/>
  <c r="AA45" i="60"/>
  <c r="AC45" i="60" s="1"/>
  <c r="AP45" i="60" s="1"/>
  <c r="Z45" i="60"/>
  <c r="AB45" i="60" s="1"/>
  <c r="AO45" i="60" s="1"/>
  <c r="Z83" i="60"/>
  <c r="AB83" i="60" s="1"/>
  <c r="AO83" i="60" s="1"/>
  <c r="AA83" i="60"/>
  <c r="AC83" i="60" s="1"/>
  <c r="AP83" i="60" s="1"/>
  <c r="Z48" i="60"/>
  <c r="AB48" i="60" s="1"/>
  <c r="AO48" i="60" s="1"/>
  <c r="AA48" i="60"/>
  <c r="AC48" i="60" s="1"/>
  <c r="AP48" i="60" s="1"/>
  <c r="Z74" i="60"/>
  <c r="AB74" i="60" s="1"/>
  <c r="AO74" i="60" s="1"/>
  <c r="AA74" i="60"/>
  <c r="AC74" i="60" s="1"/>
  <c r="AP74" i="60" s="1"/>
  <c r="Z51" i="60"/>
  <c r="AB51" i="60" s="1"/>
  <c r="AO51" i="60" s="1"/>
  <c r="AA51" i="60"/>
  <c r="AC51" i="60" s="1"/>
  <c r="AP51" i="60" s="1"/>
  <c r="Z40" i="60"/>
  <c r="AB40" i="60" s="1"/>
  <c r="AO40" i="60" s="1"/>
  <c r="AA40" i="60"/>
  <c r="AC40" i="60" s="1"/>
  <c r="AP40" i="60" s="1"/>
  <c r="Z129" i="60"/>
  <c r="AB129" i="60" s="1"/>
  <c r="AO129" i="60" s="1"/>
  <c r="AA129" i="60"/>
  <c r="AC129" i="60" s="1"/>
  <c r="AP129" i="60" s="1"/>
  <c r="Z42" i="60"/>
  <c r="AB42" i="60" s="1"/>
  <c r="AO42" i="60" s="1"/>
  <c r="AA42" i="60"/>
  <c r="AC42" i="60" s="1"/>
  <c r="AP42" i="60" s="1"/>
  <c r="Z112" i="60"/>
  <c r="AB112" i="60" s="1"/>
  <c r="AO112" i="60" s="1"/>
  <c r="AA112" i="60"/>
  <c r="AC112" i="60" s="1"/>
  <c r="AP112" i="60" s="1"/>
  <c r="Z65" i="60"/>
  <c r="AB65" i="60" s="1"/>
  <c r="AO65" i="60" s="1"/>
  <c r="AA65" i="60"/>
  <c r="AC65" i="60" s="1"/>
  <c r="AP65" i="60" s="1"/>
  <c r="Z116" i="60"/>
  <c r="AB116" i="60" s="1"/>
  <c r="AO116" i="60" s="1"/>
  <c r="AA116" i="60"/>
  <c r="AC116" i="60" s="1"/>
  <c r="AP116" i="60" s="1"/>
  <c r="Z105" i="60"/>
  <c r="AB105" i="60" s="1"/>
  <c r="AO105" i="60" s="1"/>
  <c r="AA105" i="60"/>
  <c r="AC105" i="60" s="1"/>
  <c r="AP105" i="60" s="1"/>
  <c r="Z41" i="60"/>
  <c r="AB41" i="60" s="1"/>
  <c r="AO41" i="60" s="1"/>
  <c r="AA41" i="60"/>
  <c r="AC41" i="60" s="1"/>
  <c r="AP41" i="60" s="1"/>
  <c r="AA56" i="60"/>
  <c r="AC56" i="60" s="1"/>
  <c r="AP56" i="60" s="1"/>
  <c r="Z56" i="60"/>
  <c r="AB56" i="60" s="1"/>
  <c r="AO56" i="60" s="1"/>
  <c r="Z126" i="60"/>
  <c r="AB126" i="60" s="1"/>
  <c r="AO126" i="60" s="1"/>
  <c r="AA126" i="60"/>
  <c r="AC126" i="60" s="1"/>
  <c r="AP126" i="60" s="1"/>
  <c r="Z124" i="60"/>
  <c r="AB124" i="60" s="1"/>
  <c r="AO124" i="60" s="1"/>
  <c r="AA124" i="60"/>
  <c r="AC124" i="60" s="1"/>
  <c r="AP124" i="60" s="1"/>
  <c r="Z89" i="60"/>
  <c r="AB89" i="60" s="1"/>
  <c r="AO89" i="60" s="1"/>
  <c r="AA89" i="60"/>
  <c r="AC89" i="60" s="1"/>
  <c r="AP89" i="60" s="1"/>
  <c r="AA33" i="60"/>
  <c r="AC33" i="60" s="1"/>
  <c r="AP33" i="60" s="1"/>
  <c r="Z33" i="60"/>
  <c r="AB33" i="60" s="1"/>
  <c r="AO33" i="60" s="1"/>
  <c r="Z71" i="60"/>
  <c r="AB71" i="60" s="1"/>
  <c r="AO71" i="60" s="1"/>
  <c r="AA71" i="60"/>
  <c r="AC71" i="60" s="1"/>
  <c r="AP71" i="60" s="1"/>
  <c r="Z36" i="60"/>
  <c r="AB36" i="60" s="1"/>
  <c r="AO36" i="60" s="1"/>
  <c r="AA36" i="60"/>
  <c r="AC36" i="60" s="1"/>
  <c r="AP36" i="60" s="1"/>
  <c r="Z62" i="60"/>
  <c r="AB62" i="60" s="1"/>
  <c r="AO62" i="60" s="1"/>
  <c r="AA62" i="60"/>
  <c r="AC62" i="60" s="1"/>
  <c r="AP62" i="60" s="1"/>
  <c r="Z39" i="60"/>
  <c r="AB39" i="60" s="1"/>
  <c r="AO39" i="60" s="1"/>
  <c r="AA39" i="60"/>
  <c r="AC39" i="60" s="1"/>
  <c r="AP39" i="60" s="1"/>
  <c r="Z28" i="60"/>
  <c r="AB28" i="60" s="1"/>
  <c r="AO28" i="60" s="1"/>
  <c r="AA28" i="60"/>
  <c r="AC28" i="60" s="1"/>
  <c r="AP28" i="60" s="1"/>
  <c r="Z31" i="60"/>
  <c r="AB31" i="60" s="1"/>
  <c r="AO31" i="60" s="1"/>
  <c r="AA31" i="60"/>
  <c r="AC31" i="60" s="1"/>
  <c r="AP31" i="60" s="1"/>
  <c r="Z122" i="60"/>
  <c r="AB122" i="60" s="1"/>
  <c r="AO122" i="60" s="1"/>
  <c r="AA122" i="60"/>
  <c r="AC122" i="60" s="1"/>
  <c r="AP122" i="60" s="1"/>
  <c r="Z118" i="60"/>
  <c r="AB118" i="60" s="1"/>
  <c r="AO118" i="60" s="1"/>
  <c r="AA118" i="60"/>
  <c r="AC118" i="60" s="1"/>
  <c r="AP118" i="60" s="1"/>
  <c r="AA121" i="60"/>
  <c r="AC121" i="60" s="1"/>
  <c r="AP121" i="60" s="1"/>
  <c r="Z121" i="60"/>
  <c r="AB121" i="60" s="1"/>
  <c r="AO121" i="60" s="1"/>
  <c r="AA86" i="60"/>
  <c r="AC86" i="60" s="1"/>
  <c r="AP86" i="60" s="1"/>
  <c r="Z86" i="60"/>
  <c r="AB86" i="60" s="1"/>
  <c r="AO86" i="60" s="1"/>
  <c r="Z100" i="60"/>
  <c r="AB100" i="60" s="1"/>
  <c r="AO100" i="60" s="1"/>
  <c r="AA100" i="60"/>
  <c r="AC100" i="60" s="1"/>
  <c r="AP100" i="60" s="1"/>
  <c r="Z91" i="60"/>
  <c r="AB91" i="60" s="1"/>
  <c r="AO91" i="60" s="1"/>
  <c r="AA91" i="60"/>
  <c r="AC91" i="60" s="1"/>
  <c r="AP91" i="60" s="1"/>
  <c r="Z104" i="60"/>
  <c r="AB104" i="60" s="1"/>
  <c r="AO104" i="60" s="1"/>
  <c r="AA104" i="60"/>
  <c r="AC104" i="60" s="1"/>
  <c r="AP104" i="60" s="1"/>
  <c r="Z93" i="60"/>
  <c r="AB93" i="60" s="1"/>
  <c r="AO93" i="60" s="1"/>
  <c r="AA93" i="60"/>
  <c r="AC93" i="60" s="1"/>
  <c r="AP93" i="60" s="1"/>
  <c r="Z29" i="60"/>
  <c r="AB29" i="60" s="1"/>
  <c r="AO29" i="60" s="1"/>
  <c r="AA29" i="60"/>
  <c r="AC29" i="60" s="1"/>
  <c r="AP29" i="60" s="1"/>
  <c r="AA44" i="60"/>
  <c r="AC44" i="60" s="1"/>
  <c r="AP44" i="60" s="1"/>
  <c r="Z44" i="60"/>
  <c r="AB44" i="60" s="1"/>
  <c r="AO44" i="60" s="1"/>
  <c r="Z115" i="60"/>
  <c r="AB115" i="60" s="1"/>
  <c r="AO115" i="60" s="1"/>
  <c r="AA115" i="60"/>
  <c r="AC115" i="60" s="1"/>
  <c r="AP115" i="60" s="1"/>
  <c r="Z114" i="60"/>
  <c r="AB114" i="60" s="1"/>
  <c r="AO114" i="60" s="1"/>
  <c r="AA114" i="60"/>
  <c r="AC114" i="60" s="1"/>
  <c r="AP114" i="60" s="1"/>
  <c r="AA82" i="60"/>
  <c r="AC82" i="60" s="1"/>
  <c r="AP82" i="60" s="1"/>
  <c r="Z82" i="60"/>
  <c r="AB82" i="60" s="1"/>
  <c r="AO82" i="60" s="1"/>
  <c r="AA80" i="60"/>
  <c r="AC80" i="60" s="1"/>
  <c r="AP80" i="60" s="1"/>
  <c r="Z80" i="60"/>
  <c r="AB80" i="60" s="1"/>
  <c r="AO80" i="60" s="1"/>
  <c r="Z70" i="60"/>
  <c r="AB70" i="60" s="1"/>
  <c r="AO70" i="60" s="1"/>
  <c r="AA70" i="60"/>
  <c r="AC70" i="60" s="1"/>
  <c r="AP70" i="60" s="1"/>
  <c r="Z59" i="60"/>
  <c r="AB59" i="60" s="1"/>
  <c r="AO59" i="60" s="1"/>
  <c r="AA59" i="60"/>
  <c r="AC59" i="60" s="1"/>
  <c r="AP59" i="60" s="1"/>
  <c r="Z61" i="60"/>
  <c r="AB61" i="60" s="1"/>
  <c r="AO61" i="60" s="1"/>
  <c r="AA61" i="60"/>
  <c r="AC61" i="60" s="1"/>
  <c r="AP61" i="60" s="1"/>
  <c r="Z50" i="60"/>
  <c r="AB50" i="60" s="1"/>
  <c r="AO50" i="60" s="1"/>
  <c r="AA50" i="60"/>
  <c r="AC50" i="60" s="1"/>
  <c r="AP50" i="60" s="1"/>
  <c r="Z27" i="60"/>
  <c r="AB27" i="60" s="1"/>
  <c r="AO27" i="60" s="1"/>
  <c r="AA27" i="60"/>
  <c r="AC27" i="60" s="1"/>
  <c r="AP27" i="60" s="1"/>
  <c r="Z130" i="60"/>
  <c r="AB130" i="60" s="1"/>
  <c r="AO130" i="60" s="1"/>
  <c r="AA130" i="60"/>
  <c r="AC130" i="60" s="1"/>
  <c r="AP130" i="60" s="1"/>
  <c r="Z110" i="60"/>
  <c r="AB110" i="60" s="1"/>
  <c r="AO110" i="60" s="1"/>
  <c r="AA110" i="60"/>
  <c r="AC110" i="60" s="1"/>
  <c r="AP110" i="60" s="1"/>
  <c r="Z88" i="60"/>
  <c r="AB88" i="60" s="1"/>
  <c r="AO88" i="60" s="1"/>
  <c r="AA88" i="60"/>
  <c r="AC88" i="60" s="1"/>
  <c r="AP88" i="60" s="1"/>
  <c r="AA78" i="60"/>
  <c r="AC78" i="60" s="1"/>
  <c r="AP78" i="60" s="1"/>
  <c r="Z78" i="60"/>
  <c r="AB78" i="60" s="1"/>
  <c r="AO78" i="60" s="1"/>
  <c r="Z92" i="60"/>
  <c r="AB92" i="60" s="1"/>
  <c r="AO92" i="60" s="1"/>
  <c r="AA92" i="60"/>
  <c r="AC92" i="60" s="1"/>
  <c r="AP92" i="60" s="1"/>
  <c r="Z84" i="60"/>
  <c r="AB84" i="60" s="1"/>
  <c r="AO84" i="60" s="1"/>
  <c r="AA84" i="60"/>
  <c r="AC84" i="60" s="1"/>
  <c r="AP84" i="60" s="1"/>
  <c r="Z55" i="60"/>
  <c r="AB55" i="60" s="1"/>
  <c r="AO55" i="60" s="1"/>
  <c r="AA55" i="60"/>
  <c r="AC55" i="60" s="1"/>
  <c r="AP55" i="60" s="1"/>
  <c r="AA32" i="60"/>
  <c r="AC32" i="60" s="1"/>
  <c r="AP32" i="60" s="1"/>
  <c r="Z32" i="60"/>
  <c r="AB32" i="60" s="1"/>
  <c r="AO32" i="60" s="1"/>
  <c r="Z81" i="60"/>
  <c r="AB81" i="60" s="1"/>
  <c r="AO81" i="60" s="1"/>
  <c r="AA81" i="60"/>
  <c r="AC81" i="60" s="1"/>
  <c r="AP81" i="60" s="1"/>
  <c r="A16" i="60"/>
  <c r="Z127" i="60"/>
  <c r="AB127" i="60" s="1"/>
  <c r="AO127" i="60" s="1"/>
  <c r="AA127" i="60"/>
  <c r="AC127" i="60" s="1"/>
  <c r="AP127" i="60" s="1"/>
  <c r="AA98" i="60"/>
  <c r="AC98" i="60" s="1"/>
  <c r="AP98" i="60" s="1"/>
  <c r="Z98" i="60"/>
  <c r="AB98" i="60" s="1"/>
  <c r="AO98" i="60" s="1"/>
  <c r="Z72" i="60"/>
  <c r="AB72" i="60" s="1"/>
  <c r="AO72" i="60" s="1"/>
  <c r="AA72" i="60"/>
  <c r="AC72" i="60" s="1"/>
  <c r="AP72" i="60" s="1"/>
  <c r="Z77" i="60"/>
  <c r="AB77" i="60" s="1"/>
  <c r="AO77" i="60" s="1"/>
  <c r="AA77" i="60"/>
  <c r="AC77" i="60" s="1"/>
  <c r="AP77" i="60" s="1"/>
  <c r="Z58" i="60"/>
  <c r="AB58" i="60" s="1"/>
  <c r="AO58" i="60" s="1"/>
  <c r="AA58" i="60"/>
  <c r="AC58" i="60" s="1"/>
  <c r="AP58" i="60" s="1"/>
  <c r="Z47" i="60"/>
  <c r="AB47" i="60" s="1"/>
  <c r="AO47" i="60" s="1"/>
  <c r="AA47" i="60"/>
  <c r="AC47" i="60" s="1"/>
  <c r="AP47" i="60" s="1"/>
  <c r="Z49" i="60"/>
  <c r="AB49" i="60" s="1"/>
  <c r="AO49" i="60" s="1"/>
  <c r="AA49" i="60"/>
  <c r="AC49" i="60" s="1"/>
  <c r="AP49" i="60" s="1"/>
  <c r="Z38" i="60"/>
  <c r="AB38" i="60" s="1"/>
  <c r="AO38" i="60" s="1"/>
  <c r="AA38" i="60"/>
  <c r="AC38" i="60" s="1"/>
  <c r="AP38" i="60" s="1"/>
  <c r="Z76" i="60"/>
  <c r="AB76" i="60" s="1"/>
  <c r="AO76" i="60" s="1"/>
  <c r="AA76" i="60"/>
  <c r="AC76" i="60" s="1"/>
  <c r="AP76" i="60" s="1"/>
  <c r="Z120" i="60"/>
  <c r="AB120" i="60" s="1"/>
  <c r="AO120" i="60" s="1"/>
  <c r="AA120" i="60"/>
  <c r="AC120" i="60" s="1"/>
  <c r="AP120" i="60" s="1"/>
  <c r="AA109" i="60"/>
  <c r="AC109" i="60" s="1"/>
  <c r="AP109" i="60" s="1"/>
  <c r="Z109" i="60"/>
  <c r="AB109" i="60" s="1"/>
  <c r="AO109" i="60" s="1"/>
  <c r="Z94" i="60"/>
  <c r="AB94" i="60" s="1"/>
  <c r="AO94" i="60" s="1"/>
  <c r="AA94" i="60"/>
  <c r="AC94" i="60" s="1"/>
  <c r="AP94" i="60" s="1"/>
  <c r="Z43" i="60"/>
  <c r="AB43" i="60" s="1"/>
  <c r="AO43" i="60" s="1"/>
  <c r="AA43" i="60"/>
  <c r="AC43" i="60" s="1"/>
  <c r="AP43" i="60" s="1"/>
  <c r="K29" i="2"/>
  <c r="H29" i="67"/>
  <c r="AN15" i="59"/>
  <c r="A16" i="59"/>
  <c r="T32" i="67"/>
  <c r="Z40" i="59"/>
  <c r="AB40" i="59" s="1"/>
  <c r="AO40" i="59" s="1"/>
  <c r="AA40" i="59"/>
  <c r="AC40" i="59" s="1"/>
  <c r="AP40" i="59" s="1"/>
  <c r="Z55" i="59"/>
  <c r="AB55" i="59" s="1"/>
  <c r="AO55" i="59" s="1"/>
  <c r="AA55" i="59"/>
  <c r="AC55" i="59" s="1"/>
  <c r="AP55" i="59" s="1"/>
  <c r="AA32" i="59"/>
  <c r="AC32" i="59" s="1"/>
  <c r="AP32" i="59" s="1"/>
  <c r="Z32" i="59"/>
  <c r="AB32" i="59" s="1"/>
  <c r="AO32" i="59" s="1"/>
  <c r="Z73" i="59"/>
  <c r="AB73" i="59" s="1"/>
  <c r="AO73" i="59" s="1"/>
  <c r="AA73" i="59"/>
  <c r="AC73" i="59" s="1"/>
  <c r="AP73" i="59" s="1"/>
  <c r="Z50" i="59"/>
  <c r="AB50" i="59" s="1"/>
  <c r="AO50" i="59" s="1"/>
  <c r="AA50" i="59"/>
  <c r="AC50" i="59" s="1"/>
  <c r="AP50" i="59" s="1"/>
  <c r="Z65" i="59"/>
  <c r="AB65" i="59" s="1"/>
  <c r="AO65" i="59" s="1"/>
  <c r="AA65" i="59"/>
  <c r="AC65" i="59" s="1"/>
  <c r="AP65" i="59" s="1"/>
  <c r="AA58" i="59"/>
  <c r="AC58" i="59" s="1"/>
  <c r="AP58" i="59" s="1"/>
  <c r="Z58" i="59"/>
  <c r="AB58" i="59" s="1"/>
  <c r="AO58" i="59" s="1"/>
  <c r="Z35" i="59"/>
  <c r="AB35" i="59" s="1"/>
  <c r="AO35" i="59" s="1"/>
  <c r="AA35" i="59"/>
  <c r="AC35" i="59" s="1"/>
  <c r="AP35" i="59" s="1"/>
  <c r="Z27" i="59"/>
  <c r="AB27" i="59" s="1"/>
  <c r="AO27" i="59" s="1"/>
  <c r="AA27" i="59"/>
  <c r="AC27" i="59" s="1"/>
  <c r="AP27" i="59" s="1"/>
  <c r="Z28" i="59"/>
  <c r="AB28" i="59" s="1"/>
  <c r="AO28" i="59" s="1"/>
  <c r="AA28" i="59"/>
  <c r="AC28" i="59" s="1"/>
  <c r="AP28" i="59" s="1"/>
  <c r="Z39" i="59"/>
  <c r="AB39" i="59" s="1"/>
  <c r="AO39" i="59" s="1"/>
  <c r="AA39" i="59"/>
  <c r="AC39" i="59" s="1"/>
  <c r="AP39" i="59" s="1"/>
  <c r="Z43" i="59"/>
  <c r="AB43" i="59" s="1"/>
  <c r="AO43" i="59" s="1"/>
  <c r="AA43" i="59"/>
  <c r="AC43" i="59" s="1"/>
  <c r="AP43" i="59" s="1"/>
  <c r="Z69" i="59"/>
  <c r="AB69" i="59" s="1"/>
  <c r="AO69" i="59" s="1"/>
  <c r="AA69" i="59"/>
  <c r="AC69" i="59" s="1"/>
  <c r="AP69" i="59" s="1"/>
  <c r="Z61" i="59"/>
  <c r="AB61" i="59" s="1"/>
  <c r="AO61" i="59" s="1"/>
  <c r="AA61" i="59"/>
  <c r="AC61" i="59" s="1"/>
  <c r="AP61" i="59" s="1"/>
  <c r="Z38" i="59"/>
  <c r="AB38" i="59" s="1"/>
  <c r="AO38" i="59" s="1"/>
  <c r="AA38" i="59"/>
  <c r="AC38" i="59" s="1"/>
  <c r="AP38" i="59" s="1"/>
  <c r="Z53" i="59"/>
  <c r="AB53" i="59" s="1"/>
  <c r="AO53" i="59" s="1"/>
  <c r="AA53" i="59"/>
  <c r="AC53" i="59" s="1"/>
  <c r="AP53" i="59" s="1"/>
  <c r="AA46" i="59"/>
  <c r="AC46" i="59" s="1"/>
  <c r="AP46" i="59" s="1"/>
  <c r="Z46" i="59"/>
  <c r="AB46" i="59" s="1"/>
  <c r="AO46" i="59" s="1"/>
  <c r="Z72" i="59"/>
  <c r="AB72" i="59" s="1"/>
  <c r="AO72" i="59" s="1"/>
  <c r="AA72" i="59"/>
  <c r="AC72" i="59" s="1"/>
  <c r="AP72" i="59" s="1"/>
  <c r="Z54" i="59"/>
  <c r="AB54" i="59" s="1"/>
  <c r="AO54" i="59" s="1"/>
  <c r="AA54" i="59"/>
  <c r="AC54" i="59" s="1"/>
  <c r="AP54" i="59" s="1"/>
  <c r="Z31" i="59"/>
  <c r="AB31" i="59" s="1"/>
  <c r="AO31" i="59" s="1"/>
  <c r="AA31" i="59"/>
  <c r="AC31" i="59" s="1"/>
  <c r="AP31" i="59" s="1"/>
  <c r="Z57" i="59"/>
  <c r="AB57" i="59" s="1"/>
  <c r="AO57" i="59" s="1"/>
  <c r="AA57" i="59"/>
  <c r="AC57" i="59" s="1"/>
  <c r="AP57" i="59" s="1"/>
  <c r="Z49" i="59"/>
  <c r="AB49" i="59" s="1"/>
  <c r="AO49" i="59" s="1"/>
  <c r="AA49" i="59"/>
  <c r="AC49" i="59" s="1"/>
  <c r="AP49" i="59" s="1"/>
  <c r="Z26" i="59"/>
  <c r="AB26" i="59" s="1"/>
  <c r="AO26" i="59" s="1"/>
  <c r="AA26" i="59"/>
  <c r="AC26" i="59" s="1"/>
  <c r="AP26" i="59" s="1"/>
  <c r="Z42" i="59"/>
  <c r="AB42" i="59" s="1"/>
  <c r="AO42" i="59" s="1"/>
  <c r="AA42" i="59"/>
  <c r="AC42" i="59" s="1"/>
  <c r="AP42" i="59" s="1"/>
  <c r="Z41" i="59"/>
  <c r="AB41" i="59" s="1"/>
  <c r="AO41" i="59" s="1"/>
  <c r="AA41" i="59"/>
  <c r="AC41" i="59" s="1"/>
  <c r="AP41" i="59" s="1"/>
  <c r="AA34" i="59"/>
  <c r="AC34" i="59" s="1"/>
  <c r="AP34" i="59" s="1"/>
  <c r="Z34" i="59"/>
  <c r="AB34" i="59" s="1"/>
  <c r="AO34" i="59" s="1"/>
  <c r="Z60" i="59"/>
  <c r="AB60" i="59" s="1"/>
  <c r="AO60" i="59" s="1"/>
  <c r="AA60" i="59"/>
  <c r="AC60" i="59" s="1"/>
  <c r="AP60" i="59" s="1"/>
  <c r="AA68" i="59"/>
  <c r="AC68" i="59" s="1"/>
  <c r="AP68" i="59" s="1"/>
  <c r="Z68" i="59"/>
  <c r="AB68" i="59" s="1"/>
  <c r="AO68" i="59" s="1"/>
  <c r="Z45" i="59"/>
  <c r="AB45" i="59" s="1"/>
  <c r="AO45" i="59" s="1"/>
  <c r="AA45" i="59"/>
  <c r="AC45" i="59" s="1"/>
  <c r="AP45" i="59" s="1"/>
  <c r="Z37" i="59"/>
  <c r="AB37" i="59" s="1"/>
  <c r="AO37" i="59" s="1"/>
  <c r="AA37" i="59"/>
  <c r="AC37" i="59" s="1"/>
  <c r="AP37" i="59" s="1"/>
  <c r="Z30" i="59"/>
  <c r="AB30" i="59" s="1"/>
  <c r="AO30" i="59" s="1"/>
  <c r="AA30" i="59"/>
  <c r="AC30" i="59" s="1"/>
  <c r="AP30" i="59" s="1"/>
  <c r="Z47" i="59"/>
  <c r="AB47" i="59" s="1"/>
  <c r="AO47" i="59" s="1"/>
  <c r="AA47" i="59"/>
  <c r="AC47" i="59" s="1"/>
  <c r="AP47" i="59" s="1"/>
  <c r="Z29" i="59"/>
  <c r="AB29" i="59" s="1"/>
  <c r="AO29" i="59" s="1"/>
  <c r="AA29" i="59"/>
  <c r="AC29" i="59" s="1"/>
  <c r="AP29" i="59" s="1"/>
  <c r="Z71" i="59"/>
  <c r="AB71" i="59" s="1"/>
  <c r="AO71" i="59" s="1"/>
  <c r="AA71" i="59"/>
  <c r="AC71" i="59" s="1"/>
  <c r="AP71" i="59" s="1"/>
  <c r="Z48" i="59"/>
  <c r="AB48" i="59" s="1"/>
  <c r="AO48" i="59" s="1"/>
  <c r="AA48" i="59"/>
  <c r="AC48" i="59" s="1"/>
  <c r="AP48" i="59" s="1"/>
  <c r="Z63" i="59"/>
  <c r="AB63" i="59" s="1"/>
  <c r="AO63" i="59" s="1"/>
  <c r="AA63" i="59"/>
  <c r="AC63" i="59" s="1"/>
  <c r="AP63" i="59" s="1"/>
  <c r="Z64" i="59"/>
  <c r="AB64" i="59" s="1"/>
  <c r="AO64" i="59" s="1"/>
  <c r="AA64" i="59"/>
  <c r="AC64" i="59" s="1"/>
  <c r="AP64" i="59" s="1"/>
  <c r="AA56" i="59"/>
  <c r="AC56" i="59" s="1"/>
  <c r="AP56" i="59" s="1"/>
  <c r="Z56" i="59"/>
  <c r="AB56" i="59" s="1"/>
  <c r="AO56" i="59" s="1"/>
  <c r="AA33" i="59"/>
  <c r="AC33" i="59" s="1"/>
  <c r="AP33" i="59" s="1"/>
  <c r="Z33" i="59"/>
  <c r="AB33" i="59" s="1"/>
  <c r="AO33" i="59" s="1"/>
  <c r="Z25" i="59"/>
  <c r="AB25" i="59" s="1"/>
  <c r="AO25" i="59" s="1"/>
  <c r="AA25" i="59"/>
  <c r="AC25" i="59" s="1"/>
  <c r="AP25" i="59" s="1"/>
  <c r="Z66" i="59"/>
  <c r="AB66" i="59" s="1"/>
  <c r="AO66" i="59" s="1"/>
  <c r="AA66" i="59"/>
  <c r="AC66" i="59" s="1"/>
  <c r="AP66" i="59" s="1"/>
  <c r="Z59" i="59"/>
  <c r="AB59" i="59" s="1"/>
  <c r="AO59" i="59" s="1"/>
  <c r="AA59" i="59"/>
  <c r="AC59" i="59" s="1"/>
  <c r="AP59" i="59" s="1"/>
  <c r="Z36" i="59"/>
  <c r="AB36" i="59" s="1"/>
  <c r="AO36" i="59" s="1"/>
  <c r="AA36" i="59"/>
  <c r="AC36" i="59" s="1"/>
  <c r="AP36" i="59" s="1"/>
  <c r="Z51" i="59"/>
  <c r="AB51" i="59" s="1"/>
  <c r="AO51" i="59" s="1"/>
  <c r="AA51" i="59"/>
  <c r="AC51" i="59" s="1"/>
  <c r="AP51" i="59" s="1"/>
  <c r="Z52" i="59"/>
  <c r="AB52" i="59" s="1"/>
  <c r="AO52" i="59" s="1"/>
  <c r="AA52" i="59"/>
  <c r="AC52" i="59" s="1"/>
  <c r="AP52" i="59" s="1"/>
  <c r="AA70" i="59"/>
  <c r="AC70" i="59" s="1"/>
  <c r="AP70" i="59" s="1"/>
  <c r="Z70" i="59"/>
  <c r="AB70" i="59" s="1"/>
  <c r="AO70" i="59" s="1"/>
  <c r="Z67" i="59"/>
  <c r="AB67" i="59" s="1"/>
  <c r="AO67" i="59" s="1"/>
  <c r="AA67" i="59"/>
  <c r="AC67" i="59" s="1"/>
  <c r="AP67" i="59" s="1"/>
  <c r="AA44" i="59"/>
  <c r="AC44" i="59" s="1"/>
  <c r="AP44" i="59" s="1"/>
  <c r="Z44" i="59"/>
  <c r="AB44" i="59" s="1"/>
  <c r="AO44" i="59" s="1"/>
  <c r="Z62" i="59"/>
  <c r="AB62" i="59" s="1"/>
  <c r="AO62" i="59" s="1"/>
  <c r="AA62" i="59"/>
  <c r="AC62" i="59" s="1"/>
  <c r="AP62" i="59" s="1"/>
  <c r="S29" i="67"/>
  <c r="AN13" i="58"/>
  <c r="P62" i="67"/>
  <c r="AJ43" i="57"/>
  <c r="Z63" i="57"/>
  <c r="AB63" i="57" s="1"/>
  <c r="AO63" i="57" s="1"/>
  <c r="AA63" i="57"/>
  <c r="AC63" i="57" s="1"/>
  <c r="AP63" i="57" s="1"/>
  <c r="Z67" i="57"/>
  <c r="AB67" i="57" s="1"/>
  <c r="AO67" i="57" s="1"/>
  <c r="AA67" i="57"/>
  <c r="AC67" i="57" s="1"/>
  <c r="AP67" i="57" s="1"/>
  <c r="AA82" i="57"/>
  <c r="AC82" i="57" s="1"/>
  <c r="AP82" i="57" s="1"/>
  <c r="Z82" i="57"/>
  <c r="AB82" i="57" s="1"/>
  <c r="AO82" i="57" s="1"/>
  <c r="Z59" i="57"/>
  <c r="AB59" i="57" s="1"/>
  <c r="AO59" i="57" s="1"/>
  <c r="AA59" i="57"/>
  <c r="AC59" i="57" s="1"/>
  <c r="AP59" i="57" s="1"/>
  <c r="Z97" i="57"/>
  <c r="AB97" i="57" s="1"/>
  <c r="AO97" i="57" s="1"/>
  <c r="AA97" i="57"/>
  <c r="AC97" i="57" s="1"/>
  <c r="AP97" i="57" s="1"/>
  <c r="Z52" i="57"/>
  <c r="AB52" i="57" s="1"/>
  <c r="AO52" i="57" s="1"/>
  <c r="AA52" i="57"/>
  <c r="AC52" i="57" s="1"/>
  <c r="AP52" i="57" s="1"/>
  <c r="Z54" i="57"/>
  <c r="AB54" i="57" s="1"/>
  <c r="AO54" i="57" s="1"/>
  <c r="AA54" i="57"/>
  <c r="AC54" i="57" s="1"/>
  <c r="AP54" i="57" s="1"/>
  <c r="Z77" i="57"/>
  <c r="AB77" i="57" s="1"/>
  <c r="AO77" i="57" s="1"/>
  <c r="AA77" i="57"/>
  <c r="AC77" i="57" s="1"/>
  <c r="AP77" i="57" s="1"/>
  <c r="Z93" i="57"/>
  <c r="AB93" i="57" s="1"/>
  <c r="AO93" i="57" s="1"/>
  <c r="AA93" i="57"/>
  <c r="AC93" i="57" s="1"/>
  <c r="AP93" i="57" s="1"/>
  <c r="Z74" i="57"/>
  <c r="AB74" i="57" s="1"/>
  <c r="AO74" i="57" s="1"/>
  <c r="AA74" i="57"/>
  <c r="AC74" i="57" s="1"/>
  <c r="AP74" i="57" s="1"/>
  <c r="Z51" i="57"/>
  <c r="AB51" i="57" s="1"/>
  <c r="AO51" i="57" s="1"/>
  <c r="AA51" i="57"/>
  <c r="AC51" i="57" s="1"/>
  <c r="AP51" i="57" s="1"/>
  <c r="Z55" i="57"/>
  <c r="AB55" i="57" s="1"/>
  <c r="AO55" i="57" s="1"/>
  <c r="AA55" i="57"/>
  <c r="AC55" i="57" s="1"/>
  <c r="AP55" i="57" s="1"/>
  <c r="AA70" i="57"/>
  <c r="AC70" i="57" s="1"/>
  <c r="AP70" i="57" s="1"/>
  <c r="Z70" i="57"/>
  <c r="AB70" i="57" s="1"/>
  <c r="AO70" i="57" s="1"/>
  <c r="Z85" i="57"/>
  <c r="AB85" i="57" s="1"/>
  <c r="AO85" i="57" s="1"/>
  <c r="AA85" i="57"/>
  <c r="AC85" i="57" s="1"/>
  <c r="AP85" i="57" s="1"/>
  <c r="Z65" i="57"/>
  <c r="AB65" i="57" s="1"/>
  <c r="AO65" i="57" s="1"/>
  <c r="AA65" i="57"/>
  <c r="AC65" i="57" s="1"/>
  <c r="AP65" i="57" s="1"/>
  <c r="Z81" i="57"/>
  <c r="AB81" i="57" s="1"/>
  <c r="AO81" i="57" s="1"/>
  <c r="AA81" i="57"/>
  <c r="AC81" i="57" s="1"/>
  <c r="AP81" i="57" s="1"/>
  <c r="Z96" i="57"/>
  <c r="AB96" i="57" s="1"/>
  <c r="AO96" i="57" s="1"/>
  <c r="AA96" i="57"/>
  <c r="AC96" i="57" s="1"/>
  <c r="AP96" i="57" s="1"/>
  <c r="Z62" i="57"/>
  <c r="AB62" i="57" s="1"/>
  <c r="AO62" i="57" s="1"/>
  <c r="AA62" i="57"/>
  <c r="AC62" i="57" s="1"/>
  <c r="AP62" i="57" s="1"/>
  <c r="Z90" i="57"/>
  <c r="AB90" i="57" s="1"/>
  <c r="AO90" i="57" s="1"/>
  <c r="AA90" i="57"/>
  <c r="AC90" i="57" s="1"/>
  <c r="AP90" i="57" s="1"/>
  <c r="Z86" i="57"/>
  <c r="AB86" i="57" s="1"/>
  <c r="AO86" i="57" s="1"/>
  <c r="AA86" i="57"/>
  <c r="AC86" i="57" s="1"/>
  <c r="AP86" i="57" s="1"/>
  <c r="AA92" i="57"/>
  <c r="AC92" i="57" s="1"/>
  <c r="AP92" i="57" s="1"/>
  <c r="Z92" i="57"/>
  <c r="AB92" i="57" s="1"/>
  <c r="AO92" i="57" s="1"/>
  <c r="AA58" i="57"/>
  <c r="AC58" i="57" s="1"/>
  <c r="AP58" i="57" s="1"/>
  <c r="Z58" i="57"/>
  <c r="AB58" i="57" s="1"/>
  <c r="AO58" i="57" s="1"/>
  <c r="Z73" i="57"/>
  <c r="AB73" i="57" s="1"/>
  <c r="AO73" i="57" s="1"/>
  <c r="AA73" i="57"/>
  <c r="AC73" i="57" s="1"/>
  <c r="AP73" i="57" s="1"/>
  <c r="Z66" i="57"/>
  <c r="AB66" i="57" s="1"/>
  <c r="AO66" i="57" s="1"/>
  <c r="AA66" i="57"/>
  <c r="AC66" i="57" s="1"/>
  <c r="AP66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84" i="57"/>
  <c r="AB84" i="57" s="1"/>
  <c r="AO84" i="57" s="1"/>
  <c r="AA84" i="57"/>
  <c r="AC84" i="57" s="1"/>
  <c r="AP84" i="57" s="1"/>
  <c r="Z50" i="57"/>
  <c r="AB50" i="57" s="1"/>
  <c r="AO50" i="57" s="1"/>
  <c r="AA50" i="57"/>
  <c r="AC50" i="57" s="1"/>
  <c r="AP50" i="57" s="1"/>
  <c r="Z89" i="57"/>
  <c r="AB89" i="57" s="1"/>
  <c r="AO89" i="57" s="1"/>
  <c r="AA89" i="57"/>
  <c r="AC89" i="57" s="1"/>
  <c r="AP89" i="57" s="1"/>
  <c r="AA80" i="57"/>
  <c r="AC80" i="57" s="1"/>
  <c r="AP80" i="57" s="1"/>
  <c r="Z80" i="57"/>
  <c r="AB80" i="57" s="1"/>
  <c r="AO80" i="57" s="1"/>
  <c r="Z95" i="57"/>
  <c r="AB95" i="57" s="1"/>
  <c r="AO95" i="57" s="1"/>
  <c r="AA95" i="57"/>
  <c r="AC95" i="57" s="1"/>
  <c r="AP95" i="57" s="1"/>
  <c r="Z61" i="57"/>
  <c r="AB61" i="57" s="1"/>
  <c r="AO61" i="57" s="1"/>
  <c r="AA61" i="57"/>
  <c r="AC61" i="57" s="1"/>
  <c r="AP61" i="57" s="1"/>
  <c r="Z88" i="57"/>
  <c r="AB88" i="57" s="1"/>
  <c r="AO88" i="57" s="1"/>
  <c r="AA88" i="57"/>
  <c r="AC88" i="57" s="1"/>
  <c r="AP88" i="57" s="1"/>
  <c r="Z57" i="57"/>
  <c r="AB57" i="57" s="1"/>
  <c r="AO57" i="57" s="1"/>
  <c r="AA57" i="57"/>
  <c r="AC57" i="57" s="1"/>
  <c r="AP57" i="57" s="1"/>
  <c r="Z72" i="57"/>
  <c r="AB72" i="57" s="1"/>
  <c r="AO72" i="57" s="1"/>
  <c r="AA72" i="57"/>
  <c r="AC72" i="57" s="1"/>
  <c r="AP72" i="57" s="1"/>
  <c r="Z87" i="57"/>
  <c r="AB87" i="57" s="1"/>
  <c r="AO87" i="57" s="1"/>
  <c r="AA87" i="57"/>
  <c r="AC87" i="57" s="1"/>
  <c r="AP87" i="57" s="1"/>
  <c r="A16" i="57"/>
  <c r="Z91" i="57"/>
  <c r="AB91" i="57" s="1"/>
  <c r="AO91" i="57" s="1"/>
  <c r="AA91" i="57"/>
  <c r="AC91" i="57" s="1"/>
  <c r="AP91" i="57" s="1"/>
  <c r="AA68" i="57"/>
  <c r="AC68" i="57" s="1"/>
  <c r="AP68" i="57" s="1"/>
  <c r="Z68" i="57"/>
  <c r="AB68" i="57" s="1"/>
  <c r="AO68" i="57" s="1"/>
  <c r="Z83" i="57"/>
  <c r="AB83" i="57" s="1"/>
  <c r="AO83" i="57" s="1"/>
  <c r="AA83" i="57"/>
  <c r="AC83" i="57" s="1"/>
  <c r="AP83" i="57" s="1"/>
  <c r="Z49" i="57"/>
  <c r="AB49" i="57" s="1"/>
  <c r="AO49" i="57" s="1"/>
  <c r="AA49" i="57"/>
  <c r="AC49" i="57" s="1"/>
  <c r="AP49" i="57" s="1"/>
  <c r="Z76" i="57"/>
  <c r="AB76" i="57" s="1"/>
  <c r="AO76" i="57" s="1"/>
  <c r="AA76" i="57"/>
  <c r="AC76" i="57" s="1"/>
  <c r="AP76" i="57" s="1"/>
  <c r="Z60" i="57"/>
  <c r="AB60" i="57" s="1"/>
  <c r="AO60" i="57" s="1"/>
  <c r="AA60" i="57"/>
  <c r="AC60" i="57" s="1"/>
  <c r="AP60" i="57" s="1"/>
  <c r="Z98" i="57"/>
  <c r="AB98" i="57" s="1"/>
  <c r="AO98" i="57" s="1"/>
  <c r="AA98" i="57"/>
  <c r="AC98" i="57" s="1"/>
  <c r="AP98" i="57" s="1"/>
  <c r="Z75" i="57"/>
  <c r="AB75" i="57" s="1"/>
  <c r="AO75" i="57" s="1"/>
  <c r="AA75" i="57"/>
  <c r="AC75" i="57" s="1"/>
  <c r="AP75" i="57" s="1"/>
  <c r="Z78" i="57"/>
  <c r="AB78" i="57" s="1"/>
  <c r="AO78" i="57" s="1"/>
  <c r="AA78" i="57"/>
  <c r="AC78" i="57" s="1"/>
  <c r="AP78" i="57" s="1"/>
  <c r="Z79" i="57"/>
  <c r="AB79" i="57" s="1"/>
  <c r="AO79" i="57" s="1"/>
  <c r="AA79" i="57"/>
  <c r="AC79" i="57" s="1"/>
  <c r="AP79" i="57" s="1"/>
  <c r="AA56" i="57"/>
  <c r="AC56" i="57" s="1"/>
  <c r="AP56" i="57" s="1"/>
  <c r="Z56" i="57"/>
  <c r="AB56" i="57" s="1"/>
  <c r="AO56" i="57" s="1"/>
  <c r="AA94" i="57"/>
  <c r="AC94" i="57" s="1"/>
  <c r="AP94" i="57" s="1"/>
  <c r="Z94" i="57"/>
  <c r="AB94" i="57" s="1"/>
  <c r="AO94" i="57" s="1"/>
  <c r="Z71" i="57"/>
  <c r="AB71" i="57" s="1"/>
  <c r="AO71" i="57" s="1"/>
  <c r="AA71" i="57"/>
  <c r="AC71" i="57" s="1"/>
  <c r="AP71" i="57" s="1"/>
  <c r="Z64" i="57"/>
  <c r="AB64" i="57" s="1"/>
  <c r="AO64" i="57" s="1"/>
  <c r="AA64" i="57"/>
  <c r="AC64" i="57" s="1"/>
  <c r="AP64" i="57" s="1"/>
  <c r="AJ24" i="55"/>
  <c r="AJ21" i="55"/>
  <c r="AL13" i="55"/>
  <c r="T27" i="67"/>
  <c r="AJ23" i="55"/>
  <c r="A16" i="55"/>
  <c r="Z41" i="55"/>
  <c r="AB41" i="55" s="1"/>
  <c r="AO41" i="55" s="1"/>
  <c r="AA41" i="55"/>
  <c r="AC41" i="55" s="1"/>
  <c r="AP41" i="55" s="1"/>
  <c r="Z37" i="55"/>
  <c r="AB37" i="55" s="1"/>
  <c r="AO37" i="55" s="1"/>
  <c r="AA37" i="55"/>
  <c r="AC37" i="55" s="1"/>
  <c r="AP37" i="55" s="1"/>
  <c r="Z27" i="55"/>
  <c r="AB27" i="55" s="1"/>
  <c r="AO27" i="55" s="1"/>
  <c r="AA27" i="55"/>
  <c r="AC27" i="55" s="1"/>
  <c r="AP27" i="55" s="1"/>
  <c r="AA32" i="55"/>
  <c r="AC32" i="55" s="1"/>
  <c r="AP32" i="55" s="1"/>
  <c r="Z32" i="55"/>
  <c r="AB32" i="55" s="1"/>
  <c r="AO32" i="55" s="1"/>
  <c r="Z47" i="55"/>
  <c r="AB47" i="55" s="1"/>
  <c r="AO47" i="55" s="1"/>
  <c r="AA47" i="55"/>
  <c r="AC47" i="55" s="1"/>
  <c r="AP47" i="55" s="1"/>
  <c r="Z42" i="55"/>
  <c r="AB42" i="55" s="1"/>
  <c r="AO42" i="55" s="1"/>
  <c r="AA42" i="55"/>
  <c r="AC42" i="55" s="1"/>
  <c r="AP42" i="55" s="1"/>
  <c r="Z25" i="55"/>
  <c r="AB25" i="55" s="1"/>
  <c r="AO25" i="55" s="1"/>
  <c r="AA25" i="55"/>
  <c r="AC25" i="55" s="1"/>
  <c r="AP25" i="55" s="1"/>
  <c r="AA45" i="55"/>
  <c r="AC45" i="55" s="1"/>
  <c r="AP45" i="55" s="1"/>
  <c r="Z45" i="55"/>
  <c r="AB45" i="55" s="1"/>
  <c r="AO45" i="55" s="1"/>
  <c r="Z35" i="55"/>
  <c r="AB35" i="55" s="1"/>
  <c r="AO35" i="55" s="1"/>
  <c r="AA35" i="55"/>
  <c r="AC35" i="55" s="1"/>
  <c r="AP35" i="55" s="1"/>
  <c r="Z50" i="55"/>
  <c r="AB50" i="55" s="1"/>
  <c r="AO50" i="55" s="1"/>
  <c r="AA50" i="55"/>
  <c r="AC50" i="55" s="1"/>
  <c r="AP50" i="55" s="1"/>
  <c r="Z29" i="55"/>
  <c r="AB29" i="55" s="1"/>
  <c r="AO29" i="55" s="1"/>
  <c r="AA29" i="55"/>
  <c r="AC29" i="55" s="1"/>
  <c r="AP29" i="55" s="1"/>
  <c r="Z30" i="55"/>
  <c r="AB30" i="55" s="1"/>
  <c r="AO30" i="55" s="1"/>
  <c r="AA30" i="55"/>
  <c r="AC30" i="55" s="1"/>
  <c r="AP30" i="55" s="1"/>
  <c r="Z52" i="55"/>
  <c r="AB52" i="55" s="1"/>
  <c r="AO52" i="55" s="1"/>
  <c r="AA52" i="55"/>
  <c r="AC52" i="55" s="1"/>
  <c r="AP52" i="55" s="1"/>
  <c r="AA44" i="55"/>
  <c r="AC44" i="55" s="1"/>
  <c r="AP44" i="55" s="1"/>
  <c r="Z44" i="55"/>
  <c r="AB44" i="55" s="1"/>
  <c r="AO44" i="55" s="1"/>
  <c r="AA33" i="55"/>
  <c r="AC33" i="55" s="1"/>
  <c r="AP33" i="55" s="1"/>
  <c r="Z33" i="55"/>
  <c r="AB33" i="55" s="1"/>
  <c r="AO33" i="55" s="1"/>
  <c r="Z48" i="55"/>
  <c r="AB48" i="55" s="1"/>
  <c r="AO48" i="55" s="1"/>
  <c r="AA48" i="55"/>
  <c r="AC48" i="55" s="1"/>
  <c r="AP48" i="55" s="1"/>
  <c r="Z38" i="55"/>
  <c r="AB38" i="55" s="1"/>
  <c r="AO38" i="55" s="1"/>
  <c r="AA38" i="55"/>
  <c r="AC38" i="55" s="1"/>
  <c r="AP38" i="55" s="1"/>
  <c r="Z43" i="55"/>
  <c r="AB43" i="55" s="1"/>
  <c r="AO43" i="55" s="1"/>
  <c r="AA43" i="55"/>
  <c r="AC43" i="55" s="1"/>
  <c r="AP43" i="55" s="1"/>
  <c r="Z40" i="55"/>
  <c r="AB40" i="55" s="1"/>
  <c r="AO40" i="55" s="1"/>
  <c r="AA40" i="55"/>
  <c r="AC40" i="55" s="1"/>
  <c r="AP40" i="55" s="1"/>
  <c r="Z36" i="55"/>
  <c r="AB36" i="55" s="1"/>
  <c r="AO36" i="55" s="1"/>
  <c r="AA36" i="55"/>
  <c r="AC36" i="55" s="1"/>
  <c r="AP36" i="55" s="1"/>
  <c r="Z26" i="55"/>
  <c r="AB26" i="55" s="1"/>
  <c r="AO26" i="55" s="1"/>
  <c r="AA26" i="55"/>
  <c r="AC26" i="55" s="1"/>
  <c r="AP26" i="55" s="1"/>
  <c r="Z31" i="55"/>
  <c r="AB31" i="55" s="1"/>
  <c r="AO31" i="55" s="1"/>
  <c r="AA31" i="55"/>
  <c r="AC31" i="55" s="1"/>
  <c r="AP31" i="55" s="1"/>
  <c r="AA46" i="55"/>
  <c r="AC46" i="55" s="1"/>
  <c r="AP46" i="55" s="1"/>
  <c r="Z46" i="55"/>
  <c r="AB46" i="55" s="1"/>
  <c r="AO46" i="55" s="1"/>
  <c r="Z51" i="55"/>
  <c r="AB51" i="55" s="1"/>
  <c r="AO51" i="55" s="1"/>
  <c r="AA51" i="55"/>
  <c r="AC51" i="55" s="1"/>
  <c r="AP51" i="55" s="1"/>
  <c r="Z28" i="55"/>
  <c r="AB28" i="55" s="1"/>
  <c r="AO28" i="55" s="1"/>
  <c r="AA28" i="55"/>
  <c r="AC28" i="55" s="1"/>
  <c r="AP28" i="55" s="1"/>
  <c r="Z34" i="55"/>
  <c r="AB34" i="55" s="1"/>
  <c r="AO34" i="55" s="1"/>
  <c r="AA34" i="55"/>
  <c r="AC34" i="55" s="1"/>
  <c r="AP34" i="55" s="1"/>
  <c r="Z49" i="55"/>
  <c r="AB49" i="55" s="1"/>
  <c r="AO49" i="55" s="1"/>
  <c r="AA49" i="55"/>
  <c r="AC49" i="55" s="1"/>
  <c r="AP49" i="55" s="1"/>
  <c r="Z39" i="55"/>
  <c r="AB39" i="55" s="1"/>
  <c r="AO39" i="55" s="1"/>
  <c r="AA39" i="55"/>
  <c r="AC39" i="55" s="1"/>
  <c r="AP39" i="55" s="1"/>
  <c r="AN9" i="54"/>
  <c r="T26" i="67"/>
  <c r="S26" i="67"/>
  <c r="AA32" i="54"/>
  <c r="AC32" i="54" s="1"/>
  <c r="AP32" i="54" s="1"/>
  <c r="Z32" i="54"/>
  <c r="AB32" i="54" s="1"/>
  <c r="AO32" i="54" s="1"/>
  <c r="Z36" i="54"/>
  <c r="AB36" i="54" s="1"/>
  <c r="AO36" i="54" s="1"/>
  <c r="AA36" i="54"/>
  <c r="AC36" i="54" s="1"/>
  <c r="AP36" i="54" s="1"/>
  <c r="Z30" i="54"/>
  <c r="AB30" i="54" s="1"/>
  <c r="AO30" i="54" s="1"/>
  <c r="AA30" i="54"/>
  <c r="AC30" i="54" s="1"/>
  <c r="AP30" i="54" s="1"/>
  <c r="A16" i="54"/>
  <c r="Z41" i="54"/>
  <c r="AB41" i="54" s="1"/>
  <c r="AO41" i="54" s="1"/>
  <c r="AA41" i="54"/>
  <c r="AC41" i="54" s="1"/>
  <c r="AP41" i="54" s="1"/>
  <c r="Z40" i="54"/>
  <c r="AB40" i="54" s="1"/>
  <c r="AO40" i="54" s="1"/>
  <c r="AA40" i="54"/>
  <c r="AC40" i="54" s="1"/>
  <c r="AP40" i="54" s="1"/>
  <c r="Z33" i="54"/>
  <c r="AB33" i="54" s="1"/>
  <c r="AO33" i="54" s="1"/>
  <c r="AA33" i="54"/>
  <c r="AC33" i="54" s="1"/>
  <c r="AP33" i="54" s="1"/>
  <c r="Z37" i="54"/>
  <c r="AB37" i="54" s="1"/>
  <c r="AO37" i="54" s="1"/>
  <c r="AA37" i="54"/>
  <c r="AC37" i="54" s="1"/>
  <c r="AP37" i="54" s="1"/>
  <c r="Z29" i="54"/>
  <c r="AB29" i="54" s="1"/>
  <c r="AO29" i="54" s="1"/>
  <c r="AA29" i="54"/>
  <c r="AC29" i="54" s="1"/>
  <c r="AP29" i="54" s="1"/>
  <c r="Z28" i="54"/>
  <c r="AB28" i="54" s="1"/>
  <c r="AO28" i="54" s="1"/>
  <c r="AA28" i="54"/>
  <c r="AC28" i="54" s="1"/>
  <c r="AP28" i="54" s="1"/>
  <c r="Z42" i="54"/>
  <c r="AB42" i="54" s="1"/>
  <c r="AO42" i="54" s="1"/>
  <c r="AA42" i="54"/>
  <c r="AC42" i="54" s="1"/>
  <c r="AP42" i="54" s="1"/>
  <c r="Z25" i="54"/>
  <c r="AB25" i="54" s="1"/>
  <c r="AO25" i="54" s="1"/>
  <c r="AA25" i="54"/>
  <c r="AC25" i="54" s="1"/>
  <c r="AP25" i="54" s="1"/>
  <c r="Z43" i="54"/>
  <c r="AB43" i="54" s="1"/>
  <c r="AO43" i="54" s="1"/>
  <c r="AA43" i="54"/>
  <c r="AC43" i="54" s="1"/>
  <c r="AP43" i="54" s="1"/>
  <c r="Z38" i="54"/>
  <c r="AB38" i="54" s="1"/>
  <c r="AO38" i="54" s="1"/>
  <c r="AA38" i="54"/>
  <c r="AC38" i="54" s="1"/>
  <c r="AP38" i="54" s="1"/>
  <c r="Z27" i="54"/>
  <c r="AB27" i="54" s="1"/>
  <c r="AO27" i="54" s="1"/>
  <c r="AA27" i="54"/>
  <c r="AC27" i="54" s="1"/>
  <c r="AP27" i="54" s="1"/>
  <c r="AA34" i="54"/>
  <c r="AC34" i="54" s="1"/>
  <c r="AP34" i="54" s="1"/>
  <c r="Z34" i="54"/>
  <c r="AB34" i="54" s="1"/>
  <c r="AO34" i="54" s="1"/>
  <c r="Z31" i="54"/>
  <c r="AB31" i="54" s="1"/>
  <c r="AO31" i="54" s="1"/>
  <c r="AA31" i="54"/>
  <c r="AC31" i="54" s="1"/>
  <c r="AP31" i="54" s="1"/>
  <c r="Z26" i="54"/>
  <c r="AB26" i="54" s="1"/>
  <c r="AO26" i="54" s="1"/>
  <c r="AA26" i="54"/>
  <c r="AC26" i="54" s="1"/>
  <c r="AP26" i="54" s="1"/>
  <c r="Z35" i="54"/>
  <c r="AB35" i="54" s="1"/>
  <c r="AO35" i="54" s="1"/>
  <c r="AA35" i="54"/>
  <c r="AC35" i="54" s="1"/>
  <c r="AP35" i="54" s="1"/>
  <c r="Z39" i="54"/>
  <c r="AB39" i="54" s="1"/>
  <c r="AO39" i="54" s="1"/>
  <c r="AA39" i="54"/>
  <c r="AC39" i="54" s="1"/>
  <c r="AP39" i="54" s="1"/>
  <c r="AA44" i="54"/>
  <c r="AC44" i="54" s="1"/>
  <c r="AP44" i="54" s="1"/>
  <c r="Z44" i="54"/>
  <c r="AB44" i="54" s="1"/>
  <c r="AO44" i="54" s="1"/>
  <c r="H34" i="67"/>
  <c r="AN49" i="53"/>
  <c r="AN37" i="53"/>
  <c r="AJ46" i="53"/>
  <c r="S22" i="67"/>
  <c r="Z73" i="53"/>
  <c r="AB73" i="53" s="1"/>
  <c r="AO73" i="53" s="1"/>
  <c r="AA73" i="53"/>
  <c r="AC73" i="53" s="1"/>
  <c r="AP73" i="53" s="1"/>
  <c r="Z89" i="53"/>
  <c r="AB89" i="53" s="1"/>
  <c r="AO89" i="53" s="1"/>
  <c r="AA89" i="53"/>
  <c r="AC89" i="53" s="1"/>
  <c r="AP89" i="53" s="1"/>
  <c r="Z66" i="53"/>
  <c r="AB66" i="53" s="1"/>
  <c r="AO66" i="53" s="1"/>
  <c r="AA66" i="53"/>
  <c r="AC66" i="53" s="1"/>
  <c r="AP66" i="53" s="1"/>
  <c r="Z68" i="53"/>
  <c r="AB68" i="53" s="1"/>
  <c r="AO68" i="53" s="1"/>
  <c r="AA68" i="53"/>
  <c r="AC68" i="53" s="1"/>
  <c r="AP68" i="53" s="1"/>
  <c r="Z82" i="53"/>
  <c r="AB82" i="53" s="1"/>
  <c r="AO82" i="53" s="1"/>
  <c r="AA82" i="53"/>
  <c r="AC82" i="53" s="1"/>
  <c r="AP82" i="53" s="1"/>
  <c r="Z59" i="53"/>
  <c r="AB59" i="53" s="1"/>
  <c r="AO59" i="53" s="1"/>
  <c r="AA59" i="53"/>
  <c r="AC59" i="53" s="1"/>
  <c r="AP59" i="53" s="1"/>
  <c r="Z77" i="53"/>
  <c r="AB77" i="53" s="1"/>
  <c r="AO77" i="53" s="1"/>
  <c r="AA77" i="53"/>
  <c r="AC77" i="53" s="1"/>
  <c r="AP77" i="53" s="1"/>
  <c r="Z91" i="53"/>
  <c r="AB91" i="53" s="1"/>
  <c r="AO91" i="53" s="1"/>
  <c r="AA91" i="53"/>
  <c r="AC91" i="53" s="1"/>
  <c r="AP91" i="53" s="1"/>
  <c r="Z56" i="53"/>
  <c r="AB56" i="53" s="1"/>
  <c r="AO56" i="53" s="1"/>
  <c r="AA56" i="53"/>
  <c r="AC56" i="53" s="1"/>
  <c r="AP56" i="53" s="1"/>
  <c r="Z70" i="53"/>
  <c r="AB70" i="53" s="1"/>
  <c r="AO70" i="53" s="1"/>
  <c r="AA70" i="53"/>
  <c r="AC70" i="53" s="1"/>
  <c r="AP70" i="53" s="1"/>
  <c r="Z61" i="53"/>
  <c r="AB61" i="53" s="1"/>
  <c r="AO61" i="53" s="1"/>
  <c r="AA61" i="53"/>
  <c r="AC61" i="53" s="1"/>
  <c r="AP61" i="53" s="1"/>
  <c r="AA63" i="53"/>
  <c r="AC63" i="53" s="1"/>
  <c r="AP63" i="53" s="1"/>
  <c r="Z63" i="53"/>
  <c r="AB63" i="53" s="1"/>
  <c r="AO63" i="53" s="1"/>
  <c r="Z65" i="53"/>
  <c r="AB65" i="53" s="1"/>
  <c r="AO65" i="53" s="1"/>
  <c r="AA65" i="53"/>
  <c r="AC65" i="53" s="1"/>
  <c r="AP65" i="53" s="1"/>
  <c r="Z79" i="53"/>
  <c r="AB79" i="53" s="1"/>
  <c r="AO79" i="53" s="1"/>
  <c r="AA79" i="53"/>
  <c r="AC79" i="53" s="1"/>
  <c r="AP79" i="53" s="1"/>
  <c r="Z93" i="53"/>
  <c r="AB93" i="53" s="1"/>
  <c r="AO93" i="53" s="1"/>
  <c r="AA93" i="53"/>
  <c r="AC93" i="53" s="1"/>
  <c r="AP93" i="53" s="1"/>
  <c r="Z58" i="53"/>
  <c r="AB58" i="53" s="1"/>
  <c r="AO58" i="53" s="1"/>
  <c r="AA58" i="53"/>
  <c r="AC58" i="53" s="1"/>
  <c r="AP58" i="53" s="1"/>
  <c r="Z86" i="53"/>
  <c r="AB86" i="53" s="1"/>
  <c r="AO86" i="53" s="1"/>
  <c r="AA86" i="53"/>
  <c r="AC86" i="53" s="1"/>
  <c r="AP86" i="53" s="1"/>
  <c r="AA75" i="53"/>
  <c r="AC75" i="53" s="1"/>
  <c r="AP75" i="53" s="1"/>
  <c r="Z75" i="53"/>
  <c r="AB75" i="53" s="1"/>
  <c r="AO75" i="53" s="1"/>
  <c r="AA88" i="53"/>
  <c r="AC88" i="53" s="1"/>
  <c r="AP88" i="53" s="1"/>
  <c r="Z88" i="53"/>
  <c r="AB88" i="53" s="1"/>
  <c r="AO88" i="53" s="1"/>
  <c r="Z67" i="53"/>
  <c r="AB67" i="53" s="1"/>
  <c r="AO67" i="53" s="1"/>
  <c r="AA67" i="53"/>
  <c r="AC67" i="53" s="1"/>
  <c r="AP67" i="53" s="1"/>
  <c r="Z81" i="53"/>
  <c r="AB81" i="53" s="1"/>
  <c r="AO81" i="53" s="1"/>
  <c r="AA81" i="53"/>
  <c r="AC81" i="53" s="1"/>
  <c r="AP81" i="53" s="1"/>
  <c r="Z72" i="53"/>
  <c r="AB72" i="53" s="1"/>
  <c r="AO72" i="53" s="1"/>
  <c r="AA72" i="53"/>
  <c r="AC72" i="53" s="1"/>
  <c r="AP72" i="53" s="1"/>
  <c r="A16" i="53"/>
  <c r="Z74" i="53"/>
  <c r="AB74" i="53" s="1"/>
  <c r="AO74" i="53" s="1"/>
  <c r="AA74" i="53"/>
  <c r="AC74" i="53" s="1"/>
  <c r="AP74" i="53" s="1"/>
  <c r="Z60" i="53"/>
  <c r="AB60" i="53" s="1"/>
  <c r="AO60" i="53" s="1"/>
  <c r="AA60" i="53"/>
  <c r="AC60" i="53" s="1"/>
  <c r="AP60" i="53" s="1"/>
  <c r="AA76" i="53"/>
  <c r="AC76" i="53" s="1"/>
  <c r="AP76" i="53" s="1"/>
  <c r="Z76" i="53"/>
  <c r="AB76" i="53" s="1"/>
  <c r="AO76" i="53" s="1"/>
  <c r="Z90" i="53"/>
  <c r="AB90" i="53" s="1"/>
  <c r="AO90" i="53" s="1"/>
  <c r="AA90" i="53"/>
  <c r="AC90" i="53" s="1"/>
  <c r="AP90" i="53" s="1"/>
  <c r="Z92" i="53"/>
  <c r="AB92" i="53" s="1"/>
  <c r="AO92" i="53" s="1"/>
  <c r="AA92" i="53"/>
  <c r="AC92" i="53" s="1"/>
  <c r="AP92" i="53" s="1"/>
  <c r="Z69" i="53"/>
  <c r="AB69" i="53" s="1"/>
  <c r="AO69" i="53" s="1"/>
  <c r="AA69" i="53"/>
  <c r="AC69" i="53" s="1"/>
  <c r="AP69" i="53" s="1"/>
  <c r="Z83" i="53"/>
  <c r="AB83" i="53" s="1"/>
  <c r="AO83" i="53" s="1"/>
  <c r="AA83" i="53"/>
  <c r="AC83" i="53" s="1"/>
  <c r="AP83" i="53" s="1"/>
  <c r="Z62" i="53"/>
  <c r="AB62" i="53" s="1"/>
  <c r="AO62" i="53" s="1"/>
  <c r="AA62" i="53"/>
  <c r="AC62" i="53" s="1"/>
  <c r="AP62" i="53" s="1"/>
  <c r="Z84" i="53"/>
  <c r="AB84" i="53" s="1"/>
  <c r="AO84" i="53" s="1"/>
  <c r="AA84" i="53"/>
  <c r="AC84" i="53" s="1"/>
  <c r="AP84" i="53" s="1"/>
  <c r="AA64" i="53"/>
  <c r="AC64" i="53" s="1"/>
  <c r="AP64" i="53" s="1"/>
  <c r="Z64" i="53"/>
  <c r="AB64" i="53" s="1"/>
  <c r="AO64" i="53" s="1"/>
  <c r="Z78" i="53"/>
  <c r="AB78" i="53" s="1"/>
  <c r="AO78" i="53" s="1"/>
  <c r="AA78" i="53"/>
  <c r="AC78" i="53" s="1"/>
  <c r="AP78" i="53" s="1"/>
  <c r="Z80" i="53"/>
  <c r="AB80" i="53" s="1"/>
  <c r="AO80" i="53" s="1"/>
  <c r="AA80" i="53"/>
  <c r="AC80" i="53" s="1"/>
  <c r="AP80" i="53" s="1"/>
  <c r="Z57" i="53"/>
  <c r="AB57" i="53" s="1"/>
  <c r="AO57" i="53" s="1"/>
  <c r="AA57" i="53"/>
  <c r="AC57" i="53" s="1"/>
  <c r="AP57" i="53" s="1"/>
  <c r="Z71" i="53"/>
  <c r="AB71" i="53" s="1"/>
  <c r="AO71" i="53" s="1"/>
  <c r="AA71" i="53"/>
  <c r="AC71" i="53" s="1"/>
  <c r="AP71" i="53" s="1"/>
  <c r="Z85" i="53"/>
  <c r="AB85" i="53" s="1"/>
  <c r="AO85" i="53" s="1"/>
  <c r="AA85" i="53"/>
  <c r="AC85" i="53" s="1"/>
  <c r="AP85" i="53" s="1"/>
  <c r="AA87" i="53"/>
  <c r="AC87" i="53" s="1"/>
  <c r="AP87" i="53" s="1"/>
  <c r="Z87" i="53"/>
  <c r="AB87" i="53" s="1"/>
  <c r="AO87" i="53" s="1"/>
  <c r="AN17" i="52"/>
  <c r="AN20" i="52"/>
  <c r="AJ22" i="51"/>
  <c r="AN21" i="51"/>
  <c r="S18" i="67"/>
  <c r="Z86" i="51"/>
  <c r="AB86" i="51" s="1"/>
  <c r="AO86" i="51" s="1"/>
  <c r="AA86" i="51"/>
  <c r="AC86" i="51" s="1"/>
  <c r="AP86" i="51" s="1"/>
  <c r="Z80" i="51"/>
  <c r="AB80" i="51" s="1"/>
  <c r="AO80" i="51" s="1"/>
  <c r="AA80" i="51"/>
  <c r="AC80" i="51" s="1"/>
  <c r="AP80" i="51" s="1"/>
  <c r="Z90" i="51"/>
  <c r="AB90" i="51" s="1"/>
  <c r="AO90" i="51" s="1"/>
  <c r="AA90" i="51"/>
  <c r="AC90" i="51" s="1"/>
  <c r="AP90" i="51" s="1"/>
  <c r="Z92" i="51"/>
  <c r="AB92" i="51" s="1"/>
  <c r="AO92" i="51" s="1"/>
  <c r="AA92" i="51"/>
  <c r="AC92" i="51" s="1"/>
  <c r="AP92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36" i="51"/>
  <c r="AB36" i="51" s="1"/>
  <c r="AO36" i="51" s="1"/>
  <c r="AA36" i="51"/>
  <c r="AC36" i="51" s="1"/>
  <c r="AP36" i="51" s="1"/>
  <c r="Z50" i="51"/>
  <c r="AB50" i="51" s="1"/>
  <c r="AO50" i="51" s="1"/>
  <c r="AA50" i="51"/>
  <c r="AC50" i="51" s="1"/>
  <c r="AP50" i="51" s="1"/>
  <c r="Z88" i="51"/>
  <c r="AB88" i="51" s="1"/>
  <c r="AO88" i="51" s="1"/>
  <c r="AA88" i="51"/>
  <c r="AC88" i="51" s="1"/>
  <c r="AP88" i="51" s="1"/>
  <c r="Z64" i="51"/>
  <c r="AB64" i="51" s="1"/>
  <c r="AO64" i="51" s="1"/>
  <c r="AA64" i="51"/>
  <c r="AC64" i="51" s="1"/>
  <c r="AP64" i="51" s="1"/>
  <c r="Z84" i="51"/>
  <c r="AB84" i="51" s="1"/>
  <c r="AO84" i="51" s="1"/>
  <c r="AA84" i="51"/>
  <c r="AC84" i="51" s="1"/>
  <c r="AP84" i="51" s="1"/>
  <c r="Z74" i="51"/>
  <c r="AB74" i="51" s="1"/>
  <c r="AO74" i="51" s="1"/>
  <c r="AA74" i="51"/>
  <c r="AC74" i="51" s="1"/>
  <c r="AP74" i="51" s="1"/>
  <c r="Z47" i="51"/>
  <c r="AB47" i="51" s="1"/>
  <c r="AO47" i="51" s="1"/>
  <c r="AA47" i="51"/>
  <c r="AC47" i="51" s="1"/>
  <c r="AP47" i="51" s="1"/>
  <c r="Z40" i="51"/>
  <c r="AB40" i="51" s="1"/>
  <c r="AO40" i="51" s="1"/>
  <c r="AA40" i="51"/>
  <c r="AC40" i="51" s="1"/>
  <c r="AP40" i="51" s="1"/>
  <c r="Z63" i="51"/>
  <c r="AB63" i="51" s="1"/>
  <c r="AO63" i="51" s="1"/>
  <c r="AA63" i="51"/>
  <c r="AC63" i="51" s="1"/>
  <c r="AP63" i="51" s="1"/>
  <c r="Z58" i="51"/>
  <c r="AB58" i="51" s="1"/>
  <c r="AO58" i="51" s="1"/>
  <c r="AA58" i="51"/>
  <c r="AC58" i="51" s="1"/>
  <c r="AP58" i="51" s="1"/>
  <c r="Z70" i="51"/>
  <c r="AB70" i="51" s="1"/>
  <c r="AO70" i="51" s="1"/>
  <c r="AA70" i="51"/>
  <c r="AC70" i="51" s="1"/>
  <c r="AP70" i="51" s="1"/>
  <c r="AA65" i="51"/>
  <c r="AC65" i="51" s="1"/>
  <c r="AP65" i="51" s="1"/>
  <c r="Z65" i="51"/>
  <c r="AB65" i="51" s="1"/>
  <c r="AO65" i="51" s="1"/>
  <c r="Z29" i="51"/>
  <c r="AB29" i="51" s="1"/>
  <c r="AO29" i="51" s="1"/>
  <c r="AA29" i="51"/>
  <c r="AC29" i="51" s="1"/>
  <c r="AP29" i="51" s="1"/>
  <c r="Z43" i="51"/>
  <c r="AB43" i="51" s="1"/>
  <c r="AO43" i="51" s="1"/>
  <c r="AA43" i="51"/>
  <c r="AC43" i="51" s="1"/>
  <c r="AP43" i="51" s="1"/>
  <c r="Z57" i="51"/>
  <c r="AB57" i="51" s="1"/>
  <c r="AO57" i="51" s="1"/>
  <c r="AA57" i="51"/>
  <c r="AC57" i="51" s="1"/>
  <c r="AP57" i="51" s="1"/>
  <c r="Z38" i="51"/>
  <c r="AB38" i="51" s="1"/>
  <c r="AO38" i="51" s="1"/>
  <c r="AA38" i="51"/>
  <c r="AC38" i="51" s="1"/>
  <c r="AP38" i="51" s="1"/>
  <c r="Z67" i="51"/>
  <c r="AB67" i="51" s="1"/>
  <c r="AO67" i="51" s="1"/>
  <c r="AA67" i="51"/>
  <c r="AC67" i="51" s="1"/>
  <c r="AP67" i="51" s="1"/>
  <c r="Z34" i="51"/>
  <c r="AB34" i="51" s="1"/>
  <c r="AO34" i="51" s="1"/>
  <c r="AA34" i="51"/>
  <c r="AC34" i="51" s="1"/>
  <c r="AP34" i="51" s="1"/>
  <c r="Z69" i="51"/>
  <c r="AB69" i="51" s="1"/>
  <c r="AO69" i="51" s="1"/>
  <c r="AA69" i="51"/>
  <c r="AC69" i="51" s="1"/>
  <c r="AP69" i="51" s="1"/>
  <c r="Z54" i="51"/>
  <c r="AB54" i="51" s="1"/>
  <c r="AO54" i="51" s="1"/>
  <c r="AA54" i="51"/>
  <c r="AC54" i="51" s="1"/>
  <c r="AP54" i="51" s="1"/>
  <c r="Z71" i="51"/>
  <c r="AB71" i="51" s="1"/>
  <c r="AO71" i="51" s="1"/>
  <c r="AA71" i="51"/>
  <c r="AC71" i="51" s="1"/>
  <c r="AP71" i="51" s="1"/>
  <c r="Z35" i="51"/>
  <c r="AB35" i="51" s="1"/>
  <c r="AO35" i="51" s="1"/>
  <c r="AA35" i="51"/>
  <c r="AC35" i="51" s="1"/>
  <c r="AP35" i="51" s="1"/>
  <c r="Z73" i="51"/>
  <c r="AB73" i="51" s="1"/>
  <c r="AO73" i="51" s="1"/>
  <c r="AA73" i="51"/>
  <c r="AC73" i="51" s="1"/>
  <c r="AP73" i="51" s="1"/>
  <c r="Z28" i="51"/>
  <c r="AB28" i="51" s="1"/>
  <c r="AO28" i="51" s="1"/>
  <c r="AA28" i="51"/>
  <c r="AC28" i="51" s="1"/>
  <c r="AP28" i="51" s="1"/>
  <c r="Z62" i="51"/>
  <c r="AB62" i="51" s="1"/>
  <c r="AO62" i="51" s="1"/>
  <c r="AA62" i="51"/>
  <c r="AC62" i="51" s="1"/>
  <c r="AP62" i="51" s="1"/>
  <c r="Z85" i="51"/>
  <c r="AB85" i="51" s="1"/>
  <c r="AO85" i="51" s="1"/>
  <c r="AA85" i="51"/>
  <c r="AC85" i="51" s="1"/>
  <c r="AP85" i="51" s="1"/>
  <c r="Z41" i="51"/>
  <c r="AB41" i="51" s="1"/>
  <c r="AO41" i="51" s="1"/>
  <c r="AA41" i="51"/>
  <c r="AC41" i="51" s="1"/>
  <c r="AP41" i="51" s="1"/>
  <c r="Z42" i="51"/>
  <c r="AB42" i="51" s="1"/>
  <c r="AO42" i="51" s="1"/>
  <c r="AA42" i="51"/>
  <c r="AC42" i="51" s="1"/>
  <c r="AP42" i="51" s="1"/>
  <c r="Z31" i="51"/>
  <c r="AB31" i="51" s="1"/>
  <c r="AO31" i="51" s="1"/>
  <c r="AA31" i="51"/>
  <c r="AC31" i="51" s="1"/>
  <c r="AP31" i="51" s="1"/>
  <c r="Z45" i="51"/>
  <c r="AB45" i="51" s="1"/>
  <c r="AO45" i="51" s="1"/>
  <c r="AA45" i="51"/>
  <c r="AC45" i="51" s="1"/>
  <c r="AP45" i="51" s="1"/>
  <c r="Z26" i="51"/>
  <c r="AB26" i="51" s="1"/>
  <c r="AO26" i="51" s="1"/>
  <c r="AA26" i="51"/>
  <c r="AC26" i="51" s="1"/>
  <c r="AP26" i="51" s="1"/>
  <c r="Z59" i="51"/>
  <c r="AB59" i="51" s="1"/>
  <c r="AO59" i="51" s="1"/>
  <c r="AA59" i="51"/>
  <c r="AC59" i="51" s="1"/>
  <c r="AP59" i="51" s="1"/>
  <c r="Z66" i="51"/>
  <c r="AB66" i="51" s="1"/>
  <c r="AO66" i="51" s="1"/>
  <c r="AA66" i="51"/>
  <c r="AC66" i="51" s="1"/>
  <c r="AP66" i="51" s="1"/>
  <c r="Z82" i="51"/>
  <c r="AB82" i="51" s="1"/>
  <c r="AO82" i="51" s="1"/>
  <c r="AA82" i="51"/>
  <c r="AC82" i="51" s="1"/>
  <c r="AP82" i="51" s="1"/>
  <c r="Z87" i="51"/>
  <c r="AB87" i="51" s="1"/>
  <c r="AO87" i="51" s="1"/>
  <c r="AA87" i="51"/>
  <c r="AC87" i="51" s="1"/>
  <c r="AP87" i="51" s="1"/>
  <c r="Z89" i="51"/>
  <c r="AB89" i="51" s="1"/>
  <c r="AO89" i="51" s="1"/>
  <c r="AA89" i="51"/>
  <c r="AC89" i="51" s="1"/>
  <c r="AP89" i="51" s="1"/>
  <c r="AA61" i="51"/>
  <c r="AC61" i="51" s="1"/>
  <c r="AP61" i="51" s="1"/>
  <c r="Z61" i="51"/>
  <c r="AB61" i="51" s="1"/>
  <c r="AO61" i="51" s="1"/>
  <c r="Z51" i="51"/>
  <c r="AB51" i="51" s="1"/>
  <c r="AO51" i="51" s="1"/>
  <c r="AA51" i="51"/>
  <c r="AC51" i="51" s="1"/>
  <c r="AP51" i="51" s="1"/>
  <c r="Z91" i="51"/>
  <c r="AB91" i="51" s="1"/>
  <c r="AO91" i="51" s="1"/>
  <c r="AA91" i="51"/>
  <c r="AC91" i="51" s="1"/>
  <c r="AP91" i="51" s="1"/>
  <c r="Z30" i="51"/>
  <c r="AB30" i="51" s="1"/>
  <c r="AO30" i="51" s="1"/>
  <c r="AA30" i="51"/>
  <c r="AC30" i="51" s="1"/>
  <c r="AP30" i="51" s="1"/>
  <c r="Z68" i="51"/>
  <c r="AB68" i="51" s="1"/>
  <c r="AO68" i="51" s="1"/>
  <c r="AA68" i="51"/>
  <c r="AC68" i="51" s="1"/>
  <c r="AP68" i="51" s="1"/>
  <c r="Z33" i="51"/>
  <c r="AB33" i="51" s="1"/>
  <c r="AO33" i="51" s="1"/>
  <c r="AA33" i="51"/>
  <c r="AC33" i="51" s="1"/>
  <c r="AP33" i="51" s="1"/>
  <c r="AA72" i="51"/>
  <c r="AC72" i="51" s="1"/>
  <c r="AP72" i="51" s="1"/>
  <c r="Z72" i="51"/>
  <c r="AB72" i="51" s="1"/>
  <c r="AO72" i="51" s="1"/>
  <c r="Z48" i="51"/>
  <c r="AB48" i="51" s="1"/>
  <c r="AO48" i="51" s="1"/>
  <c r="AA48" i="51"/>
  <c r="AC48" i="51" s="1"/>
  <c r="AP48" i="51" s="1"/>
  <c r="Z25" i="51"/>
  <c r="AB25" i="51" s="1"/>
  <c r="AO25" i="51" s="1"/>
  <c r="AA25" i="51"/>
  <c r="AC25" i="51" s="1"/>
  <c r="AP25" i="51" s="1"/>
  <c r="Z78" i="51"/>
  <c r="AB78" i="51" s="1"/>
  <c r="AO78" i="51" s="1"/>
  <c r="AA78" i="51"/>
  <c r="AC78" i="51" s="1"/>
  <c r="AP78" i="51" s="1"/>
  <c r="AA83" i="51"/>
  <c r="AC83" i="51" s="1"/>
  <c r="AP83" i="51" s="1"/>
  <c r="Z83" i="51"/>
  <c r="AB83" i="51" s="1"/>
  <c r="AO83" i="51" s="1"/>
  <c r="Z49" i="51"/>
  <c r="AB49" i="51" s="1"/>
  <c r="AO49" i="51" s="1"/>
  <c r="AA49" i="51"/>
  <c r="AC49" i="51" s="1"/>
  <c r="AP49" i="51" s="1"/>
  <c r="Z39" i="51"/>
  <c r="AB39" i="51" s="1"/>
  <c r="AO39" i="51" s="1"/>
  <c r="AA39" i="51"/>
  <c r="AC39" i="51" s="1"/>
  <c r="AP39" i="51" s="1"/>
  <c r="Z81" i="51"/>
  <c r="AB81" i="51" s="1"/>
  <c r="AO81" i="51" s="1"/>
  <c r="AA81" i="51"/>
  <c r="AC81" i="51" s="1"/>
  <c r="AP81" i="51" s="1"/>
  <c r="Z93" i="51"/>
  <c r="AB93" i="51" s="1"/>
  <c r="AO93" i="51" s="1"/>
  <c r="AA93" i="51"/>
  <c r="AC93" i="51" s="1"/>
  <c r="AP93" i="51" s="1"/>
  <c r="AA77" i="51"/>
  <c r="AC77" i="51" s="1"/>
  <c r="AP77" i="51" s="1"/>
  <c r="Z77" i="51"/>
  <c r="AB77" i="51" s="1"/>
  <c r="AO77" i="51" s="1"/>
  <c r="Z52" i="51"/>
  <c r="AB52" i="51" s="1"/>
  <c r="AO52" i="51" s="1"/>
  <c r="AA52" i="51"/>
  <c r="AC52" i="51" s="1"/>
  <c r="AP52" i="51" s="1"/>
  <c r="Z79" i="51"/>
  <c r="AB79" i="51" s="1"/>
  <c r="AO79" i="51" s="1"/>
  <c r="AA79" i="51"/>
  <c r="AC79" i="51" s="1"/>
  <c r="AP79" i="51" s="1"/>
  <c r="AA56" i="51"/>
  <c r="AC56" i="51" s="1"/>
  <c r="AP56" i="51" s="1"/>
  <c r="Z56" i="51"/>
  <c r="AB56" i="51" s="1"/>
  <c r="AO56" i="51" s="1"/>
  <c r="Z60" i="51"/>
  <c r="AB60" i="51" s="1"/>
  <c r="AO60" i="51" s="1"/>
  <c r="AA60" i="51"/>
  <c r="AC60" i="51" s="1"/>
  <c r="AP60" i="51" s="1"/>
  <c r="AA44" i="51"/>
  <c r="AC44" i="51" s="1"/>
  <c r="AP44" i="51" s="1"/>
  <c r="Z44" i="51"/>
  <c r="AB44" i="51" s="1"/>
  <c r="AO44" i="51" s="1"/>
  <c r="A16" i="51"/>
  <c r="Z75" i="51"/>
  <c r="AB75" i="51" s="1"/>
  <c r="AO75" i="51" s="1"/>
  <c r="AA75" i="51"/>
  <c r="AC75" i="51" s="1"/>
  <c r="AP75" i="51" s="1"/>
  <c r="Z53" i="51"/>
  <c r="AB53" i="51" s="1"/>
  <c r="AO53" i="51" s="1"/>
  <c r="AA53" i="51"/>
  <c r="AC53" i="51" s="1"/>
  <c r="AP53" i="51" s="1"/>
  <c r="Z76" i="51"/>
  <c r="AB76" i="51" s="1"/>
  <c r="AO76" i="51" s="1"/>
  <c r="AA76" i="51"/>
  <c r="AC76" i="51" s="1"/>
  <c r="AP76" i="51" s="1"/>
  <c r="Z46" i="51"/>
  <c r="AB46" i="51" s="1"/>
  <c r="AO46" i="51" s="1"/>
  <c r="AA46" i="51"/>
  <c r="AC46" i="51" s="1"/>
  <c r="AP46" i="51" s="1"/>
  <c r="Z37" i="51"/>
  <c r="AB37" i="51" s="1"/>
  <c r="AO37" i="51" s="1"/>
  <c r="AA37" i="51"/>
  <c r="AC37" i="51" s="1"/>
  <c r="AP37" i="51" s="1"/>
  <c r="Z27" i="51"/>
  <c r="AB27" i="51" s="1"/>
  <c r="AO27" i="51" s="1"/>
  <c r="AA27" i="51"/>
  <c r="AC27" i="51" s="1"/>
  <c r="AP27" i="51" s="1"/>
  <c r="AL10" i="49"/>
  <c r="AJ7" i="49"/>
  <c r="AL7" i="16"/>
  <c r="AN8" i="47"/>
  <c r="T15" i="67"/>
  <c r="A16" i="47"/>
  <c r="AJ75" i="46"/>
  <c r="AN64" i="46"/>
  <c r="AN74" i="46"/>
  <c r="Z209" i="46"/>
  <c r="AB209" i="46" s="1"/>
  <c r="AO209" i="46" s="1"/>
  <c r="AA209" i="46"/>
  <c r="AC209" i="46" s="1"/>
  <c r="AP209" i="46" s="1"/>
  <c r="Z210" i="46"/>
  <c r="AB210" i="46" s="1"/>
  <c r="AO210" i="46" s="1"/>
  <c r="AA210" i="46"/>
  <c r="AC210" i="46" s="1"/>
  <c r="AP210" i="46" s="1"/>
  <c r="Z214" i="46"/>
  <c r="AB214" i="46" s="1"/>
  <c r="AO214" i="46" s="1"/>
  <c r="AA214" i="46"/>
  <c r="AC214" i="46" s="1"/>
  <c r="AP214" i="46" s="1"/>
  <c r="Z211" i="46"/>
  <c r="AB211" i="46" s="1"/>
  <c r="AO211" i="46" s="1"/>
  <c r="AA211" i="46"/>
  <c r="AC211" i="46" s="1"/>
  <c r="AP211" i="46" s="1"/>
  <c r="Z213" i="46"/>
  <c r="AB213" i="46" s="1"/>
  <c r="AO213" i="46" s="1"/>
  <c r="AA213" i="46"/>
  <c r="AC213" i="46" s="1"/>
  <c r="AP213" i="46" s="1"/>
  <c r="Z212" i="46"/>
  <c r="AB212" i="46" s="1"/>
  <c r="AO212" i="46" s="1"/>
  <c r="AA212" i="46"/>
  <c r="AC212" i="46" s="1"/>
  <c r="AP212" i="46" s="1"/>
  <c r="Z215" i="46"/>
  <c r="AB215" i="46" s="1"/>
  <c r="AO215" i="46" s="1"/>
  <c r="AA215" i="46"/>
  <c r="AC215" i="46" s="1"/>
  <c r="AP215" i="46" s="1"/>
  <c r="S14" i="67"/>
  <c r="AN79" i="46"/>
  <c r="AN54" i="46"/>
  <c r="AN78" i="46"/>
  <c r="AN69" i="46"/>
  <c r="AL79" i="46"/>
  <c r="AL68" i="46"/>
  <c r="AJ78" i="46"/>
  <c r="AJ58" i="46"/>
  <c r="AN52" i="46"/>
  <c r="Z150" i="46"/>
  <c r="AB150" i="46" s="1"/>
  <c r="AO150" i="46" s="1"/>
  <c r="AA150" i="46"/>
  <c r="AC150" i="46" s="1"/>
  <c r="AP150" i="46" s="1"/>
  <c r="AA175" i="46"/>
  <c r="AC175" i="46" s="1"/>
  <c r="AP175" i="46" s="1"/>
  <c r="Z175" i="46"/>
  <c r="AB175" i="46" s="1"/>
  <c r="AO175" i="46" s="1"/>
  <c r="Z197" i="46"/>
  <c r="AB197" i="46" s="1"/>
  <c r="AO197" i="46" s="1"/>
  <c r="AA197" i="46"/>
  <c r="AC197" i="46" s="1"/>
  <c r="AP197" i="46" s="1"/>
  <c r="AA134" i="46"/>
  <c r="AC134" i="46" s="1"/>
  <c r="AP134" i="46" s="1"/>
  <c r="Z134" i="46"/>
  <c r="AB134" i="46" s="1"/>
  <c r="AO134" i="46" s="1"/>
  <c r="Z159" i="46"/>
  <c r="AB159" i="46" s="1"/>
  <c r="AO159" i="46" s="1"/>
  <c r="AA159" i="46"/>
  <c r="AC159" i="46" s="1"/>
  <c r="AP159" i="46" s="1"/>
  <c r="Z149" i="46"/>
  <c r="AB149" i="46" s="1"/>
  <c r="AO149" i="46" s="1"/>
  <c r="AA149" i="46"/>
  <c r="AC149" i="46" s="1"/>
  <c r="AP149" i="46" s="1"/>
  <c r="Z207" i="46"/>
  <c r="AB207" i="46" s="1"/>
  <c r="AO207" i="46" s="1"/>
  <c r="AA207" i="46"/>
  <c r="AC207" i="46" s="1"/>
  <c r="AP207" i="46" s="1"/>
  <c r="Z165" i="46"/>
  <c r="AB165" i="46" s="1"/>
  <c r="AO165" i="46" s="1"/>
  <c r="AA165" i="46"/>
  <c r="AC165" i="46" s="1"/>
  <c r="AP165" i="46" s="1"/>
  <c r="Z142" i="46"/>
  <c r="AB142" i="46" s="1"/>
  <c r="AO142" i="46" s="1"/>
  <c r="AA142" i="46"/>
  <c r="AC142" i="46" s="1"/>
  <c r="AP142" i="46" s="1"/>
  <c r="Z107" i="46"/>
  <c r="AB107" i="46" s="1"/>
  <c r="AO107" i="46" s="1"/>
  <c r="AA107" i="46"/>
  <c r="AC107" i="46" s="1"/>
  <c r="AP107" i="46" s="1"/>
  <c r="AA122" i="46"/>
  <c r="AC122" i="46" s="1"/>
  <c r="AP122" i="46" s="1"/>
  <c r="Z122" i="46"/>
  <c r="AB122" i="46" s="1"/>
  <c r="AO122" i="46" s="1"/>
  <c r="AA90" i="46"/>
  <c r="AC90" i="46" s="1"/>
  <c r="AP90" i="46" s="1"/>
  <c r="Z90" i="46"/>
  <c r="AB90" i="46" s="1"/>
  <c r="AO90" i="46" s="1"/>
  <c r="Z198" i="46"/>
  <c r="AB198" i="46" s="1"/>
  <c r="AO198" i="46" s="1"/>
  <c r="AA198" i="46"/>
  <c r="AC198" i="46" s="1"/>
  <c r="AP198" i="46" s="1"/>
  <c r="Z201" i="46"/>
  <c r="AB201" i="46" s="1"/>
  <c r="AO201" i="46" s="1"/>
  <c r="AA201" i="46"/>
  <c r="AC201" i="46" s="1"/>
  <c r="AP201" i="46" s="1"/>
  <c r="Z191" i="46"/>
  <c r="AB191" i="46" s="1"/>
  <c r="AO191" i="46" s="1"/>
  <c r="AA191" i="46"/>
  <c r="AC191" i="46" s="1"/>
  <c r="AP191" i="46" s="1"/>
  <c r="Z167" i="46"/>
  <c r="AB167" i="46" s="1"/>
  <c r="AO167" i="46" s="1"/>
  <c r="AA167" i="46"/>
  <c r="AC167" i="46" s="1"/>
  <c r="AP167" i="46" s="1"/>
  <c r="AA187" i="46"/>
  <c r="AC187" i="46" s="1"/>
  <c r="AP187" i="46" s="1"/>
  <c r="Z187" i="46"/>
  <c r="AB187" i="46" s="1"/>
  <c r="AO187" i="46" s="1"/>
  <c r="AA188" i="46"/>
  <c r="AC188" i="46" s="1"/>
  <c r="AP188" i="46" s="1"/>
  <c r="Z188" i="46"/>
  <c r="AB188" i="46" s="1"/>
  <c r="AO188" i="46" s="1"/>
  <c r="Z144" i="46"/>
  <c r="AB144" i="46" s="1"/>
  <c r="AO144" i="46" s="1"/>
  <c r="AA144" i="46"/>
  <c r="AC144" i="46" s="1"/>
  <c r="AP144" i="46" s="1"/>
  <c r="AA158" i="46"/>
  <c r="AC158" i="46" s="1"/>
  <c r="AP158" i="46" s="1"/>
  <c r="Z158" i="46"/>
  <c r="AB158" i="46" s="1"/>
  <c r="AO158" i="46" s="1"/>
  <c r="Z147" i="46"/>
  <c r="AB147" i="46" s="1"/>
  <c r="AO147" i="46" s="1"/>
  <c r="AA147" i="46"/>
  <c r="AC147" i="46" s="1"/>
  <c r="AP147" i="46" s="1"/>
  <c r="Z111" i="46"/>
  <c r="AB111" i="46" s="1"/>
  <c r="AO111" i="46" s="1"/>
  <c r="AA111" i="46"/>
  <c r="AC111" i="46" s="1"/>
  <c r="AP111" i="46" s="1"/>
  <c r="Z89" i="46"/>
  <c r="AB89" i="46" s="1"/>
  <c r="AO89" i="46" s="1"/>
  <c r="AA89" i="46"/>
  <c r="AC89" i="46" s="1"/>
  <c r="AP89" i="46" s="1"/>
  <c r="Z139" i="46"/>
  <c r="AB139" i="46" s="1"/>
  <c r="AO139" i="46" s="1"/>
  <c r="AA139" i="46"/>
  <c r="AC139" i="46" s="1"/>
  <c r="AP139" i="46" s="1"/>
  <c r="Z116" i="46"/>
  <c r="AB116" i="46" s="1"/>
  <c r="AO116" i="46" s="1"/>
  <c r="AA116" i="46"/>
  <c r="AC116" i="46" s="1"/>
  <c r="AP116" i="46" s="1"/>
  <c r="Z93" i="46"/>
  <c r="AB93" i="46" s="1"/>
  <c r="AO93" i="46" s="1"/>
  <c r="AA93" i="46"/>
  <c r="AC93" i="46" s="1"/>
  <c r="AP93" i="46" s="1"/>
  <c r="Z84" i="46"/>
  <c r="AB84" i="46" s="1"/>
  <c r="AO84" i="46" s="1"/>
  <c r="AA84" i="46"/>
  <c r="AC84" i="46" s="1"/>
  <c r="AP84" i="46" s="1"/>
  <c r="Z203" i="46"/>
  <c r="AB203" i="46" s="1"/>
  <c r="AO203" i="46" s="1"/>
  <c r="AA203" i="46"/>
  <c r="AC203" i="46" s="1"/>
  <c r="AP203" i="46" s="1"/>
  <c r="Z182" i="46"/>
  <c r="AB182" i="46" s="1"/>
  <c r="AO182" i="46" s="1"/>
  <c r="AA182" i="46"/>
  <c r="AC182" i="46" s="1"/>
  <c r="AP182" i="46" s="1"/>
  <c r="Z155" i="46"/>
  <c r="AB155" i="46" s="1"/>
  <c r="AO155" i="46" s="1"/>
  <c r="AA155" i="46"/>
  <c r="AC155" i="46" s="1"/>
  <c r="AP155" i="46" s="1"/>
  <c r="Z195" i="46"/>
  <c r="AB195" i="46" s="1"/>
  <c r="AO195" i="46" s="1"/>
  <c r="AA195" i="46"/>
  <c r="AC195" i="46" s="1"/>
  <c r="AP195" i="46" s="1"/>
  <c r="Z153" i="46"/>
  <c r="AB153" i="46" s="1"/>
  <c r="AO153" i="46" s="1"/>
  <c r="AA153" i="46"/>
  <c r="AC153" i="46" s="1"/>
  <c r="AP153" i="46" s="1"/>
  <c r="Z95" i="46"/>
  <c r="AB95" i="46" s="1"/>
  <c r="AO95" i="46" s="1"/>
  <c r="AA95" i="46"/>
  <c r="AC95" i="46" s="1"/>
  <c r="AP95" i="46" s="1"/>
  <c r="Z133" i="46"/>
  <c r="AB133" i="46" s="1"/>
  <c r="AO133" i="46" s="1"/>
  <c r="AA133" i="46"/>
  <c r="AC133" i="46" s="1"/>
  <c r="AP133" i="46" s="1"/>
  <c r="Z110" i="46"/>
  <c r="AB110" i="46" s="1"/>
  <c r="AO110" i="46" s="1"/>
  <c r="AA110" i="46"/>
  <c r="AC110" i="46" s="1"/>
  <c r="AP110" i="46" s="1"/>
  <c r="Z105" i="46"/>
  <c r="AB105" i="46" s="1"/>
  <c r="AO105" i="46" s="1"/>
  <c r="AA105" i="46"/>
  <c r="AC105" i="46" s="1"/>
  <c r="AP105" i="46" s="1"/>
  <c r="Z199" i="46"/>
  <c r="AB199" i="46" s="1"/>
  <c r="AO199" i="46" s="1"/>
  <c r="AA199" i="46"/>
  <c r="AC199" i="46" s="1"/>
  <c r="AP199" i="46" s="1"/>
  <c r="AA189" i="46"/>
  <c r="AC189" i="46" s="1"/>
  <c r="AP189" i="46" s="1"/>
  <c r="Z189" i="46"/>
  <c r="AB189" i="46" s="1"/>
  <c r="AO189" i="46" s="1"/>
  <c r="Z173" i="46"/>
  <c r="AB173" i="46" s="1"/>
  <c r="AO173" i="46" s="1"/>
  <c r="AA173" i="46"/>
  <c r="AC173" i="46" s="1"/>
  <c r="AP173" i="46" s="1"/>
  <c r="AA176" i="46"/>
  <c r="AC176" i="46" s="1"/>
  <c r="AP176" i="46" s="1"/>
  <c r="Z176" i="46"/>
  <c r="AB176" i="46" s="1"/>
  <c r="AO176" i="46" s="1"/>
  <c r="Z88" i="46"/>
  <c r="AB88" i="46" s="1"/>
  <c r="AO88" i="46" s="1"/>
  <c r="AA88" i="46"/>
  <c r="AC88" i="46" s="1"/>
  <c r="AP88" i="46" s="1"/>
  <c r="Z169" i="46"/>
  <c r="AB169" i="46" s="1"/>
  <c r="AO169" i="46" s="1"/>
  <c r="AA169" i="46"/>
  <c r="AC169" i="46" s="1"/>
  <c r="AP169" i="46" s="1"/>
  <c r="Z146" i="46"/>
  <c r="AB146" i="46" s="1"/>
  <c r="AO146" i="46" s="1"/>
  <c r="AA146" i="46"/>
  <c r="AC146" i="46" s="1"/>
  <c r="AP146" i="46" s="1"/>
  <c r="Z140" i="46"/>
  <c r="AB140" i="46" s="1"/>
  <c r="AO140" i="46" s="1"/>
  <c r="AA140" i="46"/>
  <c r="AC140" i="46" s="1"/>
  <c r="AP140" i="46" s="1"/>
  <c r="Z99" i="46"/>
  <c r="AB99" i="46" s="1"/>
  <c r="AO99" i="46" s="1"/>
  <c r="AA99" i="46"/>
  <c r="AC99" i="46" s="1"/>
  <c r="AP99" i="46" s="1"/>
  <c r="Z138" i="46"/>
  <c r="AB138" i="46" s="1"/>
  <c r="AO138" i="46" s="1"/>
  <c r="AA138" i="46"/>
  <c r="AC138" i="46" s="1"/>
  <c r="AP138" i="46" s="1"/>
  <c r="Z127" i="46"/>
  <c r="AB127" i="46" s="1"/>
  <c r="AO127" i="46" s="1"/>
  <c r="AA127" i="46"/>
  <c r="AC127" i="46" s="1"/>
  <c r="AP127" i="46" s="1"/>
  <c r="Z104" i="46"/>
  <c r="AB104" i="46" s="1"/>
  <c r="AO104" i="46" s="1"/>
  <c r="AA104" i="46"/>
  <c r="AC104" i="46" s="1"/>
  <c r="AP104" i="46" s="1"/>
  <c r="Z130" i="46"/>
  <c r="AB130" i="46" s="1"/>
  <c r="AO130" i="46" s="1"/>
  <c r="AA130" i="46"/>
  <c r="AC130" i="46" s="1"/>
  <c r="AP130" i="46" s="1"/>
  <c r="Z204" i="46"/>
  <c r="AB204" i="46" s="1"/>
  <c r="AO204" i="46" s="1"/>
  <c r="AA204" i="46"/>
  <c r="AC204" i="46" s="1"/>
  <c r="AP204" i="46" s="1"/>
  <c r="AA184" i="46"/>
  <c r="AC184" i="46" s="1"/>
  <c r="AP184" i="46" s="1"/>
  <c r="Z184" i="46"/>
  <c r="AB184" i="46" s="1"/>
  <c r="AO184" i="46" s="1"/>
  <c r="Z206" i="46"/>
  <c r="AB206" i="46" s="1"/>
  <c r="AO206" i="46" s="1"/>
  <c r="AA206" i="46"/>
  <c r="AC206" i="46" s="1"/>
  <c r="AP206" i="46" s="1"/>
  <c r="Z136" i="46"/>
  <c r="AB136" i="46" s="1"/>
  <c r="AO136" i="46" s="1"/>
  <c r="AA136" i="46"/>
  <c r="AC136" i="46" s="1"/>
  <c r="AP136" i="46" s="1"/>
  <c r="Z83" i="46"/>
  <c r="AB83" i="46" s="1"/>
  <c r="AO83" i="46" s="1"/>
  <c r="AA83" i="46"/>
  <c r="AC83" i="46" s="1"/>
  <c r="AP83" i="46" s="1"/>
  <c r="Z121" i="46"/>
  <c r="AB121" i="46" s="1"/>
  <c r="AO121" i="46" s="1"/>
  <c r="AA121" i="46"/>
  <c r="AC121" i="46" s="1"/>
  <c r="AP121" i="46" s="1"/>
  <c r="Z98" i="46"/>
  <c r="AB98" i="46" s="1"/>
  <c r="AO98" i="46" s="1"/>
  <c r="AA98" i="46"/>
  <c r="AC98" i="46" s="1"/>
  <c r="AP98" i="46" s="1"/>
  <c r="Z124" i="46"/>
  <c r="AB124" i="46" s="1"/>
  <c r="AO124" i="46" s="1"/>
  <c r="AA124" i="46"/>
  <c r="AC124" i="46" s="1"/>
  <c r="AP124" i="46" s="1"/>
  <c r="Z162" i="46"/>
  <c r="AB162" i="46" s="1"/>
  <c r="AO162" i="46" s="1"/>
  <c r="AA162" i="46"/>
  <c r="AC162" i="46" s="1"/>
  <c r="AP162" i="46" s="1"/>
  <c r="AA164" i="46"/>
  <c r="AC164" i="46" s="1"/>
  <c r="AP164" i="46" s="1"/>
  <c r="Z164" i="46"/>
  <c r="AB164" i="46" s="1"/>
  <c r="AO164" i="46" s="1"/>
  <c r="Z143" i="46"/>
  <c r="AB143" i="46" s="1"/>
  <c r="AO143" i="46" s="1"/>
  <c r="AA143" i="46"/>
  <c r="AC143" i="46" s="1"/>
  <c r="AP143" i="46" s="1"/>
  <c r="Z157" i="46"/>
  <c r="AB157" i="46" s="1"/>
  <c r="AO157" i="46" s="1"/>
  <c r="AA157" i="46"/>
  <c r="AC157" i="46" s="1"/>
  <c r="AP157" i="46" s="1"/>
  <c r="AA172" i="46"/>
  <c r="AC172" i="46" s="1"/>
  <c r="AP172" i="46" s="1"/>
  <c r="Z172" i="46"/>
  <c r="AB172" i="46" s="1"/>
  <c r="AO172" i="46" s="1"/>
  <c r="Z87" i="46"/>
  <c r="AB87" i="46" s="1"/>
  <c r="AO87" i="46" s="1"/>
  <c r="AA87" i="46"/>
  <c r="AC87" i="46" s="1"/>
  <c r="AP87" i="46" s="1"/>
  <c r="AA126" i="46"/>
  <c r="AC126" i="46" s="1"/>
  <c r="AP126" i="46" s="1"/>
  <c r="Z126" i="46"/>
  <c r="AB126" i="46" s="1"/>
  <c r="AO126" i="46" s="1"/>
  <c r="AA115" i="46"/>
  <c r="AC115" i="46" s="1"/>
  <c r="AP115" i="46" s="1"/>
  <c r="Z115" i="46"/>
  <c r="AB115" i="46" s="1"/>
  <c r="AO115" i="46" s="1"/>
  <c r="Z92" i="46"/>
  <c r="AB92" i="46" s="1"/>
  <c r="AO92" i="46" s="1"/>
  <c r="AA92" i="46"/>
  <c r="AC92" i="46" s="1"/>
  <c r="AP92" i="46" s="1"/>
  <c r="Z118" i="46"/>
  <c r="AB118" i="46" s="1"/>
  <c r="AO118" i="46" s="1"/>
  <c r="AA118" i="46"/>
  <c r="AC118" i="46" s="1"/>
  <c r="AP118" i="46" s="1"/>
  <c r="Z132" i="46"/>
  <c r="AB132" i="46" s="1"/>
  <c r="AO132" i="46" s="1"/>
  <c r="AA132" i="46"/>
  <c r="AC132" i="46" s="1"/>
  <c r="AP132" i="46" s="1"/>
  <c r="Z181" i="46"/>
  <c r="AB181" i="46" s="1"/>
  <c r="AO181" i="46" s="1"/>
  <c r="AA181" i="46"/>
  <c r="AC181" i="46" s="1"/>
  <c r="AP181" i="46" s="1"/>
  <c r="Z196" i="46"/>
  <c r="AB196" i="46" s="1"/>
  <c r="AO196" i="46" s="1"/>
  <c r="AA196" i="46"/>
  <c r="AC196" i="46" s="1"/>
  <c r="AP196" i="46" s="1"/>
  <c r="Z100" i="46"/>
  <c r="AB100" i="46" s="1"/>
  <c r="AO100" i="46" s="1"/>
  <c r="AA100" i="46"/>
  <c r="AC100" i="46" s="1"/>
  <c r="AP100" i="46" s="1"/>
  <c r="Z156" i="46"/>
  <c r="AB156" i="46" s="1"/>
  <c r="AO156" i="46" s="1"/>
  <c r="AA156" i="46"/>
  <c r="AC156" i="46" s="1"/>
  <c r="AP156" i="46" s="1"/>
  <c r="AA137" i="46"/>
  <c r="AC137" i="46" s="1"/>
  <c r="AP137" i="46" s="1"/>
  <c r="Z137" i="46"/>
  <c r="AB137" i="46" s="1"/>
  <c r="AO137" i="46" s="1"/>
  <c r="Z101" i="46"/>
  <c r="AB101" i="46" s="1"/>
  <c r="AO101" i="46" s="1"/>
  <c r="AA101" i="46"/>
  <c r="AC101" i="46" s="1"/>
  <c r="AP101" i="46" s="1"/>
  <c r="Z128" i="46"/>
  <c r="AB128" i="46" s="1"/>
  <c r="AO128" i="46" s="1"/>
  <c r="AA128" i="46"/>
  <c r="AC128" i="46" s="1"/>
  <c r="AP128" i="46" s="1"/>
  <c r="AA161" i="46"/>
  <c r="AC161" i="46" s="1"/>
  <c r="AP161" i="46" s="1"/>
  <c r="Z161" i="46"/>
  <c r="AB161" i="46" s="1"/>
  <c r="AO161" i="46" s="1"/>
  <c r="Z202" i="46"/>
  <c r="AB202" i="46" s="1"/>
  <c r="AO202" i="46" s="1"/>
  <c r="AA202" i="46"/>
  <c r="AC202" i="46" s="1"/>
  <c r="AP202" i="46" s="1"/>
  <c r="Z192" i="46"/>
  <c r="AB192" i="46" s="1"/>
  <c r="AO192" i="46" s="1"/>
  <c r="AA192" i="46"/>
  <c r="AC192" i="46" s="1"/>
  <c r="AP192" i="46" s="1"/>
  <c r="Z194" i="46"/>
  <c r="AB194" i="46" s="1"/>
  <c r="AO194" i="46" s="1"/>
  <c r="AA194" i="46"/>
  <c r="AC194" i="46" s="1"/>
  <c r="AP194" i="46" s="1"/>
  <c r="Z123" i="46"/>
  <c r="AB123" i="46" s="1"/>
  <c r="AO123" i="46" s="1"/>
  <c r="AA123" i="46"/>
  <c r="AC123" i="46" s="1"/>
  <c r="AP123" i="46" s="1"/>
  <c r="AA178" i="46"/>
  <c r="AC178" i="46" s="1"/>
  <c r="AP178" i="46" s="1"/>
  <c r="Z178" i="46"/>
  <c r="AB178" i="46" s="1"/>
  <c r="AO178" i="46" s="1"/>
  <c r="Z135" i="46"/>
  <c r="AB135" i="46" s="1"/>
  <c r="AO135" i="46" s="1"/>
  <c r="AA135" i="46"/>
  <c r="AC135" i="46" s="1"/>
  <c r="AP135" i="46" s="1"/>
  <c r="Z109" i="46"/>
  <c r="AB109" i="46" s="1"/>
  <c r="AO109" i="46" s="1"/>
  <c r="AA109" i="46"/>
  <c r="AC109" i="46" s="1"/>
  <c r="AP109" i="46" s="1"/>
  <c r="Z86" i="46"/>
  <c r="AB86" i="46" s="1"/>
  <c r="AO86" i="46" s="1"/>
  <c r="AA86" i="46"/>
  <c r="AC86" i="46" s="1"/>
  <c r="AP86" i="46" s="1"/>
  <c r="A16" i="46"/>
  <c r="Z205" i="46"/>
  <c r="AB205" i="46" s="1"/>
  <c r="AO205" i="46" s="1"/>
  <c r="AA205" i="46"/>
  <c r="AC205" i="46" s="1"/>
  <c r="AP205" i="46" s="1"/>
  <c r="Z112" i="46"/>
  <c r="AB112" i="46" s="1"/>
  <c r="AO112" i="46" s="1"/>
  <c r="AA112" i="46"/>
  <c r="AC112" i="46" s="1"/>
  <c r="AP112" i="46" s="1"/>
  <c r="Z163" i="46"/>
  <c r="AB163" i="46" s="1"/>
  <c r="AO163" i="46" s="1"/>
  <c r="AA163" i="46"/>
  <c r="AC163" i="46" s="1"/>
  <c r="AP163" i="46" s="1"/>
  <c r="AA152" i="46"/>
  <c r="AC152" i="46" s="1"/>
  <c r="AP152" i="46" s="1"/>
  <c r="Z152" i="46"/>
  <c r="AB152" i="46" s="1"/>
  <c r="AO152" i="46" s="1"/>
  <c r="AA180" i="46"/>
  <c r="AC180" i="46" s="1"/>
  <c r="AP180" i="46" s="1"/>
  <c r="Z180" i="46"/>
  <c r="AB180" i="46" s="1"/>
  <c r="AO180" i="46" s="1"/>
  <c r="Z145" i="46"/>
  <c r="AB145" i="46" s="1"/>
  <c r="AO145" i="46" s="1"/>
  <c r="AA145" i="46"/>
  <c r="AC145" i="46" s="1"/>
  <c r="AP145" i="46" s="1"/>
  <c r="Z183" i="46"/>
  <c r="AB183" i="46" s="1"/>
  <c r="AO183" i="46" s="1"/>
  <c r="AA183" i="46"/>
  <c r="AC183" i="46" s="1"/>
  <c r="AP183" i="46" s="1"/>
  <c r="Z160" i="46"/>
  <c r="AB160" i="46" s="1"/>
  <c r="AO160" i="46" s="1"/>
  <c r="AA160" i="46"/>
  <c r="AC160" i="46" s="1"/>
  <c r="AP160" i="46" s="1"/>
  <c r="Z125" i="46"/>
  <c r="AB125" i="46" s="1"/>
  <c r="AO125" i="46" s="1"/>
  <c r="AA125" i="46"/>
  <c r="AC125" i="46" s="1"/>
  <c r="AP125" i="46" s="1"/>
  <c r="AA114" i="46"/>
  <c r="AC114" i="46" s="1"/>
  <c r="AP114" i="46" s="1"/>
  <c r="Z114" i="46"/>
  <c r="AB114" i="46" s="1"/>
  <c r="AO114" i="46" s="1"/>
  <c r="AA103" i="46"/>
  <c r="AC103" i="46" s="1"/>
  <c r="AP103" i="46" s="1"/>
  <c r="Z103" i="46"/>
  <c r="AB103" i="46" s="1"/>
  <c r="AO103" i="46" s="1"/>
  <c r="Z129" i="46"/>
  <c r="AB129" i="46" s="1"/>
  <c r="AO129" i="46" s="1"/>
  <c r="AA129" i="46"/>
  <c r="AC129" i="46" s="1"/>
  <c r="AP129" i="46" s="1"/>
  <c r="Z106" i="46"/>
  <c r="AB106" i="46" s="1"/>
  <c r="AO106" i="46" s="1"/>
  <c r="AA106" i="46"/>
  <c r="AC106" i="46" s="1"/>
  <c r="AP106" i="46" s="1"/>
  <c r="Z120" i="46"/>
  <c r="AB120" i="46" s="1"/>
  <c r="AO120" i="46" s="1"/>
  <c r="AA120" i="46"/>
  <c r="AC120" i="46" s="1"/>
  <c r="AP120" i="46" s="1"/>
  <c r="Z96" i="46"/>
  <c r="AB96" i="46" s="1"/>
  <c r="AO96" i="46" s="1"/>
  <c r="AA96" i="46"/>
  <c r="AC96" i="46" s="1"/>
  <c r="AP96" i="46" s="1"/>
  <c r="AA200" i="46"/>
  <c r="AC200" i="46" s="1"/>
  <c r="AP200" i="46" s="1"/>
  <c r="Z200" i="46"/>
  <c r="AB200" i="46" s="1"/>
  <c r="AO200" i="46" s="1"/>
  <c r="AA190" i="46"/>
  <c r="AC190" i="46" s="1"/>
  <c r="AP190" i="46" s="1"/>
  <c r="Z190" i="46"/>
  <c r="AB190" i="46" s="1"/>
  <c r="AO190" i="46" s="1"/>
  <c r="Z186" i="46"/>
  <c r="AB186" i="46" s="1"/>
  <c r="AO186" i="46" s="1"/>
  <c r="AA186" i="46"/>
  <c r="AC186" i="46" s="1"/>
  <c r="AP186" i="46" s="1"/>
  <c r="Z179" i="46"/>
  <c r="AB179" i="46" s="1"/>
  <c r="AO179" i="46" s="1"/>
  <c r="AA179" i="46"/>
  <c r="AC179" i="46" s="1"/>
  <c r="AP179" i="46" s="1"/>
  <c r="Z166" i="46"/>
  <c r="AB166" i="46" s="1"/>
  <c r="AO166" i="46" s="1"/>
  <c r="AA166" i="46"/>
  <c r="AC166" i="46" s="1"/>
  <c r="AP166" i="46" s="1"/>
  <c r="Z97" i="46"/>
  <c r="AB97" i="46" s="1"/>
  <c r="AO97" i="46" s="1"/>
  <c r="AA97" i="46"/>
  <c r="AC97" i="46" s="1"/>
  <c r="AP97" i="46" s="1"/>
  <c r="Z174" i="46"/>
  <c r="AB174" i="46" s="1"/>
  <c r="AO174" i="46" s="1"/>
  <c r="AA174" i="46"/>
  <c r="AC174" i="46" s="1"/>
  <c r="AP174" i="46" s="1"/>
  <c r="Z185" i="46"/>
  <c r="AB185" i="46" s="1"/>
  <c r="AO185" i="46" s="1"/>
  <c r="AA185" i="46"/>
  <c r="AC185" i="46" s="1"/>
  <c r="AP185" i="46" s="1"/>
  <c r="Z193" i="46"/>
  <c r="AB193" i="46" s="1"/>
  <c r="AO193" i="46" s="1"/>
  <c r="AA193" i="46"/>
  <c r="AC193" i="46" s="1"/>
  <c r="AP193" i="46" s="1"/>
  <c r="Z177" i="46"/>
  <c r="AB177" i="46" s="1"/>
  <c r="AO177" i="46" s="1"/>
  <c r="AA177" i="46"/>
  <c r="AC177" i="46" s="1"/>
  <c r="AP177" i="46" s="1"/>
  <c r="Z208" i="46"/>
  <c r="AB208" i="46" s="1"/>
  <c r="AO208" i="46" s="1"/>
  <c r="AA208" i="46"/>
  <c r="AC208" i="46" s="1"/>
  <c r="AP208" i="46" s="1"/>
  <c r="Z151" i="46"/>
  <c r="AB151" i="46" s="1"/>
  <c r="AO151" i="46" s="1"/>
  <c r="AA151" i="46"/>
  <c r="AC151" i="46" s="1"/>
  <c r="AP151" i="46" s="1"/>
  <c r="AA141" i="46"/>
  <c r="AC141" i="46" s="1"/>
  <c r="AP141" i="46" s="1"/>
  <c r="Z141" i="46"/>
  <c r="AB141" i="46" s="1"/>
  <c r="AO141" i="46" s="1"/>
  <c r="Z168" i="46"/>
  <c r="AB168" i="46" s="1"/>
  <c r="AO168" i="46" s="1"/>
  <c r="AA168" i="46"/>
  <c r="AC168" i="46" s="1"/>
  <c r="AP168" i="46" s="1"/>
  <c r="Z171" i="46"/>
  <c r="AB171" i="46" s="1"/>
  <c r="AO171" i="46" s="1"/>
  <c r="AA171" i="46"/>
  <c r="AC171" i="46" s="1"/>
  <c r="AP171" i="46" s="1"/>
  <c r="Z148" i="46"/>
  <c r="AB148" i="46" s="1"/>
  <c r="AO148" i="46" s="1"/>
  <c r="AA148" i="46"/>
  <c r="AC148" i="46" s="1"/>
  <c r="AP148" i="46" s="1"/>
  <c r="Z113" i="46"/>
  <c r="AB113" i="46" s="1"/>
  <c r="AO113" i="46" s="1"/>
  <c r="AA113" i="46"/>
  <c r="AC113" i="46" s="1"/>
  <c r="AP113" i="46" s="1"/>
  <c r="AA102" i="46"/>
  <c r="AC102" i="46" s="1"/>
  <c r="AP102" i="46" s="1"/>
  <c r="Z102" i="46"/>
  <c r="AB102" i="46" s="1"/>
  <c r="AO102" i="46" s="1"/>
  <c r="AA91" i="46"/>
  <c r="AC91" i="46" s="1"/>
  <c r="AP91" i="46" s="1"/>
  <c r="Z91" i="46"/>
  <c r="AB91" i="46" s="1"/>
  <c r="AO91" i="46" s="1"/>
  <c r="Z117" i="46"/>
  <c r="AB117" i="46" s="1"/>
  <c r="AO117" i="46" s="1"/>
  <c r="AA117" i="46"/>
  <c r="AC117" i="46" s="1"/>
  <c r="AP117" i="46" s="1"/>
  <c r="Z94" i="46"/>
  <c r="AB94" i="46" s="1"/>
  <c r="AO94" i="46" s="1"/>
  <c r="AA94" i="46"/>
  <c r="AC94" i="46" s="1"/>
  <c r="AP94" i="46" s="1"/>
  <c r="Z108" i="46"/>
  <c r="AB108" i="46" s="1"/>
  <c r="AO108" i="46" s="1"/>
  <c r="AA108" i="46"/>
  <c r="AC108" i="46" s="1"/>
  <c r="AP108" i="46" s="1"/>
  <c r="AA170" i="46"/>
  <c r="AC170" i="46" s="1"/>
  <c r="AP170" i="46" s="1"/>
  <c r="Z170" i="46"/>
  <c r="AB170" i="46" s="1"/>
  <c r="AO170" i="46" s="1"/>
  <c r="Z119" i="46"/>
  <c r="AB119" i="46" s="1"/>
  <c r="AO119" i="46" s="1"/>
  <c r="AA119" i="46"/>
  <c r="AC119" i="46" s="1"/>
  <c r="AP119" i="46" s="1"/>
  <c r="Z154" i="46"/>
  <c r="AB154" i="46" s="1"/>
  <c r="AO154" i="46" s="1"/>
  <c r="AA154" i="46"/>
  <c r="AC154" i="46" s="1"/>
  <c r="AP154" i="46" s="1"/>
  <c r="AA131" i="46"/>
  <c r="AC131" i="46" s="1"/>
  <c r="AP131" i="46" s="1"/>
  <c r="Z131" i="46"/>
  <c r="AB131" i="46" s="1"/>
  <c r="AO131" i="46" s="1"/>
  <c r="Z85" i="46"/>
  <c r="AB85" i="46" s="1"/>
  <c r="AO85" i="46" s="1"/>
  <c r="AA85" i="46"/>
  <c r="AC85" i="46" s="1"/>
  <c r="AP85" i="46" s="1"/>
  <c r="AN22" i="45"/>
  <c r="AJ20" i="45"/>
  <c r="AN21" i="45"/>
  <c r="AN24" i="45"/>
  <c r="T13" i="67"/>
  <c r="Z42" i="45"/>
  <c r="AB42" i="45" s="1"/>
  <c r="AO42" i="45" s="1"/>
  <c r="AA42" i="45"/>
  <c r="AC42" i="45" s="1"/>
  <c r="AP42" i="45" s="1"/>
  <c r="Z31" i="45"/>
  <c r="AB31" i="45" s="1"/>
  <c r="AO31" i="45" s="1"/>
  <c r="AA31" i="45"/>
  <c r="AC31" i="45" s="1"/>
  <c r="AP31" i="45" s="1"/>
  <c r="Z33" i="45"/>
  <c r="AB33" i="45" s="1"/>
  <c r="AO33" i="45" s="1"/>
  <c r="AA33" i="45"/>
  <c r="AC33" i="45" s="1"/>
  <c r="AP33" i="45" s="1"/>
  <c r="Z47" i="45"/>
  <c r="AB47" i="45" s="1"/>
  <c r="AO47" i="45" s="1"/>
  <c r="AA47" i="45"/>
  <c r="AC47" i="45" s="1"/>
  <c r="AP47" i="45" s="1"/>
  <c r="Z49" i="45"/>
  <c r="AB49" i="45" s="1"/>
  <c r="AO49" i="45" s="1"/>
  <c r="AA49" i="45"/>
  <c r="AC49" i="45" s="1"/>
  <c r="AP49" i="45" s="1"/>
  <c r="Z28" i="45"/>
  <c r="AB28" i="45" s="1"/>
  <c r="AO28" i="45" s="1"/>
  <c r="AA28" i="45"/>
  <c r="AC28" i="45" s="1"/>
  <c r="AP28" i="45" s="1"/>
  <c r="Z53" i="45"/>
  <c r="AB53" i="45" s="1"/>
  <c r="AO53" i="45" s="1"/>
  <c r="AA53" i="45"/>
  <c r="AC53" i="45" s="1"/>
  <c r="AP53" i="45" s="1"/>
  <c r="Z51" i="45"/>
  <c r="AB51" i="45" s="1"/>
  <c r="AO51" i="45" s="1"/>
  <c r="AA51" i="45"/>
  <c r="AC51" i="45" s="1"/>
  <c r="AP51" i="45" s="1"/>
  <c r="AA56" i="45"/>
  <c r="AC56" i="45" s="1"/>
  <c r="AP56" i="45" s="1"/>
  <c r="Z56" i="45"/>
  <c r="AB56" i="45" s="1"/>
  <c r="AO56" i="45" s="1"/>
  <c r="Z35" i="45"/>
  <c r="AB35" i="45" s="1"/>
  <c r="AO35" i="45" s="1"/>
  <c r="AA35" i="45"/>
  <c r="AC35" i="45" s="1"/>
  <c r="AP35" i="45" s="1"/>
  <c r="Z37" i="45"/>
  <c r="AB37" i="45" s="1"/>
  <c r="AO37" i="45" s="1"/>
  <c r="AA37" i="45"/>
  <c r="AC37" i="45" s="1"/>
  <c r="AP37" i="45" s="1"/>
  <c r="Z41" i="45"/>
  <c r="AB41" i="45" s="1"/>
  <c r="AO41" i="45" s="1"/>
  <c r="AA41" i="45"/>
  <c r="AC41" i="45" s="1"/>
  <c r="AP41" i="45" s="1"/>
  <c r="AA58" i="45"/>
  <c r="AC58" i="45" s="1"/>
  <c r="AP58" i="45" s="1"/>
  <c r="Z58" i="45"/>
  <c r="AB58" i="45" s="1"/>
  <c r="AO58" i="45" s="1"/>
  <c r="Z39" i="45"/>
  <c r="AB39" i="45" s="1"/>
  <c r="AO39" i="45" s="1"/>
  <c r="AA39" i="45"/>
  <c r="AC39" i="45" s="1"/>
  <c r="AP39" i="45" s="1"/>
  <c r="Z26" i="45"/>
  <c r="AB26" i="45" s="1"/>
  <c r="AO26" i="45" s="1"/>
  <c r="AA26" i="45"/>
  <c r="AC26" i="45" s="1"/>
  <c r="AP26" i="45" s="1"/>
  <c r="AA44" i="45"/>
  <c r="AC44" i="45" s="1"/>
  <c r="AP44" i="45" s="1"/>
  <c r="Z44" i="45"/>
  <c r="AB44" i="45" s="1"/>
  <c r="AO44" i="45" s="1"/>
  <c r="Z60" i="45"/>
  <c r="AB60" i="45" s="1"/>
  <c r="AO60" i="45" s="1"/>
  <c r="AA60" i="45"/>
  <c r="AC60" i="45" s="1"/>
  <c r="AP60" i="45" s="1"/>
  <c r="Z25" i="45"/>
  <c r="AB25" i="45" s="1"/>
  <c r="AO25" i="45" s="1"/>
  <c r="AA25" i="45"/>
  <c r="AC25" i="45" s="1"/>
  <c r="AP25" i="45" s="1"/>
  <c r="Z29" i="45"/>
  <c r="AB29" i="45" s="1"/>
  <c r="AO29" i="45" s="1"/>
  <c r="AA29" i="45"/>
  <c r="AC29" i="45" s="1"/>
  <c r="AP29" i="45" s="1"/>
  <c r="AA46" i="45"/>
  <c r="AC46" i="45" s="1"/>
  <c r="AP46" i="45" s="1"/>
  <c r="Z46" i="45"/>
  <c r="AB46" i="45" s="1"/>
  <c r="AO46" i="45" s="1"/>
  <c r="Z27" i="45"/>
  <c r="AB27" i="45" s="1"/>
  <c r="AO27" i="45" s="1"/>
  <c r="AA27" i="45"/>
  <c r="AC27" i="45" s="1"/>
  <c r="AP27" i="45" s="1"/>
  <c r="AA32" i="45"/>
  <c r="AC32" i="45" s="1"/>
  <c r="AP32" i="45" s="1"/>
  <c r="Z32" i="45"/>
  <c r="AB32" i="45" s="1"/>
  <c r="AO32" i="45" s="1"/>
  <c r="Z48" i="45"/>
  <c r="AB48" i="45" s="1"/>
  <c r="AO48" i="45" s="1"/>
  <c r="AA48" i="45"/>
  <c r="AC48" i="45" s="1"/>
  <c r="AP48" i="45" s="1"/>
  <c r="Z54" i="45"/>
  <c r="AB54" i="45" s="1"/>
  <c r="AO54" i="45" s="1"/>
  <c r="AA54" i="45"/>
  <c r="AC54" i="45" s="1"/>
  <c r="AP54" i="45" s="1"/>
  <c r="Z34" i="45"/>
  <c r="AB34" i="45" s="1"/>
  <c r="AO34" i="45" s="1"/>
  <c r="AA34" i="45"/>
  <c r="AC34" i="45" s="1"/>
  <c r="AP34" i="45" s="1"/>
  <c r="Z50" i="45"/>
  <c r="AB50" i="45" s="1"/>
  <c r="AO50" i="45" s="1"/>
  <c r="AA50" i="45"/>
  <c r="AC50" i="45" s="1"/>
  <c r="AP50" i="45" s="1"/>
  <c r="Z30" i="45"/>
  <c r="AB30" i="45" s="1"/>
  <c r="AO30" i="45" s="1"/>
  <c r="AA30" i="45"/>
  <c r="AC30" i="45" s="1"/>
  <c r="AP30" i="45" s="1"/>
  <c r="Z55" i="45"/>
  <c r="AB55" i="45" s="1"/>
  <c r="AO55" i="45" s="1"/>
  <c r="AA55" i="45"/>
  <c r="AC55" i="45" s="1"/>
  <c r="AP55" i="45" s="1"/>
  <c r="Z57" i="45"/>
  <c r="AB57" i="45" s="1"/>
  <c r="AO57" i="45" s="1"/>
  <c r="AA57" i="45"/>
  <c r="AC57" i="45" s="1"/>
  <c r="AP57" i="45" s="1"/>
  <c r="Z36" i="45"/>
  <c r="AB36" i="45" s="1"/>
  <c r="AO36" i="45" s="1"/>
  <c r="AA36" i="45"/>
  <c r="AC36" i="45" s="1"/>
  <c r="AP36" i="45" s="1"/>
  <c r="Z52" i="45"/>
  <c r="AB52" i="45" s="1"/>
  <c r="AO52" i="45" s="1"/>
  <c r="AA52" i="45"/>
  <c r="AC52" i="45" s="1"/>
  <c r="AP52" i="45" s="1"/>
  <c r="Z38" i="45"/>
  <c r="AB38" i="45" s="1"/>
  <c r="AO38" i="45" s="1"/>
  <c r="AA38" i="45"/>
  <c r="AC38" i="45" s="1"/>
  <c r="AP38" i="45" s="1"/>
  <c r="A16" i="45"/>
  <c r="Z43" i="45"/>
  <c r="AB43" i="45" s="1"/>
  <c r="AO43" i="45" s="1"/>
  <c r="AA43" i="45"/>
  <c r="AC43" i="45" s="1"/>
  <c r="AP43" i="45" s="1"/>
  <c r="Z45" i="45"/>
  <c r="AB45" i="45" s="1"/>
  <c r="AO45" i="45" s="1"/>
  <c r="AA45" i="45"/>
  <c r="AC45" i="45" s="1"/>
  <c r="AP45" i="45" s="1"/>
  <c r="Z59" i="45"/>
  <c r="AB59" i="45" s="1"/>
  <c r="AO59" i="45" s="1"/>
  <c r="AA59" i="45"/>
  <c r="AC59" i="45" s="1"/>
  <c r="AP59" i="45" s="1"/>
  <c r="Z61" i="45"/>
  <c r="AB61" i="45" s="1"/>
  <c r="AO61" i="45" s="1"/>
  <c r="AA61" i="45"/>
  <c r="AC61" i="45" s="1"/>
  <c r="AP61" i="45" s="1"/>
  <c r="Z40" i="45"/>
  <c r="AB40" i="45" s="1"/>
  <c r="AO40" i="45" s="1"/>
  <c r="AA40" i="45"/>
  <c r="AC40" i="45" s="1"/>
  <c r="AP40" i="45" s="1"/>
  <c r="AL21" i="44"/>
  <c r="AJ19" i="44"/>
  <c r="AJ22" i="44"/>
  <c r="T12" i="67"/>
  <c r="AJ20" i="44"/>
  <c r="Z29" i="44"/>
  <c r="AB29" i="44" s="1"/>
  <c r="AO29" i="44" s="1"/>
  <c r="AA29" i="44"/>
  <c r="AC29" i="44" s="1"/>
  <c r="AP29" i="44" s="1"/>
  <c r="Z35" i="44"/>
  <c r="AB35" i="44" s="1"/>
  <c r="AO35" i="44" s="1"/>
  <c r="AA35" i="44"/>
  <c r="AC35" i="44" s="1"/>
  <c r="AP35" i="44" s="1"/>
  <c r="Z30" i="44"/>
  <c r="AB30" i="44" s="1"/>
  <c r="AO30" i="44" s="1"/>
  <c r="AA30" i="44"/>
  <c r="AC30" i="44" s="1"/>
  <c r="AP30" i="44" s="1"/>
  <c r="Z36" i="44"/>
  <c r="AB36" i="44" s="1"/>
  <c r="AO36" i="44" s="1"/>
  <c r="AA36" i="44"/>
  <c r="AC36" i="44" s="1"/>
  <c r="AP36" i="44" s="1"/>
  <c r="Z31" i="44"/>
  <c r="AB31" i="44" s="1"/>
  <c r="AO31" i="44" s="1"/>
  <c r="AA31" i="44"/>
  <c r="AC31" i="44" s="1"/>
  <c r="AP31" i="44" s="1"/>
  <c r="Z25" i="44"/>
  <c r="AB25" i="44" s="1"/>
  <c r="AO25" i="44" s="1"/>
  <c r="AA25" i="44"/>
  <c r="AC25" i="44" s="1"/>
  <c r="AP25" i="44" s="1"/>
  <c r="AA32" i="44"/>
  <c r="AC32" i="44" s="1"/>
  <c r="AP32" i="44" s="1"/>
  <c r="Z32" i="44"/>
  <c r="AB32" i="44" s="1"/>
  <c r="AO32" i="44" s="1"/>
  <c r="Z26" i="44"/>
  <c r="AB26" i="44" s="1"/>
  <c r="AO26" i="44" s="1"/>
  <c r="AA26" i="44"/>
  <c r="AC26" i="44" s="1"/>
  <c r="AP26" i="44" s="1"/>
  <c r="AA33" i="44"/>
  <c r="AC33" i="44" s="1"/>
  <c r="AP33" i="44" s="1"/>
  <c r="Z33" i="44"/>
  <c r="AB33" i="44" s="1"/>
  <c r="AO33" i="44" s="1"/>
  <c r="Z27" i="44"/>
  <c r="AB27" i="44" s="1"/>
  <c r="AO27" i="44" s="1"/>
  <c r="AA27" i="44"/>
  <c r="AC27" i="44" s="1"/>
  <c r="AP27" i="44" s="1"/>
  <c r="A16" i="44"/>
  <c r="Z34" i="44"/>
  <c r="AB34" i="44" s="1"/>
  <c r="AO34" i="44" s="1"/>
  <c r="AA34" i="44"/>
  <c r="AC34" i="44" s="1"/>
  <c r="AP34" i="44" s="1"/>
  <c r="Z28" i="44"/>
  <c r="AB28" i="44" s="1"/>
  <c r="AO28" i="44" s="1"/>
  <c r="AA28" i="44"/>
  <c r="AC28" i="44" s="1"/>
  <c r="AP28" i="44" s="1"/>
  <c r="AP20" i="43"/>
  <c r="T11" i="67"/>
  <c r="AN23" i="43"/>
  <c r="AP23" i="43" s="1"/>
  <c r="AA5" i="43"/>
  <c r="AC5" i="43" s="1"/>
  <c r="AP5" i="43" s="1"/>
  <c r="AJ23" i="43"/>
  <c r="Z20" i="43"/>
  <c r="AB20" i="43" s="1"/>
  <c r="AO20" i="43" s="1"/>
  <c r="AJ21" i="43"/>
  <c r="A16" i="43"/>
  <c r="AA9" i="43"/>
  <c r="AC9" i="43" s="1"/>
  <c r="AP9" i="43" s="1"/>
  <c r="Z9" i="43"/>
  <c r="AB9" i="43" s="1"/>
  <c r="AO9" i="43" s="1"/>
  <c r="AA44" i="43"/>
  <c r="AC44" i="43" s="1"/>
  <c r="AP44" i="43" s="1"/>
  <c r="Z44" i="43"/>
  <c r="AB44" i="43" s="1"/>
  <c r="AO44" i="43" s="1"/>
  <c r="Z47" i="43"/>
  <c r="AB47" i="43" s="1"/>
  <c r="AO47" i="43" s="1"/>
  <c r="AA47" i="43"/>
  <c r="AC47" i="43" s="1"/>
  <c r="AP47" i="43" s="1"/>
  <c r="Z27" i="43"/>
  <c r="AB27" i="43" s="1"/>
  <c r="AO27" i="43" s="1"/>
  <c r="AA27" i="43"/>
  <c r="AC27" i="43" s="1"/>
  <c r="AP27" i="43" s="1"/>
  <c r="AA10" i="43"/>
  <c r="AC10" i="43" s="1"/>
  <c r="AP10" i="43" s="1"/>
  <c r="Z10" i="43"/>
  <c r="AB10" i="43" s="1"/>
  <c r="AO10" i="43" s="1"/>
  <c r="AA11" i="43"/>
  <c r="AC11" i="43" s="1"/>
  <c r="AP11" i="43" s="1"/>
  <c r="Z11" i="43"/>
  <c r="AB11" i="43" s="1"/>
  <c r="AO11" i="43" s="1"/>
  <c r="Z25" i="43"/>
  <c r="AB25" i="43" s="1"/>
  <c r="AO25" i="43" s="1"/>
  <c r="AA25" i="43"/>
  <c r="AC25" i="43" s="1"/>
  <c r="AP25" i="43" s="1"/>
  <c r="AA12" i="43"/>
  <c r="AC12" i="43" s="1"/>
  <c r="AP12" i="43" s="1"/>
  <c r="Z12" i="43"/>
  <c r="AB12" i="43" s="1"/>
  <c r="AO12" i="43" s="1"/>
  <c r="Z14" i="43"/>
  <c r="AB14" i="43" s="1"/>
  <c r="AO14" i="43" s="1"/>
  <c r="AA14" i="43"/>
  <c r="AC14" i="43" s="1"/>
  <c r="AP14" i="43" s="1"/>
  <c r="AA32" i="43"/>
  <c r="AC32" i="43" s="1"/>
  <c r="AP32" i="43" s="1"/>
  <c r="Z32" i="43"/>
  <c r="AB32" i="43" s="1"/>
  <c r="AO32" i="43" s="1"/>
  <c r="Z35" i="43"/>
  <c r="AB35" i="43" s="1"/>
  <c r="AO35" i="43" s="1"/>
  <c r="AA35" i="43"/>
  <c r="AC35" i="43" s="1"/>
  <c r="AP35" i="43" s="1"/>
  <c r="Z50" i="43"/>
  <c r="AB50" i="43" s="1"/>
  <c r="AO50" i="43" s="1"/>
  <c r="AA50" i="43"/>
  <c r="AC50" i="43" s="1"/>
  <c r="AP50" i="43" s="1"/>
  <c r="Z42" i="43"/>
  <c r="AB42" i="43" s="1"/>
  <c r="AO42" i="43" s="1"/>
  <c r="AA42" i="43"/>
  <c r="AC42" i="43" s="1"/>
  <c r="AP42" i="43" s="1"/>
  <c r="AA6" i="43"/>
  <c r="AC6" i="43" s="1"/>
  <c r="Z6" i="43"/>
  <c r="AB6" i="43" s="1"/>
  <c r="Z41" i="43"/>
  <c r="AB41" i="43" s="1"/>
  <c r="AO41" i="43" s="1"/>
  <c r="AA41" i="43"/>
  <c r="AC41" i="43" s="1"/>
  <c r="AP41" i="43" s="1"/>
  <c r="AA19" i="43"/>
  <c r="AC19" i="43" s="1"/>
  <c r="AP19" i="43" s="1"/>
  <c r="Z19" i="43"/>
  <c r="AB19" i="43" s="1"/>
  <c r="AO19" i="43" s="1"/>
  <c r="Z37" i="43"/>
  <c r="AB37" i="43" s="1"/>
  <c r="AO37" i="43" s="1"/>
  <c r="AA37" i="43"/>
  <c r="AC37" i="43" s="1"/>
  <c r="AP37" i="43" s="1"/>
  <c r="Z24" i="43"/>
  <c r="AB24" i="43" s="1"/>
  <c r="AO24" i="43" s="1"/>
  <c r="AA24" i="43"/>
  <c r="AC24" i="43" s="1"/>
  <c r="AP24" i="43" s="1"/>
  <c r="Z45" i="43"/>
  <c r="AB45" i="43" s="1"/>
  <c r="AO45" i="43" s="1"/>
  <c r="AA45" i="43"/>
  <c r="AC45" i="43" s="1"/>
  <c r="AP45" i="43" s="1"/>
  <c r="Z38" i="43"/>
  <c r="AB38" i="43" s="1"/>
  <c r="AO38" i="43" s="1"/>
  <c r="AA38" i="43"/>
  <c r="AC38" i="43" s="1"/>
  <c r="AP38" i="43" s="1"/>
  <c r="Z40" i="43"/>
  <c r="AB40" i="43" s="1"/>
  <c r="AO40" i="43" s="1"/>
  <c r="AA40" i="43"/>
  <c r="AC40" i="43" s="1"/>
  <c r="AP40" i="43" s="1"/>
  <c r="Z21" i="43"/>
  <c r="AB21" i="43" s="1"/>
  <c r="AO21" i="43" s="1"/>
  <c r="AA21" i="43"/>
  <c r="AC21" i="43" s="1"/>
  <c r="AP21" i="43" s="1"/>
  <c r="Z29" i="43"/>
  <c r="AB29" i="43" s="1"/>
  <c r="AO29" i="43" s="1"/>
  <c r="AA29" i="43"/>
  <c r="AC29" i="43" s="1"/>
  <c r="AP29" i="43" s="1"/>
  <c r="Z48" i="43"/>
  <c r="AB48" i="43" s="1"/>
  <c r="AO48" i="43" s="1"/>
  <c r="AA48" i="43"/>
  <c r="AC48" i="43" s="1"/>
  <c r="AP48" i="43" s="1"/>
  <c r="AA17" i="43"/>
  <c r="AC17" i="43" s="1"/>
  <c r="AP17" i="43" s="1"/>
  <c r="Z17" i="43"/>
  <c r="AB17" i="43" s="1"/>
  <c r="AO17" i="43" s="1"/>
  <c r="Z33" i="43"/>
  <c r="AB33" i="43" s="1"/>
  <c r="AO33" i="43" s="1"/>
  <c r="AA33" i="43"/>
  <c r="AC33" i="43" s="1"/>
  <c r="AP33" i="43" s="1"/>
  <c r="Z26" i="43"/>
  <c r="AB26" i="43" s="1"/>
  <c r="AO26" i="43" s="1"/>
  <c r="AA26" i="43"/>
  <c r="AC26" i="43" s="1"/>
  <c r="AP26" i="43" s="1"/>
  <c r="Z28" i="43"/>
  <c r="AB28" i="43" s="1"/>
  <c r="AO28" i="43" s="1"/>
  <c r="AA28" i="43"/>
  <c r="AC28" i="43" s="1"/>
  <c r="AP28" i="43" s="1"/>
  <c r="AA7" i="43"/>
  <c r="AC7" i="43" s="1"/>
  <c r="AP7" i="43" s="1"/>
  <c r="Z7" i="43"/>
  <c r="AB7" i="43" s="1"/>
  <c r="AO7" i="43" s="1"/>
  <c r="Z36" i="43"/>
  <c r="AB36" i="43" s="1"/>
  <c r="AO36" i="43" s="1"/>
  <c r="AA36" i="43"/>
  <c r="AC36" i="43" s="1"/>
  <c r="AP36" i="43" s="1"/>
  <c r="Z30" i="43"/>
  <c r="AB30" i="43" s="1"/>
  <c r="AO30" i="43" s="1"/>
  <c r="AA30" i="43"/>
  <c r="AC30" i="43" s="1"/>
  <c r="AP30" i="43" s="1"/>
  <c r="AA16" i="43"/>
  <c r="AC16" i="43" s="1"/>
  <c r="AP16" i="43" s="1"/>
  <c r="Z16" i="43"/>
  <c r="AB16" i="43" s="1"/>
  <c r="AO16" i="43" s="1"/>
  <c r="AA18" i="43"/>
  <c r="AC18" i="43" s="1"/>
  <c r="AP18" i="43" s="1"/>
  <c r="Z18" i="43"/>
  <c r="AB18" i="43" s="1"/>
  <c r="AO18" i="43" s="1"/>
  <c r="Z43" i="43"/>
  <c r="AB43" i="43" s="1"/>
  <c r="AO43" i="43" s="1"/>
  <c r="AA43" i="43"/>
  <c r="AC43" i="43" s="1"/>
  <c r="AP43" i="43" s="1"/>
  <c r="Z46" i="43"/>
  <c r="AB46" i="43" s="1"/>
  <c r="AO46" i="43" s="1"/>
  <c r="AA46" i="43"/>
  <c r="AC46" i="43" s="1"/>
  <c r="AP46" i="43" s="1"/>
  <c r="Z51" i="43"/>
  <c r="AB51" i="43" s="1"/>
  <c r="AO51" i="43" s="1"/>
  <c r="AA51" i="43"/>
  <c r="AC51" i="43" s="1"/>
  <c r="AP51" i="43" s="1"/>
  <c r="Z49" i="43"/>
  <c r="AB49" i="43" s="1"/>
  <c r="AO49" i="43" s="1"/>
  <c r="AA49" i="43"/>
  <c r="AC49" i="43" s="1"/>
  <c r="AP49" i="43" s="1"/>
  <c r="AA15" i="43"/>
  <c r="AC15" i="43" s="1"/>
  <c r="AP15" i="43" s="1"/>
  <c r="Z15" i="43"/>
  <c r="AB15" i="43" s="1"/>
  <c r="AO15" i="43" s="1"/>
  <c r="Z31" i="43"/>
  <c r="AB31" i="43" s="1"/>
  <c r="AO31" i="43" s="1"/>
  <c r="AA31" i="43"/>
  <c r="AC31" i="43" s="1"/>
  <c r="AP31" i="43" s="1"/>
  <c r="AA34" i="43"/>
  <c r="AC34" i="43" s="1"/>
  <c r="AP34" i="43" s="1"/>
  <c r="Z34" i="43"/>
  <c r="AB34" i="43" s="1"/>
  <c r="AO34" i="43" s="1"/>
  <c r="Z39" i="43"/>
  <c r="AB39" i="43" s="1"/>
  <c r="AO39" i="43" s="1"/>
  <c r="AA39" i="43"/>
  <c r="AC39" i="43" s="1"/>
  <c r="AP39" i="43" s="1"/>
  <c r="AA22" i="43"/>
  <c r="AC22" i="43" s="1"/>
  <c r="AP22" i="43" s="1"/>
  <c r="Z22" i="43"/>
  <c r="AB22" i="43" s="1"/>
  <c r="AO22" i="43" s="1"/>
  <c r="AN13" i="40"/>
  <c r="AN19" i="40"/>
  <c r="H7" i="67"/>
  <c r="K10" i="2"/>
  <c r="K21" i="2" s="1"/>
  <c r="AJ18" i="40"/>
  <c r="Z26" i="40"/>
  <c r="AB26" i="40" s="1"/>
  <c r="AO26" i="40" s="1"/>
  <c r="AA26" i="40"/>
  <c r="AC26" i="40" s="1"/>
  <c r="AP26" i="40" s="1"/>
  <c r="Z27" i="40"/>
  <c r="AB27" i="40" s="1"/>
  <c r="AO27" i="40" s="1"/>
  <c r="AA27" i="40"/>
  <c r="AC27" i="40" s="1"/>
  <c r="AP27" i="40" s="1"/>
  <c r="Z28" i="40"/>
  <c r="AB28" i="40" s="1"/>
  <c r="AO28" i="40" s="1"/>
  <c r="AA28" i="40"/>
  <c r="AC28" i="40" s="1"/>
  <c r="AP28" i="40" s="1"/>
  <c r="Z25" i="40"/>
  <c r="AB25" i="40" s="1"/>
  <c r="AO25" i="40" s="1"/>
  <c r="AA25" i="40"/>
  <c r="AC25" i="40" s="1"/>
  <c r="AP25" i="40" s="1"/>
  <c r="AJ16" i="40"/>
  <c r="AJ22" i="40"/>
  <c r="AN16" i="40"/>
  <c r="A16" i="40"/>
  <c r="AJ15" i="40"/>
  <c r="AJ19" i="40"/>
  <c r="AN24" i="40"/>
  <c r="S9" i="67"/>
  <c r="AN12" i="40"/>
  <c r="T9" i="67"/>
  <c r="AN28" i="39"/>
  <c r="A16" i="39"/>
  <c r="AN16" i="39"/>
  <c r="S8" i="67"/>
  <c r="AN10" i="39"/>
  <c r="AN129" i="32"/>
  <c r="AN26" i="24"/>
  <c r="AN38" i="12"/>
  <c r="AN57" i="22"/>
  <c r="AN68" i="20"/>
  <c r="AN24" i="13"/>
  <c r="AN65" i="20"/>
  <c r="N66" i="68"/>
  <c r="H7" i="68"/>
  <c r="N53" i="68"/>
  <c r="AN49" i="5"/>
  <c r="AN41" i="12"/>
  <c r="AN36" i="12"/>
  <c r="AN20" i="21"/>
  <c r="T39" i="68"/>
  <c r="E35" i="2" s="1"/>
  <c r="AN19" i="3"/>
  <c r="T26" i="68"/>
  <c r="AN141" i="32"/>
  <c r="AN126" i="15"/>
  <c r="AN125" i="15"/>
  <c r="AN16" i="21"/>
  <c r="AN129" i="15"/>
  <c r="AN72" i="29"/>
  <c r="AP190" i="65"/>
  <c r="AN52" i="31"/>
  <c r="AN52" i="5"/>
  <c r="AN23" i="14"/>
  <c r="A24" i="50"/>
  <c r="T10" i="68"/>
  <c r="AN38" i="5"/>
  <c r="AN47" i="12"/>
  <c r="AN214" i="15"/>
  <c r="AN66" i="22"/>
  <c r="AN97" i="32"/>
  <c r="AN172" i="32"/>
  <c r="AN140" i="32"/>
  <c r="AN20" i="19"/>
  <c r="AN131" i="32"/>
  <c r="T11" i="68"/>
  <c r="E12" i="2" s="1"/>
  <c r="AN51" i="5"/>
  <c r="AN16" i="6"/>
  <c r="AN16" i="70"/>
  <c r="AN58" i="29"/>
  <c r="AN136" i="32"/>
  <c r="AN6" i="37"/>
  <c r="T45" i="68"/>
  <c r="AJ6" i="37"/>
  <c r="AJ136" i="32"/>
  <c r="S39" i="68"/>
  <c r="AL169" i="32"/>
  <c r="AJ127" i="32"/>
  <c r="AJ158" i="32"/>
  <c r="AJ130" i="32"/>
  <c r="AL130" i="32"/>
  <c r="AL161" i="32"/>
  <c r="AJ161" i="32"/>
  <c r="AJ171" i="32"/>
  <c r="AJ126" i="32"/>
  <c r="AN163" i="32"/>
  <c r="AJ116" i="32"/>
  <c r="AJ115" i="32"/>
  <c r="AJ138" i="32"/>
  <c r="AJ103" i="32"/>
  <c r="AL150" i="32"/>
  <c r="AJ150" i="32"/>
  <c r="AN120" i="32"/>
  <c r="AJ93" i="32"/>
  <c r="AL106" i="32"/>
  <c r="AJ106" i="32"/>
  <c r="AJ170" i="32"/>
  <c r="AJ104" i="32"/>
  <c r="AJ160" i="32"/>
  <c r="AJ105" i="32"/>
  <c r="AJ128" i="32"/>
  <c r="AN96" i="32"/>
  <c r="AJ148" i="32"/>
  <c r="AN130" i="32"/>
  <c r="AN118" i="32"/>
  <c r="AJ159" i="32"/>
  <c r="AJ91" i="32"/>
  <c r="AJ92" i="32"/>
  <c r="AJ139" i="32"/>
  <c r="AJ137" i="32"/>
  <c r="AJ117" i="32"/>
  <c r="AL94" i="32"/>
  <c r="AJ94" i="32"/>
  <c r="AN153" i="32"/>
  <c r="AN162" i="32"/>
  <c r="AJ149" i="32"/>
  <c r="AN119" i="32"/>
  <c r="AA204" i="32"/>
  <c r="AC204" i="32" s="1"/>
  <c r="AP204" i="32" s="1"/>
  <c r="Z204" i="32"/>
  <c r="AB204" i="32" s="1"/>
  <c r="AO204" i="32" s="1"/>
  <c r="AA181" i="32"/>
  <c r="AC181" i="32" s="1"/>
  <c r="AP181" i="32" s="1"/>
  <c r="Z181" i="32"/>
  <c r="AB181" i="32" s="1"/>
  <c r="AO181" i="32" s="1"/>
  <c r="Z200" i="32"/>
  <c r="AB200" i="32" s="1"/>
  <c r="AO200" i="32" s="1"/>
  <c r="AA200" i="32"/>
  <c r="AC200" i="32" s="1"/>
  <c r="AP200" i="32" s="1"/>
  <c r="AA192" i="32"/>
  <c r="AC192" i="32" s="1"/>
  <c r="AP192" i="32" s="1"/>
  <c r="Z192" i="32"/>
  <c r="AB192" i="32" s="1"/>
  <c r="AO192" i="32" s="1"/>
  <c r="Z211" i="32"/>
  <c r="AB211" i="32" s="1"/>
  <c r="AO211" i="32" s="1"/>
  <c r="AA211" i="32"/>
  <c r="AC211" i="32" s="1"/>
  <c r="AP211" i="32" s="1"/>
  <c r="Z188" i="32"/>
  <c r="AB188" i="32" s="1"/>
  <c r="AO188" i="32" s="1"/>
  <c r="AA188" i="32"/>
  <c r="AC188" i="32" s="1"/>
  <c r="AP188" i="32" s="1"/>
  <c r="Z190" i="32"/>
  <c r="AB190" i="32" s="1"/>
  <c r="AO190" i="32" s="1"/>
  <c r="AA190" i="32"/>
  <c r="AC190" i="32" s="1"/>
  <c r="AP190" i="32" s="1"/>
  <c r="Z197" i="32"/>
  <c r="AB197" i="32" s="1"/>
  <c r="AO197" i="32" s="1"/>
  <c r="AA197" i="32"/>
  <c r="AC197" i="32" s="1"/>
  <c r="AP197" i="32" s="1"/>
  <c r="Z178" i="32"/>
  <c r="AB178" i="32" s="1"/>
  <c r="AO178" i="32" s="1"/>
  <c r="AA178" i="32"/>
  <c r="AC178" i="32" s="1"/>
  <c r="AP178" i="32" s="1"/>
  <c r="Z206" i="32"/>
  <c r="AB206" i="32" s="1"/>
  <c r="AO206" i="32" s="1"/>
  <c r="AA206" i="32"/>
  <c r="AC206" i="32" s="1"/>
  <c r="AP206" i="32" s="1"/>
  <c r="Z183" i="32"/>
  <c r="AB183" i="32" s="1"/>
  <c r="AO183" i="32" s="1"/>
  <c r="AA183" i="32"/>
  <c r="AC183" i="32" s="1"/>
  <c r="AP183" i="32" s="1"/>
  <c r="Z185" i="32"/>
  <c r="AB185" i="32" s="1"/>
  <c r="AO185" i="32" s="1"/>
  <c r="AA185" i="32"/>
  <c r="AC185" i="32" s="1"/>
  <c r="AP185" i="32" s="1"/>
  <c r="AA180" i="32"/>
  <c r="AC180" i="32" s="1"/>
  <c r="AP180" i="32" s="1"/>
  <c r="Z180" i="32"/>
  <c r="AB180" i="32" s="1"/>
  <c r="AO180" i="32" s="1"/>
  <c r="Z199" i="32"/>
  <c r="AB199" i="32" s="1"/>
  <c r="AO199" i="32" s="1"/>
  <c r="AA199" i="32"/>
  <c r="AC199" i="32" s="1"/>
  <c r="AP199" i="32" s="1"/>
  <c r="Z176" i="32"/>
  <c r="AB176" i="32" s="1"/>
  <c r="AO176" i="32" s="1"/>
  <c r="AA176" i="32"/>
  <c r="AC176" i="32" s="1"/>
  <c r="AP176" i="32" s="1"/>
  <c r="Z203" i="32"/>
  <c r="AB203" i="32" s="1"/>
  <c r="AO203" i="32" s="1"/>
  <c r="AA203" i="32"/>
  <c r="AC203" i="32" s="1"/>
  <c r="AP203" i="32" s="1"/>
  <c r="Z194" i="32"/>
  <c r="AB194" i="32" s="1"/>
  <c r="AO194" i="32" s="1"/>
  <c r="AA194" i="32"/>
  <c r="AC194" i="32" s="1"/>
  <c r="AP194" i="32" s="1"/>
  <c r="Z208" i="32"/>
  <c r="AB208" i="32" s="1"/>
  <c r="AO208" i="32" s="1"/>
  <c r="AA208" i="32"/>
  <c r="AC208" i="32" s="1"/>
  <c r="AP208" i="32" s="1"/>
  <c r="Z173" i="32"/>
  <c r="AB173" i="32" s="1"/>
  <c r="AO173" i="32" s="1"/>
  <c r="AA173" i="32"/>
  <c r="AC173" i="32" s="1"/>
  <c r="AP173" i="32" s="1"/>
  <c r="Z189" i="32"/>
  <c r="AB189" i="32" s="1"/>
  <c r="AO189" i="32" s="1"/>
  <c r="AA189" i="32"/>
  <c r="AC189" i="32" s="1"/>
  <c r="AP189" i="32" s="1"/>
  <c r="Z187" i="32"/>
  <c r="AB187" i="32" s="1"/>
  <c r="AO187" i="32" s="1"/>
  <c r="AA187" i="32"/>
  <c r="AC187" i="32" s="1"/>
  <c r="AP187" i="32" s="1"/>
  <c r="Z191" i="32"/>
  <c r="AB191" i="32" s="1"/>
  <c r="AO191" i="32" s="1"/>
  <c r="AA191" i="32"/>
  <c r="AC191" i="32" s="1"/>
  <c r="AP191" i="32" s="1"/>
  <c r="Z182" i="32"/>
  <c r="AB182" i="32" s="1"/>
  <c r="AO182" i="32" s="1"/>
  <c r="AA182" i="32"/>
  <c r="AC182" i="32" s="1"/>
  <c r="AP182" i="32" s="1"/>
  <c r="Z196" i="32"/>
  <c r="AB196" i="32" s="1"/>
  <c r="AO196" i="32" s="1"/>
  <c r="AA196" i="32"/>
  <c r="AC196" i="32" s="1"/>
  <c r="AP196" i="32" s="1"/>
  <c r="Z210" i="32"/>
  <c r="AB210" i="32" s="1"/>
  <c r="AO210" i="32" s="1"/>
  <c r="AA210" i="32"/>
  <c r="AC210" i="32" s="1"/>
  <c r="AP210" i="32" s="1"/>
  <c r="AA205" i="32"/>
  <c r="AC205" i="32" s="1"/>
  <c r="AP205" i="32" s="1"/>
  <c r="Z205" i="32"/>
  <c r="AB205" i="32" s="1"/>
  <c r="AO205" i="32" s="1"/>
  <c r="Z175" i="32"/>
  <c r="AB175" i="32" s="1"/>
  <c r="AO175" i="32" s="1"/>
  <c r="AA175" i="32"/>
  <c r="AC175" i="32" s="1"/>
  <c r="AP175" i="32" s="1"/>
  <c r="Z195" i="32"/>
  <c r="AB195" i="32" s="1"/>
  <c r="AO195" i="32" s="1"/>
  <c r="AA195" i="32"/>
  <c r="AC195" i="32" s="1"/>
  <c r="AP195" i="32" s="1"/>
  <c r="Z174" i="32"/>
  <c r="AB174" i="32" s="1"/>
  <c r="AO174" i="32" s="1"/>
  <c r="AA174" i="32"/>
  <c r="AC174" i="32" s="1"/>
  <c r="AP174" i="32" s="1"/>
  <c r="Z179" i="32"/>
  <c r="AB179" i="32" s="1"/>
  <c r="AO179" i="32" s="1"/>
  <c r="AA179" i="32"/>
  <c r="AC179" i="32" s="1"/>
  <c r="AP179" i="32" s="1"/>
  <c r="Z184" i="32"/>
  <c r="AB184" i="32" s="1"/>
  <c r="AO184" i="32" s="1"/>
  <c r="AA184" i="32"/>
  <c r="AC184" i="32" s="1"/>
  <c r="AP184" i="32" s="1"/>
  <c r="Z198" i="32"/>
  <c r="AB198" i="32" s="1"/>
  <c r="AO198" i="32" s="1"/>
  <c r="AA198" i="32"/>
  <c r="AC198" i="32" s="1"/>
  <c r="AP198" i="32" s="1"/>
  <c r="AA193" i="32"/>
  <c r="AC193" i="32" s="1"/>
  <c r="AP193" i="32" s="1"/>
  <c r="Z193" i="32"/>
  <c r="AB193" i="32" s="1"/>
  <c r="AO193" i="32" s="1"/>
  <c r="Z177" i="32"/>
  <c r="AB177" i="32" s="1"/>
  <c r="AO177" i="32" s="1"/>
  <c r="AA177" i="32"/>
  <c r="AC177" i="32" s="1"/>
  <c r="AP177" i="32" s="1"/>
  <c r="Z212" i="32"/>
  <c r="AB212" i="32" s="1"/>
  <c r="AO212" i="32" s="1"/>
  <c r="AA212" i="32"/>
  <c r="AC212" i="32" s="1"/>
  <c r="AP212" i="32" s="1"/>
  <c r="Z202" i="32"/>
  <c r="AB202" i="32" s="1"/>
  <c r="AO202" i="32" s="1"/>
  <c r="AA202" i="32"/>
  <c r="AC202" i="32" s="1"/>
  <c r="AP202" i="32" s="1"/>
  <c r="Z201" i="32"/>
  <c r="AB201" i="32" s="1"/>
  <c r="AO201" i="32" s="1"/>
  <c r="AA201" i="32"/>
  <c r="AC201" i="32" s="1"/>
  <c r="AP201" i="32" s="1"/>
  <c r="Z207" i="32"/>
  <c r="AB207" i="32" s="1"/>
  <c r="AO207" i="32" s="1"/>
  <c r="AA207" i="32"/>
  <c r="AC207" i="32" s="1"/>
  <c r="AP207" i="32" s="1"/>
  <c r="Z209" i="32"/>
  <c r="AB209" i="32" s="1"/>
  <c r="AO209" i="32" s="1"/>
  <c r="AA209" i="32"/>
  <c r="AC209" i="32" s="1"/>
  <c r="AP209" i="32" s="1"/>
  <c r="Z186" i="32"/>
  <c r="AB186" i="32" s="1"/>
  <c r="AO186" i="32" s="1"/>
  <c r="AA186" i="32"/>
  <c r="AC186" i="32" s="1"/>
  <c r="AP186" i="32" s="1"/>
  <c r="A16" i="32"/>
  <c r="AJ51" i="31"/>
  <c r="AN32" i="31"/>
  <c r="AN42" i="31"/>
  <c r="AN40" i="31"/>
  <c r="AN41" i="31"/>
  <c r="AL55" i="31"/>
  <c r="AJ55" i="31"/>
  <c r="AN56" i="31"/>
  <c r="AN29" i="31"/>
  <c r="T38" i="68"/>
  <c r="E34" i="2" s="1"/>
  <c r="AN44" i="31"/>
  <c r="Z70" i="31"/>
  <c r="AB70" i="31" s="1"/>
  <c r="AO70" i="31" s="1"/>
  <c r="AA70" i="31"/>
  <c r="AC70" i="31" s="1"/>
  <c r="AP70" i="31" s="1"/>
  <c r="A16" i="31"/>
  <c r="Z73" i="31"/>
  <c r="AB73" i="31" s="1"/>
  <c r="AO73" i="31" s="1"/>
  <c r="AA81" i="31"/>
  <c r="AC81" i="31" s="1"/>
  <c r="AP81" i="31" s="1"/>
  <c r="T37" i="68"/>
  <c r="E33" i="2" s="1"/>
  <c r="S37" i="68"/>
  <c r="AN20" i="30"/>
  <c r="AN21" i="30"/>
  <c r="A16" i="30"/>
  <c r="Z25" i="30"/>
  <c r="AB25" i="30" s="1"/>
  <c r="AO25" i="30" s="1"/>
  <c r="AA25" i="30"/>
  <c r="AC25" i="30" s="1"/>
  <c r="AP25" i="30" s="1"/>
  <c r="Z26" i="30"/>
  <c r="AB26" i="30" s="1"/>
  <c r="AO26" i="30" s="1"/>
  <c r="AA26" i="30"/>
  <c r="AC26" i="30" s="1"/>
  <c r="AP26" i="30" s="1"/>
  <c r="A16" i="29"/>
  <c r="AN69" i="29"/>
  <c r="AL68" i="29"/>
  <c r="AN70" i="29"/>
  <c r="AL52" i="29"/>
  <c r="T36" i="68"/>
  <c r="E32" i="2" s="1"/>
  <c r="AJ64" i="29"/>
  <c r="AJ54" i="29"/>
  <c r="AJ53" i="29"/>
  <c r="S36" i="68"/>
  <c r="AJ77" i="29"/>
  <c r="AN81" i="29"/>
  <c r="AN82" i="29"/>
  <c r="Z23" i="29"/>
  <c r="AB23" i="29" s="1"/>
  <c r="AO23" i="29" s="1"/>
  <c r="AA23" i="29"/>
  <c r="AC23" i="29" s="1"/>
  <c r="AP23" i="29" s="1"/>
  <c r="Z89" i="29"/>
  <c r="AB89" i="29" s="1"/>
  <c r="AO89" i="29" s="1"/>
  <c r="AA89" i="29"/>
  <c r="AC89" i="29" s="1"/>
  <c r="AP89" i="29" s="1"/>
  <c r="Z99" i="29"/>
  <c r="AB99" i="29" s="1"/>
  <c r="AO99" i="29" s="1"/>
  <c r="AA99" i="29"/>
  <c r="AC99" i="29" s="1"/>
  <c r="AP99" i="29" s="1"/>
  <c r="Z96" i="29"/>
  <c r="AB96" i="29" s="1"/>
  <c r="AO96" i="29" s="1"/>
  <c r="AA96" i="29"/>
  <c r="AC96" i="29" s="1"/>
  <c r="AP96" i="29" s="1"/>
  <c r="Z90" i="29"/>
  <c r="AB90" i="29" s="1"/>
  <c r="AO90" i="29" s="1"/>
  <c r="AA90" i="29"/>
  <c r="AC90" i="29" s="1"/>
  <c r="AP90" i="29" s="1"/>
  <c r="Z87" i="29"/>
  <c r="AB87" i="29" s="1"/>
  <c r="AO87" i="29" s="1"/>
  <c r="AA87" i="29"/>
  <c r="AC87" i="29" s="1"/>
  <c r="AP87" i="29" s="1"/>
  <c r="Z84" i="29"/>
  <c r="AB84" i="29" s="1"/>
  <c r="AO84" i="29" s="1"/>
  <c r="AA84" i="29"/>
  <c r="AC84" i="29" s="1"/>
  <c r="AP84" i="29" s="1"/>
  <c r="AA91" i="29"/>
  <c r="AC91" i="29" s="1"/>
  <c r="AP91" i="29" s="1"/>
  <c r="Z91" i="29"/>
  <c r="AB91" i="29" s="1"/>
  <c r="AO91" i="29" s="1"/>
  <c r="Z92" i="29"/>
  <c r="AB92" i="29" s="1"/>
  <c r="AO92" i="29" s="1"/>
  <c r="AA92" i="29"/>
  <c r="AC92" i="29" s="1"/>
  <c r="AP92" i="29" s="1"/>
  <c r="Z97" i="29"/>
  <c r="AB97" i="29" s="1"/>
  <c r="AO97" i="29" s="1"/>
  <c r="AA97" i="29"/>
  <c r="AC97" i="29" s="1"/>
  <c r="AP97" i="29" s="1"/>
  <c r="Z100" i="29"/>
  <c r="AB100" i="29" s="1"/>
  <c r="AO100" i="29" s="1"/>
  <c r="AA100" i="29"/>
  <c r="AC100" i="29" s="1"/>
  <c r="AP100" i="29" s="1"/>
  <c r="AA95" i="29"/>
  <c r="AC95" i="29" s="1"/>
  <c r="AP95" i="29" s="1"/>
  <c r="Z95" i="29"/>
  <c r="AB95" i="29" s="1"/>
  <c r="AO95" i="29" s="1"/>
  <c r="Z93" i="29"/>
  <c r="AB93" i="29" s="1"/>
  <c r="AO93" i="29" s="1"/>
  <c r="AA93" i="29"/>
  <c r="AC93" i="29" s="1"/>
  <c r="AP93" i="29" s="1"/>
  <c r="Z85" i="29"/>
  <c r="AB85" i="29" s="1"/>
  <c r="AO85" i="29" s="1"/>
  <c r="AA85" i="29"/>
  <c r="AC85" i="29" s="1"/>
  <c r="AP85" i="29" s="1"/>
  <c r="Z88" i="29"/>
  <c r="AB88" i="29" s="1"/>
  <c r="AO88" i="29" s="1"/>
  <c r="AA88" i="29"/>
  <c r="AC88" i="29" s="1"/>
  <c r="AP88" i="29" s="1"/>
  <c r="Z98" i="29"/>
  <c r="AB98" i="29" s="1"/>
  <c r="AO98" i="29" s="1"/>
  <c r="AA98" i="29"/>
  <c r="AC98" i="29" s="1"/>
  <c r="AP98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86" i="29"/>
  <c r="AB86" i="29" s="1"/>
  <c r="AO86" i="29" s="1"/>
  <c r="AA86" i="29"/>
  <c r="AC86" i="29" s="1"/>
  <c r="AP86" i="29" s="1"/>
  <c r="AN37" i="28"/>
  <c r="S35" i="68"/>
  <c r="AN35" i="28"/>
  <c r="AN44" i="28"/>
  <c r="AJ48" i="28"/>
  <c r="AN36" i="28"/>
  <c r="AN41" i="28"/>
  <c r="AJ46" i="28"/>
  <c r="AJ39" i="28"/>
  <c r="AJ38" i="28"/>
  <c r="C37" i="2"/>
  <c r="C51" i="2" s="1"/>
  <c r="Z17" i="28"/>
  <c r="AB17" i="28" s="1"/>
  <c r="AO17" i="28" s="1"/>
  <c r="AA17" i="28"/>
  <c r="AC17" i="28" s="1"/>
  <c r="AP17" i="28" s="1"/>
  <c r="AA56" i="28"/>
  <c r="AC56" i="28" s="1"/>
  <c r="AP56" i="28" s="1"/>
  <c r="Z56" i="28"/>
  <c r="AB56" i="28" s="1"/>
  <c r="AO56" i="28" s="1"/>
  <c r="Z49" i="28"/>
  <c r="AB49" i="28" s="1"/>
  <c r="AO49" i="28" s="1"/>
  <c r="AA49" i="28"/>
  <c r="AC49" i="28" s="1"/>
  <c r="AP49" i="28" s="1"/>
  <c r="Z62" i="28"/>
  <c r="AB62" i="28" s="1"/>
  <c r="AO62" i="28" s="1"/>
  <c r="AA62" i="28"/>
  <c r="AC62" i="28" s="1"/>
  <c r="AP62" i="28" s="1"/>
  <c r="A16" i="28"/>
  <c r="AA57" i="28"/>
  <c r="AC57" i="28" s="1"/>
  <c r="AP57" i="28" s="1"/>
  <c r="Z57" i="28"/>
  <c r="AB57" i="28" s="1"/>
  <c r="AO57" i="28" s="1"/>
  <c r="Z61" i="28"/>
  <c r="AB61" i="28" s="1"/>
  <c r="AO61" i="28" s="1"/>
  <c r="AA61" i="28"/>
  <c r="AC61" i="28" s="1"/>
  <c r="AP61" i="28" s="1"/>
  <c r="Z50" i="28"/>
  <c r="AB50" i="28" s="1"/>
  <c r="AO50" i="28" s="1"/>
  <c r="AA50" i="28"/>
  <c r="AC50" i="28" s="1"/>
  <c r="AP50" i="28" s="1"/>
  <c r="Z58" i="28"/>
  <c r="AB58" i="28" s="1"/>
  <c r="AO58" i="28" s="1"/>
  <c r="AA58" i="28"/>
  <c r="AC58" i="28" s="1"/>
  <c r="AP58" i="28" s="1"/>
  <c r="Z53" i="28"/>
  <c r="AB53" i="28" s="1"/>
  <c r="AO53" i="28" s="1"/>
  <c r="AA53" i="28"/>
  <c r="AC53" i="28" s="1"/>
  <c r="AP53" i="28" s="1"/>
  <c r="Z59" i="28"/>
  <c r="AB59" i="28" s="1"/>
  <c r="AO59" i="28" s="1"/>
  <c r="AA59" i="28"/>
  <c r="AC59" i="28" s="1"/>
  <c r="AP59" i="28" s="1"/>
  <c r="Z51" i="28"/>
  <c r="AB51" i="28" s="1"/>
  <c r="AO51" i="28" s="1"/>
  <c r="AA51" i="28"/>
  <c r="AC51" i="28" s="1"/>
  <c r="AP51" i="28" s="1"/>
  <c r="Z54" i="28"/>
  <c r="AB54" i="28" s="1"/>
  <c r="AO54" i="28" s="1"/>
  <c r="AA54" i="28"/>
  <c r="AC54" i="28" s="1"/>
  <c r="AP54" i="28" s="1"/>
  <c r="Z60" i="28"/>
  <c r="AB60" i="28" s="1"/>
  <c r="AO60" i="28" s="1"/>
  <c r="AA60" i="28"/>
  <c r="AC60" i="28" s="1"/>
  <c r="AP60" i="28" s="1"/>
  <c r="Z55" i="28"/>
  <c r="AB55" i="28" s="1"/>
  <c r="AO55" i="28" s="1"/>
  <c r="AA55" i="28"/>
  <c r="AC55" i="28" s="1"/>
  <c r="AP55" i="28" s="1"/>
  <c r="Z52" i="28"/>
  <c r="AB52" i="28" s="1"/>
  <c r="AO52" i="28" s="1"/>
  <c r="AA52" i="28"/>
  <c r="AC52" i="28" s="1"/>
  <c r="AP52" i="28" s="1"/>
  <c r="AA17" i="27"/>
  <c r="AC17" i="27" s="1"/>
  <c r="AP17" i="27" s="1"/>
  <c r="Z17" i="27"/>
  <c r="AB17" i="27" s="1"/>
  <c r="AO17" i="27" s="1"/>
  <c r="T33" i="68"/>
  <c r="E30" i="2" s="1"/>
  <c r="AN15" i="27"/>
  <c r="AN14" i="27"/>
  <c r="AJ15" i="27"/>
  <c r="S32" i="68"/>
  <c r="AN15" i="26"/>
  <c r="AN14" i="26"/>
  <c r="T32" i="68"/>
  <c r="E29" i="2" s="1"/>
  <c r="AJ15" i="26"/>
  <c r="AN27" i="24"/>
  <c r="Z34" i="24"/>
  <c r="AB34" i="24" s="1"/>
  <c r="AO34" i="24" s="1"/>
  <c r="AA34" i="24"/>
  <c r="AC34" i="24" s="1"/>
  <c r="AP34" i="24" s="1"/>
  <c r="AA48" i="24"/>
  <c r="AC48" i="24" s="1"/>
  <c r="AP48" i="24" s="1"/>
  <c r="Z48" i="24"/>
  <c r="AB48" i="24" s="1"/>
  <c r="AO48" i="24" s="1"/>
  <c r="Z64" i="24"/>
  <c r="AB64" i="24" s="1"/>
  <c r="AO64" i="24" s="1"/>
  <c r="AA64" i="24"/>
  <c r="AC64" i="24" s="1"/>
  <c r="AP64" i="24" s="1"/>
  <c r="Z31" i="24"/>
  <c r="AB31" i="24" s="1"/>
  <c r="AO31" i="24" s="1"/>
  <c r="AA31" i="24"/>
  <c r="AC31" i="24" s="1"/>
  <c r="AP31" i="24" s="1"/>
  <c r="Z50" i="24"/>
  <c r="AB50" i="24" s="1"/>
  <c r="AO50" i="24" s="1"/>
  <c r="AA50" i="24"/>
  <c r="AC50" i="24" s="1"/>
  <c r="AP50" i="24" s="1"/>
  <c r="Z54" i="24"/>
  <c r="AB54" i="24" s="1"/>
  <c r="AO54" i="24" s="1"/>
  <c r="AA54" i="24"/>
  <c r="AC54" i="24" s="1"/>
  <c r="AP54" i="24" s="1"/>
  <c r="Z62" i="24"/>
  <c r="AB62" i="24" s="1"/>
  <c r="AO62" i="24" s="1"/>
  <c r="AA62" i="24"/>
  <c r="AC62" i="24" s="1"/>
  <c r="AP62" i="24" s="1"/>
  <c r="AA36" i="24"/>
  <c r="AC36" i="24" s="1"/>
  <c r="AP36" i="24" s="1"/>
  <c r="Z36" i="24"/>
  <c r="AB36" i="24" s="1"/>
  <c r="AO36" i="24" s="1"/>
  <c r="Z52" i="24"/>
  <c r="AB52" i="24" s="1"/>
  <c r="AO52" i="24" s="1"/>
  <c r="AA52" i="24"/>
  <c r="AC52" i="24" s="1"/>
  <c r="AP52" i="24" s="1"/>
  <c r="Z56" i="24"/>
  <c r="AB56" i="24" s="1"/>
  <c r="AO56" i="24" s="1"/>
  <c r="AA56" i="24"/>
  <c r="AC56" i="24" s="1"/>
  <c r="AP56" i="24" s="1"/>
  <c r="A16" i="24"/>
  <c r="Z59" i="24"/>
  <c r="AB59" i="24" s="1"/>
  <c r="AO59" i="24" s="1"/>
  <c r="AA59" i="24"/>
  <c r="AC59" i="24" s="1"/>
  <c r="AP59" i="24" s="1"/>
  <c r="Z38" i="24"/>
  <c r="AB38" i="24" s="1"/>
  <c r="AO38" i="24" s="1"/>
  <c r="AA38" i="24"/>
  <c r="AC38" i="24" s="1"/>
  <c r="AP38" i="24" s="1"/>
  <c r="Z42" i="24"/>
  <c r="AB42" i="24" s="1"/>
  <c r="AO42" i="24" s="1"/>
  <c r="AA42" i="24"/>
  <c r="AC42" i="24" s="1"/>
  <c r="AP42" i="24" s="1"/>
  <c r="Z40" i="24"/>
  <c r="AB40" i="24" s="1"/>
  <c r="AO40" i="24" s="1"/>
  <c r="AA40" i="24"/>
  <c r="AC40" i="24" s="1"/>
  <c r="AP40" i="24" s="1"/>
  <c r="Z44" i="24"/>
  <c r="AB44" i="24" s="1"/>
  <c r="AO44" i="24" s="1"/>
  <c r="AA44" i="24"/>
  <c r="AC44" i="24" s="1"/>
  <c r="AP44" i="24" s="1"/>
  <c r="Z47" i="24"/>
  <c r="AB47" i="24" s="1"/>
  <c r="AO47" i="24" s="1"/>
  <c r="AA47" i="24"/>
  <c r="AC47" i="24" s="1"/>
  <c r="AP47" i="24" s="1"/>
  <c r="AA61" i="24"/>
  <c r="AC61" i="24" s="1"/>
  <c r="AP61" i="24" s="1"/>
  <c r="Z61" i="24"/>
  <c r="AB61" i="24" s="1"/>
  <c r="AO61" i="24" s="1"/>
  <c r="Z33" i="24"/>
  <c r="AB33" i="24" s="1"/>
  <c r="AO33" i="24" s="1"/>
  <c r="AA33" i="24"/>
  <c r="AC33" i="24" s="1"/>
  <c r="AP33" i="24" s="1"/>
  <c r="Z30" i="24"/>
  <c r="AB30" i="24" s="1"/>
  <c r="AO30" i="24" s="1"/>
  <c r="AA30" i="24"/>
  <c r="AC30" i="24" s="1"/>
  <c r="AP30" i="24" s="1"/>
  <c r="Z63" i="24"/>
  <c r="AB63" i="24" s="1"/>
  <c r="AO63" i="24" s="1"/>
  <c r="AA63" i="24"/>
  <c r="AC63" i="24" s="1"/>
  <c r="AP63" i="24" s="1"/>
  <c r="Z32" i="24"/>
  <c r="AB32" i="24" s="1"/>
  <c r="AO32" i="24" s="1"/>
  <c r="AA32" i="24"/>
  <c r="AC32" i="24" s="1"/>
  <c r="AP32" i="24" s="1"/>
  <c r="Z29" i="24"/>
  <c r="AB29" i="24" s="1"/>
  <c r="AO29" i="24" s="1"/>
  <c r="AA29" i="24"/>
  <c r="AC29" i="24" s="1"/>
  <c r="AP29" i="24" s="1"/>
  <c r="Z35" i="24"/>
  <c r="AB35" i="24" s="1"/>
  <c r="AO35" i="24" s="1"/>
  <c r="AA35" i="24"/>
  <c r="AC35" i="24" s="1"/>
  <c r="AP35" i="24" s="1"/>
  <c r="AA49" i="24"/>
  <c r="AC49" i="24" s="1"/>
  <c r="AP49" i="24" s="1"/>
  <c r="Z49" i="24"/>
  <c r="AB49" i="24" s="1"/>
  <c r="AO49" i="24" s="1"/>
  <c r="Z53" i="24"/>
  <c r="AB53" i="24" s="1"/>
  <c r="AO53" i="24" s="1"/>
  <c r="AA53" i="24"/>
  <c r="AC53" i="24" s="1"/>
  <c r="AP53" i="24" s="1"/>
  <c r="Z45" i="24"/>
  <c r="AB45" i="24" s="1"/>
  <c r="AO45" i="24" s="1"/>
  <c r="AA45" i="24"/>
  <c r="AC45" i="24" s="1"/>
  <c r="AP45" i="24" s="1"/>
  <c r="Z58" i="24"/>
  <c r="AB58" i="24" s="1"/>
  <c r="AO58" i="24" s="1"/>
  <c r="AA58" i="24"/>
  <c r="AC58" i="24" s="1"/>
  <c r="AP58" i="24" s="1"/>
  <c r="Z51" i="24"/>
  <c r="AB51" i="24" s="1"/>
  <c r="AO51" i="24" s="1"/>
  <c r="AA51" i="24"/>
  <c r="AC51" i="24" s="1"/>
  <c r="AP51" i="24" s="1"/>
  <c r="Z55" i="24"/>
  <c r="AB55" i="24" s="1"/>
  <c r="AO55" i="24" s="1"/>
  <c r="AA55" i="24"/>
  <c r="AC55" i="24" s="1"/>
  <c r="AP55" i="24" s="1"/>
  <c r="Z57" i="24"/>
  <c r="AB57" i="24" s="1"/>
  <c r="AO57" i="24" s="1"/>
  <c r="AA57" i="24"/>
  <c r="AC57" i="24" s="1"/>
  <c r="AP57" i="24" s="1"/>
  <c r="AA37" i="24"/>
  <c r="AC37" i="24" s="1"/>
  <c r="AP37" i="24" s="1"/>
  <c r="Z37" i="24"/>
  <c r="AB37" i="24" s="1"/>
  <c r="AO37" i="24" s="1"/>
  <c r="Z41" i="24"/>
  <c r="AB41" i="24" s="1"/>
  <c r="AO41" i="24" s="1"/>
  <c r="AA41" i="24"/>
  <c r="AC41" i="24" s="1"/>
  <c r="AP41" i="24" s="1"/>
  <c r="Z46" i="24"/>
  <c r="AB46" i="24" s="1"/>
  <c r="AO46" i="24" s="1"/>
  <c r="AA46" i="24"/>
  <c r="AC46" i="24" s="1"/>
  <c r="AP46" i="24" s="1"/>
  <c r="AA60" i="24"/>
  <c r="AC60" i="24" s="1"/>
  <c r="AP60" i="24" s="1"/>
  <c r="Z60" i="24"/>
  <c r="AB60" i="24" s="1"/>
  <c r="AO60" i="24" s="1"/>
  <c r="Z39" i="24"/>
  <c r="AB39" i="24" s="1"/>
  <c r="AO39" i="24" s="1"/>
  <c r="AA39" i="24"/>
  <c r="AC39" i="24" s="1"/>
  <c r="AP39" i="24" s="1"/>
  <c r="Z43" i="24"/>
  <c r="AB43" i="24" s="1"/>
  <c r="AO43" i="24" s="1"/>
  <c r="AA43" i="24"/>
  <c r="AC43" i="24" s="1"/>
  <c r="AP43" i="24" s="1"/>
  <c r="T29" i="68"/>
  <c r="E26" i="2" s="1"/>
  <c r="A16" i="23"/>
  <c r="Z25" i="23"/>
  <c r="AB25" i="23" s="1"/>
  <c r="AO25" i="23" s="1"/>
  <c r="AA25" i="23"/>
  <c r="AC25" i="23" s="1"/>
  <c r="AP25" i="23" s="1"/>
  <c r="Z56" i="23"/>
  <c r="AB56" i="23" s="1"/>
  <c r="AO56" i="23" s="1"/>
  <c r="AA56" i="23"/>
  <c r="AC56" i="23" s="1"/>
  <c r="AP56" i="23" s="1"/>
  <c r="Z38" i="23"/>
  <c r="AB38" i="23" s="1"/>
  <c r="AO38" i="23" s="1"/>
  <c r="AA38" i="23"/>
  <c r="AC38" i="23" s="1"/>
  <c r="AP38" i="23" s="1"/>
  <c r="Z53" i="23"/>
  <c r="AB53" i="23" s="1"/>
  <c r="AO53" i="23" s="1"/>
  <c r="AA53" i="23"/>
  <c r="AC53" i="23" s="1"/>
  <c r="AP53" i="23" s="1"/>
  <c r="Z55" i="23"/>
  <c r="AB55" i="23" s="1"/>
  <c r="AO55" i="23" s="1"/>
  <c r="AA55" i="23"/>
  <c r="AC55" i="23" s="1"/>
  <c r="AP55" i="23" s="1"/>
  <c r="AA48" i="23"/>
  <c r="AC48" i="23" s="1"/>
  <c r="AP48" i="23" s="1"/>
  <c r="Z48" i="23"/>
  <c r="AB48" i="23" s="1"/>
  <c r="AO48" i="23" s="1"/>
  <c r="Z33" i="23"/>
  <c r="AB33" i="23" s="1"/>
  <c r="AO33" i="23" s="1"/>
  <c r="AA33" i="23"/>
  <c r="AC33" i="23" s="1"/>
  <c r="AP33" i="23" s="1"/>
  <c r="Z46" i="23"/>
  <c r="AB46" i="23" s="1"/>
  <c r="AO46" i="23" s="1"/>
  <c r="AA46" i="23"/>
  <c r="AC46" i="23" s="1"/>
  <c r="AP46" i="23" s="1"/>
  <c r="Z51" i="23"/>
  <c r="AB51" i="23" s="1"/>
  <c r="AO51" i="23" s="1"/>
  <c r="AA51" i="23"/>
  <c r="AC51" i="23" s="1"/>
  <c r="AP51" i="23" s="1"/>
  <c r="Z41" i="23"/>
  <c r="AB41" i="23" s="1"/>
  <c r="AO41" i="23" s="1"/>
  <c r="AA41" i="23"/>
  <c r="AC41" i="23" s="1"/>
  <c r="AP41" i="23" s="1"/>
  <c r="Z43" i="23"/>
  <c r="AB43" i="23" s="1"/>
  <c r="AO43" i="23" s="1"/>
  <c r="AA43" i="23"/>
  <c r="AC43" i="23" s="1"/>
  <c r="AP43" i="23" s="1"/>
  <c r="AA36" i="23"/>
  <c r="AC36" i="23" s="1"/>
  <c r="AP36" i="23" s="1"/>
  <c r="Z36" i="23"/>
  <c r="AB36" i="23" s="1"/>
  <c r="AO36" i="23" s="1"/>
  <c r="Z28" i="23"/>
  <c r="AB28" i="23" s="1"/>
  <c r="AO28" i="23" s="1"/>
  <c r="AA28" i="23"/>
  <c r="AC28" i="23" s="1"/>
  <c r="AP28" i="23" s="1"/>
  <c r="Z34" i="23"/>
  <c r="AB34" i="23" s="1"/>
  <c r="AO34" i="23" s="1"/>
  <c r="AA34" i="23"/>
  <c r="AC34" i="23" s="1"/>
  <c r="AP34" i="23" s="1"/>
  <c r="Z39" i="23"/>
  <c r="AB39" i="23" s="1"/>
  <c r="AO39" i="23" s="1"/>
  <c r="AA39" i="23"/>
  <c r="AC39" i="23" s="1"/>
  <c r="AP39" i="23" s="1"/>
  <c r="Z29" i="23"/>
  <c r="AB29" i="23" s="1"/>
  <c r="AO29" i="23" s="1"/>
  <c r="AA29" i="23"/>
  <c r="AC29" i="23" s="1"/>
  <c r="AP29" i="23" s="1"/>
  <c r="Z31" i="23"/>
  <c r="AB31" i="23" s="1"/>
  <c r="AO31" i="23" s="1"/>
  <c r="AA31" i="23"/>
  <c r="AC31" i="23" s="1"/>
  <c r="AP31" i="23" s="1"/>
  <c r="Z49" i="23"/>
  <c r="AB49" i="23" s="1"/>
  <c r="AO49" i="23" s="1"/>
  <c r="AA49" i="23"/>
  <c r="AC49" i="23" s="1"/>
  <c r="AP49" i="23" s="1"/>
  <c r="Z54" i="23"/>
  <c r="AB54" i="23" s="1"/>
  <c r="AO54" i="23" s="1"/>
  <c r="AA54" i="23"/>
  <c r="AC54" i="23" s="1"/>
  <c r="AP54" i="23" s="1"/>
  <c r="Z32" i="23"/>
  <c r="AB32" i="23" s="1"/>
  <c r="AO32" i="23" s="1"/>
  <c r="AA32" i="23"/>
  <c r="AC32" i="23" s="1"/>
  <c r="AP32" i="23" s="1"/>
  <c r="Z57" i="23"/>
  <c r="AB57" i="23" s="1"/>
  <c r="AO57" i="23" s="1"/>
  <c r="AA57" i="23"/>
  <c r="AC57" i="23" s="1"/>
  <c r="AP57" i="23" s="1"/>
  <c r="AA47" i="23"/>
  <c r="AC47" i="23" s="1"/>
  <c r="AP47" i="23" s="1"/>
  <c r="Z47" i="23"/>
  <c r="AB47" i="23" s="1"/>
  <c r="AO47" i="23" s="1"/>
  <c r="Z37" i="23"/>
  <c r="AB37" i="23" s="1"/>
  <c r="AO37" i="23" s="1"/>
  <c r="AA37" i="23"/>
  <c r="AC37" i="23" s="1"/>
  <c r="AP37" i="23" s="1"/>
  <c r="Z52" i="23"/>
  <c r="AB52" i="23" s="1"/>
  <c r="AO52" i="23" s="1"/>
  <c r="AA52" i="23"/>
  <c r="AC52" i="23" s="1"/>
  <c r="AP52" i="23" s="1"/>
  <c r="Z42" i="23"/>
  <c r="AB42" i="23" s="1"/>
  <c r="AO42" i="23" s="1"/>
  <c r="AA42" i="23"/>
  <c r="AC42" i="23" s="1"/>
  <c r="AP42" i="23" s="1"/>
  <c r="Z45" i="23"/>
  <c r="AB45" i="23" s="1"/>
  <c r="AO45" i="23" s="1"/>
  <c r="AA45" i="23"/>
  <c r="AC45" i="23" s="1"/>
  <c r="AP45" i="23" s="1"/>
  <c r="AA35" i="23"/>
  <c r="AC35" i="23" s="1"/>
  <c r="AP35" i="23" s="1"/>
  <c r="Z35" i="23"/>
  <c r="AB35" i="23" s="1"/>
  <c r="AO35" i="23" s="1"/>
  <c r="Z44" i="23"/>
  <c r="AB44" i="23" s="1"/>
  <c r="AO44" i="23" s="1"/>
  <c r="AA44" i="23"/>
  <c r="AC44" i="23" s="1"/>
  <c r="AP44" i="23" s="1"/>
  <c r="Z40" i="23"/>
  <c r="AB40" i="23" s="1"/>
  <c r="AO40" i="23" s="1"/>
  <c r="AA40" i="23"/>
  <c r="AC40" i="23" s="1"/>
  <c r="AP40" i="23" s="1"/>
  <c r="Z30" i="23"/>
  <c r="AB30" i="23" s="1"/>
  <c r="AO30" i="23" s="1"/>
  <c r="AA30" i="23"/>
  <c r="AC30" i="23" s="1"/>
  <c r="AP30" i="23" s="1"/>
  <c r="Z50" i="23"/>
  <c r="AB50" i="23" s="1"/>
  <c r="AO50" i="23" s="1"/>
  <c r="AA50" i="23"/>
  <c r="AC50" i="23" s="1"/>
  <c r="AP50" i="23" s="1"/>
  <c r="S27" i="68"/>
  <c r="T27" i="68"/>
  <c r="A16" i="70"/>
  <c r="AJ16" i="70"/>
  <c r="AJ15" i="70"/>
  <c r="S26" i="68"/>
  <c r="A16" i="69"/>
  <c r="T25" i="68"/>
  <c r="AN64" i="22"/>
  <c r="A16" i="22"/>
  <c r="AN55" i="22"/>
  <c r="AJ68" i="22"/>
  <c r="AJ66" i="22"/>
  <c r="AN60" i="22"/>
  <c r="AJ56" i="22"/>
  <c r="Z73" i="22"/>
  <c r="AB73" i="22" s="1"/>
  <c r="AO73" i="22" s="1"/>
  <c r="AA73" i="22"/>
  <c r="AC73" i="22" s="1"/>
  <c r="AP73" i="22" s="1"/>
  <c r="Z71" i="22"/>
  <c r="AB71" i="22" s="1"/>
  <c r="AO71" i="22" s="1"/>
  <c r="AA71" i="22"/>
  <c r="AC71" i="22" s="1"/>
  <c r="AP71" i="22" s="1"/>
  <c r="AA76" i="22"/>
  <c r="AC76" i="22" s="1"/>
  <c r="AP76" i="22" s="1"/>
  <c r="Z76" i="22"/>
  <c r="AB76" i="22" s="1"/>
  <c r="AO76" i="22" s="1"/>
  <c r="Z80" i="22"/>
  <c r="AB80" i="22" s="1"/>
  <c r="AO80" i="22" s="1"/>
  <c r="AA80" i="22"/>
  <c r="AC80" i="22" s="1"/>
  <c r="AP80" i="22" s="1"/>
  <c r="Z86" i="22"/>
  <c r="AB86" i="22" s="1"/>
  <c r="AO86" i="22" s="1"/>
  <c r="AA86" i="22"/>
  <c r="AC86" i="22" s="1"/>
  <c r="AP86" i="22" s="1"/>
  <c r="Z84" i="22"/>
  <c r="AB84" i="22" s="1"/>
  <c r="AO84" i="22" s="1"/>
  <c r="AA84" i="22"/>
  <c r="AC84" i="22" s="1"/>
  <c r="AP84" i="22" s="1"/>
  <c r="Z81" i="22"/>
  <c r="AB81" i="22" s="1"/>
  <c r="AO81" i="22" s="1"/>
  <c r="AA81" i="22"/>
  <c r="AC81" i="22" s="1"/>
  <c r="AP81" i="22" s="1"/>
  <c r="Z74" i="22"/>
  <c r="AB74" i="22" s="1"/>
  <c r="AO74" i="22" s="1"/>
  <c r="AA74" i="22"/>
  <c r="AC74" i="22" s="1"/>
  <c r="AP74" i="22" s="1"/>
  <c r="Z72" i="22"/>
  <c r="AB72" i="22" s="1"/>
  <c r="AO72" i="22" s="1"/>
  <c r="AA72" i="22"/>
  <c r="AC72" i="22" s="1"/>
  <c r="AP72" i="22" s="1"/>
  <c r="AA77" i="22"/>
  <c r="AC77" i="22" s="1"/>
  <c r="AP77" i="22" s="1"/>
  <c r="Z77" i="22"/>
  <c r="AB77" i="22" s="1"/>
  <c r="AO77" i="22" s="1"/>
  <c r="Z69" i="22"/>
  <c r="AB69" i="22" s="1"/>
  <c r="AO69" i="22" s="1"/>
  <c r="AA69" i="22"/>
  <c r="AC69" i="22" s="1"/>
  <c r="AP69" i="22" s="1"/>
  <c r="Z87" i="22"/>
  <c r="AB87" i="22" s="1"/>
  <c r="AO87" i="22" s="1"/>
  <c r="AA87" i="22"/>
  <c r="AC87" i="22" s="1"/>
  <c r="AP87" i="22" s="1"/>
  <c r="Z82" i="22"/>
  <c r="AB82" i="22" s="1"/>
  <c r="AO82" i="22" s="1"/>
  <c r="AA82" i="22"/>
  <c r="AC82" i="22" s="1"/>
  <c r="AP82" i="22" s="1"/>
  <c r="AA88" i="22"/>
  <c r="AC88" i="22" s="1"/>
  <c r="AP88" i="22" s="1"/>
  <c r="Z88" i="22"/>
  <c r="AB88" i="22" s="1"/>
  <c r="AO88" i="22" s="1"/>
  <c r="Z75" i="22"/>
  <c r="AB75" i="22" s="1"/>
  <c r="AO75" i="22" s="1"/>
  <c r="AA75" i="22"/>
  <c r="AC75" i="22" s="1"/>
  <c r="AP75" i="22" s="1"/>
  <c r="Z78" i="22"/>
  <c r="AB78" i="22" s="1"/>
  <c r="AO78" i="22" s="1"/>
  <c r="AA78" i="22"/>
  <c r="AC78" i="22" s="1"/>
  <c r="AP78" i="22" s="1"/>
  <c r="Z70" i="22"/>
  <c r="AB70" i="22" s="1"/>
  <c r="AO70" i="22" s="1"/>
  <c r="AA70" i="22"/>
  <c r="AC70" i="22" s="1"/>
  <c r="AP70" i="22" s="1"/>
  <c r="Z85" i="22"/>
  <c r="AB85" i="22" s="1"/>
  <c r="AO85" i="22" s="1"/>
  <c r="AA85" i="22"/>
  <c r="AC85" i="22" s="1"/>
  <c r="AP85" i="22" s="1"/>
  <c r="Z79" i="22"/>
  <c r="AB79" i="22" s="1"/>
  <c r="AO79" i="22" s="1"/>
  <c r="AA79" i="22"/>
  <c r="AC79" i="22" s="1"/>
  <c r="AP79" i="22" s="1"/>
  <c r="Z83" i="22"/>
  <c r="AB83" i="22" s="1"/>
  <c r="AO83" i="22" s="1"/>
  <c r="AA83" i="22"/>
  <c r="AC83" i="22" s="1"/>
  <c r="AP83" i="22" s="1"/>
  <c r="AJ14" i="21"/>
  <c r="AN12" i="21"/>
  <c r="AJ22" i="21"/>
  <c r="T21" i="68"/>
  <c r="E22" i="2" s="1"/>
  <c r="AN19" i="21"/>
  <c r="AN78" i="20"/>
  <c r="AJ64" i="20"/>
  <c r="AN66" i="20"/>
  <c r="AJ60" i="20"/>
  <c r="AN79" i="20"/>
  <c r="AN60" i="20"/>
  <c r="AJ75" i="20"/>
  <c r="Z10" i="20"/>
  <c r="AB10" i="20" s="1"/>
  <c r="AO10" i="20" s="1"/>
  <c r="AA10" i="20"/>
  <c r="AC10" i="20" s="1"/>
  <c r="AP10" i="20" s="1"/>
  <c r="Z130" i="20"/>
  <c r="AB130" i="20" s="1"/>
  <c r="AO130" i="20" s="1"/>
  <c r="AA130" i="20"/>
  <c r="AC130" i="20" s="1"/>
  <c r="AP130" i="20" s="1"/>
  <c r="Z99" i="20"/>
  <c r="AB99" i="20" s="1"/>
  <c r="AO99" i="20" s="1"/>
  <c r="AA99" i="20"/>
  <c r="AC99" i="20" s="1"/>
  <c r="AP99" i="20" s="1"/>
  <c r="AA125" i="20"/>
  <c r="AC125" i="20" s="1"/>
  <c r="AP125" i="20" s="1"/>
  <c r="Z125" i="20"/>
  <c r="AB125" i="20" s="1"/>
  <c r="AO125" i="20" s="1"/>
  <c r="Z102" i="20"/>
  <c r="AB102" i="20" s="1"/>
  <c r="AO102" i="20" s="1"/>
  <c r="AA102" i="20"/>
  <c r="AC102" i="20" s="1"/>
  <c r="AP102" i="20" s="1"/>
  <c r="Z91" i="20"/>
  <c r="AB91" i="20" s="1"/>
  <c r="AO91" i="20" s="1"/>
  <c r="AA91" i="20"/>
  <c r="AC91" i="20" s="1"/>
  <c r="AP91" i="20" s="1"/>
  <c r="Z120" i="20"/>
  <c r="AB120" i="20" s="1"/>
  <c r="AO120" i="20" s="1"/>
  <c r="AA120" i="20"/>
  <c r="AC120" i="20" s="1"/>
  <c r="AP120" i="20" s="1"/>
  <c r="Z98" i="20"/>
  <c r="AB98" i="20" s="1"/>
  <c r="AO98" i="20" s="1"/>
  <c r="AA98" i="20"/>
  <c r="AC98" i="20" s="1"/>
  <c r="AP98" i="20" s="1"/>
  <c r="Z117" i="20"/>
  <c r="AB117" i="20" s="1"/>
  <c r="AO117" i="20" s="1"/>
  <c r="AA117" i="20"/>
  <c r="AC117" i="20" s="1"/>
  <c r="AP117" i="20" s="1"/>
  <c r="Z118" i="20"/>
  <c r="AB118" i="20" s="1"/>
  <c r="AO118" i="20" s="1"/>
  <c r="AA118" i="20"/>
  <c r="AC118" i="20" s="1"/>
  <c r="AP118" i="20" s="1"/>
  <c r="Z107" i="20"/>
  <c r="AB107" i="20" s="1"/>
  <c r="AO107" i="20" s="1"/>
  <c r="AA107" i="20"/>
  <c r="AC107" i="20" s="1"/>
  <c r="AP107" i="20" s="1"/>
  <c r="Z108" i="20"/>
  <c r="AB108" i="20" s="1"/>
  <c r="AO108" i="20" s="1"/>
  <c r="AA108" i="20"/>
  <c r="AC108" i="20" s="1"/>
  <c r="AP108" i="20" s="1"/>
  <c r="Z87" i="20"/>
  <c r="AB87" i="20" s="1"/>
  <c r="AO87" i="20" s="1"/>
  <c r="AA87" i="20"/>
  <c r="AC87" i="20" s="1"/>
  <c r="AP87" i="20" s="1"/>
  <c r="AA113" i="20"/>
  <c r="AC113" i="20" s="1"/>
  <c r="AP113" i="20" s="1"/>
  <c r="Z113" i="20"/>
  <c r="AB113" i="20" s="1"/>
  <c r="AO113" i="20" s="1"/>
  <c r="Z90" i="20"/>
  <c r="AB90" i="20" s="1"/>
  <c r="AO90" i="20" s="1"/>
  <c r="AA90" i="20"/>
  <c r="AC90" i="20" s="1"/>
  <c r="AP90" i="20" s="1"/>
  <c r="Z119" i="20"/>
  <c r="AB119" i="20" s="1"/>
  <c r="AO119" i="20" s="1"/>
  <c r="AA119" i="20"/>
  <c r="AC119" i="20" s="1"/>
  <c r="AP119" i="20" s="1"/>
  <c r="A16" i="20"/>
  <c r="Z86" i="20"/>
  <c r="AB86" i="20" s="1"/>
  <c r="AO86" i="20" s="1"/>
  <c r="AA86" i="20"/>
  <c r="AC86" i="20" s="1"/>
  <c r="AP86" i="20" s="1"/>
  <c r="Z128" i="20"/>
  <c r="AB128" i="20" s="1"/>
  <c r="AO128" i="20" s="1"/>
  <c r="AA128" i="20"/>
  <c r="AC128" i="20" s="1"/>
  <c r="AP128" i="20" s="1"/>
  <c r="Z105" i="20"/>
  <c r="AB105" i="20" s="1"/>
  <c r="AO105" i="20" s="1"/>
  <c r="AA105" i="20"/>
  <c r="AC105" i="20" s="1"/>
  <c r="AP105" i="20" s="1"/>
  <c r="Z106" i="20"/>
  <c r="AB106" i="20" s="1"/>
  <c r="AO106" i="20" s="1"/>
  <c r="AA106" i="20"/>
  <c r="AC106" i="20" s="1"/>
  <c r="AP106" i="20" s="1"/>
  <c r="Z95" i="20"/>
  <c r="AB95" i="20" s="1"/>
  <c r="AO95" i="20" s="1"/>
  <c r="AA95" i="20"/>
  <c r="AC95" i="20" s="1"/>
  <c r="AP95" i="20" s="1"/>
  <c r="Z96" i="20"/>
  <c r="AB96" i="20" s="1"/>
  <c r="AO96" i="20" s="1"/>
  <c r="AA96" i="20"/>
  <c r="AC96" i="20" s="1"/>
  <c r="AP96" i="20" s="1"/>
  <c r="Z129" i="20"/>
  <c r="AB129" i="20" s="1"/>
  <c r="AO129" i="20" s="1"/>
  <c r="AA129" i="20"/>
  <c r="AC129" i="20" s="1"/>
  <c r="AP129" i="20" s="1"/>
  <c r="AA124" i="20"/>
  <c r="AC124" i="20" s="1"/>
  <c r="AP124" i="20" s="1"/>
  <c r="Z124" i="20"/>
  <c r="AB124" i="20" s="1"/>
  <c r="AO124" i="20" s="1"/>
  <c r="AA101" i="20"/>
  <c r="AC101" i="20" s="1"/>
  <c r="AP101" i="20" s="1"/>
  <c r="Z101" i="20"/>
  <c r="AB101" i="20" s="1"/>
  <c r="AO101" i="20" s="1"/>
  <c r="Z121" i="20"/>
  <c r="AB121" i="20" s="1"/>
  <c r="AO121" i="20" s="1"/>
  <c r="AA121" i="20"/>
  <c r="AC121" i="20" s="1"/>
  <c r="AP121" i="20" s="1"/>
  <c r="AA112" i="20"/>
  <c r="AC112" i="20" s="1"/>
  <c r="AP112" i="20" s="1"/>
  <c r="Z112" i="20"/>
  <c r="AB112" i="20" s="1"/>
  <c r="AO112" i="20" s="1"/>
  <c r="Z116" i="20"/>
  <c r="AB116" i="20" s="1"/>
  <c r="AO116" i="20" s="1"/>
  <c r="AA116" i="20"/>
  <c r="AC116" i="20" s="1"/>
  <c r="AP116" i="20" s="1"/>
  <c r="Z93" i="20"/>
  <c r="AB93" i="20" s="1"/>
  <c r="AO93" i="20" s="1"/>
  <c r="AA93" i="20"/>
  <c r="AC93" i="20" s="1"/>
  <c r="AP93" i="20" s="1"/>
  <c r="Z94" i="20"/>
  <c r="AB94" i="20" s="1"/>
  <c r="AO94" i="20" s="1"/>
  <c r="AA94" i="20"/>
  <c r="AC94" i="20" s="1"/>
  <c r="AP94" i="20" s="1"/>
  <c r="Z83" i="20"/>
  <c r="AB83" i="20" s="1"/>
  <c r="AO83" i="20" s="1"/>
  <c r="AA83" i="20"/>
  <c r="AC83" i="20" s="1"/>
  <c r="AP83" i="20" s="1"/>
  <c r="Z84" i="20"/>
  <c r="AB84" i="20" s="1"/>
  <c r="AO84" i="20" s="1"/>
  <c r="AA84" i="20"/>
  <c r="AC84" i="20" s="1"/>
  <c r="AP84" i="20" s="1"/>
  <c r="Z110" i="20"/>
  <c r="AB110" i="20" s="1"/>
  <c r="AO110" i="20" s="1"/>
  <c r="AA110" i="20"/>
  <c r="AC110" i="20" s="1"/>
  <c r="AP110" i="20" s="1"/>
  <c r="Z89" i="20"/>
  <c r="AB89" i="20" s="1"/>
  <c r="AO89" i="20" s="1"/>
  <c r="AA89" i="20"/>
  <c r="AC89" i="20" s="1"/>
  <c r="AP89" i="20" s="1"/>
  <c r="Z127" i="20"/>
  <c r="AB127" i="20" s="1"/>
  <c r="AO127" i="20" s="1"/>
  <c r="AA127" i="20"/>
  <c r="AC127" i="20" s="1"/>
  <c r="AP127" i="20" s="1"/>
  <c r="Z133" i="20"/>
  <c r="AB133" i="20" s="1"/>
  <c r="AO133" i="20" s="1"/>
  <c r="AA133" i="20"/>
  <c r="AC133" i="20" s="1"/>
  <c r="AP133" i="20" s="1"/>
  <c r="AA100" i="20"/>
  <c r="AC100" i="20" s="1"/>
  <c r="AP100" i="20" s="1"/>
  <c r="Z100" i="20"/>
  <c r="AB100" i="20" s="1"/>
  <c r="AO100" i="20" s="1"/>
  <c r="Z104" i="20"/>
  <c r="AB104" i="20" s="1"/>
  <c r="AO104" i="20" s="1"/>
  <c r="AA104" i="20"/>
  <c r="AC104" i="20" s="1"/>
  <c r="AP104" i="20" s="1"/>
  <c r="Z81" i="20"/>
  <c r="AB81" i="20" s="1"/>
  <c r="AO81" i="20" s="1"/>
  <c r="AA81" i="20"/>
  <c r="AC81" i="20" s="1"/>
  <c r="AP81" i="20" s="1"/>
  <c r="Z82" i="20"/>
  <c r="AB82" i="20" s="1"/>
  <c r="AO82" i="20" s="1"/>
  <c r="AA82" i="20"/>
  <c r="AC82" i="20" s="1"/>
  <c r="AP82" i="20" s="1"/>
  <c r="Z123" i="20"/>
  <c r="AB123" i="20" s="1"/>
  <c r="AO123" i="20" s="1"/>
  <c r="AA123" i="20"/>
  <c r="AC123" i="20" s="1"/>
  <c r="AP123" i="20" s="1"/>
  <c r="Z126" i="20"/>
  <c r="AB126" i="20" s="1"/>
  <c r="AO126" i="20" s="1"/>
  <c r="AA126" i="20"/>
  <c r="AC126" i="20" s="1"/>
  <c r="AP126" i="20" s="1"/>
  <c r="Z115" i="20"/>
  <c r="AB115" i="20" s="1"/>
  <c r="AO115" i="20" s="1"/>
  <c r="AA115" i="20"/>
  <c r="AC115" i="20" s="1"/>
  <c r="AP115" i="20" s="1"/>
  <c r="Z97" i="20"/>
  <c r="AB97" i="20" s="1"/>
  <c r="AO97" i="20" s="1"/>
  <c r="AA97" i="20"/>
  <c r="AC97" i="20" s="1"/>
  <c r="AP97" i="20" s="1"/>
  <c r="Z131" i="20"/>
  <c r="AB131" i="20" s="1"/>
  <c r="AO131" i="20" s="1"/>
  <c r="AA131" i="20"/>
  <c r="AC131" i="20" s="1"/>
  <c r="AP131" i="20" s="1"/>
  <c r="Z122" i="20"/>
  <c r="AB122" i="20" s="1"/>
  <c r="AO122" i="20" s="1"/>
  <c r="AA122" i="20"/>
  <c r="AC122" i="20" s="1"/>
  <c r="AP122" i="20" s="1"/>
  <c r="AA88" i="20"/>
  <c r="AC88" i="20" s="1"/>
  <c r="AP88" i="20" s="1"/>
  <c r="Z88" i="20"/>
  <c r="AB88" i="20" s="1"/>
  <c r="AO88" i="20" s="1"/>
  <c r="Z92" i="20"/>
  <c r="AB92" i="20" s="1"/>
  <c r="AO92" i="20" s="1"/>
  <c r="AA92" i="20"/>
  <c r="AC92" i="20" s="1"/>
  <c r="AP92" i="20" s="1"/>
  <c r="Z109" i="20"/>
  <c r="AB109" i="20" s="1"/>
  <c r="AO109" i="20" s="1"/>
  <c r="AA109" i="20"/>
  <c r="AC109" i="20" s="1"/>
  <c r="AP109" i="20" s="1"/>
  <c r="Z132" i="20"/>
  <c r="AB132" i="20" s="1"/>
  <c r="AO132" i="20" s="1"/>
  <c r="AA132" i="20"/>
  <c r="AC132" i="20" s="1"/>
  <c r="AP132" i="20" s="1"/>
  <c r="Z111" i="20"/>
  <c r="AB111" i="20" s="1"/>
  <c r="AO111" i="20" s="1"/>
  <c r="AA111" i="20"/>
  <c r="AC111" i="20" s="1"/>
  <c r="AP111" i="20" s="1"/>
  <c r="Z114" i="20"/>
  <c r="AB114" i="20" s="1"/>
  <c r="AO114" i="20" s="1"/>
  <c r="AA114" i="20"/>
  <c r="AC114" i="20" s="1"/>
  <c r="AP114" i="20" s="1"/>
  <c r="Z103" i="20"/>
  <c r="AB103" i="20" s="1"/>
  <c r="AO103" i="20" s="1"/>
  <c r="AA103" i="20"/>
  <c r="AC103" i="20" s="1"/>
  <c r="AP103" i="20" s="1"/>
  <c r="Z85" i="20"/>
  <c r="AB85" i="20" s="1"/>
  <c r="AO85" i="20" s="1"/>
  <c r="AA85" i="20"/>
  <c r="AC85" i="20" s="1"/>
  <c r="AP85" i="20" s="1"/>
  <c r="S19" i="68"/>
  <c r="AN17" i="19"/>
  <c r="T19" i="68"/>
  <c r="E20" i="2" s="1"/>
  <c r="A16" i="18"/>
  <c r="AJ13" i="18"/>
  <c r="A16" i="16"/>
  <c r="AN189" i="15"/>
  <c r="AL189" i="15"/>
  <c r="AL205" i="15"/>
  <c r="AN171" i="15"/>
  <c r="AJ193" i="15"/>
  <c r="AJ202" i="15"/>
  <c r="AJ198" i="15"/>
  <c r="AN127" i="15"/>
  <c r="AJ215" i="15"/>
  <c r="AJ229" i="15"/>
  <c r="AJ125" i="15"/>
  <c r="AN201" i="15"/>
  <c r="AN147" i="15"/>
  <c r="AN130" i="15"/>
  <c r="AL187" i="15"/>
  <c r="AN186" i="15"/>
  <c r="AN176" i="15"/>
  <c r="AN128" i="15"/>
  <c r="AJ219" i="15"/>
  <c r="AN223" i="15"/>
  <c r="AL207" i="15"/>
  <c r="AN199" i="15"/>
  <c r="AN202" i="15"/>
  <c r="AJ132" i="15"/>
  <c r="AJ209" i="15"/>
  <c r="AJ180" i="15"/>
  <c r="AL218" i="15"/>
  <c r="AN163" i="15"/>
  <c r="AJ131" i="15"/>
  <c r="AN139" i="15"/>
  <c r="AJ144" i="15"/>
  <c r="AJ225" i="15"/>
  <c r="AN183" i="15"/>
  <c r="A16" i="15"/>
  <c r="AJ159" i="15"/>
  <c r="AJ200" i="15"/>
  <c r="AN192" i="15"/>
  <c r="AL201" i="15"/>
  <c r="AN210" i="15"/>
  <c r="AN218" i="15"/>
  <c r="AN205" i="15"/>
  <c r="AJ136" i="15"/>
  <c r="AJ221" i="15"/>
  <c r="T14" i="68"/>
  <c r="E15" i="2" s="1"/>
  <c r="AN155" i="15"/>
  <c r="AJ127" i="15"/>
  <c r="AL188" i="15"/>
  <c r="AN151" i="15"/>
  <c r="AJ150" i="15"/>
  <c r="S14" i="68"/>
  <c r="AJ146" i="15"/>
  <c r="AJ176" i="15"/>
  <c r="AN191" i="15"/>
  <c r="AN172" i="15"/>
  <c r="AN200" i="15"/>
  <c r="AL168" i="15"/>
  <c r="AN217" i="15"/>
  <c r="AN134" i="15"/>
  <c r="AN143" i="15"/>
  <c r="AJ203" i="15"/>
  <c r="AN198" i="15"/>
  <c r="AJ172" i="15"/>
  <c r="AL140" i="15"/>
  <c r="AL194" i="15"/>
  <c r="AN206" i="15"/>
  <c r="AN167" i="15"/>
  <c r="AN229" i="15"/>
  <c r="AN195" i="15"/>
  <c r="A16" i="14"/>
  <c r="AN22" i="14"/>
  <c r="AN20" i="14"/>
  <c r="AL24" i="14"/>
  <c r="AN24" i="14"/>
  <c r="AN21" i="14"/>
  <c r="Z28" i="14"/>
  <c r="AB28" i="14" s="1"/>
  <c r="AO28" i="14" s="1"/>
  <c r="AA28" i="14"/>
  <c r="AC28" i="14" s="1"/>
  <c r="AP28" i="14" s="1"/>
  <c r="Z31" i="14"/>
  <c r="AB31" i="14" s="1"/>
  <c r="AO31" i="14" s="1"/>
  <c r="AA31" i="14"/>
  <c r="AC31" i="14" s="1"/>
  <c r="AP31" i="14" s="1"/>
  <c r="Z49" i="14"/>
  <c r="AB49" i="14" s="1"/>
  <c r="AO49" i="14" s="1"/>
  <c r="AA49" i="14"/>
  <c r="AC49" i="14" s="1"/>
  <c r="AP49" i="14" s="1"/>
  <c r="Z51" i="14"/>
  <c r="AB51" i="14" s="1"/>
  <c r="AO51" i="14" s="1"/>
  <c r="AA51" i="14"/>
  <c r="AC51" i="14" s="1"/>
  <c r="AP51" i="14" s="1"/>
  <c r="Z54" i="14"/>
  <c r="AB54" i="14" s="1"/>
  <c r="AO54" i="14" s="1"/>
  <c r="AA54" i="14"/>
  <c r="AC54" i="14" s="1"/>
  <c r="AP54" i="14" s="1"/>
  <c r="AA45" i="14"/>
  <c r="AC45" i="14" s="1"/>
  <c r="AP45" i="14" s="1"/>
  <c r="Z45" i="14"/>
  <c r="AB45" i="14" s="1"/>
  <c r="AO45" i="14" s="1"/>
  <c r="Z47" i="14"/>
  <c r="AB47" i="14" s="1"/>
  <c r="AO47" i="14" s="1"/>
  <c r="AA47" i="14"/>
  <c r="AC47" i="14" s="1"/>
  <c r="AP47" i="14" s="1"/>
  <c r="Z59" i="14"/>
  <c r="AB59" i="14" s="1"/>
  <c r="AO59" i="14" s="1"/>
  <c r="AA59" i="14"/>
  <c r="AC59" i="14" s="1"/>
  <c r="AP59" i="14" s="1"/>
  <c r="Z53" i="14"/>
  <c r="AB53" i="14" s="1"/>
  <c r="AO53" i="14" s="1"/>
  <c r="AA53" i="14"/>
  <c r="AC53" i="14" s="1"/>
  <c r="AP53" i="14" s="1"/>
  <c r="Z37" i="14"/>
  <c r="AB37" i="14" s="1"/>
  <c r="AO37" i="14" s="1"/>
  <c r="AA37" i="14"/>
  <c r="AC37" i="14" s="1"/>
  <c r="AP37" i="14" s="1"/>
  <c r="Z39" i="14"/>
  <c r="AB39" i="14" s="1"/>
  <c r="AO39" i="14" s="1"/>
  <c r="AA39" i="14"/>
  <c r="AC39" i="14" s="1"/>
  <c r="AP39" i="14" s="1"/>
  <c r="Z42" i="14"/>
  <c r="AB42" i="14" s="1"/>
  <c r="AO42" i="14" s="1"/>
  <c r="AA42" i="14"/>
  <c r="AC42" i="14" s="1"/>
  <c r="AP42" i="14" s="1"/>
  <c r="AA56" i="14"/>
  <c r="AC56" i="14" s="1"/>
  <c r="AP56" i="14" s="1"/>
  <c r="Z56" i="14"/>
  <c r="AB56" i="14" s="1"/>
  <c r="AO56" i="14" s="1"/>
  <c r="AA33" i="14"/>
  <c r="AC33" i="14" s="1"/>
  <c r="AP33" i="14" s="1"/>
  <c r="Z33" i="14"/>
  <c r="AB33" i="14" s="1"/>
  <c r="AO33" i="14" s="1"/>
  <c r="Z35" i="14"/>
  <c r="AB35" i="14" s="1"/>
  <c r="AO35" i="14" s="1"/>
  <c r="AA35" i="14"/>
  <c r="AC35" i="14" s="1"/>
  <c r="AP35" i="14" s="1"/>
  <c r="Z26" i="14"/>
  <c r="AB26" i="14" s="1"/>
  <c r="AO26" i="14" s="1"/>
  <c r="AA26" i="14"/>
  <c r="AC26" i="14" s="1"/>
  <c r="AP26" i="14" s="1"/>
  <c r="Z25" i="14"/>
  <c r="AB25" i="14" s="1"/>
  <c r="AO25" i="14" s="1"/>
  <c r="AA25" i="14"/>
  <c r="AC25" i="14" s="1"/>
  <c r="AP25" i="14" s="1"/>
  <c r="Z27" i="14"/>
  <c r="AB27" i="14" s="1"/>
  <c r="AO27" i="14" s="1"/>
  <c r="AA27" i="14"/>
  <c r="AC27" i="14" s="1"/>
  <c r="AP27" i="14" s="1"/>
  <c r="AA57" i="14"/>
  <c r="AC57" i="14" s="1"/>
  <c r="AP57" i="14" s="1"/>
  <c r="Z57" i="14"/>
  <c r="AB57" i="14" s="1"/>
  <c r="AO57" i="14" s="1"/>
  <c r="Z30" i="14"/>
  <c r="AB30" i="14" s="1"/>
  <c r="AO30" i="14" s="1"/>
  <c r="AA30" i="14"/>
  <c r="AC30" i="14" s="1"/>
  <c r="AP30" i="14" s="1"/>
  <c r="AA44" i="14"/>
  <c r="AC44" i="14" s="1"/>
  <c r="AP44" i="14" s="1"/>
  <c r="Z44" i="14"/>
  <c r="AB44" i="14" s="1"/>
  <c r="AO44" i="14" s="1"/>
  <c r="Z58" i="14"/>
  <c r="AB58" i="14" s="1"/>
  <c r="AO58" i="14" s="1"/>
  <c r="AA58" i="14"/>
  <c r="AC58" i="14" s="1"/>
  <c r="AP58" i="14" s="1"/>
  <c r="Z60" i="14"/>
  <c r="AB60" i="14" s="1"/>
  <c r="AO60" i="14" s="1"/>
  <c r="AA60" i="14"/>
  <c r="AC60" i="14" s="1"/>
  <c r="AP60" i="14" s="1"/>
  <c r="Z29" i="14"/>
  <c r="AB29" i="14" s="1"/>
  <c r="AO29" i="14" s="1"/>
  <c r="AA29" i="14"/>
  <c r="AC29" i="14" s="1"/>
  <c r="AP29" i="14" s="1"/>
  <c r="Z41" i="14"/>
  <c r="AB41" i="14" s="1"/>
  <c r="AO41" i="14" s="1"/>
  <c r="AA41" i="14"/>
  <c r="AC41" i="14" s="1"/>
  <c r="AP41" i="14" s="1"/>
  <c r="AA32" i="14"/>
  <c r="AC32" i="14" s="1"/>
  <c r="AP32" i="14" s="1"/>
  <c r="Z32" i="14"/>
  <c r="AB32" i="14" s="1"/>
  <c r="AO32" i="14" s="1"/>
  <c r="Z46" i="14"/>
  <c r="AB46" i="14" s="1"/>
  <c r="AO46" i="14" s="1"/>
  <c r="AA46" i="14"/>
  <c r="AC46" i="14" s="1"/>
  <c r="AP46" i="14" s="1"/>
  <c r="Z48" i="14"/>
  <c r="AB48" i="14" s="1"/>
  <c r="AO48" i="14" s="1"/>
  <c r="AA48" i="14"/>
  <c r="AC48" i="14" s="1"/>
  <c r="AP48" i="14" s="1"/>
  <c r="Z50" i="14"/>
  <c r="AB50" i="14" s="1"/>
  <c r="AO50" i="14" s="1"/>
  <c r="AA50" i="14"/>
  <c r="AC50" i="14" s="1"/>
  <c r="AP50" i="14" s="1"/>
  <c r="Z52" i="14"/>
  <c r="AB52" i="14" s="1"/>
  <c r="AO52" i="14" s="1"/>
  <c r="AA52" i="14"/>
  <c r="AC52" i="14" s="1"/>
  <c r="AP52" i="14" s="1"/>
  <c r="Z55" i="14"/>
  <c r="AB55" i="14" s="1"/>
  <c r="AO55" i="14" s="1"/>
  <c r="AA55" i="14"/>
  <c r="AC55" i="14" s="1"/>
  <c r="AP55" i="14" s="1"/>
  <c r="Z34" i="14"/>
  <c r="AB34" i="14" s="1"/>
  <c r="AO34" i="14" s="1"/>
  <c r="AA34" i="14"/>
  <c r="AC34" i="14" s="1"/>
  <c r="AP34" i="14" s="1"/>
  <c r="Z36" i="14"/>
  <c r="AB36" i="14" s="1"/>
  <c r="AO36" i="14" s="1"/>
  <c r="AA36" i="14"/>
  <c r="AC36" i="14" s="1"/>
  <c r="AP36" i="14" s="1"/>
  <c r="Z38" i="14"/>
  <c r="AB38" i="14" s="1"/>
  <c r="AO38" i="14" s="1"/>
  <c r="AA38" i="14"/>
  <c r="AC38" i="14" s="1"/>
  <c r="AP38" i="14" s="1"/>
  <c r="Z40" i="14"/>
  <c r="AB40" i="14" s="1"/>
  <c r="AO40" i="14" s="1"/>
  <c r="AA40" i="14"/>
  <c r="AC40" i="14" s="1"/>
  <c r="AP40" i="14" s="1"/>
  <c r="Z43" i="14"/>
  <c r="AB43" i="14" s="1"/>
  <c r="AO43" i="14" s="1"/>
  <c r="AA43" i="14"/>
  <c r="AC43" i="14" s="1"/>
  <c r="AP43" i="14" s="1"/>
  <c r="AJ22" i="13"/>
  <c r="T12" i="68"/>
  <c r="E13" i="2" s="1"/>
  <c r="AJ20" i="13"/>
  <c r="AA19" i="13"/>
  <c r="AC19" i="13" s="1"/>
  <c r="AP19" i="13" s="1"/>
  <c r="Z19" i="13"/>
  <c r="AB19" i="13" s="1"/>
  <c r="AO19" i="13" s="1"/>
  <c r="Z37" i="13"/>
  <c r="AB37" i="13" s="1"/>
  <c r="AO37" i="13" s="1"/>
  <c r="AA37" i="13"/>
  <c r="AC37" i="13" s="1"/>
  <c r="AP37" i="13" s="1"/>
  <c r="Z25" i="13"/>
  <c r="AB25" i="13" s="1"/>
  <c r="AO25" i="13" s="1"/>
  <c r="AA25" i="13"/>
  <c r="AC25" i="13" s="1"/>
  <c r="AP25" i="13" s="1"/>
  <c r="Z33" i="13"/>
  <c r="AB33" i="13" s="1"/>
  <c r="AO33" i="13" s="1"/>
  <c r="AA33" i="13"/>
  <c r="AC33" i="13" s="1"/>
  <c r="AP33" i="13" s="1"/>
  <c r="AA32" i="13"/>
  <c r="AC32" i="13" s="1"/>
  <c r="AP32" i="13" s="1"/>
  <c r="Z32" i="13"/>
  <c r="AB32" i="13" s="1"/>
  <c r="AO32" i="13" s="1"/>
  <c r="Z38" i="13"/>
  <c r="AB38" i="13" s="1"/>
  <c r="AO38" i="13" s="1"/>
  <c r="AA38" i="13"/>
  <c r="AC38" i="13" s="1"/>
  <c r="AP38" i="13" s="1"/>
  <c r="Z34" i="13"/>
  <c r="AB34" i="13" s="1"/>
  <c r="AO34" i="13" s="1"/>
  <c r="AA34" i="13"/>
  <c r="AC34" i="13" s="1"/>
  <c r="AP34" i="13" s="1"/>
  <c r="Z39" i="13"/>
  <c r="AB39" i="13" s="1"/>
  <c r="AO39" i="13" s="1"/>
  <c r="AA39" i="13"/>
  <c r="AC39" i="13" s="1"/>
  <c r="AP39" i="13" s="1"/>
  <c r="Z26" i="13"/>
  <c r="AB26" i="13" s="1"/>
  <c r="AO26" i="13" s="1"/>
  <c r="AA26" i="13"/>
  <c r="AC26" i="13" s="1"/>
  <c r="AP26" i="13" s="1"/>
  <c r="Z35" i="13"/>
  <c r="AB35" i="13" s="1"/>
  <c r="AO35" i="13" s="1"/>
  <c r="AA35" i="13"/>
  <c r="AC35" i="13" s="1"/>
  <c r="AP35" i="13" s="1"/>
  <c r="Z27" i="13"/>
  <c r="AB27" i="13" s="1"/>
  <c r="AO27" i="13" s="1"/>
  <c r="AA27" i="13"/>
  <c r="AC27" i="13" s="1"/>
  <c r="AP27" i="13" s="1"/>
  <c r="Z29" i="13"/>
  <c r="AB29" i="13" s="1"/>
  <c r="AO29" i="13" s="1"/>
  <c r="AA29" i="13"/>
  <c r="AC29" i="13" s="1"/>
  <c r="AP29" i="13" s="1"/>
  <c r="AA36" i="13"/>
  <c r="AC36" i="13" s="1"/>
  <c r="AP36" i="13" s="1"/>
  <c r="Z36" i="13"/>
  <c r="AB36" i="13" s="1"/>
  <c r="AO36" i="13" s="1"/>
  <c r="Z28" i="13"/>
  <c r="AB28" i="13" s="1"/>
  <c r="AO28" i="13" s="1"/>
  <c r="AA28" i="13"/>
  <c r="AC28" i="13" s="1"/>
  <c r="AP28" i="13" s="1"/>
  <c r="Z31" i="13"/>
  <c r="AB31" i="13" s="1"/>
  <c r="AO31" i="13" s="1"/>
  <c r="AA31" i="13"/>
  <c r="AC31" i="13" s="1"/>
  <c r="AP31" i="13" s="1"/>
  <c r="A16" i="13"/>
  <c r="AA30" i="13"/>
  <c r="AC30" i="13" s="1"/>
  <c r="AP30" i="13" s="1"/>
  <c r="Z30" i="13"/>
  <c r="AB30" i="13" s="1"/>
  <c r="AO30" i="13" s="1"/>
  <c r="AN32" i="12"/>
  <c r="AJ41" i="12"/>
  <c r="AN35" i="12"/>
  <c r="AJ48" i="12"/>
  <c r="AN33" i="12"/>
  <c r="AJ32" i="12"/>
  <c r="Z62" i="12"/>
  <c r="AB62" i="12" s="1"/>
  <c r="AO62" i="12" s="1"/>
  <c r="AA62" i="12"/>
  <c r="AC62" i="12" s="1"/>
  <c r="AP62" i="12" s="1"/>
  <c r="Z58" i="12"/>
  <c r="AB58" i="12" s="1"/>
  <c r="AO58" i="12" s="1"/>
  <c r="AA58" i="12"/>
  <c r="AC58" i="12" s="1"/>
  <c r="AP58" i="12" s="1"/>
  <c r="Z59" i="12"/>
  <c r="AB59" i="12" s="1"/>
  <c r="AO59" i="12" s="1"/>
  <c r="AA59" i="12"/>
  <c r="AC59" i="12" s="1"/>
  <c r="AP59" i="12" s="1"/>
  <c r="Z60" i="12"/>
  <c r="AB60" i="12" s="1"/>
  <c r="AO60" i="12" s="1"/>
  <c r="AA60" i="12"/>
  <c r="AC60" i="12" s="1"/>
  <c r="AP60" i="12" s="1"/>
  <c r="Z61" i="12"/>
  <c r="AB61" i="12" s="1"/>
  <c r="AO61" i="12" s="1"/>
  <c r="AA61" i="12"/>
  <c r="AC61" i="12" s="1"/>
  <c r="AP61" i="12" s="1"/>
  <c r="AN30" i="12"/>
  <c r="AL50" i="12"/>
  <c r="AN46" i="12"/>
  <c r="AJ37" i="12"/>
  <c r="AN45" i="12"/>
  <c r="AN43" i="12"/>
  <c r="AL31" i="12"/>
  <c r="AN48" i="12"/>
  <c r="AL34" i="12"/>
  <c r="AN39" i="12"/>
  <c r="AJ49" i="12"/>
  <c r="AN40" i="12"/>
  <c r="A16" i="12"/>
  <c r="Z51" i="12"/>
  <c r="AB51" i="12" s="1"/>
  <c r="AO51" i="12" s="1"/>
  <c r="AA51" i="12"/>
  <c r="AC51" i="12" s="1"/>
  <c r="AP51" i="12" s="1"/>
  <c r="Z55" i="12"/>
  <c r="AB55" i="12" s="1"/>
  <c r="AO55" i="12" s="1"/>
  <c r="AA55" i="12"/>
  <c r="AC55" i="12" s="1"/>
  <c r="AP55" i="12" s="1"/>
  <c r="Z52" i="12"/>
  <c r="AB52" i="12" s="1"/>
  <c r="AO52" i="12" s="1"/>
  <c r="AA52" i="12"/>
  <c r="AC52" i="12" s="1"/>
  <c r="AP52" i="12" s="1"/>
  <c r="Z53" i="12"/>
  <c r="AB53" i="12" s="1"/>
  <c r="AO53" i="12" s="1"/>
  <c r="AA53" i="12"/>
  <c r="AC53" i="12" s="1"/>
  <c r="AP53" i="12" s="1"/>
  <c r="Z56" i="12"/>
  <c r="AB56" i="12" s="1"/>
  <c r="AO56" i="12" s="1"/>
  <c r="AA56" i="12"/>
  <c r="AC56" i="12" s="1"/>
  <c r="AP56" i="12" s="1"/>
  <c r="Z54" i="12"/>
  <c r="AB54" i="12" s="1"/>
  <c r="AO54" i="12" s="1"/>
  <c r="AA54" i="12"/>
  <c r="AC54" i="12" s="1"/>
  <c r="AP54" i="12" s="1"/>
  <c r="Z57" i="12"/>
  <c r="AB57" i="12" s="1"/>
  <c r="AO57" i="12" s="1"/>
  <c r="AA57" i="12"/>
  <c r="AC57" i="12" s="1"/>
  <c r="AP57" i="12" s="1"/>
  <c r="AN17" i="6"/>
  <c r="AN22" i="6"/>
  <c r="A16" i="6"/>
  <c r="Z19" i="6"/>
  <c r="AB19" i="6" s="1"/>
  <c r="AO19" i="6" s="1"/>
  <c r="AA19" i="6"/>
  <c r="AC19" i="6" s="1"/>
  <c r="AP19" i="6" s="1"/>
  <c r="Z26" i="6"/>
  <c r="AB26" i="6" s="1"/>
  <c r="AO26" i="6" s="1"/>
  <c r="AA26" i="6"/>
  <c r="AC26" i="6" s="1"/>
  <c r="AP26" i="6" s="1"/>
  <c r="AA32" i="6"/>
  <c r="AC32" i="6" s="1"/>
  <c r="AP32" i="6" s="1"/>
  <c r="Z32" i="6"/>
  <c r="AB32" i="6" s="1"/>
  <c r="AO32" i="6" s="1"/>
  <c r="Z27" i="6"/>
  <c r="AB27" i="6" s="1"/>
  <c r="AO27" i="6" s="1"/>
  <c r="AA27" i="6"/>
  <c r="AC27" i="6" s="1"/>
  <c r="AP27" i="6" s="1"/>
  <c r="Z33" i="6"/>
  <c r="AB33" i="6" s="1"/>
  <c r="AO33" i="6" s="1"/>
  <c r="AA33" i="6"/>
  <c r="AC33" i="6" s="1"/>
  <c r="AP33" i="6" s="1"/>
  <c r="Z28" i="6"/>
  <c r="AB28" i="6" s="1"/>
  <c r="AO28" i="6" s="1"/>
  <c r="AA28" i="6"/>
  <c r="AC28" i="6" s="1"/>
  <c r="AP28" i="6" s="1"/>
  <c r="AA34" i="6"/>
  <c r="AC34" i="6" s="1"/>
  <c r="AP34" i="6" s="1"/>
  <c r="Z34" i="6"/>
  <c r="AB34" i="6" s="1"/>
  <c r="AO34" i="6" s="1"/>
  <c r="Z35" i="6"/>
  <c r="AB35" i="6" s="1"/>
  <c r="AO35" i="6" s="1"/>
  <c r="AA35" i="6"/>
  <c r="AC35" i="6" s="1"/>
  <c r="AP35" i="6" s="1"/>
  <c r="Z30" i="6"/>
  <c r="AB30" i="6" s="1"/>
  <c r="AO30" i="6" s="1"/>
  <c r="AA30" i="6"/>
  <c r="AC30" i="6" s="1"/>
  <c r="AP30" i="6" s="1"/>
  <c r="Z29" i="6"/>
  <c r="AB29" i="6" s="1"/>
  <c r="AO29" i="6" s="1"/>
  <c r="AA29" i="6"/>
  <c r="AC29" i="6" s="1"/>
  <c r="AP29" i="6" s="1"/>
  <c r="Z25" i="6"/>
  <c r="AB25" i="6" s="1"/>
  <c r="AO25" i="6" s="1"/>
  <c r="AA25" i="6"/>
  <c r="AC25" i="6" s="1"/>
  <c r="AP25" i="6" s="1"/>
  <c r="Z31" i="6"/>
  <c r="AB31" i="6" s="1"/>
  <c r="AO31" i="6" s="1"/>
  <c r="AA31" i="6"/>
  <c r="AC31" i="6" s="1"/>
  <c r="AP31" i="6" s="1"/>
  <c r="AJ48" i="5"/>
  <c r="A16" i="5"/>
  <c r="S9" i="68"/>
  <c r="AJ38" i="5"/>
  <c r="AL37" i="5"/>
  <c r="AJ47" i="5"/>
  <c r="AN39" i="5"/>
  <c r="AN48" i="5"/>
  <c r="Z69" i="5"/>
  <c r="AB69" i="5" s="1"/>
  <c r="AO69" i="5" s="1"/>
  <c r="AA69" i="5"/>
  <c r="AC69" i="5" s="1"/>
  <c r="AP69" i="5" s="1"/>
  <c r="Z76" i="5"/>
  <c r="AB76" i="5" s="1"/>
  <c r="AO76" i="5" s="1"/>
  <c r="AA76" i="5"/>
  <c r="AC76" i="5" s="1"/>
  <c r="AP76" i="5" s="1"/>
  <c r="Z66" i="5"/>
  <c r="AB66" i="5" s="1"/>
  <c r="AO66" i="5" s="1"/>
  <c r="AA66" i="5"/>
  <c r="AC66" i="5" s="1"/>
  <c r="AP66" i="5" s="1"/>
  <c r="AA72" i="5"/>
  <c r="AC72" i="5" s="1"/>
  <c r="AP72" i="5" s="1"/>
  <c r="Z72" i="5"/>
  <c r="AB72" i="5" s="1"/>
  <c r="AO72" i="5" s="1"/>
  <c r="AA74" i="5"/>
  <c r="AC74" i="5" s="1"/>
  <c r="AP74" i="5" s="1"/>
  <c r="Z74" i="5"/>
  <c r="AB74" i="5" s="1"/>
  <c r="AO74" i="5" s="1"/>
  <c r="Z56" i="5"/>
  <c r="AB56" i="5" s="1"/>
  <c r="AO56" i="5" s="1"/>
  <c r="AA56" i="5"/>
  <c r="AC56" i="5" s="1"/>
  <c r="AP56" i="5" s="1"/>
  <c r="Z57" i="5"/>
  <c r="AB57" i="5" s="1"/>
  <c r="AO57" i="5" s="1"/>
  <c r="AA57" i="5"/>
  <c r="AC57" i="5" s="1"/>
  <c r="AP57" i="5" s="1"/>
  <c r="Z64" i="5"/>
  <c r="AB64" i="5" s="1"/>
  <c r="AO64" i="5" s="1"/>
  <c r="AA64" i="5"/>
  <c r="AC64" i="5" s="1"/>
  <c r="AP64" i="5" s="1"/>
  <c r="Z54" i="5"/>
  <c r="AB54" i="5" s="1"/>
  <c r="AO54" i="5" s="1"/>
  <c r="AA54" i="5"/>
  <c r="AC54" i="5" s="1"/>
  <c r="AP54" i="5" s="1"/>
  <c r="Z68" i="5"/>
  <c r="AB68" i="5" s="1"/>
  <c r="AO68" i="5" s="1"/>
  <c r="AA68" i="5"/>
  <c r="AC68" i="5" s="1"/>
  <c r="AP68" i="5" s="1"/>
  <c r="AA60" i="5"/>
  <c r="AC60" i="5" s="1"/>
  <c r="AP60" i="5" s="1"/>
  <c r="Z60" i="5"/>
  <c r="AB60" i="5" s="1"/>
  <c r="AO60" i="5" s="1"/>
  <c r="AA62" i="5"/>
  <c r="AC62" i="5" s="1"/>
  <c r="AP62" i="5" s="1"/>
  <c r="Z62" i="5"/>
  <c r="AB62" i="5" s="1"/>
  <c r="AO62" i="5" s="1"/>
  <c r="AA79" i="5"/>
  <c r="AC79" i="5" s="1"/>
  <c r="AP79" i="5" s="1"/>
  <c r="Z79" i="5"/>
  <c r="AB79" i="5" s="1"/>
  <c r="AO79" i="5" s="1"/>
  <c r="Z78" i="5"/>
  <c r="AB78" i="5" s="1"/>
  <c r="AO78" i="5" s="1"/>
  <c r="AA78" i="5"/>
  <c r="AC78" i="5" s="1"/>
  <c r="AP78" i="5" s="1"/>
  <c r="Z82" i="5"/>
  <c r="AB82" i="5" s="1"/>
  <c r="AO82" i="5" s="1"/>
  <c r="AA82" i="5"/>
  <c r="AC82" i="5" s="1"/>
  <c r="AP82" i="5" s="1"/>
  <c r="Z77" i="5"/>
  <c r="AB77" i="5" s="1"/>
  <c r="AO77" i="5" s="1"/>
  <c r="AA77" i="5"/>
  <c r="AC77" i="5" s="1"/>
  <c r="AP77" i="5" s="1"/>
  <c r="Z75" i="5"/>
  <c r="AB75" i="5" s="1"/>
  <c r="AO75" i="5" s="1"/>
  <c r="AA75" i="5"/>
  <c r="AC75" i="5" s="1"/>
  <c r="AP75" i="5" s="1"/>
  <c r="Z67" i="5"/>
  <c r="AB67" i="5" s="1"/>
  <c r="AO67" i="5" s="1"/>
  <c r="AA67" i="5"/>
  <c r="AC67" i="5" s="1"/>
  <c r="AP67" i="5" s="1"/>
  <c r="Z58" i="5"/>
  <c r="AB58" i="5" s="1"/>
  <c r="AO58" i="5" s="1"/>
  <c r="AA58" i="5"/>
  <c r="AC58" i="5" s="1"/>
  <c r="AP58" i="5" s="1"/>
  <c r="Z71" i="5"/>
  <c r="AB71" i="5" s="1"/>
  <c r="AO71" i="5" s="1"/>
  <c r="AA71" i="5"/>
  <c r="AC71" i="5" s="1"/>
  <c r="AP71" i="5" s="1"/>
  <c r="Z73" i="5"/>
  <c r="AB73" i="5" s="1"/>
  <c r="AO73" i="5" s="1"/>
  <c r="AA73" i="5"/>
  <c r="AC73" i="5" s="1"/>
  <c r="AP73" i="5" s="1"/>
  <c r="Z65" i="5"/>
  <c r="AB65" i="5" s="1"/>
  <c r="AO65" i="5" s="1"/>
  <c r="AA65" i="5"/>
  <c r="AC65" i="5" s="1"/>
  <c r="AP65" i="5" s="1"/>
  <c r="Z63" i="5"/>
  <c r="AB63" i="5" s="1"/>
  <c r="AO63" i="5" s="1"/>
  <c r="AA63" i="5"/>
  <c r="AC63" i="5" s="1"/>
  <c r="AP63" i="5" s="1"/>
  <c r="Z55" i="5"/>
  <c r="AB55" i="5" s="1"/>
  <c r="AO55" i="5" s="1"/>
  <c r="AA55" i="5"/>
  <c r="AC55" i="5" s="1"/>
  <c r="AP55" i="5" s="1"/>
  <c r="Z59" i="5"/>
  <c r="AB59" i="5" s="1"/>
  <c r="AO59" i="5" s="1"/>
  <c r="AA59" i="5"/>
  <c r="AC59" i="5" s="1"/>
  <c r="AP59" i="5" s="1"/>
  <c r="Z61" i="5"/>
  <c r="AB61" i="5" s="1"/>
  <c r="AO61" i="5" s="1"/>
  <c r="AA61" i="5"/>
  <c r="AC61" i="5" s="1"/>
  <c r="AP61" i="5" s="1"/>
  <c r="Z53" i="5"/>
  <c r="AB53" i="5" s="1"/>
  <c r="AO53" i="5" s="1"/>
  <c r="AA53" i="5"/>
  <c r="AC53" i="5" s="1"/>
  <c r="AP53" i="5" s="1"/>
  <c r="Z83" i="5"/>
  <c r="AB83" i="5" s="1"/>
  <c r="AO83" i="5" s="1"/>
  <c r="AA83" i="5"/>
  <c r="AC83" i="5" s="1"/>
  <c r="AP83" i="5" s="1"/>
  <c r="AA84" i="5"/>
  <c r="AC84" i="5" s="1"/>
  <c r="AP84" i="5" s="1"/>
  <c r="Z84" i="5"/>
  <c r="AB84" i="5" s="1"/>
  <c r="AO84" i="5" s="1"/>
  <c r="Z81" i="5"/>
  <c r="AB81" i="5" s="1"/>
  <c r="AO81" i="5" s="1"/>
  <c r="AA81" i="5"/>
  <c r="AC81" i="5" s="1"/>
  <c r="AP81" i="5" s="1"/>
  <c r="Z70" i="5"/>
  <c r="AB70" i="5" s="1"/>
  <c r="AO70" i="5" s="1"/>
  <c r="AA70" i="5"/>
  <c r="AC70" i="5" s="1"/>
  <c r="AP70" i="5" s="1"/>
  <c r="Z80" i="5"/>
  <c r="AB80" i="5" s="1"/>
  <c r="AO80" i="5" s="1"/>
  <c r="AA80" i="5"/>
  <c r="AC80" i="5" s="1"/>
  <c r="AP80" i="5" s="1"/>
  <c r="T8" i="68"/>
  <c r="AN23" i="3"/>
  <c r="Z35" i="3"/>
  <c r="AB35" i="3" s="1"/>
  <c r="AO35" i="3" s="1"/>
  <c r="AA35" i="3"/>
  <c r="AC35" i="3" s="1"/>
  <c r="AP35" i="3" s="1"/>
  <c r="Z36" i="3"/>
  <c r="AB36" i="3" s="1"/>
  <c r="AO36" i="3" s="1"/>
  <c r="AA36" i="3"/>
  <c r="AC36" i="3" s="1"/>
  <c r="AP36" i="3" s="1"/>
  <c r="Z37" i="3"/>
  <c r="AB37" i="3" s="1"/>
  <c r="AO37" i="3" s="1"/>
  <c r="AA37" i="3"/>
  <c r="AC37" i="3" s="1"/>
  <c r="AP37" i="3" s="1"/>
  <c r="Z38" i="3"/>
  <c r="AB38" i="3" s="1"/>
  <c r="AO38" i="3" s="1"/>
  <c r="AA38" i="3"/>
  <c r="AC38" i="3" s="1"/>
  <c r="AP38" i="3" s="1"/>
  <c r="AJ23" i="3"/>
  <c r="AN18" i="3"/>
  <c r="AJ21" i="3"/>
  <c r="S8" i="68"/>
  <c r="AN17" i="3"/>
  <c r="AJ22" i="3"/>
  <c r="AA18" i="3"/>
  <c r="AC18" i="3" s="1"/>
  <c r="Z18" i="3"/>
  <c r="AB18" i="3" s="1"/>
  <c r="AO18" i="3" s="1"/>
  <c r="Z29" i="3"/>
  <c r="AB29" i="3" s="1"/>
  <c r="AO29" i="3" s="1"/>
  <c r="AA29" i="3"/>
  <c r="AC29" i="3" s="1"/>
  <c r="AP29" i="3" s="1"/>
  <c r="Z24" i="3"/>
  <c r="AB24" i="3" s="1"/>
  <c r="AO24" i="3" s="1"/>
  <c r="AA24" i="3"/>
  <c r="AC24" i="3" s="1"/>
  <c r="AP24" i="3" s="1"/>
  <c r="Z25" i="3"/>
  <c r="AB25" i="3" s="1"/>
  <c r="AO25" i="3" s="1"/>
  <c r="AA25" i="3"/>
  <c r="AC25" i="3" s="1"/>
  <c r="AP25" i="3" s="1"/>
  <c r="Z26" i="3"/>
  <c r="AB26" i="3" s="1"/>
  <c r="AO26" i="3" s="1"/>
  <c r="AA26" i="3"/>
  <c r="AC26" i="3" s="1"/>
  <c r="AP26" i="3" s="1"/>
  <c r="Z34" i="3"/>
  <c r="AB34" i="3" s="1"/>
  <c r="AO34" i="3" s="1"/>
  <c r="AA34" i="3"/>
  <c r="AC34" i="3" s="1"/>
  <c r="AP34" i="3" s="1"/>
  <c r="AA30" i="3"/>
  <c r="AC30" i="3" s="1"/>
  <c r="AP30" i="3" s="1"/>
  <c r="Z30" i="3"/>
  <c r="AB30" i="3" s="1"/>
  <c r="AO30" i="3" s="1"/>
  <c r="Z27" i="3"/>
  <c r="AB27" i="3" s="1"/>
  <c r="AO27" i="3" s="1"/>
  <c r="AA27" i="3"/>
  <c r="AC27" i="3" s="1"/>
  <c r="AP27" i="3" s="1"/>
  <c r="A16" i="3"/>
  <c r="Z31" i="3"/>
  <c r="AB31" i="3" s="1"/>
  <c r="AO31" i="3" s="1"/>
  <c r="AA31" i="3"/>
  <c r="AC31" i="3" s="1"/>
  <c r="AP31" i="3" s="1"/>
  <c r="Z28" i="3"/>
  <c r="AB28" i="3" s="1"/>
  <c r="AO28" i="3" s="1"/>
  <c r="AA28" i="3"/>
  <c r="AC28" i="3" s="1"/>
  <c r="AP28" i="3" s="1"/>
  <c r="Z32" i="3"/>
  <c r="AB32" i="3" s="1"/>
  <c r="AO32" i="3" s="1"/>
  <c r="AA32" i="3"/>
  <c r="AC32" i="3" s="1"/>
  <c r="AP32" i="3" s="1"/>
  <c r="Z33" i="3"/>
  <c r="AB33" i="3" s="1"/>
  <c r="AO33" i="3" s="1"/>
  <c r="AA33" i="3"/>
  <c r="AC33" i="3" s="1"/>
  <c r="AP33" i="3" s="1"/>
  <c r="Z11" i="50"/>
  <c r="AB11" i="50" s="1"/>
  <c r="AO11" i="50" s="1"/>
  <c r="O55" i="68"/>
  <c r="AA20" i="50"/>
  <c r="AC20" i="50" s="1"/>
  <c r="AP20" i="50" s="1"/>
  <c r="Z10" i="42"/>
  <c r="AB10" i="42" s="1"/>
  <c r="AO10" i="42" s="1"/>
  <c r="AA19" i="27"/>
  <c r="AC19" i="27" s="1"/>
  <c r="AP19" i="27" s="1"/>
  <c r="AA9" i="3"/>
  <c r="AC9" i="3" s="1"/>
  <c r="AP9" i="3" s="1"/>
  <c r="Z19" i="50"/>
  <c r="AB19" i="50" s="1"/>
  <c r="AO19" i="50" s="1"/>
  <c r="Z14" i="50"/>
  <c r="AB14" i="50" s="1"/>
  <c r="AO14" i="50" s="1"/>
  <c r="AA6" i="50"/>
  <c r="AC6" i="50" s="1"/>
  <c r="AP6" i="50" s="1"/>
  <c r="AC222" i="65"/>
  <c r="AP222" i="65" s="1"/>
  <c r="N61" i="68"/>
  <c r="Z20" i="42"/>
  <c r="AB20" i="42" s="1"/>
  <c r="AO20" i="42" s="1"/>
  <c r="AP9" i="27"/>
  <c r="AP14" i="50"/>
  <c r="AP15" i="42"/>
  <c r="E11" i="2"/>
  <c r="E31" i="2"/>
  <c r="T22" i="67"/>
  <c r="T34" i="67"/>
  <c r="Z22" i="27"/>
  <c r="AB22" i="27" s="1"/>
  <c r="AO22" i="27" s="1"/>
  <c r="AA16" i="62"/>
  <c r="AC16" i="62" s="1"/>
  <c r="AP16" i="62" s="1"/>
  <c r="L32" i="2"/>
  <c r="O72" i="68"/>
  <c r="Z18" i="50"/>
  <c r="AB18" i="50" s="1"/>
  <c r="AO18" i="50" s="1"/>
  <c r="N59" i="68"/>
  <c r="I34" i="67"/>
  <c r="N52" i="67"/>
  <c r="I29" i="67"/>
  <c r="AA16" i="16"/>
  <c r="AC16" i="16" s="1"/>
  <c r="AP16" i="16" s="1"/>
  <c r="N56" i="68"/>
  <c r="Z12" i="50"/>
  <c r="AB12" i="50" s="1"/>
  <c r="AO12" i="50" s="1"/>
  <c r="Z11" i="42"/>
  <c r="AB11" i="42" s="1"/>
  <c r="AO11" i="42" s="1"/>
  <c r="AA17" i="42"/>
  <c r="AC17" i="42" s="1"/>
  <c r="AP17" i="42" s="1"/>
  <c r="I60" i="67"/>
  <c r="AA14" i="18"/>
  <c r="AC14" i="18" s="1"/>
  <c r="AP14" i="18" s="1"/>
  <c r="Z7" i="42"/>
  <c r="AB7" i="42" s="1"/>
  <c r="AO7" i="42" s="1"/>
  <c r="N57" i="67"/>
  <c r="N44" i="67"/>
  <c r="I24" i="68"/>
  <c r="N43" i="67"/>
  <c r="AA6" i="16"/>
  <c r="AC6" i="16" s="1"/>
  <c r="AP6" i="16" s="1"/>
  <c r="O68" i="68"/>
  <c r="Z17" i="62"/>
  <c r="AB17" i="62" s="1"/>
  <c r="AO17" i="62" s="1"/>
  <c r="Z6" i="42"/>
  <c r="AB6" i="42" s="1"/>
  <c r="AO6" i="42" s="1"/>
  <c r="Z15" i="42"/>
  <c r="AB15" i="42" s="1"/>
  <c r="AO15" i="42" s="1"/>
  <c r="O51" i="67"/>
  <c r="N57" i="68"/>
  <c r="I74" i="68"/>
  <c r="O49" i="67"/>
  <c r="Z226" i="65"/>
  <c r="AB226" i="65" s="1"/>
  <c r="AO226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O65" i="68"/>
  <c r="N65" i="68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AA15" i="50"/>
  <c r="AC15" i="50" s="1"/>
  <c r="AP15" i="50" s="1"/>
  <c r="Z15" i="50"/>
  <c r="AB15" i="50" s="1"/>
  <c r="AO15" i="50" s="1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C230" i="65"/>
  <c r="AP230" i="65" s="1"/>
  <c r="Z230" i="65"/>
  <c r="AB230" i="65" s="1"/>
  <c r="AO230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3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Z27" i="22"/>
  <c r="AB27" i="22" s="1"/>
  <c r="AO27" i="22" s="1"/>
  <c r="AA27" i="22"/>
  <c r="AC27" i="22" s="1"/>
  <c r="AP27" i="22" s="1"/>
  <c r="Z68" i="22"/>
  <c r="AB68" i="22" s="1"/>
  <c r="AO68" i="22" s="1"/>
  <c r="AA68" i="22"/>
  <c r="AC68" i="22" s="1"/>
  <c r="AP68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67" i="22"/>
  <c r="AC67" i="22" s="1"/>
  <c r="AP67" i="22" s="1"/>
  <c r="Z67" i="22"/>
  <c r="AB67" i="22" s="1"/>
  <c r="AO67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2" i="22"/>
  <c r="AC62" i="22" s="1"/>
  <c r="AP62" i="22" s="1"/>
  <c r="Z62" i="22"/>
  <c r="AB62" i="22" s="1"/>
  <c r="AO62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221" i="65"/>
  <c r="AB221" i="65" s="1"/>
  <c r="AO221" i="65" s="1"/>
  <c r="AC221" i="65"/>
  <c r="AP221" i="65" s="1"/>
  <c r="AC188" i="65"/>
  <c r="AP188" i="65" s="1"/>
  <c r="Z188" i="65"/>
  <c r="AB188" i="65" s="1"/>
  <c r="AO188" i="65" s="1"/>
  <c r="AC220" i="65"/>
  <c r="AP220" i="65" s="1"/>
  <c r="Z220" i="65"/>
  <c r="AB220" i="65" s="1"/>
  <c r="AO220" i="65" s="1"/>
  <c r="Z217" i="65"/>
  <c r="AB217" i="65" s="1"/>
  <c r="AO217" i="65" s="1"/>
  <c r="AC217" i="65"/>
  <c r="AP217" i="65" s="1"/>
  <c r="AC195" i="65"/>
  <c r="AP195" i="65" s="1"/>
  <c r="Z195" i="65"/>
  <c r="AB195" i="65" s="1"/>
  <c r="AO195" i="65" s="1"/>
  <c r="AC227" i="65"/>
  <c r="AP227" i="65" s="1"/>
  <c r="Z227" i="65"/>
  <c r="AB227" i="65" s="1"/>
  <c r="AO227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7" i="70"/>
  <c r="AC17" i="70" s="1"/>
  <c r="AP17" i="70" s="1"/>
  <c r="Z17" i="70"/>
  <c r="AB17" i="70" s="1"/>
  <c r="AO17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" i="69"/>
  <c r="AB5" i="69" s="1"/>
  <c r="AA5" i="69"/>
  <c r="AC5" i="69" s="1"/>
  <c r="Z20" i="69"/>
  <c r="AB20" i="69" s="1"/>
  <c r="AO20" i="69" s="1"/>
  <c r="AA20" i="69"/>
  <c r="AC20" i="69" s="1"/>
  <c r="AP20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A33" i="12"/>
  <c r="AC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64" i="68"/>
  <c r="I69" i="68"/>
  <c r="O64" i="68"/>
  <c r="Z19" i="70"/>
  <c r="AB19" i="70" s="1"/>
  <c r="AO19" i="70" s="1"/>
  <c r="AA19" i="70"/>
  <c r="AC19" i="70" s="1"/>
  <c r="AP19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AC214" i="65"/>
  <c r="AP214" i="65" s="1"/>
  <c r="Z214" i="65"/>
  <c r="AB214" i="65" s="1"/>
  <c r="AO214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Z38" i="66"/>
  <c r="AB38" i="66" s="1"/>
  <c r="AO38" i="66" s="1"/>
  <c r="AA38" i="66"/>
  <c r="AC38" i="66" s="1"/>
  <c r="AP38" i="66" s="1"/>
  <c r="Z34" i="66"/>
  <c r="AB34" i="66" s="1"/>
  <c r="AO34" i="66" s="1"/>
  <c r="AA34" i="66"/>
  <c r="AC34" i="66" s="1"/>
  <c r="AP34" i="66" s="1"/>
  <c r="AA33" i="66"/>
  <c r="AC33" i="66" s="1"/>
  <c r="AP33" i="66" s="1"/>
  <c r="Z33" i="66"/>
  <c r="AB33" i="66" s="1"/>
  <c r="AO33" i="66" s="1"/>
  <c r="AA32" i="66"/>
  <c r="AC32" i="66" s="1"/>
  <c r="AP32" i="66" s="1"/>
  <c r="Z32" i="66"/>
  <c r="AB32" i="66" s="1"/>
  <c r="AO32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Z5" i="22"/>
  <c r="AB5" i="22" s="1"/>
  <c r="AA5" i="22"/>
  <c r="AC5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55" i="22"/>
  <c r="AC55" i="22" s="1"/>
  <c r="Z55" i="22"/>
  <c r="AB55" i="22" s="1"/>
  <c r="AO55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66" i="22"/>
  <c r="AC66" i="22" s="1"/>
  <c r="Z66" i="22"/>
  <c r="AB66" i="22" s="1"/>
  <c r="AO66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0" i="67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Z201" i="65"/>
  <c r="AB201" i="65" s="1"/>
  <c r="AO201" i="65" s="1"/>
  <c r="AC201" i="65"/>
  <c r="AP201" i="65" s="1"/>
  <c r="AC192" i="65"/>
  <c r="AP192" i="65" s="1"/>
  <c r="Z192" i="65"/>
  <c r="AB192" i="65" s="1"/>
  <c r="AO192" i="65" s="1"/>
  <c r="AC224" i="65"/>
  <c r="AP224" i="65" s="1"/>
  <c r="Z224" i="65"/>
  <c r="AB224" i="65" s="1"/>
  <c r="AO224" i="65" s="1"/>
  <c r="Z193" i="65"/>
  <c r="AB193" i="65" s="1"/>
  <c r="AO193" i="65" s="1"/>
  <c r="AC193" i="65"/>
  <c r="AP193" i="65" s="1"/>
  <c r="AC199" i="65"/>
  <c r="AP199" i="65" s="1"/>
  <c r="Z199" i="65"/>
  <c r="AB199" i="65" s="1"/>
  <c r="AO199" i="65" s="1"/>
  <c r="AC231" i="65"/>
  <c r="Z231" i="65"/>
  <c r="AB231" i="65" s="1"/>
  <c r="AO231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18" i="70"/>
  <c r="AC18" i="70" s="1"/>
  <c r="AP18" i="70" s="1"/>
  <c r="Z18" i="70"/>
  <c r="AB18" i="70" s="1"/>
  <c r="AO18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2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3" i="67"/>
  <c r="L30" i="2"/>
  <c r="AO5" i="62"/>
  <c r="Z23" i="50"/>
  <c r="AB23" i="50" s="1"/>
  <c r="AO23" i="50" s="1"/>
  <c r="AA23" i="50"/>
  <c r="AC23" i="50" s="1"/>
  <c r="AP23" i="50" s="1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16" i="67"/>
  <c r="L16" i="2"/>
  <c r="R64" i="67"/>
  <c r="O66" i="67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AC198" i="65"/>
  <c r="AP198" i="65" s="1"/>
  <c r="Z198" i="65"/>
  <c r="AB198" i="65" s="1"/>
  <c r="AO198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13" i="66"/>
  <c r="AC13" i="66" s="1"/>
  <c r="AP13" i="66" s="1"/>
  <c r="Z13" i="66"/>
  <c r="AB13" i="66" s="1"/>
  <c r="AO13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AA35" i="66"/>
  <c r="AC35" i="66" s="1"/>
  <c r="AP35" i="66" s="1"/>
  <c r="Z35" i="66"/>
  <c r="AB35" i="66" s="1"/>
  <c r="AO35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64" i="22"/>
  <c r="AB64" i="22" s="1"/>
  <c r="AO64" i="22" s="1"/>
  <c r="AA64" i="22"/>
  <c r="AC64" i="22" s="1"/>
  <c r="AP64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AA24" i="22"/>
  <c r="AC24" i="22" s="1"/>
  <c r="AP24" i="22" s="1"/>
  <c r="Z24" i="22"/>
  <c r="AB24" i="22" s="1"/>
  <c r="AO24" i="22" s="1"/>
  <c r="AA65" i="22"/>
  <c r="AC65" i="22" s="1"/>
  <c r="AP65" i="22" s="1"/>
  <c r="Z65" i="22"/>
  <c r="AB65" i="22" s="1"/>
  <c r="AO65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59" i="22"/>
  <c r="AC59" i="22" s="1"/>
  <c r="AP59" i="22" s="1"/>
  <c r="Z59" i="22"/>
  <c r="AB59" i="22" s="1"/>
  <c r="AO59" i="22" s="1"/>
  <c r="AA10" i="22"/>
  <c r="AC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54" i="22"/>
  <c r="AC54" i="22" s="1"/>
  <c r="AP54" i="22" s="1"/>
  <c r="Z54" i="22"/>
  <c r="AB54" i="22" s="1"/>
  <c r="AO54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Q30" i="68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AC202" i="65"/>
  <c r="AP202" i="65" s="1"/>
  <c r="Z202" i="65"/>
  <c r="AB202" i="65" s="1"/>
  <c r="AO202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209" i="65"/>
  <c r="AB209" i="65" s="1"/>
  <c r="AO209" i="65" s="1"/>
  <c r="AC209" i="65"/>
  <c r="Z229" i="65"/>
  <c r="AB229" i="65" s="1"/>
  <c r="AO229" i="65" s="1"/>
  <c r="AC229" i="65"/>
  <c r="AP229" i="65" s="1"/>
  <c r="AC196" i="65"/>
  <c r="AP196" i="65" s="1"/>
  <c r="Z196" i="65"/>
  <c r="AB196" i="65" s="1"/>
  <c r="AO196" i="65" s="1"/>
  <c r="AC212" i="65"/>
  <c r="AP212" i="65" s="1"/>
  <c r="Z212" i="65"/>
  <c r="AB212" i="65" s="1"/>
  <c r="AO212" i="65" s="1"/>
  <c r="AC228" i="65"/>
  <c r="Z228" i="65"/>
  <c r="AB228" i="65" s="1"/>
  <c r="AO228" i="65" s="1"/>
  <c r="Z197" i="65"/>
  <c r="AB197" i="65" s="1"/>
  <c r="AO197" i="65" s="1"/>
  <c r="AC197" i="65"/>
  <c r="AP197" i="65" s="1"/>
  <c r="Z187" i="65"/>
  <c r="AB187" i="65" s="1"/>
  <c r="AO187" i="65" s="1"/>
  <c r="AC187" i="65"/>
  <c r="AP187" i="65" s="1"/>
  <c r="Z203" i="65"/>
  <c r="AB203" i="65" s="1"/>
  <c r="AO203" i="65" s="1"/>
  <c r="AC203" i="65"/>
  <c r="AP203" i="65" s="1"/>
  <c r="AC219" i="65"/>
  <c r="AP219" i="65" s="1"/>
  <c r="Z219" i="65"/>
  <c r="AB219" i="65" s="1"/>
  <c r="AO219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65" i="69"/>
  <c r="AC65" i="69" s="1"/>
  <c r="AP65" i="69" s="1"/>
  <c r="Z65" i="69"/>
  <c r="AB65" i="69" s="1"/>
  <c r="AO65" i="69" s="1"/>
  <c r="AA172" i="15"/>
  <c r="AC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O58" i="67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31" i="66"/>
  <c r="AC31" i="66" s="1"/>
  <c r="AP31" i="66" s="1"/>
  <c r="Z31" i="66"/>
  <c r="AB31" i="66" s="1"/>
  <c r="AO3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26" i="66"/>
  <c r="AB26" i="66" s="1"/>
  <c r="AO26" i="66" s="1"/>
  <c r="AA26" i="66"/>
  <c r="AC26" i="66" s="1"/>
  <c r="AP26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X13" i="31"/>
  <c r="X44" i="31"/>
  <c r="X31" i="31"/>
  <c r="X28" i="31"/>
  <c r="X21" i="31"/>
  <c r="X15" i="31"/>
  <c r="I38" i="68"/>
  <c r="I34" i="68" s="1"/>
  <c r="X39" i="31"/>
  <c r="X14" i="31"/>
  <c r="X6" i="31"/>
  <c r="X50" i="31"/>
  <c r="X36" i="31"/>
  <c r="X16" i="31"/>
  <c r="AA114" i="15"/>
  <c r="AC114" i="15" s="1"/>
  <c r="AP114" i="15" s="1"/>
  <c r="Z114" i="15"/>
  <c r="AB114" i="15" s="1"/>
  <c r="AO114" i="1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8" i="68"/>
  <c r="O45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185" i="65"/>
  <c r="AB185" i="65" s="1"/>
  <c r="AO185" i="65" s="1"/>
  <c r="AC185" i="65"/>
  <c r="AP185" i="65" s="1"/>
  <c r="AC204" i="65"/>
  <c r="AP204" i="65" s="1"/>
  <c r="Z204" i="65"/>
  <c r="AB204" i="65" s="1"/>
  <c r="AO204" i="65" s="1"/>
  <c r="Z189" i="65"/>
  <c r="AB189" i="65" s="1"/>
  <c r="AO189" i="65" s="1"/>
  <c r="AC189" i="65"/>
  <c r="AP189" i="65" s="1"/>
  <c r="Z211" i="65"/>
  <c r="AB211" i="65" s="1"/>
  <c r="AO211" i="65" s="1"/>
  <c r="AC211" i="65"/>
  <c r="AP211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2" i="70"/>
  <c r="AC22" i="70" s="1"/>
  <c r="AP22" i="70" s="1"/>
  <c r="Z22" i="70"/>
  <c r="AB22" i="70" s="1"/>
  <c r="AO22" i="70" s="1"/>
  <c r="AA15" i="70"/>
  <c r="AC15" i="70" s="1"/>
  <c r="AP15" i="70" s="1"/>
  <c r="Z15" i="70"/>
  <c r="AB15" i="70" s="1"/>
  <c r="AO15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9" i="69"/>
  <c r="AC9" i="69" s="1"/>
  <c r="AP9" i="69" s="1"/>
  <c r="Z9" i="69"/>
  <c r="AB9" i="69" s="1"/>
  <c r="AO9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N51" i="68"/>
  <c r="O51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A76" i="15"/>
  <c r="AC76" i="15" s="1"/>
  <c r="AP76" i="15" s="1"/>
  <c r="Z76" i="15"/>
  <c r="AB76" i="15" s="1"/>
  <c r="AO76" i="15" s="1"/>
  <c r="Z21" i="36"/>
  <c r="AB21" i="36" s="1"/>
  <c r="AO21" i="36" s="1"/>
  <c r="AA21" i="36"/>
  <c r="AC21" i="36" s="1"/>
  <c r="AP21" i="36" s="1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AA27" i="66"/>
  <c r="AC27" i="66" s="1"/>
  <c r="AP27" i="66" s="1"/>
  <c r="Z27" i="66"/>
  <c r="AB27" i="66" s="1"/>
  <c r="AO27" i="66" s="1"/>
  <c r="Z17" i="66"/>
  <c r="AB17" i="66" s="1"/>
  <c r="AO17" i="66" s="1"/>
  <c r="AA17" i="66"/>
  <c r="AC17" i="66" s="1"/>
  <c r="AP17" i="66" s="1"/>
  <c r="AA16" i="66"/>
  <c r="AC16" i="66" s="1"/>
  <c r="AP16" i="66" s="1"/>
  <c r="Z16" i="66"/>
  <c r="AB16" i="66" s="1"/>
  <c r="AO16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57" i="22"/>
  <c r="AC57" i="22" s="1"/>
  <c r="AP57" i="22" s="1"/>
  <c r="Z57" i="22"/>
  <c r="AB57" i="22" s="1"/>
  <c r="AO57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C218" i="65"/>
  <c r="AP218" i="65" s="1"/>
  <c r="Z218" i="65"/>
  <c r="AB218" i="65" s="1"/>
  <c r="AO218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14" i="34"/>
  <c r="AC14" i="34" s="1"/>
  <c r="AP14" i="34" s="1"/>
  <c r="Z14" i="34"/>
  <c r="AB14" i="34" s="1"/>
  <c r="AO14" i="34" s="1"/>
  <c r="I7" i="68"/>
  <c r="I22" i="68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225" i="65"/>
  <c r="AB225" i="65" s="1"/>
  <c r="AO225" i="65" s="1"/>
  <c r="AC225" i="65"/>
  <c r="AP225" i="65" s="1"/>
  <c r="AC208" i="65"/>
  <c r="AP208" i="65" s="1"/>
  <c r="Z208" i="65"/>
  <c r="AB208" i="65" s="1"/>
  <c r="AO208" i="65" s="1"/>
  <c r="AC183" i="65"/>
  <c r="AP183" i="65" s="1"/>
  <c r="Z183" i="65"/>
  <c r="AB183" i="65" s="1"/>
  <c r="AO183" i="65" s="1"/>
  <c r="AC215" i="65"/>
  <c r="AP215" i="65" s="1"/>
  <c r="Z215" i="65"/>
  <c r="AB215" i="65" s="1"/>
  <c r="AO215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7" i="70"/>
  <c r="AC7" i="70" s="1"/>
  <c r="AP7" i="70" s="1"/>
  <c r="Z7" i="70"/>
  <c r="AB7" i="70" s="1"/>
  <c r="AO7" i="70" s="1"/>
  <c r="AA16" i="70"/>
  <c r="AC16" i="70" s="1"/>
  <c r="AP16" i="70" s="1"/>
  <c r="Z16" i="70"/>
  <c r="AB16" i="70" s="1"/>
  <c r="AO16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6" i="69"/>
  <c r="AC6" i="69" s="1"/>
  <c r="AP6" i="69" s="1"/>
  <c r="Z6" i="69"/>
  <c r="AB6" i="69" s="1"/>
  <c r="AO6" i="69" s="1"/>
  <c r="AA26" i="69"/>
  <c r="AC26" i="69" s="1"/>
  <c r="AP26" i="69" s="1"/>
  <c r="Z26" i="69"/>
  <c r="AB26" i="69" s="1"/>
  <c r="AO26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N66" i="67"/>
  <c r="Q64" i="67"/>
  <c r="N53" i="67"/>
  <c r="O53" i="67"/>
  <c r="AA75" i="32"/>
  <c r="AC75" i="32" s="1"/>
  <c r="AP75" i="32" s="1"/>
  <c r="Z75" i="32"/>
  <c r="AB75" i="32" s="1"/>
  <c r="AO75" i="32" s="1"/>
  <c r="AA61" i="22"/>
  <c r="AC61" i="22" s="1"/>
  <c r="AP61" i="22" s="1"/>
  <c r="Z61" i="22"/>
  <c r="AB61" i="22" s="1"/>
  <c r="AO61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Z220" i="15"/>
  <c r="AB220" i="15" s="1"/>
  <c r="AO220" i="15" s="1"/>
  <c r="AA130" i="15"/>
  <c r="AC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C182" i="65"/>
  <c r="AP182" i="65" s="1"/>
  <c r="Z182" i="65"/>
  <c r="AB182" i="65" s="1"/>
  <c r="AO182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6" i="66"/>
  <c r="AB6" i="66" s="1"/>
  <c r="AA6" i="66"/>
  <c r="AC6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56" i="22"/>
  <c r="AB56" i="22" s="1"/>
  <c r="AO56" i="22" s="1"/>
  <c r="AA56" i="22"/>
  <c r="AC56" i="22" s="1"/>
  <c r="AP56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60" i="22"/>
  <c r="AB60" i="22" s="1"/>
  <c r="AO60" i="22" s="1"/>
  <c r="AA60" i="22"/>
  <c r="AC60" i="22" s="1"/>
  <c r="AP60" i="22" s="1"/>
  <c r="AA32" i="22"/>
  <c r="AC32" i="22" s="1"/>
  <c r="AP32" i="22" s="1"/>
  <c r="Z32" i="22"/>
  <c r="AB32" i="22" s="1"/>
  <c r="AO32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63" i="22"/>
  <c r="AC63" i="22" s="1"/>
  <c r="AP63" i="22" s="1"/>
  <c r="Z63" i="22"/>
  <c r="AB63" i="22" s="1"/>
  <c r="AO63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58" i="22"/>
  <c r="AC58" i="22" s="1"/>
  <c r="AP58" i="22" s="1"/>
  <c r="Z58" i="22"/>
  <c r="AB58" i="22" s="1"/>
  <c r="AO58" i="22" s="1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Z94" i="32"/>
  <c r="AB94" i="32" s="1"/>
  <c r="AO94" i="32" s="1"/>
  <c r="AA94" i="32"/>
  <c r="AC94" i="32" s="1"/>
  <c r="AP94" i="32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C186" i="65"/>
  <c r="AP186" i="65" s="1"/>
  <c r="Z186" i="65"/>
  <c r="AB186" i="65" s="1"/>
  <c r="AO186" i="65" s="1"/>
  <c r="I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213" i="65"/>
  <c r="AB213" i="65" s="1"/>
  <c r="AO213" i="65" s="1"/>
  <c r="AC213" i="65"/>
  <c r="AP213" i="65" s="1"/>
  <c r="AC184" i="65"/>
  <c r="AP184" i="65" s="1"/>
  <c r="Z184" i="65"/>
  <c r="AB184" i="65" s="1"/>
  <c r="AO184" i="65" s="1"/>
  <c r="AC200" i="65"/>
  <c r="AP200" i="65" s="1"/>
  <c r="Z200" i="65"/>
  <c r="AB200" i="65" s="1"/>
  <c r="AO200" i="65" s="1"/>
  <c r="AC216" i="65"/>
  <c r="AP216" i="65" s="1"/>
  <c r="Z216" i="65"/>
  <c r="AB216" i="65" s="1"/>
  <c r="AO216" i="65" s="1"/>
  <c r="AC232" i="65"/>
  <c r="AP232" i="65" s="1"/>
  <c r="Z232" i="65"/>
  <c r="AB232" i="65" s="1"/>
  <c r="AO232" i="65" s="1"/>
  <c r="Z205" i="65"/>
  <c r="AB205" i="65" s="1"/>
  <c r="AO205" i="65" s="1"/>
  <c r="AC205" i="65"/>
  <c r="AP205" i="65" s="1"/>
  <c r="AC191" i="65"/>
  <c r="AP191" i="65" s="1"/>
  <c r="Z191" i="65"/>
  <c r="AB191" i="65" s="1"/>
  <c r="AO191" i="65" s="1"/>
  <c r="Z207" i="65"/>
  <c r="AB207" i="65" s="1"/>
  <c r="AO207" i="65" s="1"/>
  <c r="AC207" i="65"/>
  <c r="AP207" i="65" s="1"/>
  <c r="AC223" i="65"/>
  <c r="AP223" i="65" s="1"/>
  <c r="Z223" i="65"/>
  <c r="AB223" i="65" s="1"/>
  <c r="AO223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0" i="70"/>
  <c r="AB20" i="70" s="1"/>
  <c r="AO20" i="70" s="1"/>
  <c r="AA20" i="70"/>
  <c r="AC20" i="70" s="1"/>
  <c r="AP20" i="70" s="1"/>
  <c r="AA21" i="70"/>
  <c r="AC21" i="70" s="1"/>
  <c r="AP21" i="70" s="1"/>
  <c r="Z21" i="70"/>
  <c r="AB21" i="70" s="1"/>
  <c r="AO21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AP8" i="47" l="1"/>
  <c r="D41" i="2"/>
  <c r="N22" i="67"/>
  <c r="Q45" i="68"/>
  <c r="Q50" i="68"/>
  <c r="O74" i="68"/>
  <c r="Z78" i="31"/>
  <c r="AB78" i="31" s="1"/>
  <c r="AO78" i="31" s="1"/>
  <c r="Q72" i="68"/>
  <c r="N74" i="68"/>
  <c r="D50" i="2" s="1"/>
  <c r="M6" i="2"/>
  <c r="R30" i="67"/>
  <c r="R31" i="67"/>
  <c r="R12" i="67"/>
  <c r="Q18" i="67"/>
  <c r="R49" i="67"/>
  <c r="Q57" i="67"/>
  <c r="M15" i="2"/>
  <c r="R23" i="67"/>
  <c r="R6" i="67"/>
  <c r="Q36" i="67"/>
  <c r="Q56" i="67"/>
  <c r="R48" i="67"/>
  <c r="R33" i="67"/>
  <c r="R14" i="67"/>
  <c r="R18" i="67"/>
  <c r="U38" i="67"/>
  <c r="M13" i="2"/>
  <c r="K23" i="2"/>
  <c r="K31" i="2" s="1"/>
  <c r="K42" i="2" s="1"/>
  <c r="L27" i="2"/>
  <c r="R13" i="67"/>
  <c r="R16" i="67"/>
  <c r="Q51" i="67"/>
  <c r="R58" i="67"/>
  <c r="R51" i="67"/>
  <c r="L39" i="2"/>
  <c r="Q35" i="67"/>
  <c r="Q17" i="67"/>
  <c r="L26" i="2"/>
  <c r="Q19" i="67"/>
  <c r="J21" i="67"/>
  <c r="R57" i="67"/>
  <c r="Q49" i="67"/>
  <c r="R53" i="67"/>
  <c r="R8" i="67"/>
  <c r="Q58" i="67"/>
  <c r="M19" i="2"/>
  <c r="M9" i="2"/>
  <c r="Q6" i="67"/>
  <c r="R32" i="67"/>
  <c r="R26" i="67"/>
  <c r="R28" i="67"/>
  <c r="Q53" i="67"/>
  <c r="I21" i="67"/>
  <c r="M20" i="2"/>
  <c r="R17" i="67"/>
  <c r="Q12" i="67"/>
  <c r="Q48" i="67"/>
  <c r="R44" i="67"/>
  <c r="U16" i="67"/>
  <c r="L29" i="2"/>
  <c r="Q66" i="67"/>
  <c r="K8" i="2"/>
  <c r="R24" i="67"/>
  <c r="R19" i="67"/>
  <c r="L9" i="2"/>
  <c r="R27" i="67"/>
  <c r="L41" i="2"/>
  <c r="M23" i="2"/>
  <c r="M12" i="2"/>
  <c r="R15" i="67"/>
  <c r="Q25" i="67"/>
  <c r="H21" i="67"/>
  <c r="K29" i="67"/>
  <c r="R52" i="67"/>
  <c r="Q44" i="67"/>
  <c r="U33" i="67"/>
  <c r="L14" i="2"/>
  <c r="R36" i="67"/>
  <c r="R66" i="67"/>
  <c r="Q43" i="67"/>
  <c r="S34" i="67"/>
  <c r="M14" i="2"/>
  <c r="Q26" i="67"/>
  <c r="L15" i="2"/>
  <c r="Q23" i="67"/>
  <c r="Q24" i="67"/>
  <c r="R25" i="67"/>
  <c r="R35" i="67"/>
  <c r="U13" i="67"/>
  <c r="Q52" i="67"/>
  <c r="M10" i="2"/>
  <c r="M24" i="2"/>
  <c r="M25" i="2"/>
  <c r="R9" i="67"/>
  <c r="L13" i="2"/>
  <c r="Q27" i="67"/>
  <c r="Q31" i="67"/>
  <c r="R43" i="67"/>
  <c r="D32" i="2"/>
  <c r="D14" i="2"/>
  <c r="L36" i="2"/>
  <c r="Q13" i="68"/>
  <c r="U6" i="67"/>
  <c r="Q30" i="67"/>
  <c r="K20" i="67"/>
  <c r="D27" i="2"/>
  <c r="L24" i="2"/>
  <c r="S44" i="68"/>
  <c r="Q36" i="68"/>
  <c r="Z67" i="31"/>
  <c r="AB67" i="31" s="1"/>
  <c r="AO67" i="31" s="1"/>
  <c r="AA82" i="31"/>
  <c r="AC82" i="31" s="1"/>
  <c r="AP82" i="31" s="1"/>
  <c r="Q6" i="68"/>
  <c r="U6" i="68" s="1"/>
  <c r="AA88" i="31"/>
  <c r="AC88" i="31" s="1"/>
  <c r="AP88" i="31" s="1"/>
  <c r="Z79" i="31"/>
  <c r="AB79" i="31" s="1"/>
  <c r="AO79" i="31" s="1"/>
  <c r="Q35" i="68"/>
  <c r="AA85" i="31"/>
  <c r="AC85" i="31" s="1"/>
  <c r="AP85" i="31" s="1"/>
  <c r="D26" i="2"/>
  <c r="Q29" i="68"/>
  <c r="U29" i="68" s="1"/>
  <c r="O37" i="67"/>
  <c r="AA63" i="31"/>
  <c r="AC63" i="31" s="1"/>
  <c r="AP63" i="31" s="1"/>
  <c r="Z76" i="31"/>
  <c r="AB76" i="31" s="1"/>
  <c r="AO76" i="31" s="1"/>
  <c r="O22" i="67"/>
  <c r="AO5" i="50"/>
  <c r="AA87" i="31"/>
  <c r="AC87" i="31" s="1"/>
  <c r="AP87" i="31" s="1"/>
  <c r="AA64" i="31"/>
  <c r="AC64" i="31" s="1"/>
  <c r="AP64" i="31" s="1"/>
  <c r="L12" i="2"/>
  <c r="Q12" i="68"/>
  <c r="D13" i="2"/>
  <c r="N7" i="68"/>
  <c r="Q7" i="68" s="1"/>
  <c r="D31" i="2"/>
  <c r="D6" i="2"/>
  <c r="AP10" i="22"/>
  <c r="AP66" i="22"/>
  <c r="L70" i="68"/>
  <c r="C8" i="2"/>
  <c r="E9" i="2"/>
  <c r="AP228" i="65"/>
  <c r="AP231" i="65"/>
  <c r="AP209" i="65"/>
  <c r="E6" i="2"/>
  <c r="J23" i="68"/>
  <c r="D42" i="2"/>
  <c r="R56" i="68"/>
  <c r="R35" i="68"/>
  <c r="D15" i="2"/>
  <c r="D9" i="2"/>
  <c r="R6" i="68"/>
  <c r="R9" i="68"/>
  <c r="R11" i="68"/>
  <c r="Q39" i="68"/>
  <c r="R31" i="68"/>
  <c r="R46" i="68"/>
  <c r="I23" i="68"/>
  <c r="R13" i="68"/>
  <c r="R14" i="68"/>
  <c r="R18" i="68"/>
  <c r="R37" i="68"/>
  <c r="R26" i="68"/>
  <c r="Q68" i="68"/>
  <c r="U13" i="68"/>
  <c r="R68" i="68"/>
  <c r="R27" i="68"/>
  <c r="R32" i="68"/>
  <c r="R40" i="68"/>
  <c r="D16" i="2"/>
  <c r="R66" i="68"/>
  <c r="Q53" i="68"/>
  <c r="Q40" i="68"/>
  <c r="Q18" i="68"/>
  <c r="R39" i="68"/>
  <c r="Q28" i="68"/>
  <c r="R58" i="68"/>
  <c r="Q55" i="68"/>
  <c r="R65" i="68"/>
  <c r="Q57" i="68"/>
  <c r="Q56" i="68"/>
  <c r="R29" i="68"/>
  <c r="Q32" i="68"/>
  <c r="Q33" i="68"/>
  <c r="R28" i="68"/>
  <c r="R61" i="68"/>
  <c r="R53" i="68"/>
  <c r="Q19" i="68"/>
  <c r="D22" i="2"/>
  <c r="I44" i="68"/>
  <c r="Q66" i="68"/>
  <c r="R19" i="68"/>
  <c r="R21" i="68"/>
  <c r="Q26" i="68"/>
  <c r="Q20" i="68"/>
  <c r="R47" i="68"/>
  <c r="Q59" i="68"/>
  <c r="Q74" i="68"/>
  <c r="Q61" i="68"/>
  <c r="R15" i="68"/>
  <c r="Q42" i="68"/>
  <c r="D28" i="2"/>
  <c r="U46" i="68"/>
  <c r="Q51" i="68"/>
  <c r="R55" i="68"/>
  <c r="R12" i="68"/>
  <c r="R20" i="68"/>
  <c r="Q37" i="68"/>
  <c r="R42" i="68"/>
  <c r="Q11" i="68"/>
  <c r="Q27" i="68"/>
  <c r="R10" i="68"/>
  <c r="R17" i="68"/>
  <c r="R30" i="68"/>
  <c r="R33" i="68"/>
  <c r="R36" i="68"/>
  <c r="R57" i="68"/>
  <c r="R74" i="68"/>
  <c r="I41" i="68"/>
  <c r="Q65" i="68"/>
  <c r="R8" i="68"/>
  <c r="R25" i="68"/>
  <c r="D18" i="2"/>
  <c r="D43" i="2"/>
  <c r="R59" i="68"/>
  <c r="Q8" i="68"/>
  <c r="Q14" i="68"/>
  <c r="L20" i="2"/>
  <c r="L6" i="2"/>
  <c r="AA89" i="31"/>
  <c r="AC89" i="31" s="1"/>
  <c r="AP89" i="31" s="1"/>
  <c r="AA86" i="31"/>
  <c r="AC86" i="31" s="1"/>
  <c r="AP86" i="31" s="1"/>
  <c r="N63" i="68"/>
  <c r="AA66" i="31"/>
  <c r="AC66" i="31" s="1"/>
  <c r="AP66" i="31" s="1"/>
  <c r="N48" i="68"/>
  <c r="L17" i="2"/>
  <c r="N37" i="67"/>
  <c r="L35" i="2"/>
  <c r="R50" i="68"/>
  <c r="O63" i="68"/>
  <c r="T48" i="68"/>
  <c r="E44" i="2" s="1"/>
  <c r="E41" i="2"/>
  <c r="Q17" i="68"/>
  <c r="D20" i="2"/>
  <c r="Q21" i="68"/>
  <c r="K7" i="68"/>
  <c r="U30" i="68"/>
  <c r="O29" i="67"/>
  <c r="Q31" i="68"/>
  <c r="L19" i="2"/>
  <c r="AA72" i="31"/>
  <c r="AC72" i="31" s="1"/>
  <c r="AP72" i="31" s="1"/>
  <c r="Q32" i="67"/>
  <c r="D33" i="2"/>
  <c r="D12" i="2"/>
  <c r="O34" i="67"/>
  <c r="N29" i="67"/>
  <c r="Z62" i="31"/>
  <c r="AB62" i="31" s="1"/>
  <c r="AO62" i="31" s="1"/>
  <c r="D38" i="2"/>
  <c r="L28" i="2"/>
  <c r="AA69" i="31"/>
  <c r="AC69" i="31" s="1"/>
  <c r="AP69" i="31" s="1"/>
  <c r="L25" i="2"/>
  <c r="O7" i="68"/>
  <c r="AA61" i="31"/>
  <c r="AC61" i="31" s="1"/>
  <c r="AP61" i="31" s="1"/>
  <c r="I61" i="67"/>
  <c r="N20" i="67"/>
  <c r="N24" i="68"/>
  <c r="D19" i="2"/>
  <c r="D10" i="2"/>
  <c r="Q15" i="67"/>
  <c r="Q9" i="68"/>
  <c r="D36" i="2"/>
  <c r="N7" i="67"/>
  <c r="Q9" i="67"/>
  <c r="L10" i="2"/>
  <c r="D29" i="2"/>
  <c r="Q14" i="67"/>
  <c r="Q25" i="68"/>
  <c r="D30" i="2"/>
  <c r="N34" i="67"/>
  <c r="AA65" i="31"/>
  <c r="AC65" i="31" s="1"/>
  <c r="AP65" i="31" s="1"/>
  <c r="S40" i="67"/>
  <c r="V38" i="67"/>
  <c r="F33" i="67"/>
  <c r="F32" i="67"/>
  <c r="F31" i="67"/>
  <c r="F30" i="67"/>
  <c r="F27" i="67"/>
  <c r="F26" i="67"/>
  <c r="Q28" i="67"/>
  <c r="K7" i="67"/>
  <c r="F23" i="67"/>
  <c r="K34" i="67"/>
  <c r="K22" i="67"/>
  <c r="F19" i="67"/>
  <c r="F18" i="67"/>
  <c r="F17" i="67"/>
  <c r="O7" i="67"/>
  <c r="O20" i="67"/>
  <c r="F15" i="67"/>
  <c r="F14" i="67"/>
  <c r="F13" i="67"/>
  <c r="F12" i="67"/>
  <c r="F11" i="67"/>
  <c r="AP19" i="40"/>
  <c r="F9" i="67"/>
  <c r="T7" i="67"/>
  <c r="AP16" i="39"/>
  <c r="F8" i="67"/>
  <c r="F6" i="67"/>
  <c r="F46" i="68"/>
  <c r="E38" i="2"/>
  <c r="T44" i="68"/>
  <c r="AA77" i="31"/>
  <c r="AC77" i="31" s="1"/>
  <c r="AP77" i="31" s="1"/>
  <c r="N22" i="68"/>
  <c r="O24" i="68"/>
  <c r="F26" i="68"/>
  <c r="D21" i="2"/>
  <c r="Q10" i="68"/>
  <c r="K22" i="68"/>
  <c r="Q15" i="68"/>
  <c r="D11" i="2"/>
  <c r="D35" i="2"/>
  <c r="AP141" i="32"/>
  <c r="AP162" i="32"/>
  <c r="F39" i="68"/>
  <c r="AP131" i="32"/>
  <c r="AA75" i="31"/>
  <c r="AC75" i="31" s="1"/>
  <c r="AP75" i="31" s="1"/>
  <c r="Z68" i="31"/>
  <c r="AB68" i="31" s="1"/>
  <c r="AO68" i="31" s="1"/>
  <c r="AA80" i="31"/>
  <c r="AC80" i="31" s="1"/>
  <c r="AP80" i="31" s="1"/>
  <c r="AA74" i="31"/>
  <c r="AC74" i="31" s="1"/>
  <c r="AP74" i="31" s="1"/>
  <c r="AA83" i="31"/>
  <c r="AC83" i="31" s="1"/>
  <c r="AP83" i="31" s="1"/>
  <c r="AA60" i="31"/>
  <c r="AC60" i="31" s="1"/>
  <c r="AP60" i="31" s="1"/>
  <c r="AA84" i="31"/>
  <c r="AC84" i="31" s="1"/>
  <c r="AP84" i="31" s="1"/>
  <c r="AA71" i="31"/>
  <c r="AC71" i="31" s="1"/>
  <c r="AP71" i="31" s="1"/>
  <c r="F38" i="68"/>
  <c r="F37" i="68"/>
  <c r="AP21" i="30"/>
  <c r="O38" i="68"/>
  <c r="O34" i="68" s="1"/>
  <c r="N43" i="68"/>
  <c r="N38" i="68"/>
  <c r="O43" i="68"/>
  <c r="F36" i="68"/>
  <c r="F35" i="68"/>
  <c r="F33" i="68"/>
  <c r="F32" i="68"/>
  <c r="AP17" i="24"/>
  <c r="F30" i="68"/>
  <c r="AP26" i="24"/>
  <c r="F29" i="68"/>
  <c r="AP26" i="23"/>
  <c r="T41" i="68"/>
  <c r="F27" i="68"/>
  <c r="K41" i="68"/>
  <c r="K24" i="68"/>
  <c r="F25" i="68"/>
  <c r="AP20" i="21"/>
  <c r="F21" i="68"/>
  <c r="F20" i="68"/>
  <c r="F19" i="68"/>
  <c r="F18" i="68"/>
  <c r="AP11" i="18"/>
  <c r="F15" i="68"/>
  <c r="AP153" i="15"/>
  <c r="AP138" i="15"/>
  <c r="AP160" i="15"/>
  <c r="AP130" i="15"/>
  <c r="AP147" i="15"/>
  <c r="AP136" i="15"/>
  <c r="AP151" i="15"/>
  <c r="F14" i="68"/>
  <c r="AP214" i="15"/>
  <c r="AP143" i="15"/>
  <c r="AP201" i="15"/>
  <c r="AP220" i="15"/>
  <c r="F13" i="68"/>
  <c r="O22" i="68"/>
  <c r="F12" i="68"/>
  <c r="F11" i="68"/>
  <c r="AP33" i="12"/>
  <c r="F10" i="68"/>
  <c r="AP51" i="5"/>
  <c r="F9" i="68"/>
  <c r="F6" i="68"/>
  <c r="A24" i="62"/>
  <c r="A22" i="62"/>
  <c r="T20" i="67"/>
  <c r="M29" i="2"/>
  <c r="T29" i="67"/>
  <c r="AP52" i="46"/>
  <c r="M11" i="2"/>
  <c r="M21" i="2" s="1"/>
  <c r="V11" i="67"/>
  <c r="O11" i="2" s="1"/>
  <c r="AO6" i="43"/>
  <c r="A22" i="43"/>
  <c r="AP6" i="43"/>
  <c r="A24" i="43"/>
  <c r="AP24" i="40"/>
  <c r="S7" i="67"/>
  <c r="S20" i="67"/>
  <c r="S41" i="68"/>
  <c r="S24" i="68"/>
  <c r="V37" i="68"/>
  <c r="U36" i="68"/>
  <c r="T24" i="68"/>
  <c r="AP55" i="22"/>
  <c r="AP202" i="15"/>
  <c r="AP167" i="15"/>
  <c r="AP172" i="15"/>
  <c r="AP217" i="15"/>
  <c r="AP155" i="15"/>
  <c r="T22" i="68"/>
  <c r="T7" i="68"/>
  <c r="AP183" i="15"/>
  <c r="AP198" i="15"/>
  <c r="E23" i="2"/>
  <c r="AP48" i="12"/>
  <c r="AP40" i="12"/>
  <c r="AP18" i="3"/>
  <c r="S7" i="68"/>
  <c r="S22" i="68"/>
  <c r="F45" i="68"/>
  <c r="F8" i="68"/>
  <c r="N60" i="67"/>
  <c r="AP5" i="24"/>
  <c r="A24" i="24"/>
  <c r="AO5" i="13"/>
  <c r="A22" i="13"/>
  <c r="A24" i="42"/>
  <c r="AP5" i="42"/>
  <c r="A22" i="19"/>
  <c r="AO5" i="19"/>
  <c r="AP5" i="64"/>
  <c r="A24" i="64"/>
  <c r="AP5" i="33"/>
  <c r="A24" i="33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5" i="68"/>
  <c r="O48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AO5" i="29"/>
  <c r="A22" i="29"/>
  <c r="A24" i="75"/>
  <c r="AP5" i="75"/>
  <c r="A24" i="36"/>
  <c r="AP5" i="36"/>
  <c r="O69" i="68"/>
  <c r="R64" i="68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AP5" i="16"/>
  <c r="A24" i="16"/>
  <c r="AP5" i="73"/>
  <c r="A24" i="73"/>
  <c r="A24" i="54"/>
  <c r="AP5" i="54"/>
  <c r="Q48" i="68"/>
  <c r="U45" i="68"/>
  <c r="AP5" i="3"/>
  <c r="A24" i="3"/>
  <c r="A22" i="75"/>
  <c r="AO5" i="75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39" i="67"/>
  <c r="O40" i="67"/>
  <c r="AP5" i="51"/>
  <c r="A24" i="51"/>
  <c r="AO5" i="25"/>
  <c r="A22" i="25"/>
  <c r="A24" i="19"/>
  <c r="AP5" i="19"/>
  <c r="A24" i="46"/>
  <c r="AP5" i="46"/>
  <c r="R51" i="68"/>
  <c r="A24" i="5"/>
  <c r="AP5" i="5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22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AP5" i="38"/>
  <c r="A24" i="38"/>
  <c r="A22" i="74"/>
  <c r="AO5" i="74"/>
  <c r="AP5" i="29"/>
  <c r="A24" i="29"/>
  <c r="AO5" i="23"/>
  <c r="A22" i="23"/>
  <c r="A24" i="18"/>
  <c r="AP5" i="18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Q39" i="67"/>
  <c r="N40" i="67"/>
  <c r="AP5" i="30"/>
  <c r="A24" i="30"/>
  <c r="AO5" i="6"/>
  <c r="A22" i="6"/>
  <c r="A24" i="13"/>
  <c r="AP5" i="13"/>
  <c r="AO5" i="42"/>
  <c r="A22" i="42"/>
  <c r="U35" i="67"/>
  <c r="O60" i="67"/>
  <c r="A24" i="65"/>
  <c r="A24" i="34"/>
  <c r="A22" i="64"/>
  <c r="AO5" i="64"/>
  <c r="AO5" i="33"/>
  <c r="A22" i="33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AO5" i="63"/>
  <c r="A22" i="63"/>
  <c r="A24" i="15"/>
  <c r="AP5" i="15"/>
  <c r="AP5" i="23"/>
  <c r="A24" i="23"/>
  <c r="A22" i="18"/>
  <c r="AO5" i="18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9" i="68"/>
  <c r="Q64" i="68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P5" i="27"/>
  <c r="A24" i="27"/>
  <c r="A22" i="27"/>
  <c r="AO5" i="27"/>
  <c r="V30" i="67" l="1"/>
  <c r="V13" i="67"/>
  <c r="V29" i="68"/>
  <c r="V15" i="67"/>
  <c r="V18" i="67"/>
  <c r="V9" i="67"/>
  <c r="O10" i="2" s="1"/>
  <c r="O15" i="2"/>
  <c r="N30" i="2"/>
  <c r="N32" i="2"/>
  <c r="L34" i="2"/>
  <c r="V19" i="67"/>
  <c r="O32" i="2"/>
  <c r="N13" i="2"/>
  <c r="N35" i="2"/>
  <c r="N9" i="2"/>
  <c r="V25" i="67"/>
  <c r="O19" i="2"/>
  <c r="O27" i="2"/>
  <c r="O13" i="2"/>
  <c r="N6" i="2"/>
  <c r="V8" i="67"/>
  <c r="L37" i="2"/>
  <c r="N16" i="2"/>
  <c r="Q37" i="67"/>
  <c r="R29" i="67"/>
  <c r="V6" i="67"/>
  <c r="R22" i="67"/>
  <c r="V22" i="67" s="1"/>
  <c r="U30" i="67"/>
  <c r="Q22" i="67"/>
  <c r="U23" i="67"/>
  <c r="V32" i="67"/>
  <c r="V26" i="67"/>
  <c r="V33" i="67"/>
  <c r="U18" i="67"/>
  <c r="M8" i="2"/>
  <c r="V36" i="67"/>
  <c r="K22" i="2"/>
  <c r="J62" i="67"/>
  <c r="Q60" i="67"/>
  <c r="U12" i="67"/>
  <c r="V12" i="67"/>
  <c r="K62" i="67"/>
  <c r="U26" i="67"/>
  <c r="U31" i="67"/>
  <c r="V17" i="67"/>
  <c r="V31" i="67"/>
  <c r="Q7" i="67"/>
  <c r="S21" i="67"/>
  <c r="U15" i="67"/>
  <c r="V14" i="67"/>
  <c r="R34" i="67"/>
  <c r="U27" i="67"/>
  <c r="U24" i="67"/>
  <c r="U17" i="67"/>
  <c r="U19" i="67"/>
  <c r="O21" i="67"/>
  <c r="U28" i="67"/>
  <c r="T21" i="67"/>
  <c r="M22" i="2" s="1"/>
  <c r="K21" i="67"/>
  <c r="U25" i="67"/>
  <c r="R60" i="67"/>
  <c r="V35" i="67"/>
  <c r="V27" i="67"/>
  <c r="R7" i="67"/>
  <c r="V24" i="67"/>
  <c r="V16" i="67"/>
  <c r="U36" i="67"/>
  <c r="V23" i="67"/>
  <c r="U37" i="67"/>
  <c r="R37" i="67"/>
  <c r="L23" i="2"/>
  <c r="N21" i="67"/>
  <c r="V28" i="67"/>
  <c r="R20" i="67"/>
  <c r="M31" i="2"/>
  <c r="U14" i="67"/>
  <c r="I62" i="67"/>
  <c r="U32" i="67"/>
  <c r="H62" i="67"/>
  <c r="I70" i="68"/>
  <c r="U19" i="68"/>
  <c r="V36" i="68"/>
  <c r="U39" i="68"/>
  <c r="V27" i="68"/>
  <c r="E40" i="2"/>
  <c r="V42" i="68"/>
  <c r="U14" i="68"/>
  <c r="F15" i="2" s="1"/>
  <c r="V19" i="68"/>
  <c r="V8" i="68"/>
  <c r="U35" i="68"/>
  <c r="V35" i="68"/>
  <c r="V32" i="68"/>
  <c r="D45" i="2"/>
  <c r="V14" i="68"/>
  <c r="V33" i="68"/>
  <c r="D44" i="2"/>
  <c r="N34" i="68"/>
  <c r="U12" i="68"/>
  <c r="Q29" i="67"/>
  <c r="L21" i="2"/>
  <c r="Q34" i="67"/>
  <c r="U33" i="68"/>
  <c r="V20" i="68"/>
  <c r="V25" i="68"/>
  <c r="V13" i="68"/>
  <c r="L8" i="2"/>
  <c r="V9" i="68"/>
  <c r="U20" i="68"/>
  <c r="U32" i="68"/>
  <c r="V12" i="68"/>
  <c r="U42" i="68"/>
  <c r="U27" i="68"/>
  <c r="E25" i="2"/>
  <c r="E37" i="2" s="1"/>
  <c r="U26" i="68"/>
  <c r="R22" i="68"/>
  <c r="V6" i="68"/>
  <c r="E8" i="2"/>
  <c r="K23" i="68"/>
  <c r="T23" i="68"/>
  <c r="T70" i="68" s="1"/>
  <c r="C24" i="2"/>
  <c r="C48" i="2" s="1"/>
  <c r="S23" i="68"/>
  <c r="J70" i="68"/>
  <c r="F35" i="2"/>
  <c r="D8" i="2"/>
  <c r="V46" i="68"/>
  <c r="V40" i="68"/>
  <c r="U8" i="68"/>
  <c r="U21" i="68"/>
  <c r="Q63" i="68"/>
  <c r="U18" i="68"/>
  <c r="R7" i="68"/>
  <c r="V31" i="68"/>
  <c r="V21" i="68"/>
  <c r="G33" i="2"/>
  <c r="N23" i="68"/>
  <c r="F26" i="2"/>
  <c r="V17" i="68"/>
  <c r="F43" i="2"/>
  <c r="V28" i="68"/>
  <c r="U40" i="68"/>
  <c r="V18" i="68"/>
  <c r="U31" i="68"/>
  <c r="U17" i="68"/>
  <c r="V10" i="68"/>
  <c r="V47" i="68"/>
  <c r="U10" i="68"/>
  <c r="R24" i="68"/>
  <c r="G15" i="2"/>
  <c r="V26" i="68"/>
  <c r="O23" i="68"/>
  <c r="V39" i="68"/>
  <c r="U9" i="68"/>
  <c r="U11" i="68"/>
  <c r="V11" i="68"/>
  <c r="G26" i="2"/>
  <c r="U37" i="68"/>
  <c r="F6" i="2"/>
  <c r="F14" i="2"/>
  <c r="F41" i="2"/>
  <c r="F32" i="2"/>
  <c r="U48" i="68"/>
  <c r="N44" i="68"/>
  <c r="U15" i="68"/>
  <c r="U25" i="68"/>
  <c r="F27" i="2"/>
  <c r="V15" i="68"/>
  <c r="U28" i="68"/>
  <c r="G32" i="2"/>
  <c r="R38" i="68"/>
  <c r="D25" i="2"/>
  <c r="V30" i="68"/>
  <c r="R63" i="68"/>
  <c r="E29" i="68"/>
  <c r="E9" i="68"/>
  <c r="E12" i="68"/>
  <c r="K70" i="68"/>
  <c r="Q24" i="68"/>
  <c r="D23" i="2"/>
  <c r="Q20" i="67"/>
  <c r="U9" i="67"/>
  <c r="D39" i="2"/>
  <c r="Q43" i="68"/>
  <c r="V29" i="67"/>
  <c r="E11" i="68"/>
  <c r="E45" i="68"/>
  <c r="E32" i="68"/>
  <c r="E10" i="68"/>
  <c r="E15" i="68"/>
  <c r="E27" i="68"/>
  <c r="E14" i="68"/>
  <c r="E42" i="68"/>
  <c r="E6" i="68"/>
  <c r="Q22" i="68"/>
  <c r="E13" i="68"/>
  <c r="E17" i="68"/>
  <c r="E26" i="68"/>
  <c r="E46" i="68"/>
  <c r="E28" i="68"/>
  <c r="E25" i="68"/>
  <c r="E34" i="68"/>
  <c r="O41" i="68"/>
  <c r="R43" i="68"/>
  <c r="O44" i="68"/>
  <c r="D34" i="2"/>
  <c r="Q38" i="68"/>
  <c r="N41" i="68"/>
  <c r="M42" i="2"/>
  <c r="U7" i="68"/>
  <c r="AP5" i="35"/>
  <c r="A24" i="35"/>
  <c r="R69" i="68"/>
  <c r="U39" i="67"/>
  <c r="Q40" i="67"/>
  <c r="O61" i="67"/>
  <c r="D46" i="2"/>
  <c r="Q69" i="68"/>
  <c r="A24" i="31"/>
  <c r="AP5" i="31"/>
  <c r="N61" i="67"/>
  <c r="L38" i="2"/>
  <c r="V45" i="68"/>
  <c r="R48" i="68"/>
  <c r="AO5" i="35"/>
  <c r="A22" i="35"/>
  <c r="A22" i="31"/>
  <c r="AO5" i="31"/>
  <c r="V20" i="67"/>
  <c r="R21" i="67"/>
  <c r="V39" i="67"/>
  <c r="R40" i="67"/>
  <c r="M40" i="2" l="1"/>
  <c r="K40" i="2"/>
  <c r="G29" i="2"/>
  <c r="O36" i="2"/>
  <c r="F31" i="2"/>
  <c r="N25" i="2"/>
  <c r="O29" i="2"/>
  <c r="N29" i="2"/>
  <c r="N26" i="2"/>
  <c r="O14" i="2"/>
  <c r="O28" i="2"/>
  <c r="N19" i="2"/>
  <c r="N27" i="2"/>
  <c r="G31" i="2"/>
  <c r="O33" i="2"/>
  <c r="O34" i="2" s="1"/>
  <c r="N10" i="2"/>
  <c r="F29" i="2"/>
  <c r="O25" i="2"/>
  <c r="O17" i="2"/>
  <c r="N12" i="2"/>
  <c r="O30" i="2"/>
  <c r="O12" i="2"/>
  <c r="D40" i="2"/>
  <c r="G13" i="2"/>
  <c r="F21" i="2"/>
  <c r="N14" i="2"/>
  <c r="O23" i="2"/>
  <c r="O35" i="2"/>
  <c r="G21" i="2"/>
  <c r="L31" i="2"/>
  <c r="G10" i="2"/>
  <c r="G30" i="2"/>
  <c r="N20" i="2"/>
  <c r="N28" i="2"/>
  <c r="O6" i="2"/>
  <c r="O20" i="2"/>
  <c r="F30" i="2"/>
  <c r="N24" i="2"/>
  <c r="F20" i="2"/>
  <c r="O16" i="2"/>
  <c r="G6" i="2"/>
  <c r="G14" i="2"/>
  <c r="N17" i="2"/>
  <c r="N15" i="2"/>
  <c r="F13" i="2"/>
  <c r="O9" i="2"/>
  <c r="N33" i="2"/>
  <c r="N34" i="2" s="1"/>
  <c r="O26" i="2"/>
  <c r="N36" i="2"/>
  <c r="N37" i="2" s="1"/>
  <c r="O24" i="2"/>
  <c r="O37" i="2"/>
  <c r="U22" i="67"/>
  <c r="V7" i="67"/>
  <c r="Q61" i="67"/>
  <c r="U29" i="67"/>
  <c r="L22" i="2"/>
  <c r="O62" i="67"/>
  <c r="N62" i="67"/>
  <c r="R61" i="67"/>
  <c r="U34" i="67"/>
  <c r="U20" i="67"/>
  <c r="V40" i="67"/>
  <c r="V37" i="67"/>
  <c r="T62" i="67"/>
  <c r="S62" i="67"/>
  <c r="U40" i="67"/>
  <c r="U7" i="67"/>
  <c r="V34" i="67"/>
  <c r="G20" i="2"/>
  <c r="G9" i="2"/>
  <c r="G38" i="2"/>
  <c r="R23" i="68"/>
  <c r="V22" i="68"/>
  <c r="F38" i="2"/>
  <c r="D37" i="2"/>
  <c r="V7" i="68"/>
  <c r="S70" i="68"/>
  <c r="E24" i="2"/>
  <c r="E48" i="2" s="1"/>
  <c r="E51" i="2" s="1"/>
  <c r="Q34" i="68"/>
  <c r="F11" i="2"/>
  <c r="F18" i="2"/>
  <c r="F22" i="2"/>
  <c r="G41" i="2"/>
  <c r="V23" i="68"/>
  <c r="G35" i="2"/>
  <c r="G42" i="2"/>
  <c r="F28" i="2"/>
  <c r="G18" i="2"/>
  <c r="Q41" i="68"/>
  <c r="U38" i="68"/>
  <c r="Q23" i="68"/>
  <c r="G27" i="2"/>
  <c r="G16" i="2"/>
  <c r="G11" i="2"/>
  <c r="G28" i="2"/>
  <c r="F9" i="2"/>
  <c r="U43" i="68"/>
  <c r="F33" i="2"/>
  <c r="F12" i="2"/>
  <c r="G19" i="2"/>
  <c r="G36" i="2"/>
  <c r="R34" i="68"/>
  <c r="V24" i="68"/>
  <c r="R41" i="68"/>
  <c r="D24" i="2"/>
  <c r="F10" i="2"/>
  <c r="F8" i="2"/>
  <c r="V38" i="68"/>
  <c r="F44" i="2"/>
  <c r="F36" i="2"/>
  <c r="V48" i="68"/>
  <c r="U24" i="68"/>
  <c r="F16" i="2"/>
  <c r="G12" i="2"/>
  <c r="G22" i="2"/>
  <c r="F19" i="2"/>
  <c r="G43" i="2"/>
  <c r="Q21" i="67"/>
  <c r="Q44" i="68"/>
  <c r="U22" i="68"/>
  <c r="O70" i="68"/>
  <c r="V43" i="68"/>
  <c r="R44" i="68"/>
  <c r="N70" i="68"/>
  <c r="V21" i="67"/>
  <c r="V69" i="68"/>
  <c r="L40" i="2" l="1"/>
  <c r="L42" i="2"/>
  <c r="N8" i="2"/>
  <c r="O31" i="2"/>
  <c r="N31" i="2"/>
  <c r="O8" i="2"/>
  <c r="N23" i="2"/>
  <c r="D51" i="2"/>
  <c r="G8" i="2"/>
  <c r="O22" i="2"/>
  <c r="Q62" i="67"/>
  <c r="R62" i="67"/>
  <c r="D48" i="2"/>
  <c r="G39" i="2"/>
  <c r="F25" i="2"/>
  <c r="G34" i="2"/>
  <c r="U44" i="68"/>
  <c r="G44" i="2"/>
  <c r="F34" i="2"/>
  <c r="U41" i="68"/>
  <c r="G24" i="2"/>
  <c r="V41" i="68"/>
  <c r="U21" i="67"/>
  <c r="F39" i="2"/>
  <c r="Q70" i="68"/>
  <c r="G25" i="2"/>
  <c r="U23" i="68"/>
  <c r="V44" i="68"/>
  <c r="V34" i="68"/>
  <c r="U34" i="68"/>
  <c r="R70" i="68"/>
  <c r="N22" i="2" l="1"/>
  <c r="V62" i="67"/>
  <c r="U62" i="67"/>
  <c r="V70" i="68"/>
  <c r="F40" i="2"/>
  <c r="G37" i="2"/>
  <c r="U70" i="68"/>
  <c r="G40" i="2"/>
  <c r="F24" i="2"/>
  <c r="F37" i="2"/>
  <c r="N40" i="2" l="1"/>
  <c r="O40" i="2"/>
  <c r="F48" i="2"/>
  <c r="G48" i="2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Evaluated Savings in 2020 came to 904,454 therms.  The difference between reported and evaluated savings in 2020 is reported as the decrement in 2021.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The evaluated savings in 2022 came to 1,220,951 therms.  Because this is higher than the reported savings, this number "trues up" the biennium number to the actual evaluated savings number.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Wildie, Michelle</author>
  </authors>
  <commentList>
    <comment ref="B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existing 2021 data in sheet</t>
        </r>
      </text>
    </comment>
    <comment ref="C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order numbers for 2021 data in sheet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  <author>Wildie, Michelle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A6" authorId="1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Not applicable for gas version; legacy reasons.</t>
        </r>
      </text>
    </comment>
    <comment ref="A8" authorId="1" shapeId="0">
      <text>
        <r>
          <rPr>
            <b/>
            <sz val="9"/>
            <color indexed="81"/>
            <rFont val="Tahoma"/>
            <family val="2"/>
          </rPr>
          <t>Wildie, Michelle:</t>
        </r>
        <r>
          <rPr>
            <sz val="9"/>
            <color indexed="81"/>
            <rFont val="Tahoma"/>
            <family val="2"/>
          </rPr>
          <t xml:space="preserve">
Not applicable for gas version; legacy reasons.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<sst xmlns="http://schemas.openxmlformats.org/spreadsheetml/2006/main" count="17745" uniqueCount="2582">
  <si>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</si>
  <si>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</si>
  <si>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</si>
  <si>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</si>
  <si>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</si>
  <si>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</si>
  <si>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</si>
  <si>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</si>
  <si>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</si>
  <si>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</si>
  <si>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</si>
  <si>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</si>
  <si>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</si>
  <si>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</si>
  <si>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</si>
  <si>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</si>
  <si>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</si>
  <si>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</si>
  <si>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</si>
  <si>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</si>
  <si>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</si>
  <si>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</si>
  <si>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</si>
  <si>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</si>
  <si>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</si>
  <si>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</si>
  <si>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</si>
  <si>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</si>
  <si>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</si>
  <si>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</si>
  <si>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</si>
  <si>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</si>
  <si>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</si>
  <si>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</si>
  <si>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</si>
  <si>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</si>
  <si>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</si>
  <si>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</si>
  <si>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</si>
  <si>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</si>
  <si>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</si>
  <si>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</si>
  <si>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</si>
  <si>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</si>
  <si>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</si>
  <si>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</si>
  <si>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</si>
  <si>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</si>
  <si>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</si>
  <si>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</si>
  <si>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</si>
  <si>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</si>
  <si>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</si>
  <si>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</si>
  <si>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</si>
  <si>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</si>
  <si>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</si>
  <si>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</si>
  <si>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</si>
  <si>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</si>
  <si>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</si>
  <si>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</si>
  <si>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</si>
  <si>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</si>
  <si>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</si>
  <si>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</si>
  <si>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</si>
  <si>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</si>
  <si>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</si>
  <si>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</si>
  <si>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</si>
  <si>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</si>
  <si>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</si>
  <si>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</si>
  <si>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</si>
  <si>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</si>
  <si>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</si>
  <si>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</si>
  <si>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</si>
  <si>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</si>
  <si>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</si>
  <si>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</si>
  <si>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</si>
  <si>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</si>
  <si>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</si>
  <si>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</si>
  <si>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</si>
  <si>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</si>
  <si>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</si>
  <si>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</si>
  <si>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</si>
  <si>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</si>
  <si>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</si>
  <si>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</si>
  <si>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</si>
  <si>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</si>
  <si>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</si>
  <si>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</si>
  <si>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</si>
  <si>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</si>
  <si>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</si>
  <si>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</si>
  <si>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</si>
  <si>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</si>
  <si>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</si>
  <si>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</si>
  <si>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</si>
  <si>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</si>
  <si>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</si>
  <si>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</si>
  <si>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</si>
  <si>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</si>
  <si>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</si>
  <si>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</si>
  <si>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</si>
  <si>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</si>
  <si>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</si>
  <si>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</si>
  <si>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</si>
  <si>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</si>
  <si>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</si>
  <si>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</si>
  <si>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</si>
  <si>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</si>
  <si>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</si>
  <si>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</si>
  <si>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</si>
  <si>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</si>
  <si>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</si>
  <si>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</si>
  <si>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</si>
  <si>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</si>
  <si>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</si>
  <si>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</si>
  <si>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</si>
  <si>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</si>
  <si>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</si>
  <si>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</si>
  <si>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</si>
  <si>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</si>
  <si>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</si>
  <si>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</si>
  <si>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</si>
  <si>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</si>
  <si>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</si>
  <si>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</si>
  <si>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</si>
  <si>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</si>
  <si>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</si>
  <si>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</si>
  <si>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</si>
  <si>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</si>
  <si>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</si>
  <si>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</si>
  <si>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</si>
  <si>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</si>
  <si>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</si>
  <si>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</si>
  <si>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</si>
  <si>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</si>
  <si>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</si>
  <si>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</si>
  <si>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</si>
  <si>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</si>
  <si>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</si>
  <si>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</si>
  <si>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</si>
  <si>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</si>
  <si>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</si>
  <si>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</si>
  <si>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</si>
  <si>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</si>
  <si>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</si>
  <si>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</si>
  <si>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</si>
  <si>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</si>
  <si>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</si>
  <si>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</si>
  <si>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</si>
  <si>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</si>
  <si>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</si>
  <si>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</si>
  <si>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</si>
  <si>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</si>
  <si>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</si>
  <si>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</si>
  <si>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</si>
  <si>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</si>
  <si>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</si>
  <si>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</si>
  <si>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</si>
  <si>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</si>
  <si>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</si>
  <si>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</si>
  <si>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</si>
  <si>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</si>
  <si>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</si>
  <si>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</si>
  <si>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</si>
  <si>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</si>
  <si>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</si>
  <si>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</si>
  <si>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</si>
  <si>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</si>
  <si>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</si>
  <si>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</si>
  <si>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</si>
  <si>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</si>
  <si>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</si>
  <si>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</si>
  <si>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</si>
  <si>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</si>
  <si>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</si>
  <si>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</si>
  <si>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</si>
  <si>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</si>
  <si>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</si>
  <si>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</si>
  <si>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</si>
  <si>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</si>
  <si>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</si>
  <si>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</si>
  <si>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</si>
  <si>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</si>
  <si>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</si>
  <si>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</si>
  <si>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</si>
  <si>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</si>
  <si>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</si>
  <si>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</si>
  <si>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</si>
  <si>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</si>
  <si>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</si>
  <si>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</si>
  <si>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</si>
  <si>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</si>
  <si>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</si>
  <si>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</si>
  <si>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</si>
  <si>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</si>
  <si>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</si>
  <si>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</si>
  <si>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</si>
  <si>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</si>
  <si>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</si>
  <si>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</si>
  <si>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</si>
  <si>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</si>
  <si>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</si>
  <si>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</si>
  <si>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Total Savings (kWh):</t>
  </si>
  <si>
    <t>Total Incentives:</t>
  </si>
  <si>
    <t>Total Customer Costs:</t>
  </si>
  <si>
    <t>Weighted Avg Life</t>
  </si>
  <si>
    <t>Total Utility Cost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</si>
  <si>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</si>
  <si>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</si>
  <si>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</si>
  <si>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</si>
  <si>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</si>
  <si>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</si>
  <si>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</si>
  <si>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</si>
  <si>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</si>
  <si>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</si>
  <si>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</si>
  <si>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</si>
  <si>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</si>
  <si>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</si>
  <si>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</si>
  <si>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</si>
  <si>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</si>
  <si>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</si>
  <si>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</si>
  <si>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</si>
  <si>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</si>
  <si>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</si>
  <si>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</si>
  <si>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</si>
  <si>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</si>
  <si>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</si>
  <si>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</si>
  <si>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</si>
  <si>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</si>
  <si>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</si>
  <si>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</si>
  <si>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</si>
  <si>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</si>
  <si>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</si>
  <si>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</si>
  <si>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</si>
  <si>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</si>
  <si>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</si>
  <si>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</si>
  <si>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</si>
  <si>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</si>
  <si>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</si>
  <si>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</si>
  <si>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</si>
  <si>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</si>
  <si>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</si>
  <si>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</si>
  <si>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</si>
  <si>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</si>
  <si>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</si>
  <si>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</si>
  <si>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</si>
  <si>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</si>
  <si>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</si>
  <si>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</si>
  <si>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</si>
  <si>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</si>
  <si>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</si>
  <si>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</si>
  <si>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</si>
  <si>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</si>
  <si>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</si>
  <si>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</si>
  <si>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</si>
  <si>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</si>
  <si>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</si>
  <si>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</si>
  <si>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</si>
  <si>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</si>
  <si>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</si>
  <si>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</si>
  <si>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</si>
  <si>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</si>
  <si>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</si>
  <si>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</si>
  <si>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</si>
  <si>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</si>
  <si>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</si>
  <si>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</si>
  <si>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</si>
  <si>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</si>
  <si>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</si>
  <si>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</si>
  <si>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</si>
  <si>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</si>
  <si>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</si>
  <si>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</si>
  <si>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</si>
  <si>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</si>
  <si>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</si>
  <si>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</si>
  <si>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</si>
  <si>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</si>
  <si>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</si>
  <si>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</si>
  <si>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</si>
  <si>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</si>
  <si>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</si>
  <si>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</si>
  <si>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</si>
  <si>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</si>
  <si>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</si>
  <si>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</si>
  <si>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</si>
  <si>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</si>
  <si>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</si>
  <si>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</si>
  <si>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</si>
  <si>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</si>
  <si>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</si>
  <si>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</si>
  <si>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</si>
  <si>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</si>
  <si>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</si>
  <si>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</si>
  <si>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</si>
  <si>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</si>
  <si>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</si>
  <si>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</si>
  <si>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</si>
  <si>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</si>
  <si>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</si>
  <si>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</si>
  <si>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</si>
  <si>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</si>
  <si>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</si>
  <si>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</si>
  <si>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</si>
  <si>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</si>
  <si>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</si>
  <si>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</si>
  <si>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</si>
  <si>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</si>
  <si>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</si>
  <si>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</si>
  <si>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</si>
  <si>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</si>
  <si>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</si>
  <si>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</si>
  <si>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</si>
  <si>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</si>
  <si>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</si>
  <si>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</si>
  <si>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</si>
  <si>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</si>
  <si>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</si>
  <si>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</si>
  <si>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</si>
  <si>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</si>
  <si>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</si>
  <si>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</si>
  <si>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</si>
  <si>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</si>
  <si>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</si>
  <si>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</si>
  <si>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</si>
  <si>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</si>
  <si>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</si>
  <si>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</si>
  <si>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</si>
  <si>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</si>
  <si>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</si>
  <si>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</si>
  <si>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</si>
  <si>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</si>
  <si>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</si>
  <si>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</si>
  <si>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</si>
  <si>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</si>
  <si>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</si>
  <si>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</si>
  <si>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</si>
  <si>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</si>
  <si>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</si>
  <si>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</si>
  <si>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</si>
  <si>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</si>
  <si>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</si>
  <si>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</si>
  <si>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</si>
  <si>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</si>
  <si>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</si>
  <si>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</si>
  <si>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</si>
  <si>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</si>
  <si>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</si>
  <si>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</si>
  <si>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</si>
  <si>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</si>
  <si>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</si>
  <si>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</si>
  <si>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</si>
  <si>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</si>
  <si>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</si>
  <si>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</si>
  <si>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</si>
  <si>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</si>
  <si>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</si>
  <si>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</si>
  <si>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</si>
  <si>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</si>
  <si>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</si>
  <si>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</si>
  <si>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</si>
  <si>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</si>
  <si>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</si>
  <si>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</si>
  <si>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</si>
  <si>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</si>
  <si>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</si>
  <si>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</si>
  <si>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</si>
  <si>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</si>
  <si>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</si>
  <si>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</si>
  <si>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</si>
  <si>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</si>
  <si>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</si>
  <si>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</si>
  <si>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</si>
  <si>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</si>
  <si>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</si>
  <si>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</si>
  <si>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</si>
  <si>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</si>
  <si>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</si>
  <si>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</si>
  <si>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</si>
  <si>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</si>
  <si>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</si>
  <si>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</si>
  <si>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</si>
  <si>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</si>
  <si>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</si>
  <si>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</si>
  <si>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</si>
  <si>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</si>
  <si>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</si>
  <si>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</si>
  <si>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</si>
  <si>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</si>
  <si>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</si>
  <si>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</si>
  <si>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</si>
  <si>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</si>
  <si>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</si>
  <si>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</si>
  <si>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</si>
  <si>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</si>
  <si>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</si>
  <si>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</si>
  <si>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</si>
  <si>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</si>
  <si>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</si>
  <si>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</si>
  <si>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</si>
  <si>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</si>
  <si>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</si>
  <si>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</si>
  <si>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</si>
  <si>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</si>
  <si>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</si>
  <si>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</si>
  <si>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</si>
  <si>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</si>
  <si>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</si>
  <si>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</si>
  <si>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</si>
  <si>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</si>
  <si>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</si>
  <si>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</si>
  <si>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</si>
  <si>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</si>
  <si>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</si>
  <si>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</si>
  <si>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</si>
  <si>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</si>
  <si>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</si>
  <si>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</si>
  <si>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</si>
  <si>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</si>
  <si>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</si>
  <si>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</si>
  <si>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</si>
  <si>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</si>
  <si>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</si>
  <si>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</si>
  <si>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</si>
  <si>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</si>
  <si>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</si>
  <si>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</si>
  <si>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</si>
  <si>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</si>
  <si>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</si>
  <si>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</si>
  <si>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</si>
  <si>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</si>
  <si>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</si>
  <si>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</si>
  <si>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</si>
  <si>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</si>
  <si>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</si>
  <si>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</si>
  <si>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</si>
  <si>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</si>
  <si>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</si>
  <si>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</si>
  <si>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</si>
  <si>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</si>
  <si>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</si>
  <si>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</si>
  <si>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</si>
  <si>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</si>
  <si>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</si>
  <si>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</si>
  <si>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</si>
  <si>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</si>
  <si>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</si>
  <si>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</si>
  <si>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</si>
  <si>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</si>
  <si>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</si>
  <si>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</si>
  <si>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</si>
  <si>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</si>
  <si>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</si>
  <si>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</si>
  <si>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</si>
  <si>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</si>
  <si>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</si>
  <si>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</si>
  <si>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</si>
  <si>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</si>
  <si>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</si>
  <si>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</si>
  <si>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</si>
  <si>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</si>
  <si>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</si>
  <si>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</si>
  <si>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</si>
  <si>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</si>
  <si>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</si>
  <si>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</si>
  <si>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</si>
  <si>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</si>
  <si>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</si>
  <si>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</si>
  <si>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</si>
  <si>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</si>
  <si>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</si>
  <si>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</si>
  <si>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</si>
  <si>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</si>
  <si>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</si>
  <si>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</si>
  <si>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</si>
  <si>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</si>
  <si>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</si>
  <si>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</si>
  <si>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</si>
  <si>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</si>
  <si>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</si>
  <si>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</si>
  <si>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</si>
  <si>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</si>
  <si>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</si>
  <si>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</si>
  <si>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</si>
  <si>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</si>
  <si>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</si>
  <si>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</si>
  <si>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</si>
  <si>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</si>
  <si>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</si>
  <si>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</si>
  <si>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</si>
  <si>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</si>
  <si>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</si>
  <si>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</si>
  <si>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</si>
  <si>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</si>
  <si>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</si>
  <si>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</si>
  <si>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</si>
  <si>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</si>
  <si>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</si>
  <si>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</si>
  <si>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</si>
  <si>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</si>
  <si>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</si>
  <si>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</si>
  <si>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</si>
  <si>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</si>
  <si>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</si>
  <si>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</si>
  <si>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</si>
  <si>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</si>
  <si>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</si>
  <si>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</si>
  <si>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</si>
  <si>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</si>
  <si>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</si>
  <si>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</si>
  <si>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</si>
  <si>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</si>
  <si>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</si>
  <si>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</si>
  <si>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</si>
  <si>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</si>
  <si>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</si>
  <si>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</si>
  <si>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</si>
  <si>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</si>
  <si>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</si>
  <si>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</si>
  <si>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</si>
  <si>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</si>
  <si>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</si>
  <si>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</si>
  <si>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</si>
  <si>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</si>
  <si>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</si>
  <si>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</si>
  <si>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</si>
  <si>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</si>
  <si>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</si>
  <si>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</si>
  <si>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</si>
  <si>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</si>
  <si>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</si>
  <si>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</si>
  <si>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</si>
  <si>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</si>
  <si>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</si>
  <si>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</si>
  <si>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</si>
  <si>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</si>
  <si>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</si>
  <si>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</si>
  <si>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</si>
  <si>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</si>
  <si>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</si>
  <si>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</si>
  <si>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</si>
  <si>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</si>
  <si>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</si>
  <si>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</si>
  <si>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</si>
  <si>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</si>
  <si>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</si>
  <si>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</si>
  <si>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</si>
  <si>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</si>
  <si>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</si>
  <si>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</si>
  <si>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</si>
  <si>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</si>
  <si>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</si>
  <si>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</si>
  <si>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</si>
  <si>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</si>
  <si>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</si>
  <si>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</si>
  <si>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</si>
  <si>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</si>
  <si>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</si>
  <si>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</si>
  <si>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</si>
  <si>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</si>
  <si>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</si>
  <si>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</si>
  <si>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</si>
  <si>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</si>
  <si>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</si>
  <si>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</si>
  <si>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</si>
  <si>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</si>
  <si>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</si>
  <si>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</si>
  <si>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</si>
  <si>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</si>
  <si>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</si>
  <si>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</si>
  <si>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</si>
  <si>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</si>
  <si>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</si>
  <si>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</si>
  <si>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</si>
  <si>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</si>
  <si>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</si>
  <si>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</si>
  <si>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</si>
  <si>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</si>
  <si>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</si>
  <si>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</si>
  <si>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</si>
  <si>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</si>
  <si>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</si>
  <si>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</si>
  <si>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</si>
  <si>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</si>
  <si>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</si>
  <si>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</si>
  <si>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</si>
  <si>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</si>
  <si>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</si>
  <si>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</si>
  <si>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</si>
  <si>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</si>
  <si>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</si>
  <si>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</si>
  <si>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</si>
  <si>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</si>
  <si>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</si>
  <si>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</si>
  <si>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</si>
  <si>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</si>
  <si>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</si>
  <si>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</si>
  <si>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</si>
  <si>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</si>
  <si>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</si>
  <si>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</si>
  <si>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</si>
  <si>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</si>
  <si>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</si>
  <si>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</si>
  <si>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</si>
  <si>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</si>
  <si>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</si>
  <si>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</si>
  <si>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</si>
  <si>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</si>
  <si>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</si>
  <si>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</si>
  <si>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</si>
  <si>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</si>
  <si>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</si>
  <si>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</si>
  <si>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</si>
  <si>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</si>
  <si>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</si>
  <si>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</si>
  <si>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</si>
  <si>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</si>
  <si>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</si>
  <si>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</si>
  <si>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</si>
  <si>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</si>
  <si>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</si>
  <si>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</si>
  <si>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</si>
  <si>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</si>
  <si>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</si>
  <si>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</si>
  <si>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</si>
  <si>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</si>
  <si>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</si>
  <si>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</si>
  <si>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</si>
  <si>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</si>
  <si>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</si>
  <si>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</si>
  <si>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</si>
  <si>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</si>
  <si>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</si>
  <si>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</si>
  <si>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</si>
  <si>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</si>
  <si>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</si>
  <si>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</si>
  <si>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</si>
  <si>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</si>
  <si>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</si>
  <si>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</si>
  <si>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</si>
  <si>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</si>
  <si>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</si>
  <si>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</si>
  <si>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</si>
  <si>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</si>
  <si>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</si>
  <si>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</si>
  <si>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</si>
  <si>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</si>
  <si>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</si>
  <si>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</si>
  <si>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</si>
  <si>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</si>
  <si>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</si>
  <si>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</si>
  <si>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</si>
  <si>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</si>
  <si>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</si>
  <si>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</si>
  <si>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</si>
  <si>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</si>
  <si>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</si>
  <si>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</si>
  <si>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</si>
  <si>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</si>
  <si>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</si>
  <si>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</si>
  <si>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</si>
  <si>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</si>
  <si>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</si>
  <si>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</si>
  <si>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</si>
  <si>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</si>
  <si>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</si>
  <si>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</si>
  <si>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</si>
  <si>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</si>
  <si>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</si>
  <si>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</si>
  <si>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</si>
  <si>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</si>
  <si>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</si>
  <si>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</si>
  <si>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</si>
  <si>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</si>
  <si>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</si>
  <si>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</si>
  <si>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</si>
  <si>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</si>
  <si>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</si>
  <si>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</si>
  <si>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</si>
  <si>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</si>
  <si>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</si>
  <si>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</si>
  <si>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</si>
  <si>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</si>
  <si>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</si>
  <si>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</si>
  <si>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</si>
  <si>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</si>
  <si>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</si>
  <si>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</si>
  <si>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</si>
  <si>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</si>
  <si>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</si>
  <si>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</si>
  <si>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</si>
  <si>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</si>
  <si>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</si>
  <si>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</si>
  <si>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</si>
  <si>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</si>
  <si>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</si>
  <si>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</si>
  <si>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</si>
  <si>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</si>
  <si>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</si>
  <si>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</si>
  <si>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</si>
  <si>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</si>
  <si>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</si>
  <si>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</si>
  <si>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</si>
  <si>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</si>
  <si>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</si>
  <si>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</si>
  <si>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</si>
  <si>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</si>
  <si>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</si>
  <si>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</si>
  <si>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</si>
  <si>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</si>
  <si>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</si>
  <si>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</si>
  <si>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</si>
  <si>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</si>
  <si>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</si>
  <si>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</si>
  <si>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</si>
  <si>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</si>
  <si>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</si>
  <si>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</si>
  <si>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</si>
  <si>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</si>
  <si>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</si>
  <si>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</si>
  <si>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</si>
  <si>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</si>
  <si>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</si>
  <si>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</si>
  <si>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</si>
  <si>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</si>
  <si>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</si>
  <si>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</si>
  <si>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</si>
  <si>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</si>
  <si>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</si>
  <si>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</si>
  <si>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</si>
  <si>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</si>
  <si>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</si>
  <si>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</si>
  <si>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</si>
  <si>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</si>
  <si>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</si>
  <si>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</si>
  <si>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</si>
  <si>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</si>
  <si>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</si>
  <si>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</si>
  <si>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</si>
  <si>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</si>
  <si>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</si>
  <si>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</si>
  <si>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</si>
  <si>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</si>
  <si>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</si>
  <si>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</si>
  <si>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</si>
  <si>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</si>
  <si>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</si>
  <si>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</si>
  <si>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</si>
  <si>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</si>
  <si>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</si>
  <si>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</si>
  <si>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</si>
  <si>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</si>
  <si>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</si>
  <si>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</si>
  <si>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</si>
  <si>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</si>
  <si>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</si>
  <si>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</si>
  <si>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</si>
  <si>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</si>
  <si>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</si>
  <si>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</si>
  <si>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</si>
  <si>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</si>
  <si>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</si>
  <si>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</si>
  <si>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</si>
  <si>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</si>
  <si>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</si>
  <si>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</si>
  <si>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</si>
  <si>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</si>
  <si>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</si>
  <si>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</si>
  <si>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</si>
  <si>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</si>
  <si>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</si>
  <si>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</si>
  <si>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</si>
  <si>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</si>
  <si>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</si>
  <si>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</si>
  <si>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</si>
  <si>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</si>
  <si>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</si>
  <si>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</si>
  <si>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</si>
  <si>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</si>
  <si>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</si>
  <si>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</si>
  <si>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</si>
  <si>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</si>
  <si>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</si>
  <si>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</si>
  <si>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</si>
  <si>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</si>
  <si>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</si>
  <si>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</si>
  <si>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</si>
  <si>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</si>
  <si>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</si>
  <si>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</si>
  <si>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</si>
  <si>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</si>
  <si>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</si>
  <si>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</si>
  <si>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</si>
  <si>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</si>
  <si>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</si>
  <si>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</si>
  <si>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</si>
  <si>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</si>
  <si>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</si>
  <si>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</si>
  <si>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</si>
  <si>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</si>
  <si>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</si>
  <si>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</si>
  <si>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</si>
  <si>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</si>
  <si>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</si>
  <si>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</si>
  <si>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</si>
  <si>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</si>
  <si>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</si>
  <si>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</si>
  <si>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</si>
  <si>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</si>
  <si>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</si>
  <si>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</si>
  <si>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</si>
  <si>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</si>
  <si>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</si>
  <si>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</si>
  <si>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</si>
  <si>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</si>
  <si>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</si>
  <si>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</si>
  <si>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</si>
  <si>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</si>
  <si>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</si>
  <si>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</si>
  <si>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</si>
  <si>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</si>
  <si>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</si>
  <si>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</si>
  <si>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</si>
  <si>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</si>
  <si>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</si>
  <si>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</si>
  <si>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</si>
  <si>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</si>
  <si>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</si>
  <si>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</si>
  <si>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</si>
  <si>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</si>
  <si>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</si>
  <si>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</si>
  <si>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</si>
  <si>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</si>
  <si>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</si>
  <si>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</si>
  <si>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</si>
  <si>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</si>
  <si>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</si>
  <si>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</si>
  <si>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</si>
  <si>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</si>
  <si>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</si>
  <si>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</si>
  <si>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</si>
  <si>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</si>
  <si>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</si>
  <si>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</si>
  <si>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</si>
  <si>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</si>
  <si>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</si>
  <si>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</si>
  <si>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</si>
  <si>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</si>
  <si>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</si>
  <si>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</si>
  <si>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</si>
  <si>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</si>
  <si>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</si>
  <si>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</si>
  <si>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</si>
  <si>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</si>
  <si>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</si>
  <si>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</si>
  <si>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</si>
  <si>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</si>
  <si>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</si>
  <si>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</si>
  <si>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</si>
  <si>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</si>
  <si>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</si>
  <si>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</si>
  <si>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</si>
  <si>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</si>
  <si>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</si>
  <si>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</si>
  <si>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</si>
  <si>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</si>
  <si>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</si>
  <si>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</si>
  <si>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</si>
  <si>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</si>
  <si>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</si>
  <si>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</si>
  <si>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</si>
  <si>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</si>
  <si>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</si>
  <si>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</si>
  <si>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</si>
  <si>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</si>
  <si>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</si>
  <si>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</si>
  <si>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</si>
  <si>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</si>
  <si>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</si>
  <si>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</si>
  <si>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</si>
  <si>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</si>
  <si>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</si>
  <si>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</si>
  <si>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</si>
  <si>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</si>
  <si>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</si>
  <si>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</si>
  <si>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</si>
  <si>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</si>
  <si>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</si>
  <si>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</si>
  <si>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</si>
  <si>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</si>
  <si>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</si>
  <si>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</si>
  <si>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</si>
  <si>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</si>
  <si>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</si>
  <si>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</si>
  <si>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</si>
  <si>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</si>
  <si>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</si>
  <si>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</si>
  <si>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</si>
  <si>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</si>
  <si>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</si>
  <si>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</si>
  <si>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</si>
  <si>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</si>
  <si>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</si>
  <si>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</si>
  <si>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</si>
  <si>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</si>
  <si>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</si>
  <si>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</si>
  <si>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</si>
  <si>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</si>
  <si>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</si>
  <si>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</si>
  <si>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</si>
  <si>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</si>
  <si>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</si>
  <si>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</si>
  <si>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</si>
  <si>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</si>
  <si>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</si>
  <si>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</si>
  <si>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</si>
  <si>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</si>
  <si>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</si>
  <si>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</si>
  <si>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</si>
  <si>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</si>
  <si>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</si>
  <si>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</si>
  <si>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</si>
  <si>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</si>
  <si>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</si>
  <si>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</si>
  <si>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</si>
  <si>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</si>
  <si>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</si>
  <si>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</si>
  <si>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</si>
  <si>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</si>
  <si>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</si>
  <si>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</si>
  <si>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</si>
  <si>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</si>
  <si>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</si>
  <si>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</si>
  <si>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</si>
  <si>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</si>
  <si>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</si>
  <si>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</si>
  <si>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</si>
  <si>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</si>
  <si>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</si>
  <si>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</si>
  <si>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</si>
  <si>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</si>
  <si>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</si>
  <si>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</si>
  <si>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</si>
  <si>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</si>
  <si>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</si>
  <si>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</si>
  <si>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</si>
  <si>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</si>
  <si>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</si>
  <si>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</si>
  <si>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</si>
  <si>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</si>
  <si>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</si>
  <si>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</si>
  <si>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</si>
  <si>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</si>
  <si>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</si>
  <si>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</si>
  <si>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</si>
  <si>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</si>
  <si>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</si>
  <si>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</si>
  <si>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</si>
  <si>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</si>
  <si>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</si>
  <si>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</si>
  <si>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</si>
  <si>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</si>
  <si>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</si>
  <si>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</si>
  <si>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</si>
  <si>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</si>
  <si>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</si>
  <si>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</si>
  <si>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</si>
  <si>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</si>
  <si>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</si>
  <si>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</si>
  <si>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</si>
  <si>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</si>
  <si>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</si>
  <si>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</si>
  <si>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</si>
  <si>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</si>
  <si>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</si>
  <si>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</si>
  <si>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</si>
  <si>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</si>
  <si>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</si>
  <si>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</si>
  <si>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</si>
  <si>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</si>
  <si>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</si>
  <si>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</si>
  <si>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</si>
  <si>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</si>
  <si>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</si>
  <si>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</si>
  <si>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</si>
  <si>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</si>
  <si>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</si>
  <si>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</si>
  <si>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</si>
  <si>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</si>
  <si>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</si>
  <si>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</si>
  <si>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</si>
  <si>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</si>
  <si>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</si>
  <si>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</si>
  <si>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</si>
  <si>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</si>
  <si>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</si>
  <si>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</si>
  <si>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</si>
  <si>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</si>
  <si>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</si>
  <si>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</si>
  <si>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</si>
  <si>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</si>
  <si>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</si>
  <si>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</si>
  <si>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</si>
  <si>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</si>
  <si>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</si>
  <si>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</si>
  <si>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</si>
  <si>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</si>
  <si>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</si>
  <si>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</si>
  <si>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</si>
  <si>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</si>
  <si>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</si>
  <si>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</si>
  <si>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</si>
  <si>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</si>
  <si>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</si>
  <si>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</si>
  <si>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</si>
  <si>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</si>
  <si>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</si>
  <si>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</si>
  <si>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</si>
  <si>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</si>
  <si>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</si>
  <si>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</si>
  <si>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</si>
  <si>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</si>
  <si>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</si>
  <si>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</si>
  <si>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</si>
  <si>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</si>
  <si>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</si>
  <si>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</si>
  <si>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</si>
  <si>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</si>
  <si>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</si>
  <si>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</si>
  <si>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</si>
  <si>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</si>
  <si>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</si>
  <si>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</si>
  <si>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</si>
  <si>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</si>
  <si>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</si>
  <si>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</si>
  <si>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</si>
  <si>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</si>
  <si>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</si>
  <si>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</si>
  <si>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</si>
  <si>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</si>
  <si>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</si>
  <si>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</si>
  <si>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</si>
  <si>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</si>
  <si>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</si>
  <si>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</si>
  <si>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</si>
  <si>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</si>
  <si>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</si>
  <si>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</si>
  <si>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</si>
  <si>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</si>
  <si>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</si>
  <si>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</si>
  <si>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</si>
  <si>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</si>
  <si>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</si>
  <si>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</si>
  <si>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</si>
  <si>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</si>
  <si>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</si>
  <si>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</si>
  <si>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</si>
  <si>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</si>
  <si>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</si>
  <si>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</si>
  <si>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</si>
  <si>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</si>
  <si>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</si>
  <si>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</si>
  <si>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</si>
  <si>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</si>
  <si>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</si>
  <si>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</si>
  <si>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</si>
  <si>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</si>
  <si>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</si>
  <si>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</si>
  <si>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</si>
  <si>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</si>
  <si>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</si>
  <si>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</si>
  <si>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</si>
  <si>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</si>
  <si>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</si>
  <si>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</si>
  <si>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</si>
  <si>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</si>
  <si>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</si>
  <si>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</si>
  <si>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</si>
  <si>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</si>
  <si>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</si>
  <si>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</si>
  <si>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</si>
  <si>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</si>
  <si>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</si>
  <si>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</si>
  <si>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</si>
  <si>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</si>
  <si>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</si>
  <si>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</si>
  <si>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</si>
  <si>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</si>
  <si>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</si>
  <si>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</si>
  <si>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</si>
  <si>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</si>
  <si>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</si>
  <si>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</si>
  <si>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</si>
  <si>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</si>
  <si>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</si>
  <si>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</si>
  <si>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</si>
  <si>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</si>
  <si>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</si>
  <si>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</si>
  <si>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</si>
  <si>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</si>
  <si>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</si>
  <si>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</si>
  <si>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</si>
  <si>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</si>
  <si>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</si>
  <si>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</si>
  <si>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</si>
  <si>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</si>
  <si>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</si>
  <si>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</si>
  <si>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</si>
  <si>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</si>
  <si>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</si>
  <si>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</si>
  <si>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</si>
  <si>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</si>
  <si>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</si>
  <si>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</si>
  <si>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</si>
  <si>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</si>
  <si>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</si>
  <si>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</si>
  <si>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</si>
  <si>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</si>
  <si>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</si>
  <si>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</si>
  <si>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</si>
  <si>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</si>
  <si>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</si>
  <si>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</si>
  <si>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</si>
  <si>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</si>
  <si>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</si>
  <si>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</si>
  <si>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</si>
  <si>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</si>
  <si>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</si>
  <si>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</si>
  <si>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</si>
  <si>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</si>
  <si>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</si>
  <si>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</si>
  <si>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</si>
  <si>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</si>
  <si>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</si>
  <si>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</si>
  <si>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</si>
  <si>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</si>
  <si>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</si>
  <si>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</si>
  <si>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</si>
  <si>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</si>
  <si>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</si>
  <si>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</si>
  <si>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</si>
  <si>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</si>
  <si>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</si>
  <si>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</si>
  <si>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</si>
  <si>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</si>
  <si>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</si>
  <si>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</si>
  <si>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</si>
  <si>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</si>
  <si>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</si>
  <si>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</si>
  <si>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</si>
  <si>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</si>
  <si>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</si>
  <si>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</si>
  <si>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</si>
  <si>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</si>
  <si>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</si>
  <si>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</si>
  <si>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</si>
  <si>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</si>
  <si>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</si>
  <si>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</si>
  <si>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</si>
  <si>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</si>
  <si>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</si>
  <si>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</si>
  <si>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</si>
  <si>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</si>
  <si>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</si>
  <si>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</si>
  <si>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</si>
  <si>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</si>
  <si>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</si>
  <si>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</si>
  <si>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</si>
  <si>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</si>
  <si>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</si>
  <si>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</si>
  <si>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</si>
  <si>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</si>
  <si>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</si>
  <si>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</si>
  <si>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</si>
  <si>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</si>
  <si>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</si>
  <si>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</si>
  <si>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</si>
  <si>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</si>
  <si>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</si>
  <si>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</si>
  <si>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</si>
  <si>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</si>
  <si>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</si>
  <si>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</si>
  <si>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</si>
  <si>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</si>
  <si>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</si>
  <si>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</si>
  <si>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</si>
  <si>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</si>
  <si>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</si>
  <si>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</si>
  <si>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</si>
  <si>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</si>
  <si>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</si>
  <si>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</si>
  <si>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</si>
  <si>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</si>
  <si>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</si>
  <si>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</si>
  <si>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</si>
  <si>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</si>
  <si>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</si>
  <si>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</si>
  <si>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</si>
  <si>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</si>
  <si>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</si>
  <si>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</si>
  <si>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</si>
  <si>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</si>
  <si>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</si>
  <si>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</si>
  <si>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</si>
  <si>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</si>
  <si>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</si>
  <si>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</si>
  <si>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</si>
  <si>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</si>
  <si>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</si>
  <si>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</si>
  <si>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</si>
  <si>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</si>
  <si>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</si>
  <si>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</si>
  <si>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</si>
  <si>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</si>
  <si>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</si>
  <si>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</si>
  <si>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</si>
  <si>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</si>
  <si>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</si>
  <si>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</si>
  <si>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</si>
  <si>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</si>
  <si>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</si>
  <si>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</si>
  <si>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</si>
  <si>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</si>
  <si>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</si>
  <si>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</si>
  <si>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</si>
  <si>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</si>
  <si>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</si>
  <si>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</si>
  <si>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</si>
  <si>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</si>
  <si>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</si>
  <si>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</si>
  <si>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</si>
  <si>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</si>
  <si>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</si>
  <si>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</si>
  <si>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</si>
  <si>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</si>
  <si>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</si>
  <si>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</si>
  <si>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</si>
  <si>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</si>
  <si>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</si>
  <si>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</si>
  <si>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</si>
  <si>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</si>
  <si>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</si>
  <si>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</si>
  <si>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</si>
  <si>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</si>
  <si>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</si>
  <si>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</si>
  <si>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</si>
  <si>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</si>
  <si>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</si>
  <si>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</si>
  <si>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</si>
  <si>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</si>
  <si>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</si>
  <si>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</si>
  <si>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</si>
  <si>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</si>
  <si>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</si>
  <si>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</si>
  <si>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</si>
  <si>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</si>
  <si>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</si>
  <si>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</si>
  <si>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</si>
  <si>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</si>
  <si>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</si>
  <si>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</si>
  <si>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</si>
  <si>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</si>
  <si>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</si>
  <si>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</si>
  <si>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</si>
  <si>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</si>
  <si>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</si>
  <si>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</si>
  <si>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</si>
  <si>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</si>
  <si>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</si>
  <si>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</si>
  <si>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</si>
  <si>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</si>
  <si>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</si>
  <si>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</si>
  <si>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</si>
  <si>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</si>
  <si>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</si>
  <si>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</si>
  <si>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</si>
  <si>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</si>
  <si>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</si>
  <si>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</si>
  <si>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</si>
  <si>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</si>
  <si>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</si>
  <si>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</si>
  <si>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</si>
  <si>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</si>
  <si>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</si>
  <si>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</si>
  <si>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</si>
  <si>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</si>
  <si>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</si>
  <si>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</si>
  <si>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</si>
  <si>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</si>
  <si>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</si>
  <si>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</si>
  <si>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</si>
  <si>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</si>
  <si>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</si>
  <si>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</si>
  <si>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</si>
  <si>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</si>
  <si>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</si>
  <si>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</si>
  <si>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</si>
  <si>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</si>
  <si>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</si>
  <si>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</si>
  <si>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</si>
  <si>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</si>
  <si>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</si>
  <si>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</si>
  <si>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</si>
  <si>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</si>
  <si>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</si>
  <si>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</si>
  <si>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</si>
  <si>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</si>
  <si>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</si>
  <si>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</si>
  <si>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</si>
  <si>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</si>
  <si>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</si>
  <si>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</si>
  <si>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</si>
  <si>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</si>
  <si>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</si>
  <si>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</si>
  <si>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</si>
  <si>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</si>
  <si>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</si>
  <si>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</si>
  <si>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</si>
  <si>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</si>
  <si>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</si>
  <si>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</si>
  <si>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</si>
  <si>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</si>
  <si>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</si>
  <si>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</si>
  <si>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</si>
  <si>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</si>
  <si>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</si>
  <si>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</si>
  <si>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</si>
  <si>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</si>
  <si>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</si>
  <si>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</si>
  <si>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</si>
  <si>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</si>
  <si>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</si>
  <si>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</si>
  <si>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</si>
  <si>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</si>
  <si>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</si>
  <si>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</si>
  <si>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</si>
  <si>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</si>
  <si>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</si>
  <si>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</si>
  <si>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</si>
  <si>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</si>
  <si>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</si>
  <si>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</si>
  <si>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</si>
  <si>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</si>
  <si>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</si>
  <si>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</si>
  <si>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</si>
  <si>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</si>
  <si>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</si>
  <si>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</si>
  <si>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</si>
  <si>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</si>
  <si>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</si>
  <si>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</si>
  <si>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</si>
  <si>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</si>
  <si>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</si>
  <si>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</si>
  <si>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</si>
  <si>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</si>
  <si>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</si>
  <si>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</si>
  <si>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</si>
  <si>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</si>
  <si>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</si>
  <si>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</si>
  <si>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</si>
  <si>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</si>
  <si>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</si>
  <si>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</si>
  <si>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</si>
  <si>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</si>
  <si>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</si>
  <si>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</si>
  <si>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</si>
  <si>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</si>
  <si>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</si>
  <si>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</si>
  <si>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</si>
  <si>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</si>
  <si>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</si>
  <si>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</si>
  <si>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</si>
  <si>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</si>
  <si>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</si>
  <si>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</si>
  <si>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</si>
  <si>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</si>
  <si>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</si>
  <si>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</si>
  <si>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</si>
  <si>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</si>
  <si>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</si>
  <si>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</si>
  <si>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</si>
  <si>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</si>
  <si>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</si>
  <si>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</si>
  <si>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TOTAL</t>
  </si>
  <si>
    <t>Total-DBtC</t>
  </si>
  <si>
    <t>TARIFFGROUP</t>
  </si>
  <si>
    <t>n/a E513</t>
  </si>
  <si>
    <t>Brochures {E}</t>
  </si>
  <si>
    <t>n/a G513</t>
  </si>
  <si>
    <t>Brochures {G}</t>
  </si>
  <si>
    <t>Commercial Foodservice {E}</t>
  </si>
  <si>
    <t>Commercial Foodservice {G}</t>
  </si>
  <si>
    <t>Data Center Efficiency {E}</t>
  </si>
  <si>
    <t>HEA Behavioral {E}</t>
  </si>
  <si>
    <t>HEA Behavioral {G}</t>
  </si>
  <si>
    <t>Lodging Direct Install {E}</t>
  </si>
  <si>
    <t>Lodging Direct Install {G}</t>
  </si>
  <si>
    <t>10001-6</t>
  </si>
  <si>
    <t>10003-6</t>
  </si>
  <si>
    <t>RETL: Fixture - LED - Retrofit Kit</t>
  </si>
  <si>
    <t>10008-6</t>
  </si>
  <si>
    <t>RETL: Lamp - LED - A Lamp</t>
  </si>
  <si>
    <t>10009-5</t>
  </si>
  <si>
    <t>RETL: Lamp - LED - Candelabra</t>
  </si>
  <si>
    <t>10011-6</t>
  </si>
  <si>
    <t>RETL: Lamp - LED - Globe</t>
  </si>
  <si>
    <t>10013-5</t>
  </si>
  <si>
    <t>RETL: Lamp - LED - MR16</t>
  </si>
  <si>
    <t>10014-5</t>
  </si>
  <si>
    <t>RETL: Lamp - LED - Reflector</t>
  </si>
  <si>
    <t>10084-4</t>
  </si>
  <si>
    <t>RETL: Lamp - LED - A Lamp - NQC</t>
  </si>
  <si>
    <t>10085-3</t>
  </si>
  <si>
    <t>RETL: Lamp - LED - Candelabra - NQC</t>
  </si>
  <si>
    <t>10086-4</t>
  </si>
  <si>
    <t>RETL: Lamp - LED - Globe - NQC</t>
  </si>
  <si>
    <t>10089-3</t>
  </si>
  <si>
    <t>RETL: Lamp - LED - Reflector - NQC</t>
  </si>
  <si>
    <t>10608-3</t>
  </si>
  <si>
    <t>10609-3</t>
  </si>
  <si>
    <t>12007-2</t>
  </si>
  <si>
    <t>12328-1</t>
  </si>
  <si>
    <t>Lamp - LED - A Lamp - Res - TY Kit</t>
  </si>
  <si>
    <t>10692-6</t>
  </si>
  <si>
    <t>SFEH: Ductless Heat Pump</t>
  </si>
  <si>
    <t>10697-4</t>
  </si>
  <si>
    <t>SFEH: Heat Pump Conversion - FAF - 8.5 or greater HSPF - 14 SEER</t>
  </si>
  <si>
    <t>12324-2</t>
  </si>
  <si>
    <t>12325-1</t>
  </si>
  <si>
    <t>12327-1</t>
  </si>
  <si>
    <t>Heat Pump - with AC - from E FAF - SF or MH or DX</t>
  </si>
  <si>
    <t>12547-2</t>
  </si>
  <si>
    <t>12766-1</t>
  </si>
  <si>
    <t>12767-1</t>
  </si>
  <si>
    <t>12329-1</t>
  </si>
  <si>
    <t>Aerator - WaterSense - 1.0 gpm - Any WH - Res - C - TY Kit</t>
  </si>
  <si>
    <t>12330-1</t>
  </si>
  <si>
    <t>Aerator - WaterSense - 1.0 gpm - Any WH - Res - EO - TY Kit</t>
  </si>
  <si>
    <t>12331-1</t>
  </si>
  <si>
    <t>Aerator - WaterSense - 1.0 gpm - Any WH - Res - GO - TY Kit</t>
  </si>
  <si>
    <t>12332-1</t>
  </si>
  <si>
    <t>Aerator - WaterSense - 1.5 gpm - Any WH - Res - GO - TY Kit</t>
  </si>
  <si>
    <t>12333-1</t>
  </si>
  <si>
    <t>Showerhead - 1.5 gpm or less - Any WH - Res - GO - TY Kit</t>
  </si>
  <si>
    <t>12548-1</t>
  </si>
  <si>
    <t>10092-4</t>
  </si>
  <si>
    <t>RETAP: Clothes Dryer - Ventless</t>
  </si>
  <si>
    <t>10115-6</t>
  </si>
  <si>
    <t>APPD: Lamp - LED - Engagement</t>
  </si>
  <si>
    <t>10116-5</t>
  </si>
  <si>
    <t>APPD: Showerhead - Engagement - C - 1.5 gpm</t>
  </si>
  <si>
    <t>10117-4</t>
  </si>
  <si>
    <t>APPD: Showerhead - Engagement - EO - 1.5 gpm</t>
  </si>
  <si>
    <t>10768-3</t>
  </si>
  <si>
    <t>APPD: Aerator - Bath - Engagement - EO - Any WH - 1.0 gpm</t>
  </si>
  <si>
    <t>10769-5</t>
  </si>
  <si>
    <t>APPD: Aerator - Bath - Engagement - C - Any WH - 1.0 gpm</t>
  </si>
  <si>
    <t>10770-3</t>
  </si>
  <si>
    <t>APPD: Aerator - Kitchen - Engagement - EO - Any WH - 1.5 gpm</t>
  </si>
  <si>
    <t>10771-4</t>
  </si>
  <si>
    <t>APPD: Aerator - Kitchen - Engagement - C - Any WH - 1.5 gpm</t>
  </si>
  <si>
    <t>12011-2</t>
  </si>
  <si>
    <t>RETAP: Clothes Washer - Energy Star - Any WH - Any Dryer - EO</t>
  </si>
  <si>
    <t>12012-2</t>
  </si>
  <si>
    <t>12318-1</t>
  </si>
  <si>
    <t>Clothes Washer - Front Load - Tier 2 or Higher - Any WH - Any Dryer - Res - C</t>
  </si>
  <si>
    <t>12318-2</t>
  </si>
  <si>
    <t>12319-1</t>
  </si>
  <si>
    <t>Clothes Washer - Front Load - Tier 2 or Higher - Any WH - Any Dryer - Res - EO</t>
  </si>
  <si>
    <t>12319-2</t>
  </si>
  <si>
    <t>12529-1</t>
  </si>
  <si>
    <t>10737-2</t>
  </si>
  <si>
    <t>10026-4</t>
  </si>
  <si>
    <t>RETSH: Showerhead - Retail - C - Any WH - 1.5 gpm or less</t>
  </si>
  <si>
    <t>10027-4</t>
  </si>
  <si>
    <t>RETSH: Showerhead - Retail - C - Any WH - 1.51 to 1.75 gpm</t>
  </si>
  <si>
    <t>10028-5</t>
  </si>
  <si>
    <t>RETSH: Showerhead - Retail - C - Any WH - 1.76 to 2.0 gpm</t>
  </si>
  <si>
    <t>10029-3</t>
  </si>
  <si>
    <t>RETSH: Showerhead - Retail - EO - Any WH - 1.5 gpm or less</t>
  </si>
  <si>
    <t>10030-3</t>
  </si>
  <si>
    <t>RETSH: Showerhead - Retail - EO - Any WH - 1.51 to 1.75 gpm</t>
  </si>
  <si>
    <t>10031-4</t>
  </si>
  <si>
    <t>RETSH: Showerhead - Retail - EO - Any WH - 1.76 to 2.0 gpm</t>
  </si>
  <si>
    <t>10032-3</t>
  </si>
  <si>
    <t>RETSH: Showerhead - Retail - GO - Any WH - 1.5 gpm or less</t>
  </si>
  <si>
    <t>10034-4</t>
  </si>
  <si>
    <t>RETSH: Showerhead - Retail - GO - Any WH - 1.76 to 2.0 gpm</t>
  </si>
  <si>
    <t>10090-3</t>
  </si>
  <si>
    <t>RETSH: Showerhead - NQC</t>
  </si>
  <si>
    <t>10090-4</t>
  </si>
  <si>
    <t>10240-3</t>
  </si>
  <si>
    <t>RETSH: Aerator - WaterSense - EO - Any WH - 1.0 gpm</t>
  </si>
  <si>
    <t>10240-4</t>
  </si>
  <si>
    <t>10241-3</t>
  </si>
  <si>
    <t>RETSH: Aerator - WaterSense - C - Any WH - 1.0 gpm</t>
  </si>
  <si>
    <t>10241-4</t>
  </si>
  <si>
    <t>10242-3</t>
  </si>
  <si>
    <t>RETSH: Aerator - WaterSense - GO - Any WH - 1.0 gpm</t>
  </si>
  <si>
    <t>10243-3</t>
  </si>
  <si>
    <t>RETSH: Aerator - WaterSense - EO - Any WH - 1.5 gpm</t>
  </si>
  <si>
    <t>10243-4</t>
  </si>
  <si>
    <t>10244-3</t>
  </si>
  <si>
    <t>RETSH: Aerator - WaterSense - C - Any WH - 1.5 gpm</t>
  </si>
  <si>
    <t>10244-4</t>
  </si>
  <si>
    <t>10245-3</t>
  </si>
  <si>
    <t>RETSH: Aerator - WaterSense - GO - Any WH - 1.5 gpm</t>
  </si>
  <si>
    <t>10776-2</t>
  </si>
  <si>
    <t>RETSH: Aerator - NQC - 1.0 gpm</t>
  </si>
  <si>
    <t>10776-3</t>
  </si>
  <si>
    <t>10777-2</t>
  </si>
  <si>
    <t>RETSH: Aerator - NQC - 1.5 gpm</t>
  </si>
  <si>
    <t>10777-3</t>
  </si>
  <si>
    <t>12677-1</t>
  </si>
  <si>
    <t>Showerhead - 1.5 gpm or less - RP - Any WH - Res - GO</t>
  </si>
  <si>
    <t>10705-4</t>
  </si>
  <si>
    <t>10706-4</t>
  </si>
  <si>
    <t>10707-4</t>
  </si>
  <si>
    <t>10718-4</t>
  </si>
  <si>
    <t>SFWIN: Windows - Single Pane - to U30 - MH</t>
  </si>
  <si>
    <t>10721-3</t>
  </si>
  <si>
    <t>10911-6</t>
  </si>
  <si>
    <t>SFWX: Sealing - Air - Zonal</t>
  </si>
  <si>
    <t>10912-4</t>
  </si>
  <si>
    <t>10913-4</t>
  </si>
  <si>
    <t>10914-4</t>
  </si>
  <si>
    <t>10915-4</t>
  </si>
  <si>
    <t>10916-4</t>
  </si>
  <si>
    <t>10917-3</t>
  </si>
  <si>
    <t>10918-4</t>
  </si>
  <si>
    <t>10919-3</t>
  </si>
  <si>
    <t>10920-2</t>
  </si>
  <si>
    <t>10923-4</t>
  </si>
  <si>
    <t>10925-4</t>
  </si>
  <si>
    <t>10926-5</t>
  </si>
  <si>
    <t>10927-5</t>
  </si>
  <si>
    <t>10928-5</t>
  </si>
  <si>
    <t>10929-5</t>
  </si>
  <si>
    <t>10930-3</t>
  </si>
  <si>
    <t>SFWX: Sealing - Air - Attic</t>
  </si>
  <si>
    <t>10931-2</t>
  </si>
  <si>
    <t>SFWX: Sealing - Air - Attic - NG</t>
  </si>
  <si>
    <t>10932-3</t>
  </si>
  <si>
    <t>SFWX: Sealing - Air - Floor</t>
  </si>
  <si>
    <t>10933-2</t>
  </si>
  <si>
    <t>SFWX: Sealing - Air - Floor - NG</t>
  </si>
  <si>
    <t>10934-3</t>
  </si>
  <si>
    <t>SFWX: Sealing - Duct - Double Triple - MH - NG</t>
  </si>
  <si>
    <t>10935-3</t>
  </si>
  <si>
    <t>SFWX: Sealing - Duct - Double Triple - MH - Zonal</t>
  </si>
  <si>
    <t>10939-3</t>
  </si>
  <si>
    <t>SFWX: Sealing - Duct - Single - MH - Zonal</t>
  </si>
  <si>
    <t>10940-2</t>
  </si>
  <si>
    <t>10941-2</t>
  </si>
  <si>
    <t>10942-2</t>
  </si>
  <si>
    <t>10943-2</t>
  </si>
  <si>
    <t>10944-2</t>
  </si>
  <si>
    <t>10945-6</t>
  </si>
  <si>
    <t>10946-3</t>
  </si>
  <si>
    <t>10947-5</t>
  </si>
  <si>
    <t>10948-6</t>
  </si>
  <si>
    <t>12550-1</t>
  </si>
  <si>
    <t>Insulation - Attic - R0 to R22 - HP - MH - Pre HUD</t>
  </si>
  <si>
    <t>12551-1</t>
  </si>
  <si>
    <t>Insulation - Attic - R0 to R22 - NG - MH - Pre HUD</t>
  </si>
  <si>
    <t>12553-1</t>
  </si>
  <si>
    <t>Insulation - Attic - R0 to R30 - HP - MH - HUD</t>
  </si>
  <si>
    <t>12557-1</t>
  </si>
  <si>
    <t>12709-1</t>
  </si>
  <si>
    <t>12711-1</t>
  </si>
  <si>
    <t>12872-1</t>
  </si>
  <si>
    <t>Energy Report - Year 1 - E - Res</t>
  </si>
  <si>
    <t>12207-2</t>
  </si>
  <si>
    <t>12209-2</t>
  </si>
  <si>
    <t>12214-1</t>
  </si>
  <si>
    <t>12216-1</t>
  </si>
  <si>
    <t>MHNC: Sales Incentive - NEEM 2.0 Rated - EnergyStar</t>
  </si>
  <si>
    <t>11243-4</t>
  </si>
  <si>
    <t>MFRFT: Aerator - DI - EWH - 1.0 gpm</t>
  </si>
  <si>
    <t>11244-4</t>
  </si>
  <si>
    <t>MFRFT: Aerator - DI - GWH - 1.0 gpm</t>
  </si>
  <si>
    <t>11245-4</t>
  </si>
  <si>
    <t>MFRFT: Aerator - DI - EWH - 1.5 gpm</t>
  </si>
  <si>
    <t>11246-4</t>
  </si>
  <si>
    <t>MFRFT: Aerator - DI - GWH - 1.5 gpm</t>
  </si>
  <si>
    <t>11247-3</t>
  </si>
  <si>
    <t>MFRFT: Insulation - Attic - R0 to R38 - NG</t>
  </si>
  <si>
    <t>11249-3</t>
  </si>
  <si>
    <t>MFRFT: Insulation - Attic - R11 to R38 - NG</t>
  </si>
  <si>
    <t>11250-3</t>
  </si>
  <si>
    <t>11258-3</t>
  </si>
  <si>
    <t>MFRFT: Heat Pump - Energy Star Tier 3 - 10.0 HSPF - 16 SEER</t>
  </si>
  <si>
    <t>11260-3</t>
  </si>
  <si>
    <t>MFRFT: Fan - Ventilation - Energy Star</t>
  </si>
  <si>
    <t>11261-1</t>
  </si>
  <si>
    <t>MFRFT: Fan - Ventilation - Energy Star - w Air Sealing</t>
  </si>
  <si>
    <t>11262-3</t>
  </si>
  <si>
    <t>MFRFT: Insulation - Floor - R0 to R30 - NG</t>
  </si>
  <si>
    <t>11263-4</t>
  </si>
  <si>
    <t>11264-3</t>
  </si>
  <si>
    <t>MFRFT: Insulation - Floor - R11 to R30 - E</t>
  </si>
  <si>
    <t>11267-2</t>
  </si>
  <si>
    <t>MFRFT: Fireplace - Natural Gas - High Efficiency - In Unit</t>
  </si>
  <si>
    <t>11269-6</t>
  </si>
  <si>
    <t>11271-6</t>
  </si>
  <si>
    <t>11272-6</t>
  </si>
  <si>
    <t>MFRFT: Lamp - LED - Candelabra - Direct Install - Labor</t>
  </si>
  <si>
    <t>11273-5</t>
  </si>
  <si>
    <t>11274-6</t>
  </si>
  <si>
    <t>MFRFT: Lamp - LED - MR16 - Direct Install - Labor</t>
  </si>
  <si>
    <t>11277-5</t>
  </si>
  <si>
    <t>11281-2</t>
  </si>
  <si>
    <t>MFRFT: Furnace - Natural Gas - 95pc - In Unit</t>
  </si>
  <si>
    <t>11284-3</t>
  </si>
  <si>
    <t>MFRFT: Showerhead - Direct Install - EWH - 1.5 gpm max</t>
  </si>
  <si>
    <t>11284-4</t>
  </si>
  <si>
    <t>11288-4</t>
  </si>
  <si>
    <t>MFRFT: Showerhead - Thermostatic Restrictor - GWH</t>
  </si>
  <si>
    <t>11288-5</t>
  </si>
  <si>
    <t>11289-4</t>
  </si>
  <si>
    <t>MFRFT: Showerhead - Thermostatic Restrictor - EWH</t>
  </si>
  <si>
    <t>11289-5</t>
  </si>
  <si>
    <t>11290-5</t>
  </si>
  <si>
    <t>MFRFT: Adapter - Thermostatic Restrictor Showerhead - EWH</t>
  </si>
  <si>
    <t>11292-4</t>
  </si>
  <si>
    <t>MFRFT: Insulation - Wall - R0 to R11 - NG</t>
  </si>
  <si>
    <t>11295-2</t>
  </si>
  <si>
    <t>MFRFT: Water Heater - Pipe Wrap - DI</t>
  </si>
  <si>
    <t>11295-3</t>
  </si>
  <si>
    <t>11296-4</t>
  </si>
  <si>
    <t>MFRFT: Windows - DP to DP - U30 to U60 - E</t>
  </si>
  <si>
    <t>11298-4</t>
  </si>
  <si>
    <t>MFRFT: Windows - SP to DP - U30 to U120 - NG</t>
  </si>
  <si>
    <t>11299-4</t>
  </si>
  <si>
    <t>MFRFT: Windows - SP to DP - U30 to U120 - E</t>
  </si>
  <si>
    <t>11302-4</t>
  </si>
  <si>
    <t>11303-3</t>
  </si>
  <si>
    <t>MFRFT: Boiler - Replacement - Combined Space and Water Heating</t>
  </si>
  <si>
    <t>11306-2</t>
  </si>
  <si>
    <t>11308-4</t>
  </si>
  <si>
    <t>MFRFT: Ductless Heat Pump</t>
  </si>
  <si>
    <t>12651-1</t>
  </si>
  <si>
    <t>12657-1</t>
  </si>
  <si>
    <t>12692-1</t>
  </si>
  <si>
    <t>12693-1</t>
  </si>
  <si>
    <t>Adapter - Thermostatic Restrictor Valve - DI - GWH - MF</t>
  </si>
  <si>
    <t>12735-1</t>
  </si>
  <si>
    <t>Thermostat - ELV - Smart - Zonal and DHP - MF</t>
  </si>
  <si>
    <t>12801-1</t>
  </si>
  <si>
    <t>10040-1</t>
  </si>
  <si>
    <t>Combined Heat and Power - Custom</t>
  </si>
  <si>
    <t>10054-1</t>
  </si>
  <si>
    <t>HVAC - Central Equipment - Custom</t>
  </si>
  <si>
    <t>10066-1</t>
  </si>
  <si>
    <t>Pump - Custom</t>
  </si>
  <si>
    <t>11862-1</t>
  </si>
  <si>
    <t>Data Center - UPS - Custom</t>
  </si>
  <si>
    <t>11931-1</t>
  </si>
  <si>
    <t>RTU Control - Advanced - Custom</t>
  </si>
  <si>
    <t>11930-1</t>
  </si>
  <si>
    <t>Commissioning - Custom</t>
  </si>
  <si>
    <t>11917-1</t>
  </si>
  <si>
    <t>RCM - Start Up Incentive - Year 1</t>
  </si>
  <si>
    <t>11919-1</t>
  </si>
  <si>
    <t>RCM - Performance Incentive - Year 2</t>
  </si>
  <si>
    <t>11920-1</t>
  </si>
  <si>
    <t>RCM - Performance Target Incentive - Year 2</t>
  </si>
  <si>
    <t>11921-1</t>
  </si>
  <si>
    <t>RCM - Training Allowance - Year 2</t>
  </si>
  <si>
    <t>11922-1</t>
  </si>
  <si>
    <t>RCM - Performance Incentive - Year 3</t>
  </si>
  <si>
    <t>11923-1</t>
  </si>
  <si>
    <t>RCM - Performance Target Incentive - Year 3</t>
  </si>
  <si>
    <t>11924-1</t>
  </si>
  <si>
    <t>RCM - Training Allowance - Year 3</t>
  </si>
  <si>
    <t>12099-1</t>
  </si>
  <si>
    <t>CSEM - Training Allowance - Year 1</t>
  </si>
  <si>
    <t>12823-1</t>
  </si>
  <si>
    <t>Commissioning - Ongoing - Performance - Year 1 - Custom</t>
  </si>
  <si>
    <t>10804-1</t>
  </si>
  <si>
    <t>CKTCH: Oven - Convection - Double - E</t>
  </si>
  <si>
    <t>10805-1</t>
  </si>
  <si>
    <t>CKTCH: Oven - Convection - Double - NG</t>
  </si>
  <si>
    <t>10806-1</t>
  </si>
  <si>
    <t>CKTCH: Oven - Convection - Full - E</t>
  </si>
  <si>
    <t>10807-1</t>
  </si>
  <si>
    <t>CKTCH: Oven - Convection - Full - NG</t>
  </si>
  <si>
    <t>10810-1</t>
  </si>
  <si>
    <t>CKTCH: Sales Incentive - Oven - E</t>
  </si>
  <si>
    <t>10812-1</t>
  </si>
  <si>
    <t>CKTCH: Sales Incentive - Dishwasher - UC or DT - E</t>
  </si>
  <si>
    <t>10814-2</t>
  </si>
  <si>
    <t>CKTCH: Sales Incentive - Fryer - NG</t>
  </si>
  <si>
    <t>10815-1</t>
  </si>
  <si>
    <t>CKTCH: Sales Incentive - Refrigeration - E</t>
  </si>
  <si>
    <t>10816-1</t>
  </si>
  <si>
    <t>CKTCH: Sales Incentive - Dishwasher - ST or MT - NG</t>
  </si>
  <si>
    <t>10817-2</t>
  </si>
  <si>
    <t>CKTCH: Sales Incentive - Steam Cooker - E</t>
  </si>
  <si>
    <t>10819-1</t>
  </si>
  <si>
    <t>CKTCH: Sales Incentive - Dishwasher - UC or DT - NG</t>
  </si>
  <si>
    <t>10824-1</t>
  </si>
  <si>
    <t>10836-2</t>
  </si>
  <si>
    <t>CKTCH: Griddle - 3 Linear Ft - NG</t>
  </si>
  <si>
    <t>10844-4</t>
  </si>
  <si>
    <t>CKTCH: Food Cabinet - Hot - Under 13 Ft</t>
  </si>
  <si>
    <t>10846-1</t>
  </si>
  <si>
    <t>CKTCH: Ice Maker - AC - Cube Nugget - IHR 1000 or More</t>
  </si>
  <si>
    <t>10847-1</t>
  </si>
  <si>
    <t>CKTCH: Ice Maker - AC - Cube Nugget - IHR 175 to 449</t>
  </si>
  <si>
    <t>10851-1</t>
  </si>
  <si>
    <t>CKTCH: Ice Maker - AC - Flake - IHR 175 to 999</t>
  </si>
  <si>
    <t>10859-2</t>
  </si>
  <si>
    <t>CKTCH: Sales Incentive - Griddle - NG</t>
  </si>
  <si>
    <t>10875-2</t>
  </si>
  <si>
    <t>CKTCH: Dishwasher - Door Type - High Temp - GWH - E Booster</t>
  </si>
  <si>
    <t>10888-1</t>
  </si>
  <si>
    <t>CKTCH: Dishwasher - Single Tank - Low Temp - EWH</t>
  </si>
  <si>
    <t>10889-2</t>
  </si>
  <si>
    <t>CKTCH: Dishwasher - Single Tank - Low Temp - GWH</t>
  </si>
  <si>
    <t>10892-1</t>
  </si>
  <si>
    <t>CKTCH: Dishwasher - Under Counter - High Temp - EWH - E Booster</t>
  </si>
  <si>
    <t>10894-3</t>
  </si>
  <si>
    <t>CKTCH: Dishwasher - Under Counter - High Temp - E Booster</t>
  </si>
  <si>
    <t>11325-3</t>
  </si>
  <si>
    <t>CKTCH: Oven - Double Rack - NG</t>
  </si>
  <si>
    <t>12740-1</t>
  </si>
  <si>
    <t>Oven - Convection - Double - 5 Pans or less - EH - Comm</t>
  </si>
  <si>
    <t>12842-1</t>
  </si>
  <si>
    <t>12846-1</t>
  </si>
  <si>
    <t>12227-1</t>
  </si>
  <si>
    <t>CMID: Air Conditioner - AC - Split - Bthu Under 65k - Tier 2</t>
  </si>
  <si>
    <t>12229-1</t>
  </si>
  <si>
    <t>CMID: Air Conditioner - AC - Package - Bthu Under 65k - Tier 1</t>
  </si>
  <si>
    <t>12231-1</t>
  </si>
  <si>
    <t>CMID: Air Conditioner - AC - Package - Bthu Under 65k - Tier 3</t>
  </si>
  <si>
    <t>12237-1</t>
  </si>
  <si>
    <t>CMID: Air Conditioner - AC - Bthu 135k to 240k - Tier 3</t>
  </si>
  <si>
    <t>12241-1</t>
  </si>
  <si>
    <t>CMID: Air Conditioner - AC - Btuh over 760k - Tier 1</t>
  </si>
  <si>
    <t>12244-1</t>
  </si>
  <si>
    <t>CMID: Heat Pump - AC - Split - Btuh Under 65k - Tier 1</t>
  </si>
  <si>
    <t>12247-1</t>
  </si>
  <si>
    <t>CMID: Heat Pump - AC - Package - Btuh Under 65k - Tier 1</t>
  </si>
  <si>
    <t>12248-1</t>
  </si>
  <si>
    <t>CMID: Heat Pump - AC - Package - Btuh Under 65k - Tier 2</t>
  </si>
  <si>
    <t>12249-1</t>
  </si>
  <si>
    <t>CMID: Heat Pump - AC - Package - Btuh Under 65k - Tier 3</t>
  </si>
  <si>
    <t>12253-1</t>
  </si>
  <si>
    <t>CMID: Heat Pump - AC - Btuh 135k to 240k - Tier 1</t>
  </si>
  <si>
    <t>12257-1</t>
  </si>
  <si>
    <t>CMID: Heat Pump - AC - Btuh over 240k - Tier 2</t>
  </si>
  <si>
    <t>12262-1</t>
  </si>
  <si>
    <t>CMID: Heat Pump - WC - WL - Btuh over 17k - Tier 1</t>
  </si>
  <si>
    <t>12278-1</t>
  </si>
  <si>
    <t>12279-1</t>
  </si>
  <si>
    <t>12280-1</t>
  </si>
  <si>
    <t>12281-1</t>
  </si>
  <si>
    <t>12282-2</t>
  </si>
  <si>
    <t>CMID: Water Heater - Condensing - Tankless - MF - HR</t>
  </si>
  <si>
    <t>12283-1</t>
  </si>
  <si>
    <t>12284-1</t>
  </si>
  <si>
    <t>12285-1</t>
  </si>
  <si>
    <t>12864-1</t>
  </si>
  <si>
    <t>Heat Pump - Split - Tier 1 - Less than 65 kBtuh - EH - Comm</t>
  </si>
  <si>
    <t>12893-1</t>
  </si>
  <si>
    <t>10996-4</t>
  </si>
  <si>
    <t>SBDI: Fixture - TLED - 4 ft - 2x - from 8 ft T12 HO F96 1x</t>
  </si>
  <si>
    <t>10997-4</t>
  </si>
  <si>
    <t>SBDI: Fixture - TLED - 4 ft - 4x - from 8 ft T12 F96 2x</t>
  </si>
  <si>
    <t>10998-4</t>
  </si>
  <si>
    <t>SBDI: Fixture - TLED - 4 ft - 4x - from 8 ft T12 HO F96 2x</t>
  </si>
  <si>
    <t>11006-4</t>
  </si>
  <si>
    <t>SBDI: Fixture - TLED - DLR - 4 ft - 2x - from 8 ft T12 F96 2x</t>
  </si>
  <si>
    <t>11027-2</t>
  </si>
  <si>
    <t>SBDI: Lamp - LED - Globe - 5w - Assembly Church</t>
  </si>
  <si>
    <t>11031-2</t>
  </si>
  <si>
    <t>SBDI: Lamp - LED - Globe - 5w - Other</t>
  </si>
  <si>
    <t>11032-2</t>
  </si>
  <si>
    <t>SBDI: Lamp - LED - Globe - 5w - Other Health</t>
  </si>
  <si>
    <t>11033-3</t>
  </si>
  <si>
    <t>SBDI: Lamp - LED - Globe - 5w - Restaurant</t>
  </si>
  <si>
    <t>11036-2</t>
  </si>
  <si>
    <t>SBDI: Lamp - LED - Globe - 5w - Warehouse</t>
  </si>
  <si>
    <t>11047-2</t>
  </si>
  <si>
    <t>SBDI: Lamp - LED - MR 16 - Restaurant</t>
  </si>
  <si>
    <t>11051-4</t>
  </si>
  <si>
    <t>SBDI: Lamp - LED - Omni - 11w - Assembly Church</t>
  </si>
  <si>
    <t>11052-4</t>
  </si>
  <si>
    <t>SBDI: Lamp - LED - Omni - 11w - Exterior</t>
  </si>
  <si>
    <t>11052-5</t>
  </si>
  <si>
    <t>11053-5</t>
  </si>
  <si>
    <t>SBDI: Lamp - LED - Omni - 11w - Grocery</t>
  </si>
  <si>
    <t>11054-5</t>
  </si>
  <si>
    <t>SBDI: Lamp - LED - Omni - 11w - Office</t>
  </si>
  <si>
    <t>11054-6</t>
  </si>
  <si>
    <t>11055-4</t>
  </si>
  <si>
    <t>SBDI: Lamp - LED - Omni - 11w - Other</t>
  </si>
  <si>
    <t>11056-6</t>
  </si>
  <si>
    <t>SBDI: Lamp - LED - Omni - 11w - Other Health</t>
  </si>
  <si>
    <t>11057-5</t>
  </si>
  <si>
    <t>SBDI: Lamp - LED - Omni - 11w - Restaurant</t>
  </si>
  <si>
    <t>11057-6</t>
  </si>
  <si>
    <t>11058-5</t>
  </si>
  <si>
    <t>SBDI: Lamp - LED - Omni - 11w - Retail</t>
  </si>
  <si>
    <t>11058-6</t>
  </si>
  <si>
    <t>11060-4</t>
  </si>
  <si>
    <t>SBDI: Lamp - LED - Omni - 11w - Warehouse</t>
  </si>
  <si>
    <t>11061-4</t>
  </si>
  <si>
    <t>SBDI: Lamp - LED - Omni - 7w - Assembly Church</t>
  </si>
  <si>
    <t>11062-4</t>
  </si>
  <si>
    <t>SBDI: Lamp - LED - Omni - 7w - Exterior</t>
  </si>
  <si>
    <t>11062-5</t>
  </si>
  <si>
    <t>11064-4</t>
  </si>
  <si>
    <t>SBDI: Lamp - LED - Omni - 7w - Office</t>
  </si>
  <si>
    <t>11065-4</t>
  </si>
  <si>
    <t>SBDI: Lamp - LED - Omni - 7w - Other</t>
  </si>
  <si>
    <t>11074-2</t>
  </si>
  <si>
    <t>SBDI: Lamp - LED - Par 20 - Office</t>
  </si>
  <si>
    <t>11081-2</t>
  </si>
  <si>
    <t>SBDI: Lamp - LED - Par 30 - Assembly Church</t>
  </si>
  <si>
    <t>11082-2</t>
  </si>
  <si>
    <t>SBDI: Lamp - LED - Par 30 - Exterior</t>
  </si>
  <si>
    <t>11083-2</t>
  </si>
  <si>
    <t>SBDI: Lamp - LED - Par 30 - Grocery</t>
  </si>
  <si>
    <t>11083-3</t>
  </si>
  <si>
    <t>11084-2</t>
  </si>
  <si>
    <t>SBDI: Lamp - LED - Par 30 - Office</t>
  </si>
  <si>
    <t>11085-2</t>
  </si>
  <si>
    <t>SBDI: Lamp - LED - Par 30 - Other</t>
  </si>
  <si>
    <t>11087-2</t>
  </si>
  <si>
    <t>SBDI: Lamp - LED - Par 30 - Restaurant</t>
  </si>
  <si>
    <t>11092-3</t>
  </si>
  <si>
    <t>SBDI: Lamp - LED - Par 38 or 40 - Exterior</t>
  </si>
  <si>
    <t>11106-3</t>
  </si>
  <si>
    <t>11106-4</t>
  </si>
  <si>
    <t>11108-4</t>
  </si>
  <si>
    <t>11114-4</t>
  </si>
  <si>
    <t>11128-4</t>
  </si>
  <si>
    <t>11129-5</t>
  </si>
  <si>
    <t>11136-7</t>
  </si>
  <si>
    <t>11136-8</t>
  </si>
  <si>
    <t>11139-3</t>
  </si>
  <si>
    <t>SBDI: Occupancy Sensor - 201w to 450w</t>
  </si>
  <si>
    <t>11140-4</t>
  </si>
  <si>
    <t>SBDI: Occupancy Sensor - Less than 100w</t>
  </si>
  <si>
    <t>11223-2</t>
  </si>
  <si>
    <t>SBDI: Sprayhead - GWH - 0.65 gpm - from 1.6</t>
  </si>
  <si>
    <t>11224-2</t>
  </si>
  <si>
    <t>SBDI: Sprayhead - GWH - 0.65 gpm - from 1.6 - EIE</t>
  </si>
  <si>
    <t>12053-3</t>
  </si>
  <si>
    <t>12104-3</t>
  </si>
  <si>
    <t>SBDI: Fixture - TLED - DLR - 4 ft - 2x - from 4 ft T8 32w BBF 4x</t>
  </si>
  <si>
    <t>12106-4</t>
  </si>
  <si>
    <t>12107-3</t>
  </si>
  <si>
    <t>12108-4</t>
  </si>
  <si>
    <t>12109-3</t>
  </si>
  <si>
    <t>12110-3</t>
  </si>
  <si>
    <t>12111-3</t>
  </si>
  <si>
    <t>12112-3</t>
  </si>
  <si>
    <t>SBDI: Fixture - TLED - DLR - 4 ft - 2x - from 4 ft T8 32w BBF 3x</t>
  </si>
  <si>
    <t>12114-3</t>
  </si>
  <si>
    <t>12116-3</t>
  </si>
  <si>
    <t>12117-4</t>
  </si>
  <si>
    <t>12130-2</t>
  </si>
  <si>
    <t>SBDI: Lamp - LED - Omni - 11w - Lodging Common Areas</t>
  </si>
  <si>
    <t>12136-1</t>
  </si>
  <si>
    <t>SBDI: Lamp - LED - Par 30 - Lodging Common Areas</t>
  </si>
  <si>
    <t>12142-1</t>
  </si>
  <si>
    <t>SBDI: Lamp - TLED - 4 ft - 1x - from 4 ft T12 1x - LCA</t>
  </si>
  <si>
    <t>12143-1</t>
  </si>
  <si>
    <t>SBDI: Lamp - TLED - 4 ft - 2x - from 4 ft T12 2x - LCA</t>
  </si>
  <si>
    <t>12149-1</t>
  </si>
  <si>
    <t>SBDI: Lamp - TLED - 4 ft - 4x - from 4 ft T12 4x - LCA</t>
  </si>
  <si>
    <t>12156-1</t>
  </si>
  <si>
    <t>SBDI: Lamp - TLED - 4 ft - 1x - from 4ft T8 32w NLO 1x - LCA</t>
  </si>
  <si>
    <t>12189-1</t>
  </si>
  <si>
    <t>12191-1</t>
  </si>
  <si>
    <t>12730-1</t>
  </si>
  <si>
    <t>Fixture - LED - 100w - from 4 ft T8 32w HBF 6x - SMB</t>
  </si>
  <si>
    <t>12784-1</t>
  </si>
  <si>
    <t>12785-1</t>
  </si>
  <si>
    <t>Lamp - TLED - 4 ft - 2x - DLR from 4 ft T12 4x - DI - LCA</t>
  </si>
  <si>
    <t>12786-1</t>
  </si>
  <si>
    <t>12790-1</t>
  </si>
  <si>
    <t>Lamp - TLED - 4 ft - 2x - DLR from 4 ft T12 HO 4x - DI - SMB</t>
  </si>
  <si>
    <t>12793-1</t>
  </si>
  <si>
    <t>12798-1</t>
  </si>
  <si>
    <t>Lamp - TLED - 4 ft - 2x - DLR from 4 ft T8 32w NLO 4x - DI - LCA</t>
  </si>
  <si>
    <t>12804-1</t>
  </si>
  <si>
    <t>12806-1</t>
  </si>
  <si>
    <t>12812-1</t>
  </si>
  <si>
    <t>Lamp - TLED - 4 ft - 3x - DLR from 4 ft T8 28w LLO 4x - DI - SMB</t>
  </si>
  <si>
    <t>12917-1</t>
  </si>
  <si>
    <t>Case Lighting - LED - Low Power - Refrigerated Space - Med Temp - from Single T8 - Restaurant</t>
  </si>
  <si>
    <t>10743-3</t>
  </si>
  <si>
    <t>HMPT: Lamp - LED - A Lamp - MH</t>
  </si>
  <si>
    <t>10745-4</t>
  </si>
  <si>
    <t>HMPT: Lamp - LED - Globe - DI</t>
  </si>
  <si>
    <t>10746-3</t>
  </si>
  <si>
    <t>HMPT: Lamp - LED - Globe - MH</t>
  </si>
  <si>
    <t>10747-7</t>
  </si>
  <si>
    <t>HMPT: Lamp - LED - A Lamp - DI</t>
  </si>
  <si>
    <t>10748-3</t>
  </si>
  <si>
    <t>HMPT: Home Energy Audit - CAN - E</t>
  </si>
  <si>
    <t>10749-5</t>
  </si>
  <si>
    <t>HMPT: Home Energy Audit - Service Provider - E</t>
  </si>
  <si>
    <t>10749-6</t>
  </si>
  <si>
    <t>10750-3</t>
  </si>
  <si>
    <t>HMPT: Home Energy Audit - CAN - MH</t>
  </si>
  <si>
    <t>10751-3</t>
  </si>
  <si>
    <t>HMPT: Home Energy Audit - Service Provider - MH</t>
  </si>
  <si>
    <t>10751-4</t>
  </si>
  <si>
    <t>10752-5</t>
  </si>
  <si>
    <t>HMPT: Lamp - LED - Reflector - BR30 - DI</t>
  </si>
  <si>
    <t>10753-3</t>
  </si>
  <si>
    <t>HMPT: Lamp - LED - Reflector - BR30 - MH</t>
  </si>
  <si>
    <t>10754-4</t>
  </si>
  <si>
    <t>HMPT: Aerator - EWH - 1.0 gpm</t>
  </si>
  <si>
    <t>10754-5</t>
  </si>
  <si>
    <t>10755-4</t>
  </si>
  <si>
    <t>HMPT: Aerator - EWH - 1.5 gpm</t>
  </si>
  <si>
    <t>10755-5</t>
  </si>
  <si>
    <t>10756-4</t>
  </si>
  <si>
    <t>HMPT: Showerhead - Fixed - LB - EWH - 1.5 gpm</t>
  </si>
  <si>
    <t>10757-4</t>
  </si>
  <si>
    <t>HMPT: Showerhead - Handheld - LB - EWH - 1.5 gpm</t>
  </si>
  <si>
    <t>10758-4</t>
  </si>
  <si>
    <t>HMPT: Aerator - GWH - 1.0 gpm</t>
  </si>
  <si>
    <t>10758-5</t>
  </si>
  <si>
    <t>10759-4</t>
  </si>
  <si>
    <t>HMPT: Aerator - GWH - 1.5 gpm</t>
  </si>
  <si>
    <t>10759-5</t>
  </si>
  <si>
    <t>10760-5</t>
  </si>
  <si>
    <t>HMPT: Showerhead - Fixed - LB - GWH - 1.5 gpm</t>
  </si>
  <si>
    <t>10761-5</t>
  </si>
  <si>
    <t>HMPT: Showerhead - Handheld - LB - GWH - 1.5 gpm</t>
  </si>
  <si>
    <t>10762-4</t>
  </si>
  <si>
    <t>HMPT: Home Energy Audit - Service Provider - NG</t>
  </si>
  <si>
    <t>10762-5</t>
  </si>
  <si>
    <t>10763-3</t>
  </si>
  <si>
    <t>HMPT: Home Energy Audit - CAN - NG</t>
  </si>
  <si>
    <t>10765-4</t>
  </si>
  <si>
    <t>HMPT: Home Energy Audit - Service Provider - MH - NG</t>
  </si>
  <si>
    <t>11943-3</t>
  </si>
  <si>
    <t>HMPT: Showerhead - LB - GWH - 1.5 gpm - EIE</t>
  </si>
  <si>
    <t>12059-1</t>
  </si>
  <si>
    <t>HMPT: Lamp - LED - Candelabra - DI</t>
  </si>
  <si>
    <t>12060-1</t>
  </si>
  <si>
    <t>HMPT: Lamp - LED - Candelabra - MH</t>
  </si>
  <si>
    <t>12061-2</t>
  </si>
  <si>
    <t>HMPT: Showerhead - Fixed - LB - MH - EWH - 1.5 gpm</t>
  </si>
  <si>
    <t>12062-2</t>
  </si>
  <si>
    <t>HMPT: Showerhead - Handheld - LB - MH - EWH - 1.5 gpm</t>
  </si>
  <si>
    <t>12063-2</t>
  </si>
  <si>
    <t>HMPT: Showerhead - Fixed - LB - MH - GWH - 1.5 gpm</t>
  </si>
  <si>
    <t>12064-2</t>
  </si>
  <si>
    <t>HMPT: Showerhead - Handheld - LB - MH - GWH - 1.5 gpm</t>
  </si>
  <si>
    <t>12560-1</t>
  </si>
  <si>
    <t>Thermostat - Web Enabled - DI - EH - Res</t>
  </si>
  <si>
    <t>12626-1</t>
  </si>
  <si>
    <t>Aerator - 1.0 gpm - EWH - MH</t>
  </si>
  <si>
    <t>12627-1</t>
  </si>
  <si>
    <t>Aerator - 1.0 gpm - GWH - MH</t>
  </si>
  <si>
    <t>12628-1</t>
  </si>
  <si>
    <t>Aerator - 1.5 gpm - EWH - MH</t>
  </si>
  <si>
    <t>12629-1</t>
  </si>
  <si>
    <t>Aerator - 1.5 gpm - GWH - MH</t>
  </si>
  <si>
    <t>12647-1</t>
  </si>
  <si>
    <t>Pipe Wrap - Water Heater - DI - EH - SF or MH or DX</t>
  </si>
  <si>
    <t>12661-1</t>
  </si>
  <si>
    <t>Showerhead - Fixed - 1.5 gpm - DI - EWH - MH</t>
  </si>
  <si>
    <t>12662-1</t>
  </si>
  <si>
    <t>Showerhead - Fixed - 1.5 gpm - DI - EWH - SF or DX</t>
  </si>
  <si>
    <t>12663-1</t>
  </si>
  <si>
    <t>Showerhead - Fixed - 1.5 gpm - DI - GWH - MH</t>
  </si>
  <si>
    <t>12664-1</t>
  </si>
  <si>
    <t>Showerhead - Fixed - 1.5 gpm - DI - GWH - SF or DX</t>
  </si>
  <si>
    <t>12665-1</t>
  </si>
  <si>
    <t>Showerhead - Handheld - 1.5 gpm - DI - EWH - MH</t>
  </si>
  <si>
    <t>12666-1</t>
  </si>
  <si>
    <t>Showerhead - Handheld - 1.5 gpm - DI - EWH - SF or DX</t>
  </si>
  <si>
    <t>12667-1</t>
  </si>
  <si>
    <t>Showerhead - Handheld - 1.5 gpm - DI - GWH - MH</t>
  </si>
  <si>
    <t>12668-1</t>
  </si>
  <si>
    <t>Showerhead - Handheld - 1.5 gpm - DI - GWH - SF or DX</t>
  </si>
  <si>
    <t>12737-1</t>
  </si>
  <si>
    <t>Thermostat - Smart - EH - Res - MI</t>
  </si>
  <si>
    <t>12739-1</t>
  </si>
  <si>
    <t>Thermostat - Smart - GH - Res - MI</t>
  </si>
  <si>
    <t>12778-1</t>
  </si>
  <si>
    <t>Lamp - LED - A Lamp - DI - HUIA - SF or MH or DX</t>
  </si>
  <si>
    <t>12780-1</t>
  </si>
  <si>
    <t>Lamp - LED - Candelabra - HUIA - SF or MH or DX</t>
  </si>
  <si>
    <t>12781-1</t>
  </si>
  <si>
    <t>Lamp - LED - Globe - HUIA - SF or MH or DX</t>
  </si>
  <si>
    <t>12782-1</t>
  </si>
  <si>
    <t>Lamp - LED - Reflector - BR30 - HUIA - SF or MH or DX</t>
  </si>
  <si>
    <t>10257-1</t>
  </si>
  <si>
    <t>Field Services - Custom</t>
  </si>
  <si>
    <t>11864-1</t>
  </si>
  <si>
    <t>SFGH: Boiler - Energy Star Qualified - 95pc AFUE</t>
  </si>
  <si>
    <t>11866-2</t>
  </si>
  <si>
    <t>SFGH: Gas Furnace - 95pc</t>
  </si>
  <si>
    <t>11866-4</t>
  </si>
  <si>
    <t>11867-1</t>
  </si>
  <si>
    <t>SFGH: Integrated Space and Water Heating</t>
  </si>
  <si>
    <t>12057-2</t>
  </si>
  <si>
    <t>NGWH: Water Heater - Tankless - 0.9 EF</t>
  </si>
  <si>
    <t>12058-2</t>
  </si>
  <si>
    <t>NGWH: Water Heater - Storage - 0.67 EF</t>
  </si>
  <si>
    <t>12685-1</t>
  </si>
  <si>
    <t>12873-1</t>
  </si>
  <si>
    <t>Energy Report - Year 1 - G - Res</t>
  </si>
  <si>
    <t>Exhibit 2: 2020-2021 Biennual Cost Effectiveness Estimates</t>
  </si>
  <si>
    <t xml:space="preserve">2020 &amp; 2021 Gas Cost-Effectiveness Tests:  </t>
  </si>
  <si>
    <t xml:space="preserve">2020 &amp; 2021 Electric Cost-Effectiveness Tests:  </t>
  </si>
  <si>
    <t>13000-1</t>
  </si>
  <si>
    <t>Savings Tracking - Therm</t>
  </si>
  <si>
    <t>Reporting Year</t>
  </si>
  <si>
    <t>10266-3</t>
  </si>
  <si>
    <t>LIW: Refrigerator Replacement - MH - TE</t>
  </si>
  <si>
    <t>10268-3</t>
  </si>
  <si>
    <t>LIW: Refrigerator Replacement - SF - TE</t>
  </si>
  <si>
    <t>10315-4</t>
  </si>
  <si>
    <t>10316-4</t>
  </si>
  <si>
    <t>10318-4</t>
  </si>
  <si>
    <t>10319-4</t>
  </si>
  <si>
    <t>10321-5</t>
  </si>
  <si>
    <t>10323-5</t>
  </si>
  <si>
    <t>10325-3</t>
  </si>
  <si>
    <t>LIW: Integrated Space and Water Heating - MF - TG</t>
  </si>
  <si>
    <t>10327-2</t>
  </si>
  <si>
    <t>LIW: Integrated Space and Water Heating - SF - TG</t>
  </si>
  <si>
    <t>10342-1</t>
  </si>
  <si>
    <t>LIW: Furnace - Replacement - Gas - 95pc - SF</t>
  </si>
  <si>
    <t>10360-1</t>
  </si>
  <si>
    <t>10361-2</t>
  </si>
  <si>
    <t>10365-5</t>
  </si>
  <si>
    <t>10367-4</t>
  </si>
  <si>
    <t>10368-4</t>
  </si>
  <si>
    <t>10370-3</t>
  </si>
  <si>
    <t>10373-2</t>
  </si>
  <si>
    <t>10376-5</t>
  </si>
  <si>
    <t>10377-3</t>
  </si>
  <si>
    <t>10379-4</t>
  </si>
  <si>
    <t>10385-3</t>
  </si>
  <si>
    <t>10388-2</t>
  </si>
  <si>
    <t>LIW: Insulation - Wall - R0 to R11 - MH - TE</t>
  </si>
  <si>
    <t>10390-3</t>
  </si>
  <si>
    <t>LIW: Insulation - Wall - R0 to R11 - SF</t>
  </si>
  <si>
    <t>10391-5</t>
  </si>
  <si>
    <t>10392-5</t>
  </si>
  <si>
    <t>10401-4</t>
  </si>
  <si>
    <t>10406-4</t>
  </si>
  <si>
    <t>10407-3</t>
  </si>
  <si>
    <t>10414-5</t>
  </si>
  <si>
    <t>10415-3</t>
  </si>
  <si>
    <t>10421-4</t>
  </si>
  <si>
    <t>LIW: Lamp - LED - A Lamp - MF - TE</t>
  </si>
  <si>
    <t>10449-1</t>
  </si>
  <si>
    <t>LIW: Door - Sweep - MH - TE</t>
  </si>
  <si>
    <t>10470-4</t>
  </si>
  <si>
    <t>10472-4</t>
  </si>
  <si>
    <t>10492-1</t>
  </si>
  <si>
    <t>LIW: Repair - Health - MF - TE</t>
  </si>
  <si>
    <t>10514-1</t>
  </si>
  <si>
    <t>LIW: Repair - Structural - SF - TE</t>
  </si>
  <si>
    <t>10520-1</t>
  </si>
  <si>
    <t>LIW: Sealing - Air - Door Kit - MF - TE</t>
  </si>
  <si>
    <t>10524-4</t>
  </si>
  <si>
    <t>LIW: Sealing - Air - Mech Vent - MF - TE</t>
  </si>
  <si>
    <t>10530-3</t>
  </si>
  <si>
    <t>LIW: Sealing - S hell - MH - TE</t>
  </si>
  <si>
    <t>10531-4</t>
  </si>
  <si>
    <t>LIW: Sealing - S hell - MH - TG</t>
  </si>
  <si>
    <t>10533-5</t>
  </si>
  <si>
    <t>LIW: Sealing - S hell - SF - TE</t>
  </si>
  <si>
    <t>10534-4</t>
  </si>
  <si>
    <t>LIW: Sealing - S hell - SF - TG</t>
  </si>
  <si>
    <t>10556-3</t>
  </si>
  <si>
    <t>LIW: Insulation - Water Heater Pipe - MF - TE</t>
  </si>
  <si>
    <t>10573-1</t>
  </si>
  <si>
    <t>LIW: Water Heater - Replacement - MH - TE</t>
  </si>
  <si>
    <t>10583-3</t>
  </si>
  <si>
    <t>LIW: Windows - DP to TP - MF - TE</t>
  </si>
  <si>
    <t>10585-3</t>
  </si>
  <si>
    <t>LIW: Windows - DP to TP - SF - TE</t>
  </si>
  <si>
    <t>10595-4</t>
  </si>
  <si>
    <t>10597-4</t>
  </si>
  <si>
    <t>10631-3</t>
  </si>
  <si>
    <t>10634-3</t>
  </si>
  <si>
    <t>10635-3</t>
  </si>
  <si>
    <t>10636-1</t>
  </si>
  <si>
    <t>LIW: Insulation - Attic - R11 to R49 - SF</t>
  </si>
  <si>
    <t>10637-4</t>
  </si>
  <si>
    <t>10638-3</t>
  </si>
  <si>
    <t>10647-4</t>
  </si>
  <si>
    <t>LIW: Aerator - 1.5 gpm- MH - TE</t>
  </si>
  <si>
    <t>10667-3</t>
  </si>
  <si>
    <t>LIW: Lamp - LED - Globe - MF - TE</t>
  </si>
  <si>
    <t>12090-1</t>
  </si>
  <si>
    <t>LIW: Thermostat - SIR - MF - TE</t>
  </si>
  <si>
    <t>12205-1</t>
  </si>
  <si>
    <t>LIW: Heat Pump - SIR - MH - TE</t>
  </si>
  <si>
    <t>12220-3</t>
  </si>
  <si>
    <t>12303-1</t>
  </si>
  <si>
    <t>LIW: Heat Pump - SIR - SF - TE</t>
  </si>
  <si>
    <t>12307-1</t>
  </si>
  <si>
    <t>LIW: Boiler - SIR - MF - TG</t>
  </si>
  <si>
    <t>12315-1</t>
  </si>
  <si>
    <t>LIW: Repair - Floor - SF - TG</t>
  </si>
  <si>
    <t>12417-2</t>
  </si>
  <si>
    <t>LIW: Thermostat - ESS - MH - TE</t>
  </si>
  <si>
    <t>12419-1</t>
  </si>
  <si>
    <t>LIW: Thermostat - ESS - SF</t>
  </si>
  <si>
    <t>12421-2</t>
  </si>
  <si>
    <t>LIW: Thermostat - ESS - SF - TG</t>
  </si>
  <si>
    <t>12648-1</t>
  </si>
  <si>
    <t>12722-1</t>
  </si>
  <si>
    <t>12728-1</t>
  </si>
  <si>
    <t>12729-1</t>
  </si>
  <si>
    <t>LIW: Water Heater - Tankless - Energy Star - SF</t>
  </si>
  <si>
    <t>12820-1</t>
  </si>
  <si>
    <t>12961-1</t>
  </si>
  <si>
    <t>LIW: Ventilation - Mechanical - MF - TG</t>
  </si>
  <si>
    <t>13007-1</t>
  </si>
  <si>
    <t>LIW: Sealing - Air - SIR - SF - TE</t>
  </si>
  <si>
    <t>Reported Year</t>
  </si>
  <si>
    <t>Retail Choice Pilot Savings Tracking - kWh</t>
  </si>
  <si>
    <t>E200</t>
  </si>
  <si>
    <t>-</t>
  </si>
  <si>
    <t>Shareholder Repairs</t>
  </si>
  <si>
    <t>E202</t>
  </si>
  <si>
    <t>E203</t>
  </si>
  <si>
    <t>E204</t>
  </si>
  <si>
    <t>E263</t>
  </si>
  <si>
    <t>E264</t>
  </si>
  <si>
    <t>Tracking Measure</t>
  </si>
  <si>
    <t>Retail Choice Program</t>
  </si>
  <si>
    <t>Brochures, non program-specific</t>
  </si>
  <si>
    <t>Est. Measure Program Cost</t>
  </si>
  <si>
    <t>Evaluated 2021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</si>
</sst>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2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2" fillId="0" borderId="0" xfId="5" applyFill="1" applyAlignment="1" applyProtection="1">
      <alignment wrapText="1"/>
    </xf>
    <xf numFmtId="0" fontId="37" fillId="0" borderId="0" xfId="0" applyFont="1"/>
    <xf numFmtId="8" fontId="37" fillId="0" borderId="0" xfId="0" applyNumberFormat="1" applyFont="1"/>
    <xf numFmtId="0" fontId="3" fillId="0" borderId="49" xfId="0" applyFont="1" applyFill="1" applyBorder="1" applyAlignment="1" applyProtection="1">
      <alignment horizontal="center" wrapText="1"/>
    </xf>
    <xf numFmtId="3" fontId="0" fillId="14" borderId="32" xfId="5" applyNumberFormat="1" applyFont="1" applyFill="1" applyBorder="1" applyAlignment="1" applyProtection="1">
      <alignment horizontal="left"/>
    </xf>
    <xf numFmtId="164" fontId="0" fillId="14" borderId="32" xfId="5" applyNumberFormat="1" applyFont="1" applyFill="1" applyBorder="1" applyAlignment="1" applyProtection="1">
      <alignment horizontal="left"/>
    </xf>
    <xf numFmtId="44" fontId="0" fillId="14" borderId="32" xfId="5" applyNumberFormat="1" applyFont="1" applyFill="1" applyBorder="1" applyAlignment="1" applyProtection="1">
      <alignment horizontal="left"/>
    </xf>
    <xf numFmtId="173" fontId="4" fillId="0" borderId="10" xfId="2" applyNumberFormat="1" applyFont="1" applyFill="1" applyBorder="1" applyProtection="1"/>
    <xf numFmtId="1" fontId="0" fillId="0" borderId="47" xfId="0" applyNumberFormat="1" applyFill="1" applyBorder="1"/>
    <xf numFmtId="44" fontId="4" fillId="0" borderId="12" xfId="2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3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customXml" Target="../customXml/item1.xml"/><Relationship Id="rId8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7"/>
  <sheetViews>
    <sheetView tabSelected="1" zoomScale="70" zoomScaleNormal="70" workbookViewId="0"/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2453</v>
      </c>
    </row>
    <row r="2" spans="2:16" ht="18">
      <c r="B2" s="395" t="s">
        <v>466</v>
      </c>
    </row>
    <row r="4" spans="2:16" ht="15.75" thickBot="1">
      <c r="B4" s="131" t="s">
        <v>467</v>
      </c>
      <c r="J4" s="131" t="s">
        <v>468</v>
      </c>
      <c r="O4" s="396"/>
    </row>
    <row r="5" spans="2:16" ht="45.75" thickBot="1">
      <c r="B5" s="397" t="s">
        <v>469</v>
      </c>
      <c r="C5" s="398" t="s">
        <v>470</v>
      </c>
      <c r="D5" s="398" t="s">
        <v>471</v>
      </c>
      <c r="E5" s="398" t="s">
        <v>472</v>
      </c>
      <c r="F5" s="398" t="s">
        <v>473</v>
      </c>
      <c r="G5" s="399" t="s">
        <v>474</v>
      </c>
      <c r="H5" s="400"/>
      <c r="J5" s="397" t="s">
        <v>469</v>
      </c>
      <c r="K5" s="398" t="s">
        <v>470</v>
      </c>
      <c r="L5" s="398" t="s">
        <v>471</v>
      </c>
      <c r="M5" s="398" t="s">
        <v>472</v>
      </c>
      <c r="N5" s="398" t="s">
        <v>473</v>
      </c>
      <c r="O5" s="399" t="s">
        <v>475</v>
      </c>
    </row>
    <row r="6" spans="2:16" ht="15.75" thickTop="1">
      <c r="B6" s="401" t="s">
        <v>364</v>
      </c>
      <c r="C6" s="402">
        <f>'Electric CE'!H6</f>
        <v>2307888.8900000006</v>
      </c>
      <c r="D6" s="403">
        <f>'Electric CE'!N6</f>
        <v>7125204.8200000003</v>
      </c>
      <c r="E6" s="403">
        <f>'Electric CE'!T6</f>
        <v>1227558.7257457341</v>
      </c>
      <c r="F6" s="404">
        <f>'Electric CE'!U6</f>
        <v>0.59358606176876327</v>
      </c>
      <c r="G6" s="405">
        <f>'Electric CE'!V6</f>
        <v>0.79710104786324831</v>
      </c>
      <c r="H6" s="406"/>
      <c r="J6" s="401" t="s">
        <v>364</v>
      </c>
      <c r="K6" s="402">
        <f>'Gas CE'!H6</f>
        <v>31511.619999999992</v>
      </c>
      <c r="L6" s="403">
        <f>'Gas CE'!N6</f>
        <v>1254182.27</v>
      </c>
      <c r="M6" s="403">
        <f>'Gas CE'!T6</f>
        <v>4087.9044343295677</v>
      </c>
      <c r="N6" s="404">
        <f>'Gas CE'!U6</f>
        <v>0.44575034811003206</v>
      </c>
      <c r="O6" s="405">
        <f>'Gas CE'!V6</f>
        <v>0.45366922337944349</v>
      </c>
      <c r="P6" s="406"/>
    </row>
    <row r="7" spans="2:16">
      <c r="B7" s="401"/>
      <c r="C7" s="402"/>
      <c r="D7" s="403"/>
      <c r="E7" s="403"/>
      <c r="F7" s="407"/>
      <c r="G7" s="408" t="s">
        <v>476</v>
      </c>
      <c r="H7" s="406"/>
      <c r="I7" s="396"/>
      <c r="J7" s="401"/>
      <c r="K7" s="402"/>
      <c r="L7" s="403"/>
      <c r="M7" s="403"/>
      <c r="N7" s="407"/>
      <c r="O7" s="408" t="s">
        <v>476</v>
      </c>
      <c r="P7" s="406"/>
    </row>
    <row r="8" spans="2:16">
      <c r="B8" s="401" t="s">
        <v>1817</v>
      </c>
      <c r="C8" s="402">
        <f>'Electric CE'!H7</f>
        <v>113263369.83999953</v>
      </c>
      <c r="D8" s="403">
        <f>'Electric CE'!N7</f>
        <v>28945124.990000002</v>
      </c>
      <c r="E8" s="403">
        <f>'Electric CE'!T7</f>
        <v>3813024.8464480722</v>
      </c>
      <c r="F8" s="407">
        <f>'Electric CE'!U7</f>
        <v>2.5351659972229923</v>
      </c>
      <c r="G8" s="409">
        <f>'Electric CE'!V7</f>
        <v>1.7428418632252711</v>
      </c>
      <c r="H8" s="406"/>
      <c r="J8" s="401" t="s">
        <v>1818</v>
      </c>
      <c r="K8" s="402">
        <f>'Gas CE'!H7</f>
        <v>3622618.3000000012</v>
      </c>
      <c r="L8" s="403">
        <f>'Gas CE'!N7</f>
        <v>12837404.540000001</v>
      </c>
      <c r="M8" s="403">
        <f>'Gas CE'!T7</f>
        <v>2606614.3345346386</v>
      </c>
      <c r="N8" s="407">
        <f>'Gas CE'!U7</f>
        <v>2.9471448527613773</v>
      </c>
      <c r="O8" s="409">
        <f>'Gas CE'!V7</f>
        <v>1.517712127533581</v>
      </c>
      <c r="P8" s="406"/>
    </row>
    <row r="9" spans="2:16">
      <c r="B9" s="510" t="s">
        <v>367</v>
      </c>
      <c r="C9" s="402">
        <f>'Electric CE'!H8</f>
        <v>25714191.239999529</v>
      </c>
      <c r="D9" s="403">
        <f>'Electric CE'!N8</f>
        <v>4932137.22</v>
      </c>
      <c r="E9" s="403">
        <f>'Electric CE'!T8</f>
        <v>0</v>
      </c>
      <c r="F9" s="407">
        <f>'Electric CE'!U8</f>
        <v>4.7836238375662132</v>
      </c>
      <c r="G9" s="409">
        <f>'Electric CE'!V8</f>
        <v>3.4897599203002994</v>
      </c>
      <c r="H9" s="410"/>
      <c r="J9" s="510" t="s">
        <v>477</v>
      </c>
      <c r="K9" s="402">
        <f>'Gas CE'!H8</f>
        <v>1052890.3999999999</v>
      </c>
      <c r="L9" s="403">
        <f>'Gas CE'!N8</f>
        <v>3641889.33</v>
      </c>
      <c r="M9" s="403">
        <f>'Gas CE'!T8</f>
        <v>129838.0487398048</v>
      </c>
      <c r="N9" s="407">
        <f>'Gas CE'!U8</f>
        <v>4.2384003045991623</v>
      </c>
      <c r="O9" s="409">
        <f>'Gas CE'!V8</f>
        <v>2.8095729828446534</v>
      </c>
    </row>
    <row r="10" spans="2:16">
      <c r="B10" s="510" t="s">
        <v>477</v>
      </c>
      <c r="C10" s="402">
        <f>'Electric CE'!H9</f>
        <v>26455891.559999999</v>
      </c>
      <c r="D10" s="403">
        <f>'Electric CE'!N9</f>
        <v>12899305.91</v>
      </c>
      <c r="E10" s="403">
        <f>'Electric CE'!T9</f>
        <v>458665.33284985647</v>
      </c>
      <c r="F10" s="407">
        <f>'Electric CE'!U9</f>
        <v>1.8729283413695721</v>
      </c>
      <c r="G10" s="409">
        <f>'Electric CE'!V9</f>
        <v>1.0445533531388336</v>
      </c>
      <c r="H10" s="410"/>
      <c r="J10" s="510" t="s">
        <v>478</v>
      </c>
      <c r="K10" s="402">
        <f>'Gas CE'!H9</f>
        <v>124706.8</v>
      </c>
      <c r="L10" s="403">
        <f>'Gas CE'!N9</f>
        <v>769092.9800000001</v>
      </c>
      <c r="M10" s="403">
        <f>'Gas CE'!T9</f>
        <v>363693.10992247512</v>
      </c>
      <c r="N10" s="407">
        <f>'Gas CE'!U9</f>
        <v>2.1936725571248039</v>
      </c>
      <c r="O10" s="409">
        <f>'Gas CE'!V9</f>
        <v>0.96406556104970798</v>
      </c>
    </row>
    <row r="11" spans="2:16">
      <c r="B11" s="510" t="s">
        <v>478</v>
      </c>
      <c r="C11" s="402">
        <f>'Electric CE'!H10</f>
        <v>3667089.22</v>
      </c>
      <c r="D11" s="403">
        <f>'Electric CE'!N10</f>
        <v>2248115.85</v>
      </c>
      <c r="E11" s="403">
        <f>'Electric CE'!T10</f>
        <v>8633.5554985070848</v>
      </c>
      <c r="F11" s="407">
        <f>'Electric CE'!U10</f>
        <v>0.9501842954275429</v>
      </c>
      <c r="G11" s="409">
        <f>'Electric CE'!V10</f>
        <v>0.96401293781361108</v>
      </c>
      <c r="H11" s="410"/>
      <c r="J11" s="510" t="s">
        <v>372</v>
      </c>
      <c r="K11" s="402">
        <f>'Gas CE'!H11</f>
        <v>13958.000000000029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662.36462398793878</v>
      </c>
    </row>
    <row r="12" spans="2:16">
      <c r="B12" s="510" t="s">
        <v>372</v>
      </c>
      <c r="C12" s="402">
        <f>'Electric CE'!H11</f>
        <v>3042185.7199999997</v>
      </c>
      <c r="D12" s="403">
        <f>'Electric CE'!N11</f>
        <v>2121552.25</v>
      </c>
      <c r="E12" s="403">
        <f>'Electric CE'!T11</f>
        <v>1871295.5613222176</v>
      </c>
      <c r="F12" s="407">
        <f>'Electric CE'!U11</f>
        <v>1.1864041101378588</v>
      </c>
      <c r="G12" s="409">
        <f>'Electric CE'!V11</f>
        <v>2.2580409203981477</v>
      </c>
      <c r="H12" s="410"/>
      <c r="J12" s="510" t="s">
        <v>446</v>
      </c>
      <c r="K12" s="402">
        <f>'Gas CE'!H12</f>
        <v>599081.4</v>
      </c>
      <c r="L12" s="403">
        <f>'Gas CE'!N12</f>
        <v>1975650.5499999998</v>
      </c>
      <c r="M12" s="403">
        <f>'Gas CE'!T12</f>
        <v>77151.078603646936</v>
      </c>
      <c r="N12" s="407">
        <f>'Gas CE'!U12</f>
        <v>2.6786258895446107</v>
      </c>
      <c r="O12" s="409">
        <f>'Gas CE'!V12</f>
        <v>1.6036289413475633</v>
      </c>
    </row>
    <row r="13" spans="2:16">
      <c r="B13" s="510" t="s">
        <v>446</v>
      </c>
      <c r="C13" s="402">
        <f>'Electric CE'!H12</f>
        <v>2896406.1599999997</v>
      </c>
      <c r="D13" s="403">
        <f>'Electric CE'!N12</f>
        <v>891667.42</v>
      </c>
      <c r="E13" s="403">
        <f>'Electric CE'!T12</f>
        <v>37347.836062738235</v>
      </c>
      <c r="F13" s="407">
        <f>'Electric CE'!U12</f>
        <v>3.8084648105717576</v>
      </c>
      <c r="G13" s="409">
        <f>'Electric CE'!V12</f>
        <v>2.6431511711808806</v>
      </c>
      <c r="H13" s="410"/>
      <c r="J13" s="510" t="s">
        <v>375</v>
      </c>
      <c r="K13" s="402">
        <f>'Gas CE'!H13</f>
        <v>31822.630000000005</v>
      </c>
      <c r="L13" s="403">
        <f>'Gas CE'!N13</f>
        <v>185141.91999999998</v>
      </c>
      <c r="M13" s="403">
        <f>'Gas CE'!T13</f>
        <v>541014.69384878059</v>
      </c>
      <c r="N13" s="407">
        <f>'Gas CE'!U13</f>
        <v>1.3127713631414473</v>
      </c>
      <c r="O13" s="409">
        <f>'Gas CE'!V13</f>
        <v>5.5388187576253616</v>
      </c>
    </row>
    <row r="14" spans="2:16">
      <c r="B14" s="510" t="s">
        <v>375</v>
      </c>
      <c r="C14" s="402">
        <f>'Electric CE'!H13</f>
        <v>1124455.4500000002</v>
      </c>
      <c r="D14" s="403">
        <f>'Electric CE'!N13</f>
        <v>379553.35</v>
      </c>
      <c r="E14" s="403">
        <f>'Electric CE'!T13</f>
        <v>966725.60948222759</v>
      </c>
      <c r="F14" s="407">
        <f>'Electric CE'!U13</f>
        <v>1.5925169082855231</v>
      </c>
      <c r="G14" s="409">
        <f>'Electric CE'!V13</f>
        <v>5.9543020605287014</v>
      </c>
      <c r="H14" s="410"/>
      <c r="J14" s="510" t="s">
        <v>479</v>
      </c>
      <c r="K14" s="402">
        <f>'Gas CE'!H14</f>
        <v>579208.07000000111</v>
      </c>
      <c r="L14" s="403">
        <f>'Gas CE'!N14</f>
        <v>4353413.6900000004</v>
      </c>
      <c r="M14" s="403">
        <f>'Gas CE'!T14</f>
        <v>447872.69132230809</v>
      </c>
      <c r="N14" s="407">
        <f>'Gas CE'!U14</f>
        <v>3.1041744521906214</v>
      </c>
      <c r="O14" s="409">
        <f>'Gas CE'!V14</f>
        <v>1.0122695511900706</v>
      </c>
    </row>
    <row r="15" spans="2:16">
      <c r="B15" s="510" t="s">
        <v>479</v>
      </c>
      <c r="C15" s="402">
        <f>'Electric CE'!H14</f>
        <v>2782607.2699999982</v>
      </c>
      <c r="D15" s="403">
        <f>'Electric CE'!N14</f>
        <v>1920563.5799999998</v>
      </c>
      <c r="E15" s="403">
        <f>'Electric CE'!T14</f>
        <v>339361.1457387702</v>
      </c>
      <c r="F15" s="407">
        <f>'Electric CE'!U14</f>
        <v>4.3749971879180718</v>
      </c>
      <c r="G15" s="409">
        <f>'Electric CE'!V14</f>
        <v>1.7629633941704248</v>
      </c>
      <c r="H15" s="410"/>
      <c r="J15" s="510" t="s">
        <v>377</v>
      </c>
      <c r="K15" s="402">
        <f>'Gas CE'!H15</f>
        <v>1220951</v>
      </c>
      <c r="L15" s="403">
        <f>'Gas CE'!N15</f>
        <v>1841791.7599999998</v>
      </c>
      <c r="M15" s="403">
        <f>'Gas CE'!T15</f>
        <v>0</v>
      </c>
      <c r="N15" s="407">
        <f>'Gas CE'!U15</f>
        <v>0.82678730294862235</v>
      </c>
      <c r="O15" s="409">
        <f>'Gas CE'!V15</f>
        <v>0.94536553378827259</v>
      </c>
    </row>
    <row r="16" spans="2:16">
      <c r="B16" s="510" t="s">
        <v>377</v>
      </c>
      <c r="C16" s="402">
        <f>'Electric CE'!H15</f>
        <v>46582898</v>
      </c>
      <c r="D16" s="403">
        <f>'Electric CE'!N15</f>
        <v>2880060.0700000003</v>
      </c>
      <c r="E16" s="403">
        <f>'Electric CE'!T15</f>
        <v>0</v>
      </c>
      <c r="F16" s="407">
        <f>'Electric CE'!U15</f>
        <v>2.7574261011086851</v>
      </c>
      <c r="G16" s="409">
        <f>'Electric CE'!V15</f>
        <v>3.1023556042641025</v>
      </c>
      <c r="H16" s="410"/>
      <c r="J16" s="510" t="s">
        <v>1819</v>
      </c>
      <c r="K16" s="402">
        <f>'Gas CE'!H16</f>
        <v>0</v>
      </c>
      <c r="L16" s="403">
        <f>'Gas CE'!N16</f>
        <v>70424.309999999983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371</v>
      </c>
      <c r="C17" s="402">
        <f>'Electric CE'!H16</f>
        <v>997645.22000000114</v>
      </c>
      <c r="D17" s="403">
        <f>'Electric CE'!N16</f>
        <v>599661.3899999999</v>
      </c>
      <c r="E17" s="403">
        <f>'Electric CE'!T16</f>
        <v>130995.80549375524</v>
      </c>
      <c r="F17" s="407">
        <f>'Electric CE'!U16</f>
        <v>1.0510047785925845</v>
      </c>
      <c r="G17" s="409">
        <f>'Electric CE'!V16</f>
        <v>1.1975147643667343</v>
      </c>
      <c r="H17" s="410"/>
      <c r="J17" s="401" t="s">
        <v>378</v>
      </c>
      <c r="K17" s="402">
        <f>'Gas CE'!H17</f>
        <v>13233</v>
      </c>
      <c r="L17" s="403">
        <f>'Gas CE'!N17</f>
        <v>63146.69</v>
      </c>
      <c r="M17" s="403">
        <f>'Gas CE'!T17</f>
        <v>906.00425714286951</v>
      </c>
      <c r="N17" s="407">
        <f>'Gas CE'!U17</f>
        <v>2.4691447077928919</v>
      </c>
      <c r="O17" s="409">
        <f>'Gas CE'!V17</f>
        <v>1.523675320898636</v>
      </c>
    </row>
    <row r="18" spans="1:19">
      <c r="A18" s="396"/>
      <c r="B18" s="510" t="s">
        <v>1819</v>
      </c>
      <c r="C18" s="402">
        <f>'Electric CE'!H17</f>
        <v>0</v>
      </c>
      <c r="D18" s="403">
        <f>'Electric CE'!N17</f>
        <v>72507.95</v>
      </c>
      <c r="E18" s="403">
        <f>'Electric CE'!T17</f>
        <v>0</v>
      </c>
      <c r="F18" s="407">
        <f>'Electric CE'!U17</f>
        <v>0</v>
      </c>
      <c r="G18" s="409">
        <f>'Electric CE'!V17</f>
        <v>0</v>
      </c>
      <c r="H18" s="410"/>
      <c r="J18" s="401" t="s">
        <v>448</v>
      </c>
      <c r="K18" s="521">
        <v>0</v>
      </c>
      <c r="L18" s="403">
        <v>0</v>
      </c>
      <c r="M18" s="403">
        <v>0</v>
      </c>
      <c r="N18" s="407">
        <v>0</v>
      </c>
      <c r="O18" s="409">
        <v>0</v>
      </c>
    </row>
    <row r="19" spans="1:19">
      <c r="B19" s="401" t="s">
        <v>378</v>
      </c>
      <c r="C19" s="402">
        <f>'Electric CE'!H18</f>
        <v>123904.61</v>
      </c>
      <c r="D19" s="403">
        <f>'Electric CE'!N18</f>
        <v>118930.83</v>
      </c>
      <c r="E19" s="403">
        <f>'Electric CE'!T18</f>
        <v>8459.6777052558518</v>
      </c>
      <c r="F19" s="407">
        <f>'Electric CE'!U18</f>
        <v>2.6167313424636665</v>
      </c>
      <c r="G19" s="409">
        <f>'Electric CE'!V18</f>
        <v>1.542735643357845</v>
      </c>
      <c r="H19" s="410"/>
      <c r="J19" s="401" t="s">
        <v>449</v>
      </c>
      <c r="K19" s="402">
        <f>'Gas CE'!H18</f>
        <v>60870.679999999993</v>
      </c>
      <c r="L19" s="403">
        <f>'Gas CE'!N18</f>
        <v>609367.57000000007</v>
      </c>
      <c r="M19" s="403">
        <f>'Gas CE'!T18</f>
        <v>61357.740508226547</v>
      </c>
      <c r="N19" s="407">
        <f>'Gas CE'!U18</f>
        <v>2.1940471418102256</v>
      </c>
      <c r="O19" s="409">
        <f>'Gas CE'!V18</f>
        <v>1.2156579431679682</v>
      </c>
    </row>
    <row r="20" spans="1:19">
      <c r="B20" s="401" t="s">
        <v>448</v>
      </c>
      <c r="C20" s="402">
        <f>'Electric CE'!H19</f>
        <v>293561</v>
      </c>
      <c r="D20" s="403">
        <f>'Electric CE'!N19</f>
        <v>306397.58</v>
      </c>
      <c r="E20" s="403">
        <f>'Electric CE'!T19</f>
        <v>23066.572656908458</v>
      </c>
      <c r="F20" s="407">
        <f>'Electric CE'!U19</f>
        <v>3.452189946888446</v>
      </c>
      <c r="G20" s="409">
        <f>'Electric CE'!V19</f>
        <v>2.6193256311850686</v>
      </c>
      <c r="H20" s="410"/>
      <c r="J20" s="401" t="s">
        <v>381</v>
      </c>
      <c r="K20" s="402">
        <f>'Gas CE'!H19</f>
        <v>79154</v>
      </c>
      <c r="L20" s="403">
        <f>'Gas CE'!N19</f>
        <v>637000.99</v>
      </c>
      <c r="M20" s="403">
        <f>'Gas CE'!T19</f>
        <v>0</v>
      </c>
      <c r="N20" s="407">
        <f>'Gas CE'!U19</f>
        <v>1.4017023511107103</v>
      </c>
      <c r="O20" s="409">
        <f>'Gas CE'!V19</f>
        <v>1.5418725862217817</v>
      </c>
    </row>
    <row r="21" spans="1:19">
      <c r="A21" s="396"/>
      <c r="B21" s="401" t="s">
        <v>449</v>
      </c>
      <c r="C21" s="402">
        <f>'Electric CE'!H20</f>
        <v>14451696.65</v>
      </c>
      <c r="D21" s="403">
        <f>'Electric CE'!N20</f>
        <v>10759119.18</v>
      </c>
      <c r="E21" s="403">
        <f>'Electric CE'!T20</f>
        <v>892267.49671692855</v>
      </c>
      <c r="F21" s="407">
        <f>'Electric CE'!U20</f>
        <v>2.6412492977027719</v>
      </c>
      <c r="G21" s="409">
        <f>'Electric CE'!V20</f>
        <v>1.9322480705128879</v>
      </c>
      <c r="H21" s="410"/>
      <c r="J21" s="412" t="s">
        <v>480</v>
      </c>
      <c r="K21" s="413">
        <f>SUM(K6,K9:K20)</f>
        <v>3807387.600000001</v>
      </c>
      <c r="L21" s="414">
        <f>SUM(L6,L9:L20)</f>
        <v>15401102.060000001</v>
      </c>
      <c r="M21" s="415">
        <f>SUM(M6,M9:M20)</f>
        <v>2672965.9837343381</v>
      </c>
      <c r="N21" s="416"/>
      <c r="O21" s="417"/>
    </row>
    <row r="22" spans="1:19">
      <c r="B22" s="401" t="s">
        <v>381</v>
      </c>
      <c r="C22" s="402">
        <f>'Electric CE'!H21</f>
        <v>4615006</v>
      </c>
      <c r="D22" s="403">
        <f>'Electric CE'!N21</f>
        <v>2096891.28</v>
      </c>
      <c r="E22" s="403">
        <f>'Electric CE'!T21</f>
        <v>0</v>
      </c>
      <c r="F22" s="407">
        <f>'Electric CE'!U21</f>
        <v>3.0837812592734291</v>
      </c>
      <c r="G22" s="409">
        <f>'Electric CE'!V21</f>
        <v>3.4084139904009088</v>
      </c>
      <c r="H22" s="410"/>
      <c r="J22" s="422" t="s">
        <v>481</v>
      </c>
      <c r="K22" s="413">
        <f>'Gas CE'!H21</f>
        <v>3775875.9800000014</v>
      </c>
      <c r="L22" s="414">
        <f>'Gas CE'!N21</f>
        <v>14146919.790000001</v>
      </c>
      <c r="M22" s="415">
        <f>'Gas CE'!T21</f>
        <v>2668878.0793000082</v>
      </c>
      <c r="N22" s="416">
        <f>'Gas CE'!U21</f>
        <v>2.8429846628060846</v>
      </c>
      <c r="O22" s="417">
        <f>'Gas CE'!V21</f>
        <v>1.50601919283853</v>
      </c>
      <c r="P22" s="423"/>
    </row>
    <row r="23" spans="1:19">
      <c r="A23" s="396"/>
      <c r="B23" s="412" t="s">
        <v>480</v>
      </c>
      <c r="C23" s="418">
        <f>SUM(C6,C9:C22)</f>
        <v>135055426.98999953</v>
      </c>
      <c r="D23" s="415">
        <f>SUM(D6,D9:D22)</f>
        <v>49351668.68</v>
      </c>
      <c r="E23" s="415">
        <f>SUM(E6,E9:E22)</f>
        <v>5964377.3192728991</v>
      </c>
      <c r="F23" s="419"/>
      <c r="G23" s="420"/>
      <c r="H23" s="421"/>
      <c r="I23" s="396"/>
      <c r="J23" s="424" t="str">
        <f>'Gas CE'!C23</f>
        <v>Commercial/Industrial Retrofit</v>
      </c>
      <c r="K23" s="402">
        <f>'Gas CE'!H22</f>
        <v>751108.7</v>
      </c>
      <c r="L23" s="403">
        <f>'Gas CE'!N22</f>
        <v>3445337.74</v>
      </c>
      <c r="M23" s="426">
        <f>'Gas CE'!T22</f>
        <v>0</v>
      </c>
      <c r="N23" s="407">
        <f>'Gas CE'!U22</f>
        <v>2.5002616258807131</v>
      </c>
      <c r="O23" s="409">
        <f>'Gas CE'!V23</f>
        <v>1.3340487198549371</v>
      </c>
      <c r="P23" s="396"/>
    </row>
    <row r="24" spans="1:19" s="396" customFormat="1" ht="16.350000000000001" customHeight="1">
      <c r="A24" s="433"/>
      <c r="B24" s="422" t="s">
        <v>481</v>
      </c>
      <c r="C24" s="418">
        <f>'Electric CE'!H23</f>
        <v>132747538.09999953</v>
      </c>
      <c r="D24" s="415">
        <f>'Electric CE'!N23</f>
        <v>42226463.859999999</v>
      </c>
      <c r="E24" s="415">
        <f>'Electric CE'!T23</f>
        <v>4736818.5935271652</v>
      </c>
      <c r="F24" s="419">
        <f>'Electric CE'!U23</f>
        <v>2.5963225267796308</v>
      </c>
      <c r="G24" s="420">
        <f>'Electric CE'!V23</f>
        <v>1.8454283874281034</v>
      </c>
      <c r="H24" s="421"/>
      <c r="I24"/>
      <c r="J24" s="424" t="str">
        <f>'Gas CE'!C26</f>
        <v>Commercial/Industrial New Construction</v>
      </c>
      <c r="K24" s="425">
        <f>'Gas CE'!H26</f>
        <v>85281</v>
      </c>
      <c r="L24" s="403">
        <f>'Gas CE'!N26</f>
        <v>548963.35</v>
      </c>
      <c r="M24" s="426">
        <f>'Gas CE'!T26</f>
        <v>0</v>
      </c>
      <c r="N24" s="407">
        <f>'Gas CE'!U26</f>
        <v>1.7706416263005842</v>
      </c>
      <c r="O24" s="409">
        <f>'Gas CE'!V26</f>
        <v>1.7484117604685283</v>
      </c>
      <c r="P24" s="432"/>
      <c r="S24"/>
    </row>
    <row r="25" spans="1:19">
      <c r="B25" s="427" t="s">
        <v>384</v>
      </c>
      <c r="C25" s="428">
        <f>'Electric CE'!H24</f>
        <v>112836639.5</v>
      </c>
      <c r="D25" s="429">
        <f>'Electric CE'!N24</f>
        <v>32238066.140000001</v>
      </c>
      <c r="E25" s="429">
        <f>'Electric CE'!T24</f>
        <v>0</v>
      </c>
      <c r="F25" s="430">
        <f>'Electric CE'!U24</f>
        <v>4.2126275508566442</v>
      </c>
      <c r="G25" s="431">
        <f>'Electric CE'!V24</f>
        <v>2.1313945147934046</v>
      </c>
      <c r="J25" s="424" t="s">
        <v>386</v>
      </c>
      <c r="K25" s="425">
        <f>'Gas CE'!H27</f>
        <v>830954</v>
      </c>
      <c r="L25" s="403">
        <f>'Gas CE'!N27</f>
        <v>1026378.5800000002</v>
      </c>
      <c r="M25" s="426">
        <f>'Gas CE'!T27</f>
        <v>0</v>
      </c>
      <c r="N25" s="407">
        <f>'Gas CE'!U27</f>
        <v>2.1190459876392582</v>
      </c>
      <c r="O25" s="409">
        <f>'Gas CE'!V27</f>
        <v>2.3815669002809829</v>
      </c>
      <c r="P25" s="432"/>
    </row>
    <row r="26" spans="1:19">
      <c r="B26" s="427" t="s">
        <v>385</v>
      </c>
      <c r="C26" s="428">
        <f>'Electric CE'!H29</f>
        <v>27438087</v>
      </c>
      <c r="D26" s="429">
        <f>'Electric CE'!N29</f>
        <v>5293051.12</v>
      </c>
      <c r="E26" s="429">
        <f>'Electric CE'!T29</f>
        <v>0</v>
      </c>
      <c r="F26" s="430">
        <f>'Electric CE'!U29</f>
        <v>6.2594849792873504</v>
      </c>
      <c r="G26" s="431">
        <f>'Electric CE'!V29</f>
        <v>5.7056598706383417</v>
      </c>
      <c r="H26" s="432"/>
      <c r="J26" s="424" t="s">
        <v>387</v>
      </c>
      <c r="K26" s="425">
        <f>'Gas CE'!H28</f>
        <v>0</v>
      </c>
      <c r="L26" s="403">
        <f>'Gas CE'!N28</f>
        <v>2854.83</v>
      </c>
      <c r="M26" s="426">
        <f>'Gas CE'!T28</f>
        <v>0</v>
      </c>
      <c r="N26" s="407">
        <f>'Gas CE'!U28</f>
        <v>0</v>
      </c>
      <c r="O26" s="409">
        <f>'Gas CE'!V28</f>
        <v>0</v>
      </c>
      <c r="P26" s="432"/>
    </row>
    <row r="27" spans="1:19">
      <c r="B27" s="427" t="s">
        <v>386</v>
      </c>
      <c r="C27" s="428">
        <f>'Electric CE'!H30</f>
        <v>20314478</v>
      </c>
      <c r="D27" s="429">
        <f>'Electric CE'!N30</f>
        <v>2536224.3099999996</v>
      </c>
      <c r="E27" s="429">
        <f>'Electric CE'!T30</f>
        <v>0</v>
      </c>
      <c r="F27" s="430">
        <f>'Electric CE'!U30</f>
        <v>2.4472353960697641</v>
      </c>
      <c r="G27" s="431">
        <f>'Electric CE'!V30</f>
        <v>2.3592141421134816</v>
      </c>
      <c r="H27" s="432"/>
      <c r="J27" s="424" t="str">
        <f>'Gas CE'!C30</f>
        <v>Commercial Kitchen &amp; Laundry</v>
      </c>
      <c r="K27" s="425">
        <f>'Gas CE'!H30</f>
        <v>232053.44</v>
      </c>
      <c r="L27" s="403">
        <f>'Gas CE'!N30</f>
        <v>1549528.2000000002</v>
      </c>
      <c r="M27" s="426">
        <f>'Gas CE'!T30</f>
        <v>4519041.7701335885</v>
      </c>
      <c r="N27" s="434">
        <f>'Gas CE'!U30</f>
        <v>1.3437420973398009</v>
      </c>
      <c r="O27" s="435">
        <f>'Gas CE'!V30</f>
        <v>5.3654009482039919</v>
      </c>
    </row>
    <row r="28" spans="1:19">
      <c r="B28" s="427" t="s">
        <v>387</v>
      </c>
      <c r="C28" s="428">
        <f>'Electric CE'!H31</f>
        <v>80136</v>
      </c>
      <c r="D28" s="429">
        <f>'Electric CE'!N31</f>
        <v>37623.279999999999</v>
      </c>
      <c r="E28" s="429">
        <f>'Electric CE'!T31</f>
        <v>0</v>
      </c>
      <c r="F28" s="430">
        <f>'Electric CE'!U31</f>
        <v>2.210218403941278</v>
      </c>
      <c r="G28" s="431">
        <f>'Electric CE'!V31</f>
        <v>1.2346748565963359</v>
      </c>
      <c r="H28" s="432"/>
      <c r="I28" s="433"/>
      <c r="J28" s="424" t="str">
        <f>'Gas CE'!C31</f>
        <v>Commercial HVAC</v>
      </c>
      <c r="K28" s="425">
        <f>'Gas CE'!H31</f>
        <v>15388.380000000001</v>
      </c>
      <c r="L28" s="403">
        <f>'Gas CE'!N31</f>
        <v>51292.77</v>
      </c>
      <c r="M28" s="426">
        <f>'Gas CE'!T31</f>
        <v>0</v>
      </c>
      <c r="N28" s="434">
        <f>'Gas CE'!U31</f>
        <v>2.9800378241562346</v>
      </c>
      <c r="O28" s="435">
        <f>'Gas CE'!V31</f>
        <v>2.5284672272837856</v>
      </c>
      <c r="P28" s="433"/>
      <c r="S28" s="433"/>
    </row>
    <row r="29" spans="1:19" s="433" customFormat="1">
      <c r="A29"/>
      <c r="B29" s="427" t="s">
        <v>482</v>
      </c>
      <c r="C29" s="428">
        <f>'Electric CE'!H32</f>
        <v>11239971</v>
      </c>
      <c r="D29" s="429">
        <f>'Electric CE'!N32</f>
        <v>5023040.66</v>
      </c>
      <c r="E29" s="429">
        <f>'Electric CE'!T32</f>
        <v>0</v>
      </c>
      <c r="F29" s="430">
        <f>'Electric CE'!U32</f>
        <v>2.0580145331095197</v>
      </c>
      <c r="G29" s="431">
        <f>'Electric CE'!V32</f>
        <v>1.1851611664561603</v>
      </c>
      <c r="H29" s="432"/>
      <c r="I29"/>
      <c r="J29" s="424" t="str">
        <f>'Gas CE'!C32</f>
        <v>Commercial Midstream</v>
      </c>
      <c r="K29" s="425">
        <f>'Gas CE'!H32</f>
        <v>1049542.8800000001</v>
      </c>
      <c r="L29" s="403">
        <f>'Gas CE'!N32</f>
        <v>3676313.24</v>
      </c>
      <c r="M29" s="426">
        <f>'Gas CE'!T32</f>
        <v>0</v>
      </c>
      <c r="N29" s="434">
        <f>'Gas CE'!U32</f>
        <v>2.4276389022205196</v>
      </c>
      <c r="O29" s="435">
        <f>'Gas CE'!V32</f>
        <v>3.3491984830157433</v>
      </c>
      <c r="P29"/>
      <c r="S29"/>
    </row>
    <row r="30" spans="1:19">
      <c r="A30" s="441"/>
      <c r="B30" s="427" t="s">
        <v>483</v>
      </c>
      <c r="C30" s="428">
        <f>'Electric CE'!H33</f>
        <v>5631173</v>
      </c>
      <c r="D30" s="429">
        <f>'Electric CE'!N33</f>
        <v>2591634.09</v>
      </c>
      <c r="E30" s="429">
        <f>'Electric CE'!T33</f>
        <v>0</v>
      </c>
      <c r="F30" s="430">
        <f>'Electric CE'!U33</f>
        <v>2.1707914399132386</v>
      </c>
      <c r="G30" s="431">
        <f>'Electric CE'!V33</f>
        <v>2.4613556427867809</v>
      </c>
      <c r="H30" s="410"/>
      <c r="J30" s="424" t="str">
        <f>'Gas CE'!C33</f>
        <v>Small Business Direct Install</v>
      </c>
      <c r="K30" s="425">
        <f>'Gas CE'!H33</f>
        <v>1862</v>
      </c>
      <c r="L30" s="403">
        <f>'Gas CE'!N33</f>
        <v>34610.57</v>
      </c>
      <c r="M30" s="426">
        <f>'Gas CE'!T33</f>
        <v>7466.022413300997</v>
      </c>
      <c r="N30" s="434">
        <f>'Gas CE'!U33</f>
        <v>0.54759586084590506</v>
      </c>
      <c r="O30" s="435">
        <f>'Gas CE'!V33</f>
        <v>0.75803673466194765</v>
      </c>
    </row>
    <row r="31" spans="1:19">
      <c r="A31" s="441"/>
      <c r="B31" s="427" t="s">
        <v>484</v>
      </c>
      <c r="C31" s="428">
        <f>'Electric CE'!H35</f>
        <v>21965971.400000013</v>
      </c>
      <c r="D31" s="429">
        <f>'Electric CE'!N35</f>
        <v>3030735.44</v>
      </c>
      <c r="E31" s="429">
        <f>'Electric CE'!T35</f>
        <v>0</v>
      </c>
      <c r="F31" s="430">
        <f>'Electric CE'!U35</f>
        <v>6.5215907687770969</v>
      </c>
      <c r="G31" s="431">
        <f>'Electric CE'!V35</f>
        <v>5.785758259909632</v>
      </c>
      <c r="H31" s="410"/>
      <c r="J31" s="436" t="s">
        <v>485</v>
      </c>
      <c r="K31" s="437">
        <f>SUM(K23:K30)</f>
        <v>2966190.4</v>
      </c>
      <c r="L31" s="438">
        <f>SUM(L23:L30)</f>
        <v>10335279.280000001</v>
      </c>
      <c r="M31" s="438">
        <f>SUM(M23:M30)</f>
        <v>4526507.7925468897</v>
      </c>
      <c r="N31" s="439">
        <f>'Gas CE'!U34</f>
        <v>2.2195762881405821</v>
      </c>
      <c r="O31" s="440">
        <f>'Gas CE'!V34</f>
        <v>2.2923809636009547</v>
      </c>
    </row>
    <row r="32" spans="1:19">
      <c r="A32" s="433"/>
      <c r="B32" s="427" t="s">
        <v>454</v>
      </c>
      <c r="C32" s="428">
        <f>'Electric CE'!H36</f>
        <v>679997.59</v>
      </c>
      <c r="D32" s="429">
        <f>'Electric CE'!N36</f>
        <v>288495.48</v>
      </c>
      <c r="E32" s="429">
        <f>'Electric CE'!T36</f>
        <v>1612118.4087347207</v>
      </c>
      <c r="F32" s="430">
        <f>'Electric CE'!U36</f>
        <v>2.1987213216958725</v>
      </c>
      <c r="G32" s="431">
        <f>'Electric CE'!V36</f>
        <v>9.445515906756917</v>
      </c>
      <c r="H32" s="410"/>
      <c r="J32" s="442" t="s">
        <v>399</v>
      </c>
      <c r="K32" s="443">
        <f>'Gas CE'!H38</f>
        <v>10200</v>
      </c>
      <c r="L32" s="444">
        <f>'Gas CE'!N38</f>
        <v>74400.320000000007</v>
      </c>
      <c r="M32" s="444">
        <f>'Gas CE'!T38</f>
        <v>0</v>
      </c>
      <c r="N32" s="434">
        <f>'Gas CE'!U38</f>
        <v>0.58919195932149182</v>
      </c>
      <c r="O32" s="435">
        <f>'Gas CE'!V38</f>
        <v>0.88362460301571577</v>
      </c>
    </row>
    <row r="33" spans="1:19">
      <c r="B33" s="427" t="s">
        <v>455</v>
      </c>
      <c r="C33" s="428">
        <f>'Electric CE'!H37</f>
        <v>1330396.1100000001</v>
      </c>
      <c r="D33" s="429">
        <f>'Electric CE'!N37</f>
        <v>394482.74</v>
      </c>
      <c r="E33" s="429">
        <f>'Electric CE'!T37</f>
        <v>0</v>
      </c>
      <c r="F33" s="430">
        <f>'Electric CE'!U37</f>
        <v>3.9335124042203971</v>
      </c>
      <c r="G33" s="431">
        <f>'Electric CE'!V37</f>
        <v>1.856899231218009</v>
      </c>
      <c r="H33" s="410"/>
      <c r="J33" s="442" t="s">
        <v>486</v>
      </c>
      <c r="K33" s="443">
        <f>'Gas CE'!H39</f>
        <v>0</v>
      </c>
      <c r="L33" s="444">
        <f>'Gas CE'!N39</f>
        <v>828.63</v>
      </c>
      <c r="M33" s="444">
        <f>'Gas CE'!T39</f>
        <v>0</v>
      </c>
      <c r="N33" s="434">
        <f>'Gas CE'!U39</f>
        <v>0</v>
      </c>
      <c r="O33" s="435">
        <f>'Gas CE'!V39</f>
        <v>0</v>
      </c>
    </row>
    <row r="34" spans="1:19">
      <c r="B34" s="427" t="s">
        <v>394</v>
      </c>
      <c r="C34" s="428">
        <f>'Electric CE'!H38</f>
        <v>886389</v>
      </c>
      <c r="D34" s="429">
        <f>'Electric CE'!N38</f>
        <v>837852.2300000001</v>
      </c>
      <c r="E34" s="429">
        <f>'Electric CE'!T38</f>
        <v>0</v>
      </c>
      <c r="F34" s="430">
        <f>'Electric CE'!U38</f>
        <v>1.5522390139522975</v>
      </c>
      <c r="G34" s="431">
        <f>'Electric CE'!V38</f>
        <v>1.2474328719870562</v>
      </c>
      <c r="H34" s="410"/>
      <c r="J34" s="436" t="s">
        <v>401</v>
      </c>
      <c r="K34" s="437">
        <f>SUM(K32:K33)</f>
        <v>10200</v>
      </c>
      <c r="L34" s="437">
        <f>SUM(L32:L33)</f>
        <v>75228.950000000012</v>
      </c>
      <c r="M34" s="437">
        <f>SUM(M32:M33)</f>
        <v>0</v>
      </c>
      <c r="N34" s="439">
        <f>SUM(N32:N33)</f>
        <v>0.58919195932149182</v>
      </c>
      <c r="O34" s="440">
        <f>SUM(O32:O33)</f>
        <v>0.88362460301571577</v>
      </c>
    </row>
    <row r="35" spans="1:19">
      <c r="B35" s="427" t="s">
        <v>395</v>
      </c>
      <c r="C35" s="428">
        <f>'Electric CE'!H39</f>
        <v>23941235.870000001</v>
      </c>
      <c r="D35" s="429">
        <f>'Electric CE'!N39</f>
        <v>12671565.1</v>
      </c>
      <c r="E35" s="429">
        <f>'Electric CE'!T39</f>
        <v>3609.8716602322893</v>
      </c>
      <c r="F35" s="430">
        <f>'Electric CE'!U39</f>
        <v>1.8991473496517506</v>
      </c>
      <c r="G35" s="431">
        <f>'Electric CE'!V39</f>
        <v>2.2803031369852138</v>
      </c>
      <c r="H35" s="406"/>
      <c r="I35" s="432"/>
      <c r="J35" s="427" t="s">
        <v>487</v>
      </c>
      <c r="K35" s="428">
        <f>'Gas CE'!H35</f>
        <v>0</v>
      </c>
      <c r="L35" s="429">
        <f>'Gas CE'!N35</f>
        <v>1563521.19</v>
      </c>
      <c r="M35" s="429">
        <f>'Gas CE'!T35</f>
        <v>0</v>
      </c>
      <c r="N35" s="430">
        <f>'Gas CE'!U35</f>
        <v>0</v>
      </c>
      <c r="O35" s="431">
        <f>'Gas CE'!V35</f>
        <v>0</v>
      </c>
      <c r="P35" s="432"/>
      <c r="S35" s="432"/>
    </row>
    <row r="36" spans="1:19" s="432" customFormat="1">
      <c r="A36"/>
      <c r="B36" s="427" t="s">
        <v>396</v>
      </c>
      <c r="C36" s="428">
        <f>'Electric CE'!H40</f>
        <v>605487</v>
      </c>
      <c r="D36" s="429">
        <f>'Electric CE'!N40</f>
        <v>601394.97</v>
      </c>
      <c r="E36" s="429">
        <f>'Electric CE'!T40</f>
        <v>0</v>
      </c>
      <c r="F36" s="430">
        <f>'Electric CE'!U40</f>
        <v>1.2652501428812988</v>
      </c>
      <c r="G36" s="431">
        <f>'Electric CE'!V40</f>
        <v>1.3391729651049209</v>
      </c>
      <c r="H36" s="410"/>
      <c r="I36" s="441"/>
      <c r="J36" s="427" t="s">
        <v>406</v>
      </c>
      <c r="K36" s="428">
        <f>'Gas CE'!H36</f>
        <v>0</v>
      </c>
      <c r="L36" s="429">
        <f>'Gas CE'!N36</f>
        <v>10978.16</v>
      </c>
      <c r="M36" s="429">
        <f>'Gas CE'!T36</f>
        <v>0</v>
      </c>
      <c r="N36" s="430">
        <f>'Gas CE'!U36</f>
        <v>0</v>
      </c>
      <c r="O36" s="431">
        <f>'Gas CE'!V36</f>
        <v>0</v>
      </c>
      <c r="P36" s="441"/>
      <c r="S36" s="441"/>
    </row>
    <row r="37" spans="1:19" s="441" customFormat="1">
      <c r="A37"/>
      <c r="B37" s="445" t="s">
        <v>485</v>
      </c>
      <c r="C37" s="446">
        <f>SUM(C25:C36)</f>
        <v>226949961.47000003</v>
      </c>
      <c r="D37" s="447">
        <f>SUM(D25:D36)</f>
        <v>65544165.560000002</v>
      </c>
      <c r="E37" s="447">
        <f>SUM(E25:E36)</f>
        <v>1615728.280394953</v>
      </c>
      <c r="F37" s="448">
        <f>'Electric CE'!U41</f>
        <v>3.6505139754067972</v>
      </c>
      <c r="G37" s="449">
        <f>'Electric CE'!V41</f>
        <v>2.4112723262905491</v>
      </c>
      <c r="H37" s="410"/>
      <c r="J37" s="436" t="s">
        <v>459</v>
      </c>
      <c r="K37" s="438">
        <f>SUM(K35:K36)</f>
        <v>0</v>
      </c>
      <c r="L37" s="438">
        <f>SUM(L35:L36)</f>
        <v>1574499.3499999999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tr">
        <f>'Electric CE'!C42</f>
        <v>Residential Pilots</v>
      </c>
      <c r="C38" s="428">
        <f>'Electric CE'!H42</f>
        <v>204000</v>
      </c>
      <c r="D38" s="429">
        <f>'Electric CE'!N42</f>
        <v>671679.5</v>
      </c>
      <c r="E38" s="444">
        <f>'Electric CE'!T42</f>
        <v>0</v>
      </c>
      <c r="F38" s="498">
        <f>IFERROR('Electric CE'!U42,"-")</f>
        <v>7.127122317545051E-2</v>
      </c>
      <c r="G38" s="499">
        <f>IFERROR('Electric CE'!V42,"-")</f>
        <v>9.1373998999756248E-2</v>
      </c>
      <c r="H38" s="410"/>
      <c r="J38" s="452" t="s">
        <v>488</v>
      </c>
      <c r="K38" s="453">
        <f>'Gas CE'!H57</f>
        <v>0</v>
      </c>
      <c r="L38" s="411">
        <f>'Gas CE'!N55</f>
        <v>2662233.1300000004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27" t="s">
        <v>486</v>
      </c>
      <c r="C39" s="428">
        <f>'Electric CE'!H43</f>
        <v>607491</v>
      </c>
      <c r="D39" s="429">
        <f>'Electric CE'!N43</f>
        <v>233297.59999999998</v>
      </c>
      <c r="E39" s="444">
        <f>'Electric CE'!T43</f>
        <v>0</v>
      </c>
      <c r="F39" s="450">
        <f>'Electric CE'!U43</f>
        <v>2.5729113832454606</v>
      </c>
      <c r="G39" s="451">
        <f>'Electric CE'!V43</f>
        <v>2.8302025215700071</v>
      </c>
      <c r="H39" s="410"/>
      <c r="I39" s="433"/>
      <c r="J39" s="452" t="s">
        <v>490</v>
      </c>
      <c r="K39" s="453">
        <f>'Gas CE'!H60</f>
        <v>0</v>
      </c>
      <c r="L39" s="411">
        <f>'Gas CE'!I60</f>
        <v>877481.79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45" t="s">
        <v>489</v>
      </c>
      <c r="C40" s="446">
        <f>SUM(C38:C39)</f>
        <v>811491</v>
      </c>
      <c r="D40" s="447">
        <f>SUM(D38:D39)</f>
        <v>904977.1</v>
      </c>
      <c r="E40" s="447">
        <f>'Electric CE'!T44</f>
        <v>0</v>
      </c>
      <c r="F40" s="448">
        <f>'Electric CE'!U44</f>
        <v>0.7161788627256106</v>
      </c>
      <c r="G40" s="449">
        <f>'Electric CE'!V44</f>
        <v>0.88061113216144649</v>
      </c>
      <c r="H40" s="410"/>
      <c r="I40"/>
      <c r="J40" s="456" t="s">
        <v>491</v>
      </c>
      <c r="K40" s="457">
        <f>K22+K31+K34</f>
        <v>6752266.3800000008</v>
      </c>
      <c r="L40" s="457">
        <f>L22+L31+L34+L37+L38+L39</f>
        <v>29671642.289999999</v>
      </c>
      <c r="M40" s="457">
        <f>M22+M31</f>
        <v>7195385.8718468975</v>
      </c>
      <c r="N40" s="458">
        <f>'Gas CE'!U62</f>
        <v>2.1300894727263673</v>
      </c>
      <c r="O40" s="459">
        <f>'Gas CE'!V62</f>
        <v>1.5846628695336711</v>
      </c>
      <c r="P40"/>
      <c r="S40"/>
    </row>
    <row r="41" spans="1:19">
      <c r="B41" s="427" t="str">
        <f>'Electric CE'!C45</f>
        <v>Northwest Energy Efficiency Alliance</v>
      </c>
      <c r="C41" s="428">
        <f>'Electric CE'!H45</f>
        <v>22951200</v>
      </c>
      <c r="D41" s="429">
        <f>'Electric CE'!N45</f>
        <v>7940964.6100000013</v>
      </c>
      <c r="E41" s="429">
        <f>'Electric CE'!T45</f>
        <v>0</v>
      </c>
      <c r="F41" s="430">
        <f>'Electric CE'!U45</f>
        <v>1.1070435830027736</v>
      </c>
      <c r="G41" s="431">
        <f>'Electric CE'!V45</f>
        <v>3.8592007097715526</v>
      </c>
      <c r="H41" s="410"/>
      <c r="J41" s="460" t="s">
        <v>492</v>
      </c>
      <c r="K41" s="461">
        <f>'Gas CE'!H66</f>
        <v>0</v>
      </c>
      <c r="L41" s="462">
        <f>'Gas CE'!N66</f>
        <v>0</v>
      </c>
      <c r="M41" s="462"/>
      <c r="N41" s="463" t="s">
        <v>493</v>
      </c>
      <c r="O41" s="464" t="s">
        <v>493</v>
      </c>
    </row>
    <row r="42" spans="1:19" ht="15.75" thickBot="1">
      <c r="B42" s="427" t="s">
        <v>406</v>
      </c>
      <c r="C42" s="428">
        <f>'Electric CE'!H47</f>
        <v>0</v>
      </c>
      <c r="D42" s="429">
        <f>'Electric CE'!N47</f>
        <v>25615.18</v>
      </c>
      <c r="E42" s="429">
        <f>'Electric CE'!T47</f>
        <v>0</v>
      </c>
      <c r="F42" s="430">
        <f>'Electric CE'!U47</f>
        <v>0</v>
      </c>
      <c r="G42" s="431">
        <f>'Electric CE'!V47</f>
        <v>0</v>
      </c>
      <c r="H42" s="410"/>
      <c r="J42" s="465" t="s">
        <v>494</v>
      </c>
      <c r="K42" s="466">
        <f>K21+K31+K34</f>
        <v>6783778.0000000009</v>
      </c>
      <c r="L42" s="466">
        <f>L21+L31+L37+L38+L39+L34+L41</f>
        <v>30925824.560000002</v>
      </c>
      <c r="M42" s="466">
        <f>M21+M31+M34</f>
        <v>7199473.7762812283</v>
      </c>
      <c r="N42" s="467"/>
      <c r="O42" s="468"/>
    </row>
    <row r="43" spans="1:19">
      <c r="B43" s="427" t="str">
        <f>'Electric CE'!C46</f>
        <v>Transmission &amp; Distribution</v>
      </c>
      <c r="C43" s="428">
        <f>'Electric CE'!H46</f>
        <v>2723134</v>
      </c>
      <c r="D43" s="429">
        <f>'Electric CE'!N46</f>
        <v>0</v>
      </c>
      <c r="E43" s="429">
        <f>'Electric CE'!T46</f>
        <v>0</v>
      </c>
      <c r="F43" s="430">
        <f>'Electric CE'!U46</f>
        <v>0</v>
      </c>
      <c r="G43" s="431">
        <f>'Electric CE'!V46</f>
        <v>13.658326326285659</v>
      </c>
      <c r="H43" s="410"/>
    </row>
    <row r="44" spans="1:19" ht="15.75" thickBot="1">
      <c r="B44" s="469" t="s">
        <v>459</v>
      </c>
      <c r="C44" s="470">
        <f>SUM(C41:C43)</f>
        <v>25674334</v>
      </c>
      <c r="D44" s="471">
        <f>SUM(D41:D43)</f>
        <v>7966579.790000001</v>
      </c>
      <c r="E44" s="471">
        <f>'Electric CE'!T48</f>
        <v>0</v>
      </c>
      <c r="F44" s="472">
        <f>'Electric CE'!U48</f>
        <v>1.4857166647173823</v>
      </c>
      <c r="G44" s="473">
        <f>'Electric CE'!V48</f>
        <v>4.6791953535365813</v>
      </c>
      <c r="H44" s="421"/>
      <c r="L44" s="396"/>
      <c r="N44" s="396"/>
      <c r="O44" s="479"/>
    </row>
    <row r="45" spans="1:19" ht="15.75" thickTop="1">
      <c r="B45" s="474" t="s">
        <v>488</v>
      </c>
      <c r="C45" s="475">
        <f>'Electric CE'!H63</f>
        <v>0</v>
      </c>
      <c r="D45" s="476">
        <f>'Electric CE'!$N$63</f>
        <v>16203175.319999998</v>
      </c>
      <c r="E45" s="476">
        <f>'Electric CE'!T63</f>
        <v>0</v>
      </c>
      <c r="F45" s="477"/>
      <c r="G45" s="478"/>
      <c r="H45" s="406"/>
    </row>
    <row r="46" spans="1:19">
      <c r="B46" s="474" t="s">
        <v>490</v>
      </c>
      <c r="C46" s="475">
        <f>'Electric CE'!H69</f>
        <v>0</v>
      </c>
      <c r="D46" s="476">
        <f>'Electric CE'!$N$69</f>
        <v>4705165.4300000006</v>
      </c>
      <c r="E46" s="476">
        <f>'Electric CE'!T69</f>
        <v>0</v>
      </c>
      <c r="F46" s="477"/>
      <c r="G46" s="478"/>
      <c r="H46" s="410"/>
      <c r="I46" s="432"/>
      <c r="J46" t="s">
        <v>495</v>
      </c>
      <c r="P46" s="432"/>
      <c r="S46" s="432"/>
    </row>
    <row r="47" spans="1:19" s="432" customFormat="1">
      <c r="A47"/>
      <c r="B47" s="480"/>
      <c r="C47" s="461"/>
      <c r="D47" s="462"/>
      <c r="E47" s="462"/>
      <c r="F47" s="481"/>
      <c r="G47" s="482"/>
      <c r="H47" s="421"/>
      <c r="I47"/>
      <c r="J47" t="s">
        <v>497</v>
      </c>
      <c r="K47"/>
      <c r="L47"/>
      <c r="M47"/>
      <c r="N47"/>
      <c r="O47"/>
      <c r="P47"/>
      <c r="S47"/>
    </row>
    <row r="48" spans="1:19" ht="15.75" thickBot="1">
      <c r="B48" s="456" t="s">
        <v>496</v>
      </c>
      <c r="C48" s="457">
        <f>C24+C37+C40+C44</f>
        <v>386183324.56999958</v>
      </c>
      <c r="D48" s="457">
        <f>D24+D37+D40+D44+D45+D46</f>
        <v>137550527.06</v>
      </c>
      <c r="E48" s="457">
        <f>E24+E37</f>
        <v>6352546.873922118</v>
      </c>
      <c r="F48" s="458">
        <f>'Electric CE'!U70</f>
        <v>2.6275207576188229</v>
      </c>
      <c r="G48" s="459">
        <f>'Electric CE'!V70</f>
        <v>1.9968814453077086</v>
      </c>
      <c r="H48" s="410"/>
      <c r="J48" t="s">
        <v>498</v>
      </c>
    </row>
    <row r="49" spans="2:15">
      <c r="B49" s="480"/>
      <c r="C49" s="461"/>
      <c r="D49" s="462"/>
      <c r="E49" s="462"/>
      <c r="F49" s="481"/>
      <c r="G49" s="482"/>
      <c r="H49" s="410"/>
      <c r="J49" s="483" t="s">
        <v>500</v>
      </c>
      <c r="K49" s="432"/>
      <c r="L49" s="432"/>
      <c r="M49" s="432"/>
      <c r="N49" s="432"/>
      <c r="O49" s="432"/>
    </row>
    <row r="50" spans="2:15">
      <c r="B50" s="480" t="s">
        <v>499</v>
      </c>
      <c r="C50" s="461">
        <f>'Electric CE'!H74</f>
        <v>0</v>
      </c>
      <c r="D50" s="462">
        <f>'Electric CE'!N74</f>
        <v>5521224.79</v>
      </c>
      <c r="E50" s="462"/>
      <c r="F50" s="463" t="s">
        <v>493</v>
      </c>
      <c r="G50" s="464" t="s">
        <v>493</v>
      </c>
      <c r="H50" s="421"/>
      <c r="J50" s="396"/>
      <c r="K50" s="396"/>
      <c r="L50" s="396"/>
      <c r="M50" s="396"/>
      <c r="N50" s="396"/>
      <c r="O50" s="396"/>
    </row>
    <row r="51" spans="2:15" ht="15.75" thickBot="1">
      <c r="B51" s="484" t="s">
        <v>501</v>
      </c>
      <c r="C51" s="485">
        <f>C23+C37+C40+C44+C50</f>
        <v>388491213.45999956</v>
      </c>
      <c r="D51" s="485">
        <f>D23+D37+D40+D44+D45+D46+D50</f>
        <v>150196956.67000002</v>
      </c>
      <c r="E51" s="485">
        <f>E48</f>
        <v>6352546.873922118</v>
      </c>
      <c r="F51" s="486"/>
      <c r="G51" s="487"/>
      <c r="H51" s="406"/>
      <c r="J51" s="396" t="s">
        <v>502</v>
      </c>
      <c r="K51" s="396"/>
      <c r="L51" s="396"/>
      <c r="M51" s="396"/>
      <c r="N51" s="396"/>
      <c r="O51" s="396"/>
    </row>
    <row r="52" spans="2:15">
      <c r="H52" s="406"/>
      <c r="J52" s="396" t="s">
        <v>503</v>
      </c>
      <c r="K52" s="396"/>
      <c r="L52" s="396"/>
      <c r="M52" s="396"/>
      <c r="N52" s="396"/>
      <c r="O52" s="396"/>
    </row>
    <row r="53" spans="2:15">
      <c r="B53" s="432"/>
      <c r="D53" s="488"/>
      <c r="E53" s="489"/>
      <c r="H53" s="406"/>
      <c r="J53" s="396" t="s">
        <v>504</v>
      </c>
      <c r="K53" s="396"/>
      <c r="L53" s="396"/>
      <c r="M53" s="396"/>
      <c r="N53" s="396"/>
      <c r="O53" s="396"/>
    </row>
    <row r="54" spans="2:15">
      <c r="D54" s="490"/>
      <c r="E54" s="489"/>
      <c r="H54" s="491"/>
      <c r="J54" s="396" t="s">
        <v>505</v>
      </c>
      <c r="K54" s="396"/>
      <c r="L54" s="396"/>
      <c r="M54" s="396"/>
      <c r="N54" s="396"/>
      <c r="O54" s="396"/>
    </row>
    <row r="55" spans="2:15">
      <c r="E55" s="421"/>
      <c r="H55" s="406"/>
    </row>
    <row r="56" spans="2:15">
      <c r="H56" s="492"/>
    </row>
    <row r="57" spans="2:15">
      <c r="F57" s="493"/>
      <c r="G57" s="479" t="s">
        <v>506</v>
      </c>
      <c r="H57" s="491"/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5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594</v>
      </c>
      <c r="F5" s="39" t="s">
        <v>595</v>
      </c>
      <c r="G5" s="39">
        <v>13</v>
      </c>
      <c r="H5" s="39"/>
      <c r="I5" s="40" t="s">
        <v>265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-4.4490327399233547E-3</v>
      </c>
      <c r="V5" s="48">
        <f t="shared" ref="V5:V24" si="2">N5-M5</f>
        <v>129.16999999999996</v>
      </c>
      <c r="W5" s="49">
        <f t="shared" ref="W5:W24" si="3">(O5/A$10)</f>
        <v>-3.4223328768641191E-4</v>
      </c>
      <c r="X5" s="44">
        <f t="shared" ref="X5:X24" si="4">W5*A$8</f>
        <v>-156.0788447356075</v>
      </c>
      <c r="Y5" s="44">
        <f t="shared" ref="Y5:Y24" si="5">Q5-P5</f>
        <v>-629.16999999999996</v>
      </c>
      <c r="Z5" s="44">
        <f t="shared" ref="Z5:Z24" si="6">X5+(A$6*W5)</f>
        <v>-769.38007844543245</v>
      </c>
      <c r="AA5" s="50">
        <f t="shared" ref="AA5:AA24" si="7">Q5+X5</f>
        <v>-785.24884473560746</v>
      </c>
      <c r="AB5" s="51">
        <f t="shared" ref="AB5:AC20" si="8">Z5/(1+ElecDiscountRate)^1</f>
        <v>-719.24846073238518</v>
      </c>
      <c r="AC5" s="44">
        <f t="shared" si="8"/>
        <v>-734.08324271815218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1.6628436804893478</v>
      </c>
      <c r="AP5" s="47">
        <f>AN5/AC5</f>
        <v>1.7921639629345265</v>
      </c>
      <c r="AQ5">
        <v>2021</v>
      </c>
    </row>
    <row r="6" spans="1:43" ht="13.5" customHeight="1">
      <c r="A6" s="53">
        <f>SUMIF('Program Costs'!D:D,C2,'Program Costs'!L:L)</f>
        <v>1792056.05</v>
      </c>
      <c r="B6" s="97" t="s">
        <v>15</v>
      </c>
      <c r="C6" s="100">
        <v>18230626</v>
      </c>
      <c r="D6" s="100" t="s">
        <v>79</v>
      </c>
      <c r="E6" s="38" t="s">
        <v>596</v>
      </c>
      <c r="F6" s="39" t="s">
        <v>597</v>
      </c>
      <c r="G6" s="39">
        <v>13</v>
      </c>
      <c r="H6" s="39"/>
      <c r="I6" s="40" t="s">
        <v>265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4.342681359686143E-3</v>
      </c>
      <c r="V6" s="48">
        <f t="shared" si="2"/>
        <v>369</v>
      </c>
      <c r="W6" s="49">
        <f t="shared" si="3"/>
        <v>3.3405241228354947E-4</v>
      </c>
      <c r="X6" s="44">
        <f t="shared" si="4"/>
        <v>152.34787633555314</v>
      </c>
      <c r="Y6" s="44">
        <f t="shared" si="5"/>
        <v>369</v>
      </c>
      <c r="Z6" s="44">
        <f t="shared" si="6"/>
        <v>750.98852278538232</v>
      </c>
      <c r="AA6" s="50">
        <f t="shared" si="7"/>
        <v>1521.3478763355531</v>
      </c>
      <c r="AB6" s="51">
        <f t="shared" si="8"/>
        <v>702.05527043599352</v>
      </c>
      <c r="AC6" s="44">
        <f t="shared" si="8"/>
        <v>1422.2191982196439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1.6628436804893478</v>
      </c>
      <c r="AP6" s="47">
        <f t="shared" ref="AP6:AP24" si="16">AN6/AC6</f>
        <v>0.90291917616224193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598</v>
      </c>
      <c r="F7" s="39" t="s">
        <v>599</v>
      </c>
      <c r="G7" s="39">
        <v>13</v>
      </c>
      <c r="H7" s="39"/>
      <c r="I7" s="40" t="s">
        <v>265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0.28227428837959934</v>
      </c>
      <c r="V7" s="48">
        <f t="shared" si="2"/>
        <v>129.16999999999996</v>
      </c>
      <c r="W7" s="49">
        <f t="shared" si="3"/>
        <v>2.1713406798430718E-2</v>
      </c>
      <c r="X7" s="44">
        <f t="shared" si="4"/>
        <v>9902.6119618109551</v>
      </c>
      <c r="Y7" s="44">
        <f t="shared" si="5"/>
        <v>8396.049999999901</v>
      </c>
      <c r="Z7" s="44">
        <f t="shared" si="6"/>
        <v>48814.253981049857</v>
      </c>
      <c r="AA7" s="50">
        <f t="shared" si="7"/>
        <v>50798.661961810853</v>
      </c>
      <c r="AB7" s="51">
        <f t="shared" si="8"/>
        <v>45633.59257833958</v>
      </c>
      <c r="AC7" s="44">
        <f t="shared" si="8"/>
        <v>47488.699599710992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1.6628436804893478</v>
      </c>
      <c r="AP7" s="47">
        <f t="shared" si="16"/>
        <v>1.7576746645873056</v>
      </c>
      <c r="AQ7">
        <v>2021</v>
      </c>
    </row>
    <row r="8" spans="1:43" ht="13.5" customHeight="1">
      <c r="A8" s="53">
        <f>SUMIF('Program Costs'!D:D,C2,'Program Costs'!O:O)</f>
        <v>456059.80000000005</v>
      </c>
      <c r="B8" s="97" t="s">
        <v>15</v>
      </c>
      <c r="C8" s="100">
        <v>18230626</v>
      </c>
      <c r="D8" s="100" t="s">
        <v>79</v>
      </c>
      <c r="E8" s="38" t="s">
        <v>600</v>
      </c>
      <c r="F8" s="39" t="s">
        <v>601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18230626</v>
      </c>
      <c r="D9" s="100" t="s">
        <v>79</v>
      </c>
      <c r="E9" s="38" t="s">
        <v>602</v>
      </c>
      <c r="F9" s="39" t="s">
        <v>603</v>
      </c>
      <c r="G9" s="39">
        <v>13</v>
      </c>
      <c r="H9" s="39"/>
      <c r="I9" s="40" t="s">
        <v>265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5.5670551697130506</v>
      </c>
      <c r="V9" s="48">
        <f t="shared" si="2"/>
        <v>251.55999999999995</v>
      </c>
      <c r="W9" s="49">
        <f t="shared" si="3"/>
        <v>0.42823501305485007</v>
      </c>
      <c r="X9" s="44">
        <f t="shared" si="4"/>
        <v>195300.77440679233</v>
      </c>
      <c r="Y9" s="44">
        <f t="shared" si="5"/>
        <v>249044.40000001504</v>
      </c>
      <c r="Z9" s="44">
        <f t="shared" si="6"/>
        <v>962721.9203735654</v>
      </c>
      <c r="AA9" s="50">
        <f t="shared" si="7"/>
        <v>939345.1744068074</v>
      </c>
      <c r="AB9" s="51">
        <f t="shared" si="8"/>
        <v>899992.44682954601</v>
      </c>
      <c r="AC9" s="44">
        <f t="shared" si="8"/>
        <v>878138.89352791186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3667089.22</v>
      </c>
      <c r="B10" s="97" t="s">
        <v>15</v>
      </c>
      <c r="C10" s="100">
        <v>18230626</v>
      </c>
      <c r="D10" s="100" t="s">
        <v>79</v>
      </c>
      <c r="E10" s="38" t="s">
        <v>591</v>
      </c>
      <c r="F10" s="39" t="s">
        <v>592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18230626</v>
      </c>
      <c r="D11" s="100" t="s">
        <v>79</v>
      </c>
      <c r="E11" s="38" t="s">
        <v>593</v>
      </c>
      <c r="F11" s="39" t="s">
        <v>592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1444482.0300000019</v>
      </c>
      <c r="B12" s="97" t="s">
        <v>15</v>
      </c>
      <c r="C12" s="100">
        <v>18230626</v>
      </c>
      <c r="D12" s="100" t="s">
        <v>79</v>
      </c>
      <c r="E12" s="38" t="s">
        <v>604</v>
      </c>
      <c r="F12" s="39" t="s">
        <v>605</v>
      </c>
      <c r="G12" s="39">
        <v>13</v>
      </c>
      <c r="H12" s="39"/>
      <c r="I12" s="40" t="s">
        <v>265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4.4796839167169216</v>
      </c>
      <c r="V12" s="48">
        <f t="shared" si="2"/>
        <v>60.629999999999995</v>
      </c>
      <c r="W12" s="49">
        <f t="shared" si="3"/>
        <v>0.34459107051668625</v>
      </c>
      <c r="X12" s="44">
        <f t="shared" si="4"/>
        <v>157154.13470162585</v>
      </c>
      <c r="Y12" s="44">
        <f t="shared" si="5"/>
        <v>68633.070000000997</v>
      </c>
      <c r="Z12" s="44">
        <f t="shared" si="6"/>
        <v>774680.64739703014</v>
      </c>
      <c r="AA12" s="50">
        <f t="shared" si="7"/>
        <v>795386.85470162891</v>
      </c>
      <c r="AB12" s="51">
        <f t="shared" si="8"/>
        <v>724203.65279707406</v>
      </c>
      <c r="AC12" s="44">
        <f t="shared" si="8"/>
        <v>743560.6756115068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1.6628436804893478</v>
      </c>
      <c r="AP12" s="47">
        <f t="shared" si="16"/>
        <v>1.7815105849910668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18230626</v>
      </c>
      <c r="D13" s="100" t="s">
        <v>79</v>
      </c>
      <c r="E13" s="38" t="s">
        <v>594</v>
      </c>
      <c r="F13" s="39" t="s">
        <v>595</v>
      </c>
      <c r="G13" s="39">
        <v>13</v>
      </c>
      <c r="H13" s="39"/>
      <c r="I13" s="40" t="s">
        <v>265</v>
      </c>
      <c r="J13" s="41">
        <v>64</v>
      </c>
      <c r="K13" s="41">
        <v>1255</v>
      </c>
      <c r="L13" s="41"/>
      <c r="M13" s="42">
        <v>500</v>
      </c>
      <c r="N13" s="42">
        <v>629.16999999999996</v>
      </c>
      <c r="O13" s="43">
        <v>80320</v>
      </c>
      <c r="P13" s="44">
        <v>32000</v>
      </c>
      <c r="Q13" s="44">
        <v>78442.509999999995</v>
      </c>
      <c r="R13" s="45">
        <v>0</v>
      </c>
      <c r="S13" s="46">
        <v>0</v>
      </c>
      <c r="T13" s="39">
        <f t="shared" si="0"/>
        <v>13</v>
      </c>
      <c r="U13" s="47">
        <f t="shared" si="1"/>
        <v>0.2847380953550947</v>
      </c>
      <c r="V13" s="48">
        <f t="shared" si="2"/>
        <v>129.16999999999996</v>
      </c>
      <c r="W13" s="49">
        <f t="shared" si="3"/>
        <v>2.1902930411930362E-2</v>
      </c>
      <c r="X13" s="44">
        <f t="shared" si="4"/>
        <v>9989.0460630788803</v>
      </c>
      <c r="Y13" s="44">
        <f t="shared" si="5"/>
        <v>46442.509999999995</v>
      </c>
      <c r="Z13" s="44">
        <f t="shared" si="6"/>
        <v>49240.325020507677</v>
      </c>
      <c r="AA13" s="50">
        <f t="shared" si="7"/>
        <v>88431.556063078868</v>
      </c>
      <c r="AB13" s="51">
        <f t="shared" si="8"/>
        <v>46031.901486872652</v>
      </c>
      <c r="AC13" s="44">
        <f t="shared" si="8"/>
        <v>82669.492440010159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0.95298626106018935</v>
      </c>
      <c r="AG13" s="44">
        <f t="shared" si="10"/>
        <v>76543.856488354402</v>
      </c>
      <c r="AH13" s="52">
        <f>HLOOKUP(I13,ElecAvoidedCostsWOCC!$A$5:$Q$50,T13+1,FALSE)</f>
        <v>0.95298626106018935</v>
      </c>
      <c r="AI13" s="44">
        <f t="shared" si="11"/>
        <v>0</v>
      </c>
      <c r="AJ13" s="44">
        <f t="shared" si="12"/>
        <v>76543.856488354402</v>
      </c>
      <c r="AK13" s="44">
        <f>HLOOKUP(I13,ElecAvoidedCostsWOCC!$A$5:$Q$50,G13+1,FALSE)*J13*L13</f>
        <v>0</v>
      </c>
      <c r="AL13" s="44">
        <f t="shared" si="13"/>
        <v>76543.856488354402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76543.856488354402</v>
      </c>
      <c r="AN13" s="48">
        <f t="shared" si="14"/>
        <v>84198.242137189853</v>
      </c>
      <c r="AO13" s="47">
        <f t="shared" si="15"/>
        <v>1.6628436804893478</v>
      </c>
      <c r="AP13" s="47">
        <f t="shared" si="16"/>
        <v>1.0184923077674517</v>
      </c>
      <c r="AQ13">
        <v>2020</v>
      </c>
    </row>
    <row r="14" spans="1:43" ht="13.5" customHeight="1">
      <c r="A14" s="55">
        <f>SUM(Y5:Y1000)</f>
        <v>546491.85000001593</v>
      </c>
      <c r="B14" s="97" t="s">
        <v>15</v>
      </c>
      <c r="C14" s="100">
        <v>18230626</v>
      </c>
      <c r="D14" s="100" t="s">
        <v>79</v>
      </c>
      <c r="E14" s="38" t="s">
        <v>1883</v>
      </c>
      <c r="F14" s="39" t="s">
        <v>597</v>
      </c>
      <c r="G14" s="39">
        <v>13</v>
      </c>
      <c r="H14" s="39"/>
      <c r="I14" s="40" t="s">
        <v>265</v>
      </c>
      <c r="J14" s="41">
        <v>1</v>
      </c>
      <c r="K14" s="41">
        <v>1255</v>
      </c>
      <c r="L14" s="41"/>
      <c r="M14" s="42">
        <v>1000</v>
      </c>
      <c r="N14" s="42">
        <v>1369</v>
      </c>
      <c r="O14" s="43">
        <v>1255</v>
      </c>
      <c r="P14" s="44">
        <v>1000</v>
      </c>
      <c r="Q14" s="44">
        <v>1369</v>
      </c>
      <c r="R14" s="45">
        <v>0</v>
      </c>
      <c r="S14" s="46">
        <v>0</v>
      </c>
      <c r="T14" s="39">
        <f t="shared" si="0"/>
        <v>13</v>
      </c>
      <c r="U14" s="47">
        <f t="shared" si="1"/>
        <v>4.4490327399233547E-3</v>
      </c>
      <c r="V14" s="48">
        <f t="shared" si="2"/>
        <v>369</v>
      </c>
      <c r="W14" s="49">
        <f t="shared" si="3"/>
        <v>3.4223328768641191E-4</v>
      </c>
      <c r="X14" s="44">
        <f t="shared" si="4"/>
        <v>156.0788447356075</v>
      </c>
      <c r="Y14" s="44">
        <f t="shared" si="5"/>
        <v>369</v>
      </c>
      <c r="Z14" s="44">
        <f t="shared" si="6"/>
        <v>769.38007844543245</v>
      </c>
      <c r="AA14" s="50">
        <f t="shared" si="7"/>
        <v>1525.0788447356076</v>
      </c>
      <c r="AB14" s="51">
        <f t="shared" si="8"/>
        <v>719.24846073238518</v>
      </c>
      <c r="AC14" s="44">
        <f t="shared" si="8"/>
        <v>1425.7070624807025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0.95298626106018935</v>
      </c>
      <c r="AG14" s="44">
        <f t="shared" si="10"/>
        <v>1195.9977576305375</v>
      </c>
      <c r="AH14" s="52">
        <f>HLOOKUP(I14,ElecAvoidedCostsWOCC!$A$5:$Q$50,T14+1,FALSE)</f>
        <v>0.95298626106018935</v>
      </c>
      <c r="AI14" s="44">
        <f t="shared" si="11"/>
        <v>0</v>
      </c>
      <c r="AJ14" s="44">
        <f t="shared" si="12"/>
        <v>1195.9977576305375</v>
      </c>
      <c r="AK14" s="44">
        <f>HLOOKUP(I14,ElecAvoidedCostsWOCC!$A$5:$Q$50,G14+1,FALSE)*J14*L14</f>
        <v>0</v>
      </c>
      <c r="AL14" s="44">
        <f t="shared" si="13"/>
        <v>1195.9977576305375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1195.9977576305375</v>
      </c>
      <c r="AN14" s="48">
        <f t="shared" si="14"/>
        <v>1315.5975333935914</v>
      </c>
      <c r="AO14" s="47">
        <f t="shared" si="15"/>
        <v>1.6628436804893478</v>
      </c>
      <c r="AP14" s="47">
        <f t="shared" si="16"/>
        <v>0.92276847608826273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18230626</v>
      </c>
      <c r="D15" s="100" t="s">
        <v>79</v>
      </c>
      <c r="E15" s="38" t="s">
        <v>596</v>
      </c>
      <c r="F15" s="39" t="s">
        <v>597</v>
      </c>
      <c r="G15" s="39">
        <v>13</v>
      </c>
      <c r="H15" s="39"/>
      <c r="I15" s="40" t="s">
        <v>265</v>
      </c>
      <c r="J15" s="41">
        <v>13</v>
      </c>
      <c r="K15" s="41">
        <v>1225</v>
      </c>
      <c r="L15" s="41"/>
      <c r="M15" s="42">
        <v>1000</v>
      </c>
      <c r="N15" s="42">
        <v>1369</v>
      </c>
      <c r="O15" s="43">
        <v>15925</v>
      </c>
      <c r="P15" s="44">
        <v>12492.22</v>
      </c>
      <c r="Q15" s="44">
        <v>16645</v>
      </c>
      <c r="R15" s="45">
        <v>0</v>
      </c>
      <c r="S15" s="46">
        <v>0</v>
      </c>
      <c r="T15" s="39">
        <f t="shared" si="0"/>
        <v>13</v>
      </c>
      <c r="U15" s="47">
        <f t="shared" si="1"/>
        <v>5.6454857675919859E-2</v>
      </c>
      <c r="V15" s="48">
        <f t="shared" si="2"/>
        <v>369</v>
      </c>
      <c r="W15" s="49">
        <f t="shared" si="3"/>
        <v>4.342681359686143E-3</v>
      </c>
      <c r="X15" s="44">
        <f t="shared" si="4"/>
        <v>1980.5223923621907</v>
      </c>
      <c r="Y15" s="44">
        <f t="shared" si="5"/>
        <v>4152.7800000000007</v>
      </c>
      <c r="Z15" s="44">
        <f t="shared" si="6"/>
        <v>9762.8507962099684</v>
      </c>
      <c r="AA15" s="50">
        <f t="shared" si="7"/>
        <v>18625.522392362189</v>
      </c>
      <c r="AB15" s="51">
        <f t="shared" si="8"/>
        <v>9126.7185156679134</v>
      </c>
      <c r="AC15" s="44">
        <f t="shared" si="8"/>
        <v>17411.912117754684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0.95298626106018935</v>
      </c>
      <c r="AG15" s="44">
        <f t="shared" si="10"/>
        <v>15176.306207383515</v>
      </c>
      <c r="AH15" s="52">
        <f>HLOOKUP(I15,ElecAvoidedCostsWOCC!$A$5:$Q$50,T15+1,FALSE)</f>
        <v>0.95298626106018935</v>
      </c>
      <c r="AI15" s="44">
        <f t="shared" si="11"/>
        <v>0</v>
      </c>
      <c r="AJ15" s="44">
        <f t="shared" si="12"/>
        <v>15176.306207383515</v>
      </c>
      <c r="AK15" s="44">
        <f>HLOOKUP(I15,ElecAvoidedCostsWOCC!$A$5:$Q$50,G15+1,FALSE)*J15*L15</f>
        <v>0</v>
      </c>
      <c r="AL15" s="44">
        <f t="shared" si="13"/>
        <v>15176.306207383515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15176.306207383515</v>
      </c>
      <c r="AN15" s="48">
        <f t="shared" si="14"/>
        <v>16693.936828121867</v>
      </c>
      <c r="AO15" s="47">
        <f t="shared" si="15"/>
        <v>1.6628436804893483</v>
      </c>
      <c r="AP15" s="47">
        <f t="shared" si="16"/>
        <v>0.95876528179230192</v>
      </c>
      <c r="AQ15">
        <v>2020</v>
      </c>
    </row>
    <row r="16" spans="1:43" ht="13.5" customHeight="1">
      <c r="A16" s="54">
        <f>SUM(U5:U999)</f>
        <v>12.994729509199125</v>
      </c>
      <c r="B16" s="97" t="s">
        <v>15</v>
      </c>
      <c r="C16" s="100">
        <v>18230626</v>
      </c>
      <c r="D16" s="100" t="s">
        <v>79</v>
      </c>
      <c r="E16" s="38" t="s">
        <v>598</v>
      </c>
      <c r="F16" s="39" t="s">
        <v>599</v>
      </c>
      <c r="G16" s="39">
        <v>13</v>
      </c>
      <c r="H16" s="39"/>
      <c r="I16" s="40" t="s">
        <v>265</v>
      </c>
      <c r="J16" s="41">
        <v>286</v>
      </c>
      <c r="K16" s="41">
        <v>1225</v>
      </c>
      <c r="L16" s="41"/>
      <c r="M16" s="42">
        <v>500</v>
      </c>
      <c r="N16" s="42">
        <v>629.16999999999996</v>
      </c>
      <c r="O16" s="43">
        <v>350350</v>
      </c>
      <c r="P16" s="44">
        <v>142850</v>
      </c>
      <c r="Q16" s="44">
        <v>297321.13</v>
      </c>
      <c r="R16" s="45">
        <v>0</v>
      </c>
      <c r="S16" s="46">
        <v>0</v>
      </c>
      <c r="T16" s="39">
        <f t="shared" si="0"/>
        <v>13</v>
      </c>
      <c r="U16" s="47">
        <f t="shared" si="1"/>
        <v>1.242006868870237</v>
      </c>
      <c r="V16" s="48">
        <f t="shared" si="2"/>
        <v>129.16999999999996</v>
      </c>
      <c r="W16" s="49">
        <f t="shared" si="3"/>
        <v>9.553898991309516E-2</v>
      </c>
      <c r="X16" s="44">
        <f t="shared" si="4"/>
        <v>43571.492631968198</v>
      </c>
      <c r="Y16" s="44">
        <f t="shared" si="5"/>
        <v>154471.13</v>
      </c>
      <c r="Z16" s="44">
        <f t="shared" si="6"/>
        <v>214782.71751661936</v>
      </c>
      <c r="AA16" s="50">
        <f t="shared" si="7"/>
        <v>340892.62263196823</v>
      </c>
      <c r="AB16" s="51">
        <f t="shared" si="8"/>
        <v>200787.80734469416</v>
      </c>
      <c r="AC16" s="44">
        <f t="shared" si="8"/>
        <v>318680.58580159687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0.95298626106018935</v>
      </c>
      <c r="AG16" s="44">
        <f t="shared" si="10"/>
        <v>333878.73656243732</v>
      </c>
      <c r="AH16" s="52">
        <f>HLOOKUP(I16,ElecAvoidedCostsWOCC!$A$5:$Q$50,T16+1,FALSE)</f>
        <v>0.95298626106018935</v>
      </c>
      <c r="AI16" s="44">
        <f t="shared" si="11"/>
        <v>0</v>
      </c>
      <c r="AJ16" s="44">
        <f t="shared" si="12"/>
        <v>333878.73656243732</v>
      </c>
      <c r="AK16" s="44">
        <f>HLOOKUP(I16,ElecAvoidedCostsWOCC!$A$5:$Q$50,G16+1,FALSE)*J16*L16</f>
        <v>0</v>
      </c>
      <c r="AL16" s="44">
        <f t="shared" si="13"/>
        <v>333878.73656243732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333878.73656243732</v>
      </c>
      <c r="AN16" s="48">
        <f t="shared" si="14"/>
        <v>367266.6102186811</v>
      </c>
      <c r="AO16" s="47">
        <f t="shared" si="15"/>
        <v>1.6628436804893478</v>
      </c>
      <c r="AP16" s="47">
        <f t="shared" si="16"/>
        <v>1.1524599444766075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18230626</v>
      </c>
      <c r="D17" s="100" t="s">
        <v>79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448</v>
      </c>
      <c r="K17" s="41">
        <v>11.32</v>
      </c>
      <c r="L17" s="41"/>
      <c r="M17" s="42">
        <v>2</v>
      </c>
      <c r="N17" s="42">
        <v>2</v>
      </c>
      <c r="O17" s="43">
        <v>5071.3600000000097</v>
      </c>
      <c r="P17" s="44">
        <v>1688.96</v>
      </c>
      <c r="Q17" s="44">
        <v>896</v>
      </c>
      <c r="R17" s="45">
        <v>0</v>
      </c>
      <c r="S17" s="46">
        <v>0</v>
      </c>
      <c r="T17" s="39">
        <f t="shared" si="0"/>
        <v>12</v>
      </c>
      <c r="U17" s="47">
        <f t="shared" si="1"/>
        <v>1.659526571322421E-2</v>
      </c>
      <c r="V17" s="48">
        <f t="shared" si="2"/>
        <v>0</v>
      </c>
      <c r="W17" s="49">
        <f t="shared" si="3"/>
        <v>1.3829388094353508E-3</v>
      </c>
      <c r="X17" s="44">
        <f t="shared" si="4"/>
        <v>630.70279684332422</v>
      </c>
      <c r="Y17" s="44">
        <f t="shared" si="5"/>
        <v>-792.96</v>
      </c>
      <c r="Z17" s="44">
        <f t="shared" si="6"/>
        <v>3109.0066570717418</v>
      </c>
      <c r="AA17" s="50">
        <f t="shared" si="7"/>
        <v>1526.7027968433242</v>
      </c>
      <c r="AB17" s="51">
        <f t="shared" si="8"/>
        <v>2906.4285847169685</v>
      </c>
      <c r="AC17" s="44">
        <f t="shared" si="8"/>
        <v>1427.2252003770441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4620.8066879665384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4620.8066879665384</v>
      </c>
      <c r="AK17" s="44">
        <f>HLOOKUP(I17,ElecAvoidedCostsWOCC!$A$5:$Q$50,G17+1,FALSE)*J17*L17</f>
        <v>0</v>
      </c>
      <c r="AL17" s="44">
        <f t="shared" si="13"/>
        <v>4620.8066879665384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4620.8066879665384</v>
      </c>
      <c r="AN17" s="48">
        <f t="shared" si="14"/>
        <v>5082.8873567631927</v>
      </c>
      <c r="AO17" s="47">
        <f t="shared" si="15"/>
        <v>1.5898572950542729</v>
      </c>
      <c r="AP17" s="47">
        <f t="shared" si="16"/>
        <v>3.561377248257946</v>
      </c>
      <c r="AQ17">
        <v>2020</v>
      </c>
    </row>
    <row r="18" spans="1:43" ht="13.5" customHeight="1">
      <c r="A18" s="59">
        <f>A6+A8</f>
        <v>2248115.85</v>
      </c>
      <c r="B18" s="97" t="s">
        <v>15</v>
      </c>
      <c r="C18" s="100">
        <v>18230626</v>
      </c>
      <c r="D18" s="100" t="s">
        <v>79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10</v>
      </c>
      <c r="L18" s="41"/>
      <c r="M18" s="42">
        <v>1.27</v>
      </c>
      <c r="N18" s="42">
        <v>1.27</v>
      </c>
      <c r="O18" s="43">
        <v>3120</v>
      </c>
      <c r="P18" s="44">
        <v>265.19999999999902</v>
      </c>
      <c r="Q18" s="44">
        <v>396.24000000000098</v>
      </c>
      <c r="R18" s="45">
        <v>2.74</v>
      </c>
      <c r="S18" s="46">
        <v>0</v>
      </c>
      <c r="T18" s="39">
        <f t="shared" si="0"/>
        <v>10</v>
      </c>
      <c r="U18" s="47">
        <f t="shared" si="1"/>
        <v>8.508110418976934E-3</v>
      </c>
      <c r="V18" s="48">
        <f t="shared" si="2"/>
        <v>0</v>
      </c>
      <c r="W18" s="49">
        <f t="shared" si="3"/>
        <v>8.5081104189769336E-4</v>
      </c>
      <c r="X18" s="44">
        <f t="shared" si="4"/>
        <v>388.02071360565367</v>
      </c>
      <c r="Y18" s="44">
        <f t="shared" si="5"/>
        <v>131.04000000000195</v>
      </c>
      <c r="Z18" s="44">
        <f t="shared" si="6"/>
        <v>1912.7217886452186</v>
      </c>
      <c r="AA18" s="50">
        <f t="shared" si="7"/>
        <v>784.2607136056547</v>
      </c>
      <c r="AB18" s="51">
        <f t="shared" si="8"/>
        <v>1788.0917908247345</v>
      </c>
      <c r="AC18" s="44">
        <f t="shared" si="8"/>
        <v>733.15949668659869</v>
      </c>
      <c r="AD18" s="44">
        <f t="shared" si="9"/>
        <v>6012.6547221745768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2324.0047645819322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2324.0047645819322</v>
      </c>
      <c r="AK18" s="44">
        <f>HLOOKUP(I18,ElecAvoidedCostsWOCC!$A$5:$Q$50,G18+1,FALSE)*J18*L18</f>
        <v>0</v>
      </c>
      <c r="AL18" s="44">
        <f t="shared" si="13"/>
        <v>2324.0047645819322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2324.0047645819322</v>
      </c>
      <c r="AN18" s="48">
        <f t="shared" si="14"/>
        <v>8569.0599632147023</v>
      </c>
      <c r="AO18" s="47">
        <f t="shared" si="15"/>
        <v>1.2997122275864903</v>
      </c>
      <c r="AP18" s="47">
        <f t="shared" si="16"/>
        <v>11.687852373107418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18230626</v>
      </c>
      <c r="D19" s="100" t="s">
        <v>79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136</v>
      </c>
      <c r="K19" s="41">
        <v>12</v>
      </c>
      <c r="L19" s="41"/>
      <c r="M19" s="42">
        <v>1.81</v>
      </c>
      <c r="N19" s="42">
        <v>1.81</v>
      </c>
      <c r="O19" s="43">
        <v>1632</v>
      </c>
      <c r="P19" s="44">
        <v>136</v>
      </c>
      <c r="Q19" s="44">
        <v>246.16</v>
      </c>
      <c r="R19" s="45">
        <v>2.74</v>
      </c>
      <c r="S19" s="46">
        <v>0</v>
      </c>
      <c r="T19" s="39">
        <f t="shared" si="0"/>
        <v>10</v>
      </c>
      <c r="U19" s="47">
        <f t="shared" si="1"/>
        <v>4.4503962191571652E-3</v>
      </c>
      <c r="V19" s="48">
        <f t="shared" si="2"/>
        <v>0</v>
      </c>
      <c r="W19" s="49">
        <f t="shared" si="3"/>
        <v>4.4503962191571656E-4</v>
      </c>
      <c r="X19" s="44">
        <f t="shared" si="4"/>
        <v>202.96468096295735</v>
      </c>
      <c r="Y19" s="44">
        <f t="shared" si="5"/>
        <v>110.16</v>
      </c>
      <c r="Z19" s="44">
        <f t="shared" si="6"/>
        <v>1000.5006279067298</v>
      </c>
      <c r="AA19" s="50">
        <f t="shared" si="7"/>
        <v>449.12468096295731</v>
      </c>
      <c r="AB19" s="51">
        <f t="shared" si="8"/>
        <v>935.30955212370736</v>
      </c>
      <c r="AC19" s="44">
        <f t="shared" si="8"/>
        <v>419.86041036080888</v>
      </c>
      <c r="AD19" s="44">
        <f t="shared" si="9"/>
        <v>2620.900776332508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1215.6332614736261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1215.6332614736261</v>
      </c>
      <c r="AK19" s="44">
        <f>HLOOKUP(I19,ElecAvoidedCostsWOCC!$A$5:$Q$50,G19+1,FALSE)*J19*L19</f>
        <v>0</v>
      </c>
      <c r="AL19" s="44">
        <f t="shared" si="13"/>
        <v>1215.6332614736261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1215.6332614736261</v>
      </c>
      <c r="AN19" s="48">
        <f t="shared" si="14"/>
        <v>3958.0973639534968</v>
      </c>
      <c r="AO19" s="47">
        <f t="shared" si="15"/>
        <v>1.2997122275864901</v>
      </c>
      <c r="AP19" s="47">
        <f t="shared" si="16"/>
        <v>9.4271745234376549</v>
      </c>
      <c r="AQ19">
        <v>2020</v>
      </c>
    </row>
    <row r="20" spans="1:43" ht="13.5" customHeight="1">
      <c r="A20" s="59">
        <f>A8+SUM(Q5:Q906)</f>
        <v>2447033.6800000179</v>
      </c>
      <c r="B20" s="97" t="s">
        <v>15</v>
      </c>
      <c r="C20" s="100">
        <v>18230626</v>
      </c>
      <c r="D20" s="100" t="s">
        <v>79</v>
      </c>
      <c r="E20" s="38" t="s">
        <v>602</v>
      </c>
      <c r="F20" s="39" t="s">
        <v>603</v>
      </c>
      <c r="G20" s="39">
        <v>13</v>
      </c>
      <c r="H20" s="39"/>
      <c r="I20" s="40" t="s">
        <v>265</v>
      </c>
      <c r="J20" s="41">
        <v>189</v>
      </c>
      <c r="K20" s="41">
        <v>1565.0722751322751</v>
      </c>
      <c r="L20" s="41"/>
      <c r="M20" s="42">
        <v>500</v>
      </c>
      <c r="N20" s="42">
        <v>751.56</v>
      </c>
      <c r="O20" s="43">
        <v>295798.65999999997</v>
      </c>
      <c r="P20" s="44">
        <v>94500</v>
      </c>
      <c r="Q20" s="44">
        <v>142044.84</v>
      </c>
      <c r="R20" s="45">
        <v>0</v>
      </c>
      <c r="S20" s="46">
        <v>0</v>
      </c>
      <c r="T20" s="39">
        <f t="shared" si="0"/>
        <v>13</v>
      </c>
      <c r="U20" s="47">
        <f t="shared" si="1"/>
        <v>1.0486198587772564</v>
      </c>
      <c r="V20" s="48">
        <f t="shared" si="2"/>
        <v>251.55999999999995</v>
      </c>
      <c r="W20" s="49">
        <f t="shared" si="3"/>
        <v>8.0663066059788957E-2</v>
      </c>
      <c r="X20" s="44">
        <f t="shared" si="4"/>
        <v>36787.181774614146</v>
      </c>
      <c r="Y20" s="44">
        <f t="shared" si="5"/>
        <v>47544.84</v>
      </c>
      <c r="Z20" s="44">
        <f t="shared" si="6"/>
        <v>181339.91731860861</v>
      </c>
      <c r="AA20" s="50">
        <f t="shared" si="7"/>
        <v>178832.02177461414</v>
      </c>
      <c r="AB20" s="51">
        <f t="shared" si="8"/>
        <v>169524.08835992203</v>
      </c>
      <c r="AC20" s="44">
        <f t="shared" si="8"/>
        <v>167179.6034164851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0.95298626106018935</v>
      </c>
      <c r="AG20" s="44">
        <f t="shared" si="10"/>
        <v>281892.05902001419</v>
      </c>
      <c r="AH20" s="52">
        <f>HLOOKUP(I20,ElecAvoidedCostsWOCC!$A$5:$Q$50,T20+1,FALSE)</f>
        <v>0.95298626106018935</v>
      </c>
      <c r="AI20" s="44">
        <f t="shared" si="11"/>
        <v>0</v>
      </c>
      <c r="AJ20" s="44">
        <f t="shared" si="12"/>
        <v>281892.05902001419</v>
      </c>
      <c r="AK20" s="44">
        <f>HLOOKUP(I20,ElecAvoidedCostsWOCC!$A$5:$Q$50,G20+1,FALSE)*J20*L20</f>
        <v>0</v>
      </c>
      <c r="AL20" s="44">
        <f t="shared" si="13"/>
        <v>281892.05902001419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281892.05902001419</v>
      </c>
      <c r="AN20" s="48">
        <f t="shared" si="14"/>
        <v>310081.26492201566</v>
      </c>
      <c r="AO20" s="47">
        <f t="shared" si="15"/>
        <v>1.6628436804893481</v>
      </c>
      <c r="AP20" s="47">
        <f t="shared" si="16"/>
        <v>1.8547792827904235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18230626</v>
      </c>
      <c r="D21" s="100" t="s">
        <v>79</v>
      </c>
      <c r="E21" s="38" t="s">
        <v>591</v>
      </c>
      <c r="F21" s="39" t="s">
        <v>592</v>
      </c>
      <c r="G21" s="39"/>
      <c r="H21" s="39"/>
      <c r="I21" s="40" t="s">
        <v>265</v>
      </c>
      <c r="J21" s="41">
        <v>189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9450</v>
      </c>
      <c r="Q21" s="44">
        <v>9450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9450</v>
      </c>
      <c r="AB21" s="51">
        <f t="shared" ref="AB21:AC24" si="18">Z21/(1+ElecDiscountRate)^1</f>
        <v>0</v>
      </c>
      <c r="AC21" s="44">
        <f t="shared" si="18"/>
        <v>8834.2525941852855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Res Water Heat</v>
      </c>
      <c r="AG21" s="44" t="e">
        <f t="shared" si="10"/>
        <v>#VALUE!</v>
      </c>
      <c r="AH21" s="52" t="str">
        <f>HLOOKUP(I21,ElecAvoidedCostsWOCC!$A$5:$Q$50,T21+1,FALSE)</f>
        <v>Res Water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0.9501842954275429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0.96401293781361141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5" si="19">G25+H25</f>
        <v>0</v>
      </c>
      <c r="U25" s="47">
        <f t="shared" ref="U25:U35" si="20">(O25/$A$10)*T25</f>
        <v>0</v>
      </c>
      <c r="V25" s="48">
        <f t="shared" ref="V25:V35" si="21">N25-M25</f>
        <v>0</v>
      </c>
      <c r="W25" s="49">
        <f t="shared" ref="W25:W35" si="22">(O25/A$10)</f>
        <v>0</v>
      </c>
      <c r="X25" s="44">
        <f t="shared" ref="X25:X35" si="23">W25*A$8</f>
        <v>0</v>
      </c>
      <c r="Y25" s="44">
        <f t="shared" ref="Y25:Y35" si="24">Q25-P25</f>
        <v>0</v>
      </c>
      <c r="Z25" s="44">
        <f t="shared" ref="Z25:Z35" si="25">X25+(A$6*W25)</f>
        <v>0</v>
      </c>
      <c r="AA25" s="50">
        <f t="shared" ref="AA25:AA35" si="26">Q25+X25</f>
        <v>0</v>
      </c>
      <c r="AB25" s="51">
        <f t="shared" ref="AB25:AB35" si="27">Z25/(1+ElecDiscountRate)^1</f>
        <v>0</v>
      </c>
      <c r="AC25" s="44">
        <f t="shared" ref="AC25:AC35" si="28">AA25/(1+ElecDiscountRate)^1</f>
        <v>0</v>
      </c>
      <c r="AD25" s="44">
        <f t="shared" ref="AD25:AD35" si="29">-PV(ElecDiscountRate,T25,R25)*J25</f>
        <v>0</v>
      </c>
      <c r="AE25" s="44">
        <f t="shared" ref="AE25:AE35" si="30">-PV(ElecDiscountRate,T25,S25)*J25</f>
        <v>0</v>
      </c>
      <c r="AF25" s="52" t="e">
        <f>HLOOKUP(I25,ElecAvoidedCostsWOCC!$A$5:$Q$50,G25+1,FALSE)</f>
        <v>#N/A</v>
      </c>
      <c r="AG25" s="44" t="e">
        <f t="shared" ref="AG25:AG35" si="31">AF25*J25*K25</f>
        <v>#N/A</v>
      </c>
      <c r="AH25" s="52" t="e">
        <f>HLOOKUP(I25,ElecAvoidedCostsWOCC!$A$5:$Q$50,T25+1,FALSE)</f>
        <v>#N/A</v>
      </c>
      <c r="AI25" s="44" t="e">
        <f t="shared" ref="AI25:AI35" si="32">AH25*J25*L25</f>
        <v>#N/A</v>
      </c>
      <c r="AJ25" s="44" t="e">
        <f t="shared" ref="AJ25:AJ35" si="33">AG25+AI25</f>
        <v>#N/A</v>
      </c>
      <c r="AK25" s="44" t="e">
        <f>HLOOKUP(I25,ElecAvoidedCostsWOCC!$A$5:$Q$50,G25+1,FALSE)*J25*L25</f>
        <v>#N/A</v>
      </c>
      <c r="AL25" s="44" t="e">
        <f t="shared" ref="AL25:AL35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5" si="35">AM25*1.1+AD25+AE25</f>
        <v>0</v>
      </c>
      <c r="AO25" s="47">
        <f t="shared" ref="AO25:AO35" si="36">IFERROR(AM25/AB25,0)</f>
        <v>0</v>
      </c>
      <c r="AP25" s="47" t="e">
        <f t="shared" ref="AP25:AP35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</sheetData>
  <conditionalFormatting sqref="J5:L35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35 R5:S35">
    <cfRule type="expression" dxfId="307" priority="2">
      <formula>ISTEXT(M5)</formula>
    </cfRule>
  </conditionalFormatting>
  <conditionalFormatting sqref="M5:N35 R5:S35">
    <cfRule type="notContainsBlanks" dxfId="306" priority="3">
      <formula>LEN(TRIM(M5))&gt;0</formula>
    </cfRule>
  </conditionalFormatting>
  <conditionalFormatting sqref="R5:S35">
    <cfRule type="expression" dxfId="305" priority="1">
      <formula>"istext($AB17)"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606</v>
      </c>
      <c r="F5" s="39" t="s">
        <v>607</v>
      </c>
      <c r="G5" s="39">
        <v>12</v>
      </c>
      <c r="H5" s="39"/>
      <c r="I5" s="40" t="s">
        <v>263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5.3645640017007247E-4</v>
      </c>
      <c r="V5" s="48">
        <f t="shared" ref="V5:V24" si="2">N5-M5</f>
        <v>-4.5599999999999987</v>
      </c>
      <c r="W5" s="49">
        <f t="shared" ref="W5:W24" si="3">(O5/A$10)</f>
        <v>4.470470001417271E-5</v>
      </c>
      <c r="X5" s="44">
        <f t="shared" ref="X5:X24" si="4">W5*A$8</f>
        <v>24.598918990389585</v>
      </c>
      <c r="Y5" s="44">
        <f t="shared" ref="Y5:Y24" si="5">Q5-P5</f>
        <v>-9.1199999999999974</v>
      </c>
      <c r="Z5" s="44">
        <f t="shared" ref="Z5:Z24" si="6">X5+(A$6*W5)</f>
        <v>94.843356900643158</v>
      </c>
      <c r="AA5" s="50">
        <f t="shared" ref="AA5:AA24" si="7">Q5+X5</f>
        <v>65.478918990389587</v>
      </c>
      <c r="AB5" s="51">
        <f t="shared" ref="AB5:AC20" si="8">Z5/(1+ElecDiscountRate)^1</f>
        <v>88.663510237116157</v>
      </c>
      <c r="AC5" s="44">
        <f t="shared" si="8"/>
        <v>61.212413751883318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1.3426291438748854</v>
      </c>
      <c r="AP5" s="47">
        <f>AN5/AC5</f>
        <v>2.1184194844617061</v>
      </c>
      <c r="AQ5">
        <v>2021</v>
      </c>
    </row>
    <row r="6" spans="1:43" ht="13.5" customHeight="1">
      <c r="A6" s="53">
        <f>SUMIF('Program Costs'!D:D,C2,'Program Costs'!L:L)</f>
        <v>1571298.72</v>
      </c>
      <c r="B6" s="97" t="s">
        <v>15</v>
      </c>
      <c r="C6" s="61">
        <v>18230434</v>
      </c>
      <c r="D6" s="61" t="s">
        <v>51</v>
      </c>
      <c r="E6" s="38" t="s">
        <v>608</v>
      </c>
      <c r="F6" s="39" t="s">
        <v>609</v>
      </c>
      <c r="G6" s="39">
        <v>5</v>
      </c>
      <c r="H6" s="39"/>
      <c r="I6" s="40" t="s">
        <v>264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7.1603123559465007E-2</v>
      </c>
      <c r="V6" s="48">
        <f t="shared" si="2"/>
        <v>0</v>
      </c>
      <c r="W6" s="49">
        <f t="shared" si="3"/>
        <v>1.4320624711893002E-2</v>
      </c>
      <c r="X6" s="44">
        <f t="shared" si="4"/>
        <v>7879.9742995243578</v>
      </c>
      <c r="Y6" s="44">
        <f t="shared" si="5"/>
        <v>10070</v>
      </c>
      <c r="Z6" s="44">
        <f t="shared" si="6"/>
        <v>30381.953578922199</v>
      </c>
      <c r="AA6" s="50">
        <f t="shared" si="7"/>
        <v>20599.974299524358</v>
      </c>
      <c r="AB6" s="51">
        <f t="shared" si="8"/>
        <v>28402.312404339718</v>
      </c>
      <c r="AC6" s="44">
        <f t="shared" si="8"/>
        <v>19257.711787907221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0.53838341526282585</v>
      </c>
      <c r="AP6" s="47">
        <f t="shared" ref="AP6:AP24" si="16">AN6/AC6</f>
        <v>1.247929898814687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610</v>
      </c>
      <c r="F7" s="39" t="s">
        <v>609</v>
      </c>
      <c r="G7" s="39">
        <v>3</v>
      </c>
      <c r="H7" s="39"/>
      <c r="I7" s="40" t="s">
        <v>264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0.28205970278500947</v>
      </c>
      <c r="V7" s="48">
        <f t="shared" si="2"/>
        <v>0</v>
      </c>
      <c r="W7" s="49">
        <f t="shared" si="3"/>
        <v>9.4019900928336494E-2</v>
      </c>
      <c r="X7" s="44">
        <f t="shared" si="4"/>
        <v>51734.782376067436</v>
      </c>
      <c r="Y7" s="44">
        <f t="shared" si="5"/>
        <v>70395</v>
      </c>
      <c r="Z7" s="44">
        <f t="shared" si="6"/>
        <v>199468.13235928939</v>
      </c>
      <c r="AA7" s="50">
        <f t="shared" si="7"/>
        <v>140654.78237606742</v>
      </c>
      <c r="AB7" s="51">
        <f t="shared" si="8"/>
        <v>186471.09690501017</v>
      </c>
      <c r="AC7" s="44">
        <f t="shared" si="8"/>
        <v>131489.93397781378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0.3315919739618774</v>
      </c>
      <c r="AP7" s="47">
        <f t="shared" si="16"/>
        <v>1.0372421819912241</v>
      </c>
      <c r="AQ7">
        <v>2021</v>
      </c>
    </row>
    <row r="8" spans="1:43" ht="13.5" customHeight="1">
      <c r="A8" s="53">
        <f>SUMIF('Program Costs'!D:D,C2,'Program Costs'!O:O)</f>
        <v>550253.53</v>
      </c>
      <c r="B8" s="97" t="s">
        <v>15</v>
      </c>
      <c r="C8" s="61">
        <v>18230434</v>
      </c>
      <c r="D8" s="61" t="s">
        <v>51</v>
      </c>
      <c r="E8" s="38" t="s">
        <v>611</v>
      </c>
      <c r="F8" s="39" t="s">
        <v>612</v>
      </c>
      <c r="G8" s="39">
        <v>6</v>
      </c>
      <c r="H8" s="39"/>
      <c r="I8" s="40" t="s">
        <v>264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2.7008213029150636E-2</v>
      </c>
      <c r="V8" s="48">
        <f t="shared" si="2"/>
        <v>0</v>
      </c>
      <c r="W8" s="49">
        <f t="shared" si="3"/>
        <v>4.5013688381917724E-3</v>
      </c>
      <c r="X8" s="44">
        <f t="shared" si="4"/>
        <v>2476.8940930470217</v>
      </c>
      <c r="Y8" s="44">
        <f t="shared" si="5"/>
        <v>3895</v>
      </c>
      <c r="Z8" s="44">
        <f t="shared" si="6"/>
        <v>9549.8891867456405</v>
      </c>
      <c r="AA8" s="50">
        <f t="shared" si="7"/>
        <v>7396.8940930470217</v>
      </c>
      <c r="AB8" s="51">
        <f t="shared" si="8"/>
        <v>8927.6331557872672</v>
      </c>
      <c r="AC8" s="44">
        <f t="shared" si="8"/>
        <v>6914.9238973983556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0.64680814035035483</v>
      </c>
      <c r="AP8" s="47">
        <f t="shared" si="16"/>
        <v>1.3542151693340807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18230434</v>
      </c>
      <c r="D9" s="61" t="s">
        <v>51</v>
      </c>
      <c r="E9" s="38" t="s">
        <v>613</v>
      </c>
      <c r="F9" s="39" t="s">
        <v>612</v>
      </c>
      <c r="G9" s="39">
        <v>3</v>
      </c>
      <c r="H9" s="39"/>
      <c r="I9" s="40" t="s">
        <v>264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0.11050212937032655</v>
      </c>
      <c r="V9" s="48">
        <f t="shared" si="2"/>
        <v>0</v>
      </c>
      <c r="W9" s="49">
        <f t="shared" si="3"/>
        <v>3.6834043123442184E-2</v>
      </c>
      <c r="X9" s="44">
        <f t="shared" si="4"/>
        <v>20268.062252846288</v>
      </c>
      <c r="Y9" s="44">
        <f t="shared" si="5"/>
        <v>30590</v>
      </c>
      <c r="Z9" s="44">
        <f t="shared" si="6"/>
        <v>78145.347065135793</v>
      </c>
      <c r="AA9" s="50">
        <f t="shared" si="7"/>
        <v>58908.062252846285</v>
      </c>
      <c r="AB9" s="51">
        <f t="shared" si="8"/>
        <v>73053.51693478151</v>
      </c>
      <c r="AC9" s="44">
        <f t="shared" si="8"/>
        <v>55069.703891601646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0.33159197396187745</v>
      </c>
      <c r="AP9" s="47">
        <f t="shared" si="16"/>
        <v>1.0639077923476141</v>
      </c>
      <c r="AQ9">
        <v>2021</v>
      </c>
    </row>
    <row r="10" spans="1:43" ht="13.5" customHeight="1">
      <c r="A10" s="54">
        <f>SUM(O5:O999)</f>
        <v>3042185.7199999997</v>
      </c>
      <c r="B10" s="97" t="s">
        <v>15</v>
      </c>
      <c r="C10" s="61">
        <v>18230434</v>
      </c>
      <c r="D10" s="61" t="s">
        <v>51</v>
      </c>
      <c r="E10" s="38" t="s">
        <v>614</v>
      </c>
      <c r="F10" s="39" t="s">
        <v>615</v>
      </c>
      <c r="G10" s="39">
        <v>14</v>
      </c>
      <c r="H10" s="39"/>
      <c r="I10" s="40" t="s">
        <v>265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6.5347752667775996E-4</v>
      </c>
      <c r="V10" s="48">
        <f t="shared" si="2"/>
        <v>40.56</v>
      </c>
      <c r="W10" s="49">
        <f t="shared" si="3"/>
        <v>4.6676966191268565E-5</v>
      </c>
      <c r="X10" s="44">
        <f t="shared" si="4"/>
        <v>25.684165416436183</v>
      </c>
      <c r="Y10" s="44">
        <f t="shared" si="5"/>
        <v>40.56</v>
      </c>
      <c r="Z10" s="44">
        <f t="shared" si="6"/>
        <v>99.027622646259758</v>
      </c>
      <c r="AA10" s="50">
        <f t="shared" si="7"/>
        <v>91.244165416436189</v>
      </c>
      <c r="AB10" s="51">
        <f t="shared" si="8"/>
        <v>92.575135688753619</v>
      </c>
      <c r="AC10" s="44">
        <f t="shared" si="8"/>
        <v>85.298836511579111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1.559964820289619</v>
      </c>
      <c r="AP10" s="47">
        <f t="shared" si="16"/>
        <v>3.6146076123310826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18230434</v>
      </c>
      <c r="D11" s="61" t="s">
        <v>51</v>
      </c>
      <c r="E11" s="38" t="s">
        <v>616</v>
      </c>
      <c r="F11" s="39" t="s">
        <v>615</v>
      </c>
      <c r="G11" s="39">
        <v>14</v>
      </c>
      <c r="H11" s="39"/>
      <c r="I11" s="40" t="s">
        <v>265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0.34961047677260154</v>
      </c>
      <c r="V11" s="48">
        <f t="shared" si="2"/>
        <v>15.560000000000002</v>
      </c>
      <c r="W11" s="49">
        <f t="shared" si="3"/>
        <v>2.497217691232868E-2</v>
      </c>
      <c r="X11" s="44">
        <f t="shared" si="4"/>
        <v>13741.028497793357</v>
      </c>
      <c r="Y11" s="44">
        <f t="shared" si="5"/>
        <v>7599.6000000002023</v>
      </c>
      <c r="Z11" s="44">
        <f t="shared" si="6"/>
        <v>52979.778115748959</v>
      </c>
      <c r="AA11" s="50">
        <f t="shared" si="7"/>
        <v>48815.628497793557</v>
      </c>
      <c r="AB11" s="51">
        <f t="shared" si="8"/>
        <v>49527.697593483179</v>
      </c>
      <c r="AC11" s="44">
        <f t="shared" si="8"/>
        <v>45634.877533695013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1.559964820289619</v>
      </c>
      <c r="AP11" s="47">
        <f t="shared" si="16"/>
        <v>3.614607612331068</v>
      </c>
      <c r="AQ11">
        <v>2021</v>
      </c>
    </row>
    <row r="12" spans="1:43" ht="13.5" customHeight="1">
      <c r="A12" s="55">
        <f>SUM(P5:P1000)</f>
        <v>1235003.7999999998</v>
      </c>
      <c r="B12" s="97" t="s">
        <v>15</v>
      </c>
      <c r="C12" s="61">
        <v>18230434</v>
      </c>
      <c r="D12" s="61" t="s">
        <v>51</v>
      </c>
      <c r="E12" s="38" t="s">
        <v>617</v>
      </c>
      <c r="F12" s="39" t="s">
        <v>618</v>
      </c>
      <c r="G12" s="39">
        <v>14</v>
      </c>
      <c r="H12" s="39"/>
      <c r="I12" s="40" t="s">
        <v>265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0.25681666798435959</v>
      </c>
      <c r="V12" s="48">
        <f t="shared" si="2"/>
        <v>15.560000000000002</v>
      </c>
      <c r="W12" s="49">
        <f t="shared" si="3"/>
        <v>1.8344047713168544E-2</v>
      </c>
      <c r="X12" s="44">
        <f t="shared" si="4"/>
        <v>10093.87700865942</v>
      </c>
      <c r="Y12" s="44">
        <f t="shared" si="5"/>
        <v>5665.0800000001</v>
      </c>
      <c r="Z12" s="44">
        <f t="shared" si="6"/>
        <v>38917.855699980078</v>
      </c>
      <c r="AA12" s="50">
        <f t="shared" si="7"/>
        <v>35858.957008659519</v>
      </c>
      <c r="AB12" s="51">
        <f t="shared" si="8"/>
        <v>36382.02832568017</v>
      </c>
      <c r="AC12" s="44">
        <f t="shared" si="8"/>
        <v>33522.442749050686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1.559964820289619</v>
      </c>
      <c r="AP12" s="47">
        <f t="shared" si="16"/>
        <v>3.6146076123310729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18230434</v>
      </c>
      <c r="D13" s="61" t="s">
        <v>51</v>
      </c>
      <c r="E13" s="38" t="s">
        <v>619</v>
      </c>
      <c r="F13" s="39" t="s">
        <v>620</v>
      </c>
      <c r="G13" s="39"/>
      <c r="H13" s="39"/>
      <c r="I13" s="40" t="s">
        <v>265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327390.3899999875</v>
      </c>
      <c r="B14" s="97" t="s">
        <v>15</v>
      </c>
      <c r="C14" s="61">
        <v>18230434</v>
      </c>
      <c r="D14" s="61" t="s">
        <v>51</v>
      </c>
      <c r="E14" s="38" t="s">
        <v>621</v>
      </c>
      <c r="F14" s="39" t="s">
        <v>622</v>
      </c>
      <c r="G14" s="39">
        <v>12</v>
      </c>
      <c r="H14" s="39"/>
      <c r="I14" s="40" t="s">
        <v>263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3.0294008480192328E-3</v>
      </c>
      <c r="V14" s="48">
        <f t="shared" si="2"/>
        <v>286.45</v>
      </c>
      <c r="W14" s="49">
        <f t="shared" si="3"/>
        <v>2.524500706682694E-4</v>
      </c>
      <c r="X14" s="44">
        <f t="shared" si="4"/>
        <v>138.91154253396471</v>
      </c>
      <c r="Y14" s="44">
        <f t="shared" si="5"/>
        <v>1145.8</v>
      </c>
      <c r="Z14" s="44">
        <f t="shared" si="6"/>
        <v>535.58601543892598</v>
      </c>
      <c r="AA14" s="50">
        <f t="shared" si="7"/>
        <v>1684.7115425339646</v>
      </c>
      <c r="AB14" s="51">
        <f t="shared" si="8"/>
        <v>500.68805780959701</v>
      </c>
      <c r="AC14" s="44">
        <f t="shared" si="8"/>
        <v>1574.9383402205895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1.3426291438748856</v>
      </c>
      <c r="AP14" s="47">
        <f t="shared" si="16"/>
        <v>0.46466900493365593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18230434</v>
      </c>
      <c r="D15" s="61" t="s">
        <v>51</v>
      </c>
      <c r="E15" s="38" t="s">
        <v>623</v>
      </c>
      <c r="F15" s="39" t="s">
        <v>624</v>
      </c>
      <c r="G15" s="39">
        <v>12</v>
      </c>
      <c r="H15" s="39"/>
      <c r="I15" s="40" t="s">
        <v>263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0.10702305183392946</v>
      </c>
      <c r="V15" s="48">
        <f t="shared" si="2"/>
        <v>286.45</v>
      </c>
      <c r="W15" s="49">
        <f t="shared" si="3"/>
        <v>8.9185876528274557E-3</v>
      </c>
      <c r="X15" s="44">
        <f t="shared" si="4"/>
        <v>4907.4843385827226</v>
      </c>
      <c r="Y15" s="44">
        <f t="shared" si="5"/>
        <v>32605.300000000003</v>
      </c>
      <c r="Z15" s="44">
        <f t="shared" si="6"/>
        <v>18921.249701678309</v>
      </c>
      <c r="AA15" s="50">
        <f t="shared" si="7"/>
        <v>48962.784338582729</v>
      </c>
      <c r="AB15" s="51">
        <f t="shared" si="8"/>
        <v>17688.370292304673</v>
      </c>
      <c r="AC15" s="44">
        <f t="shared" si="8"/>
        <v>45772.444927159697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1.3426291438748854</v>
      </c>
      <c r="AP15" s="47">
        <f t="shared" si="16"/>
        <v>0.64820339076323585</v>
      </c>
      <c r="AQ15">
        <v>2021</v>
      </c>
    </row>
    <row r="16" spans="1:43" ht="13.5" customHeight="1">
      <c r="A16" s="54">
        <f>SUM(U5:U999)</f>
        <v>10.663447871289067</v>
      </c>
      <c r="B16" s="97" t="s">
        <v>15</v>
      </c>
      <c r="C16" s="61">
        <v>18230434</v>
      </c>
      <c r="D16" s="61" t="s">
        <v>51</v>
      </c>
      <c r="E16" s="38" t="s">
        <v>625</v>
      </c>
      <c r="F16" s="39" t="s">
        <v>626</v>
      </c>
      <c r="G16" s="39"/>
      <c r="H16" s="39"/>
      <c r="I16" s="40" t="s">
        <v>263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18230434</v>
      </c>
      <c r="D17" s="61" t="s">
        <v>51</v>
      </c>
      <c r="E17" s="38" t="s">
        <v>627</v>
      </c>
      <c r="F17" s="39" t="s">
        <v>628</v>
      </c>
      <c r="G17" s="39">
        <v>12</v>
      </c>
      <c r="H17" s="39"/>
      <c r="I17" s="40" t="s">
        <v>263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0.18829619645969545</v>
      </c>
      <c r="V17" s="48">
        <f t="shared" si="2"/>
        <v>-4.5599999999999987</v>
      </c>
      <c r="W17" s="49">
        <f t="shared" si="3"/>
        <v>1.5691349704974621E-2</v>
      </c>
      <c r="X17" s="44">
        <f t="shared" si="4"/>
        <v>8634.2205656267433</v>
      </c>
      <c r="Y17" s="44">
        <f t="shared" si="5"/>
        <v>-3676.1199999999008</v>
      </c>
      <c r="Z17" s="44">
        <f t="shared" si="6"/>
        <v>33290.018272125744</v>
      </c>
      <c r="AA17" s="50">
        <f t="shared" si="7"/>
        <v>22983.100565626843</v>
      </c>
      <c r="AB17" s="51">
        <f t="shared" si="8"/>
        <v>31120.892093227765</v>
      </c>
      <c r="AC17" s="44">
        <f t="shared" si="8"/>
        <v>21485.557226911136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1.3426291438748856</v>
      </c>
      <c r="AP17" s="47">
        <f t="shared" si="16"/>
        <v>2.1184194844616973</v>
      </c>
      <c r="AQ17">
        <v>2021</v>
      </c>
    </row>
    <row r="18" spans="1:43" ht="13.5" customHeight="1">
      <c r="A18" s="59">
        <f>A6+A8</f>
        <v>2121552.25</v>
      </c>
      <c r="B18" s="97" t="s">
        <v>15</v>
      </c>
      <c r="C18" s="61">
        <v>18230434</v>
      </c>
      <c r="D18" s="61" t="s">
        <v>51</v>
      </c>
      <c r="E18" s="38" t="s">
        <v>629</v>
      </c>
      <c r="F18" s="39" t="s">
        <v>628</v>
      </c>
      <c r="G18" s="39">
        <v>12</v>
      </c>
      <c r="H18" s="39"/>
      <c r="I18" s="40" t="s">
        <v>263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1.1405063067615742</v>
      </c>
      <c r="V18" s="48">
        <f t="shared" si="2"/>
        <v>50</v>
      </c>
      <c r="W18" s="49">
        <f t="shared" si="3"/>
        <v>9.5042192230131176E-2</v>
      </c>
      <c r="X18" s="44">
        <f t="shared" si="4"/>
        <v>52297.301773568252</v>
      </c>
      <c r="Y18" s="44">
        <f t="shared" si="5"/>
        <v>212747</v>
      </c>
      <c r="Z18" s="44">
        <f t="shared" si="6"/>
        <v>201636.9767707673</v>
      </c>
      <c r="AA18" s="50">
        <f t="shared" si="7"/>
        <v>477497.30177356827</v>
      </c>
      <c r="AB18" s="51">
        <f t="shared" si="8"/>
        <v>188498.62276410891</v>
      </c>
      <c r="AC18" s="44">
        <f t="shared" si="8"/>
        <v>446384.31501689093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1.3426291438748856</v>
      </c>
      <c r="AP18" s="47">
        <f t="shared" si="16"/>
        <v>0.61759788708807761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630</v>
      </c>
      <c r="F19" s="39" t="s">
        <v>631</v>
      </c>
      <c r="G19" s="39">
        <v>12</v>
      </c>
      <c r="H19" s="39"/>
      <c r="I19" s="40" t="s">
        <v>263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4.6545481779462175E-4</v>
      </c>
      <c r="V19" s="48">
        <f t="shared" si="2"/>
        <v>159.88</v>
      </c>
      <c r="W19" s="49">
        <f t="shared" si="3"/>
        <v>3.8787901482885146E-5</v>
      </c>
      <c r="X19" s="44">
        <f t="shared" si="4"/>
        <v>21.343179712249789</v>
      </c>
      <c r="Y19" s="44">
        <f t="shared" si="5"/>
        <v>159.88</v>
      </c>
      <c r="Z19" s="44">
        <f t="shared" si="6"/>
        <v>82.290559663793317</v>
      </c>
      <c r="AA19" s="50">
        <f t="shared" si="7"/>
        <v>206.22317971224979</v>
      </c>
      <c r="AB19" s="51">
        <f t="shared" si="8"/>
        <v>76.928633882203712</v>
      </c>
      <c r="AC19" s="44">
        <f t="shared" si="8"/>
        <v>192.78599580466465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1.3426291438748854</v>
      </c>
      <c r="AP19" s="47">
        <f t="shared" si="16"/>
        <v>0.77337762955045031</v>
      </c>
      <c r="AQ19">
        <v>2021</v>
      </c>
    </row>
    <row r="20" spans="1:43" ht="13.5" customHeight="1">
      <c r="A20" s="59">
        <f>A8+SUM(Q5:Q906)</f>
        <v>2112647.7199999876</v>
      </c>
      <c r="B20" s="97" t="s">
        <v>15</v>
      </c>
      <c r="C20" s="61">
        <v>18230434</v>
      </c>
      <c r="D20" s="61" t="s">
        <v>51</v>
      </c>
      <c r="E20" s="38" t="s">
        <v>632</v>
      </c>
      <c r="F20" s="39" t="s">
        <v>631</v>
      </c>
      <c r="G20" s="39">
        <v>12</v>
      </c>
      <c r="H20" s="39"/>
      <c r="I20" s="40" t="s">
        <v>263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1.6290918622811762E-2</v>
      </c>
      <c r="V20" s="48">
        <f t="shared" si="2"/>
        <v>134.88</v>
      </c>
      <c r="W20" s="49">
        <f t="shared" si="3"/>
        <v>1.3575765519009801E-3</v>
      </c>
      <c r="X20" s="44">
        <f t="shared" si="4"/>
        <v>747.0112899287426</v>
      </c>
      <c r="Y20" s="44">
        <f t="shared" si="5"/>
        <v>4720.8</v>
      </c>
      <c r="Z20" s="44">
        <f t="shared" si="6"/>
        <v>2880.1695882327658</v>
      </c>
      <c r="AA20" s="50">
        <f t="shared" si="7"/>
        <v>7217.8112899287426</v>
      </c>
      <c r="AB20" s="51">
        <f t="shared" si="8"/>
        <v>2692.5021858771297</v>
      </c>
      <c r="AC20" s="44">
        <f t="shared" si="8"/>
        <v>6747.509853163263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1.3426291438748856</v>
      </c>
      <c r="AP20" s="47">
        <f t="shared" si="16"/>
        <v>0.77337762955045031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633</v>
      </c>
      <c r="F21" s="39" t="s">
        <v>634</v>
      </c>
      <c r="G21" s="39">
        <v>14</v>
      </c>
      <c r="H21" s="39"/>
      <c r="I21" s="40" t="s">
        <v>265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8.8421952095679421E-2</v>
      </c>
      <c r="V21" s="48">
        <f t="shared" si="2"/>
        <v>-24.99</v>
      </c>
      <c r="W21" s="49">
        <f t="shared" si="3"/>
        <v>6.3158537211199586E-3</v>
      </c>
      <c r="X21" s="44">
        <f t="shared" si="4"/>
        <v>3475.3208050098929</v>
      </c>
      <c r="Y21" s="44">
        <f t="shared" si="5"/>
        <v>-18543.61</v>
      </c>
      <c r="Z21" s="44">
        <f t="shared" si="6"/>
        <v>13399.413672712921</v>
      </c>
      <c r="AA21" s="50">
        <f t="shared" si="7"/>
        <v>3482.7108050098927</v>
      </c>
      <c r="AB21" s="51">
        <f t="shared" ref="AB21:AC24" si="18">Z21/(1+ElecDiscountRate)^1</f>
        <v>12526.328571293745</v>
      </c>
      <c r="AC21" s="44">
        <f t="shared" si="18"/>
        <v>3255.7827475085469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1.559964820289619</v>
      </c>
      <c r="AP21" s="47">
        <f t="shared" si="16"/>
        <v>21.496837005251706</v>
      </c>
      <c r="AQ21">
        <v>2021</v>
      </c>
    </row>
    <row r="22" spans="1:43" ht="13.5" customHeight="1">
      <c r="A22" s="60">
        <f>(SUM(AM5:AM1000)/(SUM(AB5:AB1000)))</f>
        <v>1.1864041101378588</v>
      </c>
      <c r="B22" s="97" t="s">
        <v>15</v>
      </c>
      <c r="C22" s="61">
        <v>18230434</v>
      </c>
      <c r="D22" s="61" t="s">
        <v>51</v>
      </c>
      <c r="E22" s="38" t="s">
        <v>635</v>
      </c>
      <c r="F22" s="39" t="s">
        <v>636</v>
      </c>
      <c r="G22" s="39">
        <v>14</v>
      </c>
      <c r="H22" s="39"/>
      <c r="I22" s="40" t="s">
        <v>265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7.4063854326421596E-2</v>
      </c>
      <c r="V22" s="48">
        <f t="shared" si="2"/>
        <v>-24.99</v>
      </c>
      <c r="W22" s="49">
        <f t="shared" si="3"/>
        <v>5.2902753090301145E-3</v>
      </c>
      <c r="X22" s="44">
        <f t="shared" si="4"/>
        <v>2910.9926634656617</v>
      </c>
      <c r="Y22" s="44">
        <f t="shared" si="5"/>
        <v>-15468.81</v>
      </c>
      <c r="Z22" s="44">
        <f t="shared" si="6"/>
        <v>11223.595484992285</v>
      </c>
      <c r="AA22" s="50">
        <f t="shared" si="7"/>
        <v>2917.1826634656618</v>
      </c>
      <c r="AB22" s="51">
        <f t="shared" si="18"/>
        <v>10492.283336442259</v>
      </c>
      <c r="AC22" s="44">
        <f t="shared" si="18"/>
        <v>2727.1035462892974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1.5599648202896188</v>
      </c>
      <c r="AP22" s="47">
        <f t="shared" si="16"/>
        <v>21.496837005251706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637</v>
      </c>
      <c r="F23" s="39" t="s">
        <v>638</v>
      </c>
      <c r="G23" s="39"/>
      <c r="H23" s="39"/>
      <c r="I23" s="40" t="s">
        <v>265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  <c r="AQ23">
        <v>2021</v>
      </c>
    </row>
    <row r="24" spans="1:43" ht="13.5" customHeight="1">
      <c r="A24" s="60">
        <f>(SUM(AN5:AN1000)/SUM(AC5:AC1000))</f>
        <v>2.2580409203981486</v>
      </c>
      <c r="B24" s="97" t="s">
        <v>15</v>
      </c>
      <c r="C24" s="61">
        <v>18230434</v>
      </c>
      <c r="D24" s="61" t="s">
        <v>51</v>
      </c>
      <c r="E24" s="38" t="s">
        <v>639</v>
      </c>
      <c r="F24" s="39" t="s">
        <v>640</v>
      </c>
      <c r="G24" s="39">
        <v>14</v>
      </c>
      <c r="H24" s="39"/>
      <c r="I24" s="40" t="s">
        <v>265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1.7323689232227415</v>
      </c>
      <c r="V24" s="48">
        <f t="shared" si="2"/>
        <v>-34.44</v>
      </c>
      <c r="W24" s="49">
        <f t="shared" si="3"/>
        <v>0.12374063737305296</v>
      </c>
      <c r="X24" s="44">
        <f t="shared" si="4"/>
        <v>68088.722518972325</v>
      </c>
      <c r="Y24" s="44">
        <f t="shared" si="5"/>
        <v>-91402.440000005008</v>
      </c>
      <c r="Z24" s="44">
        <f t="shared" si="6"/>
        <v>262522.22763523459</v>
      </c>
      <c r="AA24" s="50">
        <f t="shared" si="7"/>
        <v>241888.28251896732</v>
      </c>
      <c r="AB24" s="51">
        <f t="shared" si="18"/>
        <v>245416.68471088583</v>
      </c>
      <c r="AC24" s="44">
        <f t="shared" si="18"/>
        <v>226127.21559219155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1.5599648202896188</v>
      </c>
      <c r="AP24" s="47">
        <f t="shared" si="16"/>
        <v>3.6146076123311572</v>
      </c>
      <c r="AQ24">
        <v>2021</v>
      </c>
    </row>
    <row r="25" spans="1:43" ht="13.5" customHeight="1">
      <c r="B25" s="97" t="s">
        <v>15</v>
      </c>
      <c r="C25" s="61">
        <v>18230434</v>
      </c>
      <c r="D25" s="61" t="s">
        <v>51</v>
      </c>
      <c r="E25" s="38" t="s">
        <v>641</v>
      </c>
      <c r="F25" s="39" t="s">
        <v>642</v>
      </c>
      <c r="G25" s="39">
        <v>14</v>
      </c>
      <c r="H25" s="39"/>
      <c r="I25" s="40" t="s">
        <v>265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0.14572548844914046</v>
      </c>
      <c r="V25" s="48">
        <f t="shared" ref="V25:V50" si="21">N25-M25</f>
        <v>-84.44</v>
      </c>
      <c r="W25" s="49">
        <f t="shared" ref="W25:W50" si="22">(O25/A$10)</f>
        <v>1.0408963460652889E-2</v>
      </c>
      <c r="X25" s="44">
        <f t="shared" ref="X25:X50" si="23">W25*A$8</f>
        <v>5727.5688878652691</v>
      </c>
      <c r="Y25" s="44">
        <f t="shared" ref="Y25:Y50" si="24">Q25-P25</f>
        <v>-18830.120000000003</v>
      </c>
      <c r="Z25" s="44">
        <f t="shared" ref="Z25:Z50" si="25">X25+(A$6*W25)</f>
        <v>22083.159850115924</v>
      </c>
      <c r="AA25" s="50">
        <f t="shared" ref="AA25:AA50" si="26">Q25+X25</f>
        <v>20347.44888786527</v>
      </c>
      <c r="AB25" s="51">
        <f t="shared" ref="AB25:AB50" si="27">Z25/(1+ElecDiscountRate)^1</f>
        <v>20644.255258592057</v>
      </c>
      <c r="AC25" s="44">
        <f t="shared" ref="AC25:AC50" si="28">AA25/(1+ElecDiscountRate)^1</f>
        <v>19021.640542082143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1.559964820289619</v>
      </c>
      <c r="AP25" s="47">
        <f t="shared" ref="AP25:AP50" si="37">AN25/AC25</f>
        <v>3.6146076123310831</v>
      </c>
      <c r="AQ25">
        <v>2021</v>
      </c>
    </row>
    <row r="26" spans="1:43" ht="13.5" customHeight="1">
      <c r="B26" s="97" t="s">
        <v>15</v>
      </c>
      <c r="C26" s="61">
        <v>18230434</v>
      </c>
      <c r="D26" s="61" t="s">
        <v>51</v>
      </c>
      <c r="E26" s="38" t="s">
        <v>643</v>
      </c>
      <c r="F26" s="39" t="s">
        <v>644</v>
      </c>
      <c r="G26" s="39">
        <v>14</v>
      </c>
      <c r="H26" s="39"/>
      <c r="I26" s="40" t="s">
        <v>265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1.5846830021935678</v>
      </c>
      <c r="V26" s="48">
        <f t="shared" si="21"/>
        <v>-34.44</v>
      </c>
      <c r="W26" s="49">
        <f t="shared" si="22"/>
        <v>0.11319164301382627</v>
      </c>
      <c r="X26" s="44">
        <f t="shared" si="23"/>
        <v>62284.101134857745</v>
      </c>
      <c r="Y26" s="44">
        <f t="shared" si="24"/>
        <v>-83517.000000003987</v>
      </c>
      <c r="Z26" s="44">
        <f t="shared" si="25"/>
        <v>240141.98491717989</v>
      </c>
      <c r="AA26" s="50">
        <f t="shared" si="26"/>
        <v>221267.10113485376</v>
      </c>
      <c r="AB26" s="51">
        <f t="shared" si="27"/>
        <v>224494.7040452275</v>
      </c>
      <c r="AC26" s="44">
        <f t="shared" si="28"/>
        <v>206849.67854057561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1.5599648202896192</v>
      </c>
      <c r="AP26" s="47">
        <f t="shared" si="37"/>
        <v>3.6146076123311479</v>
      </c>
      <c r="AQ26">
        <v>2021</v>
      </c>
    </row>
    <row r="27" spans="1:43" ht="13.5" customHeight="1">
      <c r="B27" s="97" t="s">
        <v>15</v>
      </c>
      <c r="C27" s="61">
        <v>18230434</v>
      </c>
      <c r="D27" s="61" t="s">
        <v>51</v>
      </c>
      <c r="E27" s="38" t="s">
        <v>645</v>
      </c>
      <c r="F27" s="39" t="s">
        <v>646</v>
      </c>
      <c r="G27" s="39">
        <v>14</v>
      </c>
      <c r="H27" s="39"/>
      <c r="I27" s="40" t="s">
        <v>265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0.11827943232867454</v>
      </c>
      <c r="V27" s="48">
        <f t="shared" si="21"/>
        <v>-84.44</v>
      </c>
      <c r="W27" s="49">
        <f t="shared" si="22"/>
        <v>8.4485308806196095E-3</v>
      </c>
      <c r="X27" s="44">
        <f t="shared" si="23"/>
        <v>4648.8339403749487</v>
      </c>
      <c r="Y27" s="44">
        <f t="shared" si="24"/>
        <v>-15283.64</v>
      </c>
      <c r="Z27" s="44">
        <f t="shared" si="25"/>
        <v>17923.999698973013</v>
      </c>
      <c r="AA27" s="50">
        <f t="shared" si="26"/>
        <v>16515.193940374949</v>
      </c>
      <c r="AB27" s="51">
        <f t="shared" si="27"/>
        <v>16756.099559664402</v>
      </c>
      <c r="AC27" s="44">
        <f t="shared" si="28"/>
        <v>15439.089408595819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1.5599648202896192</v>
      </c>
      <c r="AP27" s="47">
        <f t="shared" si="37"/>
        <v>3.6146076123310835</v>
      </c>
      <c r="AQ27">
        <v>2021</v>
      </c>
    </row>
    <row r="28" spans="1:43" ht="13.5" customHeight="1">
      <c r="B28" s="97" t="s">
        <v>15</v>
      </c>
      <c r="C28" s="61">
        <v>18230434</v>
      </c>
      <c r="D28" s="61" t="s">
        <v>51</v>
      </c>
      <c r="E28" s="38" t="s">
        <v>647</v>
      </c>
      <c r="F28" s="39" t="s">
        <v>648</v>
      </c>
      <c r="G28" s="39">
        <v>12</v>
      </c>
      <c r="H28" s="39"/>
      <c r="I28" s="40" t="s">
        <v>263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8.4491883026786424E-3</v>
      </c>
      <c r="V28" s="48">
        <f t="shared" si="21"/>
        <v>236.45</v>
      </c>
      <c r="W28" s="49">
        <f t="shared" si="22"/>
        <v>7.0409902522322013E-4</v>
      </c>
      <c r="X28" s="44">
        <f t="shared" si="23"/>
        <v>387.43297409863595</v>
      </c>
      <c r="Y28" s="44">
        <f t="shared" si="24"/>
        <v>2128.0500000000002</v>
      </c>
      <c r="Z28" s="44">
        <f t="shared" si="25"/>
        <v>1493.7828711851294</v>
      </c>
      <c r="AA28" s="50">
        <f t="shared" si="26"/>
        <v>3865.4829740986361</v>
      </c>
      <c r="AB28" s="51">
        <f t="shared" si="27"/>
        <v>1396.4502862345792</v>
      </c>
      <c r="AC28" s="44">
        <f t="shared" si="28"/>
        <v>3613.6140731968176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1.3426291438748856</v>
      </c>
      <c r="AP28" s="47">
        <f t="shared" si="37"/>
        <v>0.64820339076323596</v>
      </c>
      <c r="AQ28">
        <v>2021</v>
      </c>
    </row>
    <row r="29" spans="1:43">
      <c r="B29" s="97" t="s">
        <v>15</v>
      </c>
      <c r="C29" s="61">
        <v>18230434</v>
      </c>
      <c r="D29" s="61" t="s">
        <v>51</v>
      </c>
      <c r="E29" s="38" t="s">
        <v>1884</v>
      </c>
      <c r="F29" s="39" t="s">
        <v>1885</v>
      </c>
      <c r="G29" s="39">
        <v>12</v>
      </c>
      <c r="H29" s="39"/>
      <c r="I29" s="40" t="s">
        <v>263</v>
      </c>
      <c r="J29" s="41">
        <v>15</v>
      </c>
      <c r="K29" s="41">
        <v>238</v>
      </c>
      <c r="L29" s="41"/>
      <c r="M29" s="42">
        <v>50</v>
      </c>
      <c r="N29" s="42">
        <v>386.45</v>
      </c>
      <c r="O29" s="43">
        <v>3570</v>
      </c>
      <c r="P29" s="44">
        <v>750</v>
      </c>
      <c r="Q29" s="44">
        <v>5796.75</v>
      </c>
      <c r="R29" s="45">
        <v>3.91</v>
      </c>
      <c r="S29" s="46">
        <v>0</v>
      </c>
      <c r="T29" s="39">
        <f t="shared" si="19"/>
        <v>12</v>
      </c>
      <c r="U29" s="47">
        <f t="shared" si="20"/>
        <v>1.4081980504464403E-2</v>
      </c>
      <c r="V29" s="48">
        <f t="shared" si="21"/>
        <v>336.45</v>
      </c>
      <c r="W29" s="49">
        <f t="shared" si="22"/>
        <v>1.1734983753720336E-3</v>
      </c>
      <c r="X29" s="44">
        <f t="shared" si="23"/>
        <v>645.72162349772657</v>
      </c>
      <c r="Y29" s="44">
        <f t="shared" si="24"/>
        <v>5046.75</v>
      </c>
      <c r="Z29" s="44">
        <f t="shared" si="25"/>
        <v>2489.6381186418826</v>
      </c>
      <c r="AA29" s="50">
        <f t="shared" si="26"/>
        <v>6442.4716234977268</v>
      </c>
      <c r="AB29" s="51">
        <f t="shared" si="27"/>
        <v>2327.4171437242985</v>
      </c>
      <c r="AC29" s="44">
        <f t="shared" si="28"/>
        <v>6022.6901219946958</v>
      </c>
      <c r="AD29" s="44">
        <f t="shared" si="29"/>
        <v>466.58426276309353</v>
      </c>
      <c r="AE29" s="44">
        <f t="shared" si="30"/>
        <v>0</v>
      </c>
      <c r="AF29" s="52">
        <f>HLOOKUP(I29,ElecAvoidedCostsWOCC!$A$5:$Q$50,G29+1,FALSE)</f>
        <v>0.87531038854853971</v>
      </c>
      <c r="AG29" s="44">
        <f t="shared" si="31"/>
        <v>3124.8580871182867</v>
      </c>
      <c r="AH29" s="52">
        <f>HLOOKUP(I29,ElecAvoidedCostsWOCC!$A$5:$Q$50,T29+1,FALSE)</f>
        <v>0.87531038854853971</v>
      </c>
      <c r="AI29" s="44">
        <f t="shared" si="32"/>
        <v>0</v>
      </c>
      <c r="AJ29" s="44">
        <f t="shared" si="33"/>
        <v>3124.8580871182867</v>
      </c>
      <c r="AK29" s="44">
        <f>HLOOKUP(I29,ElecAvoidedCostsWOCC!$A$5:$Q$50,G29+1,FALSE)*J29*L29</f>
        <v>0</v>
      </c>
      <c r="AL29" s="44">
        <f t="shared" si="34"/>
        <v>3124.8580871182867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3124.8580871182867</v>
      </c>
      <c r="AN29" s="48">
        <f t="shared" si="35"/>
        <v>3903.9281585932094</v>
      </c>
      <c r="AO29" s="47">
        <f t="shared" si="36"/>
        <v>1.3426291438748856</v>
      </c>
      <c r="AP29" s="47">
        <f t="shared" si="37"/>
        <v>0.64820339076323608</v>
      </c>
      <c r="AQ29">
        <v>2020</v>
      </c>
    </row>
    <row r="30" spans="1:43">
      <c r="B30" s="97" t="s">
        <v>15</v>
      </c>
      <c r="C30" s="61">
        <v>18230434</v>
      </c>
      <c r="D30" s="61" t="s">
        <v>51</v>
      </c>
      <c r="E30" s="38" t="s">
        <v>1886</v>
      </c>
      <c r="F30" s="39" t="s">
        <v>1887</v>
      </c>
      <c r="G30" s="39">
        <v>12</v>
      </c>
      <c r="H30" s="39"/>
      <c r="I30" s="40" t="s">
        <v>248</v>
      </c>
      <c r="J30" s="41">
        <v>106</v>
      </c>
      <c r="K30" s="41">
        <v>11.32</v>
      </c>
      <c r="L30" s="41"/>
      <c r="M30" s="42">
        <v>2</v>
      </c>
      <c r="N30" s="42">
        <v>2</v>
      </c>
      <c r="O30" s="43">
        <v>1199.92</v>
      </c>
      <c r="P30" s="44">
        <v>352.98</v>
      </c>
      <c r="Q30" s="44">
        <v>212</v>
      </c>
      <c r="R30" s="45">
        <v>0</v>
      </c>
      <c r="S30" s="46">
        <v>0</v>
      </c>
      <c r="T30" s="39">
        <f t="shared" si="19"/>
        <v>12</v>
      </c>
      <c r="U30" s="47">
        <f t="shared" si="20"/>
        <v>4.7331232624417165E-3</v>
      </c>
      <c r="V30" s="48">
        <f t="shared" si="21"/>
        <v>0</v>
      </c>
      <c r="W30" s="49">
        <f t="shared" si="22"/>
        <v>3.9442693853680971E-4</v>
      </c>
      <c r="X30" s="44">
        <f t="shared" si="23"/>
        <v>217.03481525697259</v>
      </c>
      <c r="Y30" s="44">
        <f t="shared" si="24"/>
        <v>-140.98000000000002</v>
      </c>
      <c r="Z30" s="44">
        <f t="shared" si="25"/>
        <v>836.79735891338032</v>
      </c>
      <c r="AA30" s="50">
        <f t="shared" si="26"/>
        <v>429.03481525697259</v>
      </c>
      <c r="AB30" s="51">
        <f t="shared" si="27"/>
        <v>782.2729353214736</v>
      </c>
      <c r="AC30" s="44">
        <f t="shared" si="28"/>
        <v>401.07956927827667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1093.31586813494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1093.31586813494</v>
      </c>
      <c r="AK30" s="44">
        <f>HLOOKUP(I30,ElecAvoidedCostsWOCC!$A$5:$Q$50,G30+1,FALSE)*J30*L30</f>
        <v>0</v>
      </c>
      <c r="AL30" s="44">
        <f t="shared" si="34"/>
        <v>1093.31586813494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1093.31586813494</v>
      </c>
      <c r="AN30" s="48">
        <f t="shared" si="35"/>
        <v>1202.6474549484342</v>
      </c>
      <c r="AO30" s="47">
        <f t="shared" si="36"/>
        <v>1.3976143348045704</v>
      </c>
      <c r="AP30" s="47">
        <f t="shared" si="37"/>
        <v>2.9985258464113249</v>
      </c>
      <c r="AQ30">
        <v>2020</v>
      </c>
    </row>
    <row r="31" spans="1:43">
      <c r="B31" s="97" t="s">
        <v>15</v>
      </c>
      <c r="C31" s="61">
        <v>18230434</v>
      </c>
      <c r="D31" s="61" t="s">
        <v>51</v>
      </c>
      <c r="E31" s="38" t="s">
        <v>1888</v>
      </c>
      <c r="F31" s="39" t="s">
        <v>1889</v>
      </c>
      <c r="G31" s="39">
        <v>10</v>
      </c>
      <c r="H31" s="39"/>
      <c r="I31" s="40" t="s">
        <v>265</v>
      </c>
      <c r="J31" s="41">
        <v>59</v>
      </c>
      <c r="K31" s="41">
        <v>61.3</v>
      </c>
      <c r="L31" s="41"/>
      <c r="M31" s="42">
        <v>10</v>
      </c>
      <c r="N31" s="42">
        <v>10</v>
      </c>
      <c r="O31" s="43">
        <v>3616.7</v>
      </c>
      <c r="P31" s="44">
        <v>533.95000000000005</v>
      </c>
      <c r="Q31" s="44">
        <v>590</v>
      </c>
      <c r="R31" s="45">
        <v>14.31</v>
      </c>
      <c r="S31" s="46">
        <v>0</v>
      </c>
      <c r="T31" s="39">
        <f t="shared" si="19"/>
        <v>10</v>
      </c>
      <c r="U31" s="47">
        <f t="shared" si="20"/>
        <v>1.1888491804504296E-2</v>
      </c>
      <c r="V31" s="48">
        <f t="shared" si="21"/>
        <v>0</v>
      </c>
      <c r="W31" s="49">
        <f t="shared" si="22"/>
        <v>1.1888491804504296E-3</v>
      </c>
      <c r="X31" s="44">
        <f t="shared" si="23"/>
        <v>654.1684581804559</v>
      </c>
      <c r="Y31" s="44">
        <f t="shared" si="24"/>
        <v>56.049999999999955</v>
      </c>
      <c r="Z31" s="44">
        <f t="shared" si="25"/>
        <v>2522.205653695265</v>
      </c>
      <c r="AA31" s="50">
        <f t="shared" si="26"/>
        <v>1244.1684581804559</v>
      </c>
      <c r="AB31" s="51">
        <f t="shared" si="27"/>
        <v>2357.8626284895436</v>
      </c>
      <c r="AC31" s="44">
        <f t="shared" si="28"/>
        <v>1163.1003628872168</v>
      </c>
      <c r="AD31" s="44">
        <f t="shared" si="29"/>
        <v>5938.171738003899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2693.9833436100876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2693.9833436100876</v>
      </c>
      <c r="AK31" s="44">
        <f>HLOOKUP(I31,ElecAvoidedCostsWOCC!$A$5:$Q$50,G31+1,FALSE)*J31*L31</f>
        <v>0</v>
      </c>
      <c r="AL31" s="44">
        <f t="shared" si="34"/>
        <v>2693.9833436100876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2693.9833436100876</v>
      </c>
      <c r="AN31" s="48">
        <f t="shared" si="35"/>
        <v>8901.553415974995</v>
      </c>
      <c r="AO31" s="47">
        <f t="shared" si="36"/>
        <v>1.1425531373453526</v>
      </c>
      <c r="AP31" s="47">
        <f t="shared" si="37"/>
        <v>7.6532977720669484</v>
      </c>
      <c r="AQ31">
        <v>2020</v>
      </c>
    </row>
    <row r="32" spans="1:43">
      <c r="B32" s="97" t="s">
        <v>15</v>
      </c>
      <c r="C32" s="61">
        <v>18230434</v>
      </c>
      <c r="D32" s="61" t="s">
        <v>51</v>
      </c>
      <c r="E32" s="38" t="s">
        <v>1890</v>
      </c>
      <c r="F32" s="39" t="s">
        <v>1891</v>
      </c>
      <c r="G32" s="39">
        <v>10</v>
      </c>
      <c r="H32" s="39"/>
      <c r="I32" s="40" t="s">
        <v>265</v>
      </c>
      <c r="J32" s="41">
        <v>47</v>
      </c>
      <c r="K32" s="41">
        <v>74.099999999999994</v>
      </c>
      <c r="L32" s="41"/>
      <c r="M32" s="42">
        <v>10</v>
      </c>
      <c r="N32" s="42">
        <v>10</v>
      </c>
      <c r="O32" s="43">
        <v>3482.7</v>
      </c>
      <c r="P32" s="44">
        <v>425.35</v>
      </c>
      <c r="Q32" s="44">
        <v>470</v>
      </c>
      <c r="R32" s="45">
        <v>14.31</v>
      </c>
      <c r="S32" s="46">
        <v>0</v>
      </c>
      <c r="T32" s="39">
        <f t="shared" si="19"/>
        <v>10</v>
      </c>
      <c r="U32" s="47">
        <f t="shared" si="20"/>
        <v>1.1448019024952887E-2</v>
      </c>
      <c r="V32" s="48">
        <f t="shared" si="21"/>
        <v>0</v>
      </c>
      <c r="W32" s="49">
        <f t="shared" si="22"/>
        <v>1.1448019024952888E-3</v>
      </c>
      <c r="X32" s="44">
        <f t="shared" si="23"/>
        <v>629.93128799874853</v>
      </c>
      <c r="Y32" s="44">
        <f t="shared" si="24"/>
        <v>44.649999999999977</v>
      </c>
      <c r="Z32" s="44">
        <f t="shared" si="25"/>
        <v>2428.7570520431605</v>
      </c>
      <c r="AA32" s="50">
        <f t="shared" si="26"/>
        <v>1099.9312879987485</v>
      </c>
      <c r="AB32" s="51">
        <f t="shared" si="27"/>
        <v>2270.5029934029731</v>
      </c>
      <c r="AC32" s="44">
        <f t="shared" si="28"/>
        <v>1028.2614639606884</v>
      </c>
      <c r="AD32" s="44">
        <f t="shared" si="29"/>
        <v>4730.4079946810725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2594.1703184645817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2594.1703184645817</v>
      </c>
      <c r="AK32" s="44">
        <f>HLOOKUP(I32,ElecAvoidedCostsWOCC!$A$5:$Q$50,G32+1,FALSE)*J32*L32</f>
        <v>0</v>
      </c>
      <c r="AL32" s="44">
        <f t="shared" si="34"/>
        <v>2594.1703184645817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2594.1703184645817</v>
      </c>
      <c r="AN32" s="48">
        <f t="shared" si="35"/>
        <v>7583.9953449921122</v>
      </c>
      <c r="AO32" s="47">
        <f t="shared" si="36"/>
        <v>1.1425531373453528</v>
      </c>
      <c r="AP32" s="47">
        <f t="shared" si="37"/>
        <v>7.3755514631267527</v>
      </c>
      <c r="AQ32">
        <v>2020</v>
      </c>
    </row>
    <row r="33" spans="2:43">
      <c r="B33" s="97" t="s">
        <v>15</v>
      </c>
      <c r="C33" s="61">
        <v>18230434</v>
      </c>
      <c r="D33" s="61" t="s">
        <v>51</v>
      </c>
      <c r="E33" s="38" t="s">
        <v>1892</v>
      </c>
      <c r="F33" s="39" t="s">
        <v>1893</v>
      </c>
      <c r="G33" s="39">
        <v>10</v>
      </c>
      <c r="H33" s="39"/>
      <c r="I33" s="40" t="s">
        <v>265</v>
      </c>
      <c r="J33" s="41">
        <v>94</v>
      </c>
      <c r="K33" s="41">
        <v>12</v>
      </c>
      <c r="L33" s="41"/>
      <c r="M33" s="42">
        <v>1.81</v>
      </c>
      <c r="N33" s="42">
        <v>1.81</v>
      </c>
      <c r="O33" s="43">
        <v>1128</v>
      </c>
      <c r="P33" s="44">
        <v>46.06</v>
      </c>
      <c r="Q33" s="44">
        <v>170.14</v>
      </c>
      <c r="R33" s="45">
        <v>2.74</v>
      </c>
      <c r="S33" s="46">
        <v>0</v>
      </c>
      <c r="T33" s="39">
        <f t="shared" si="19"/>
        <v>10</v>
      </c>
      <c r="U33" s="47">
        <f t="shared" si="20"/>
        <v>3.7078604129402067E-3</v>
      </c>
      <c r="V33" s="48">
        <f t="shared" si="21"/>
        <v>0</v>
      </c>
      <c r="W33" s="49">
        <f t="shared" si="22"/>
        <v>3.7078604129402068E-4</v>
      </c>
      <c r="X33" s="44">
        <f t="shared" si="23"/>
        <v>204.02632809676066</v>
      </c>
      <c r="Y33" s="44">
        <f t="shared" si="24"/>
        <v>124.07999999999998</v>
      </c>
      <c r="Z33" s="44">
        <f t="shared" si="25"/>
        <v>786.64196017592258</v>
      </c>
      <c r="AA33" s="50">
        <f t="shared" si="26"/>
        <v>374.16632809676065</v>
      </c>
      <c r="AB33" s="51">
        <f t="shared" si="27"/>
        <v>735.38558490784567</v>
      </c>
      <c r="AC33" s="44">
        <f t="shared" si="28"/>
        <v>349.78622800482435</v>
      </c>
      <c r="AD33" s="44">
        <f t="shared" si="29"/>
        <v>1811.5049483474686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840.21710719500629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840.21710719500629</v>
      </c>
      <c r="AK33" s="44">
        <f>HLOOKUP(I33,ElecAvoidedCostsWOCC!$A$5:$Q$50,G33+1,FALSE)*J33*L33</f>
        <v>0</v>
      </c>
      <c r="AL33" s="44">
        <f t="shared" si="34"/>
        <v>840.21710719500629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840.21710719500641</v>
      </c>
      <c r="AN33" s="48">
        <f t="shared" si="35"/>
        <v>2735.7437662619759</v>
      </c>
      <c r="AO33" s="47">
        <f t="shared" si="36"/>
        <v>1.1425531373453528</v>
      </c>
      <c r="AP33" s="47">
        <f t="shared" si="37"/>
        <v>7.8211877633565487</v>
      </c>
      <c r="AQ33">
        <v>2020</v>
      </c>
    </row>
    <row r="34" spans="2:43">
      <c r="B34" s="97" t="s">
        <v>15</v>
      </c>
      <c r="C34" s="61">
        <v>18230434</v>
      </c>
      <c r="D34" s="61" t="s">
        <v>51</v>
      </c>
      <c r="E34" s="38" t="s">
        <v>1894</v>
      </c>
      <c r="F34" s="39" t="s">
        <v>1895</v>
      </c>
      <c r="G34" s="39">
        <v>10</v>
      </c>
      <c r="H34" s="39"/>
      <c r="I34" s="40" t="s">
        <v>265</v>
      </c>
      <c r="J34" s="41">
        <v>118</v>
      </c>
      <c r="K34" s="41">
        <v>10</v>
      </c>
      <c r="L34" s="41"/>
      <c r="M34" s="42">
        <v>1.81</v>
      </c>
      <c r="N34" s="42">
        <v>1.81</v>
      </c>
      <c r="O34" s="43">
        <v>1180</v>
      </c>
      <c r="P34" s="44">
        <v>57.819999999999901</v>
      </c>
      <c r="Q34" s="44">
        <v>213.58</v>
      </c>
      <c r="R34" s="45">
        <v>2.74</v>
      </c>
      <c r="S34" s="46">
        <v>0</v>
      </c>
      <c r="T34" s="39">
        <f t="shared" si="19"/>
        <v>10</v>
      </c>
      <c r="U34" s="47">
        <f t="shared" si="20"/>
        <v>3.8787901482885147E-3</v>
      </c>
      <c r="V34" s="48">
        <f t="shared" si="21"/>
        <v>0</v>
      </c>
      <c r="W34" s="49">
        <f t="shared" si="22"/>
        <v>3.8787901482885146E-4</v>
      </c>
      <c r="X34" s="44">
        <f t="shared" si="23"/>
        <v>213.43179712249787</v>
      </c>
      <c r="Y34" s="44">
        <f t="shared" si="24"/>
        <v>155.7600000000001</v>
      </c>
      <c r="Z34" s="44">
        <f t="shared" si="25"/>
        <v>822.90559663793317</v>
      </c>
      <c r="AA34" s="50">
        <f t="shared" si="26"/>
        <v>427.01179712249791</v>
      </c>
      <c r="AB34" s="51">
        <f t="shared" si="27"/>
        <v>769.28633882203712</v>
      </c>
      <c r="AC34" s="44">
        <f t="shared" si="28"/>
        <v>399.18836788117966</v>
      </c>
      <c r="AD34" s="44">
        <f t="shared" si="29"/>
        <v>2274.0168500532054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878.9505199380385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878.9505199380385</v>
      </c>
      <c r="AK34" s="44">
        <f>HLOOKUP(I34,ElecAvoidedCostsWOCC!$A$5:$Q$50,G34+1,FALSE)*J34*L34</f>
        <v>0</v>
      </c>
      <c r="AL34" s="44">
        <f t="shared" si="34"/>
        <v>878.9505199380385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878.9505199380385</v>
      </c>
      <c r="AN34" s="48">
        <f t="shared" si="35"/>
        <v>3240.8624219850481</v>
      </c>
      <c r="AO34" s="47">
        <f t="shared" si="36"/>
        <v>1.1425531373453526</v>
      </c>
      <c r="AP34" s="47">
        <f t="shared" si="37"/>
        <v>8.1186294059292496</v>
      </c>
      <c r="AQ34">
        <v>2020</v>
      </c>
    </row>
    <row r="35" spans="2:43">
      <c r="B35" s="97" t="s">
        <v>15</v>
      </c>
      <c r="C35" s="61">
        <v>18230434</v>
      </c>
      <c r="D35" s="61" t="s">
        <v>51</v>
      </c>
      <c r="E35" s="38" t="s">
        <v>1896</v>
      </c>
      <c r="F35" s="39" t="s">
        <v>1897</v>
      </c>
      <c r="G35" s="39">
        <v>10</v>
      </c>
      <c r="H35" s="39"/>
      <c r="I35" s="40" t="s">
        <v>265</v>
      </c>
      <c r="J35" s="41">
        <v>47</v>
      </c>
      <c r="K35" s="41">
        <v>19</v>
      </c>
      <c r="L35" s="41"/>
      <c r="M35" s="42">
        <v>1.81</v>
      </c>
      <c r="N35" s="42">
        <v>1.81</v>
      </c>
      <c r="O35" s="43">
        <v>893</v>
      </c>
      <c r="P35" s="44">
        <v>60.63</v>
      </c>
      <c r="Q35" s="44">
        <v>85.070000000000107</v>
      </c>
      <c r="R35" s="45">
        <v>3.8</v>
      </c>
      <c r="S35" s="46">
        <v>0</v>
      </c>
      <c r="T35" s="39">
        <f t="shared" si="19"/>
        <v>10</v>
      </c>
      <c r="U35" s="47">
        <f t="shared" si="20"/>
        <v>2.9353894935776636E-3</v>
      </c>
      <c r="V35" s="48">
        <f t="shared" si="21"/>
        <v>0</v>
      </c>
      <c r="W35" s="49">
        <f t="shared" si="22"/>
        <v>2.9353894935776637E-4</v>
      </c>
      <c r="X35" s="44">
        <f t="shared" si="23"/>
        <v>161.52084307660218</v>
      </c>
      <c r="Y35" s="44">
        <f t="shared" si="24"/>
        <v>24.440000000000104</v>
      </c>
      <c r="Z35" s="44">
        <f t="shared" si="25"/>
        <v>622.75821847260534</v>
      </c>
      <c r="AA35" s="50">
        <f t="shared" si="26"/>
        <v>246.59084307660228</v>
      </c>
      <c r="AB35" s="51">
        <f t="shared" si="27"/>
        <v>582.18025471871113</v>
      </c>
      <c r="AC35" s="44">
        <f t="shared" si="28"/>
        <v>230.52336456632912</v>
      </c>
      <c r="AD35" s="44">
        <f t="shared" si="29"/>
        <v>1256.153066372332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665.17187652937992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665.17187652937992</v>
      </c>
      <c r="AK35" s="44">
        <f>HLOOKUP(I35,ElecAvoidedCostsWOCC!$A$5:$Q$50,G35+1,FALSE)*J35*L35</f>
        <v>0</v>
      </c>
      <c r="AL35" s="44">
        <f t="shared" si="34"/>
        <v>665.17187652937992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665.17187652938003</v>
      </c>
      <c r="AN35" s="48">
        <f t="shared" si="35"/>
        <v>1987.8421305546501</v>
      </c>
      <c r="AO35" s="47">
        <f t="shared" si="36"/>
        <v>1.1425531373453528</v>
      </c>
      <c r="AP35" s="47">
        <f t="shared" si="37"/>
        <v>8.6231698652076663</v>
      </c>
      <c r="AQ35">
        <v>2020</v>
      </c>
    </row>
    <row r="36" spans="2:43">
      <c r="B36" s="97" t="s">
        <v>15</v>
      </c>
      <c r="C36" s="61">
        <v>18230434</v>
      </c>
      <c r="D36" s="61" t="s">
        <v>51</v>
      </c>
      <c r="E36" s="38" t="s">
        <v>1898</v>
      </c>
      <c r="F36" s="39" t="s">
        <v>1899</v>
      </c>
      <c r="G36" s="39">
        <v>10</v>
      </c>
      <c r="H36" s="39"/>
      <c r="I36" s="40" t="s">
        <v>265</v>
      </c>
      <c r="J36" s="41">
        <v>59</v>
      </c>
      <c r="K36" s="41">
        <v>16</v>
      </c>
      <c r="L36" s="41"/>
      <c r="M36" s="42">
        <v>1.81</v>
      </c>
      <c r="N36" s="42">
        <v>1.81</v>
      </c>
      <c r="O36" s="43">
        <v>944</v>
      </c>
      <c r="P36" s="44">
        <v>76.11</v>
      </c>
      <c r="Q36" s="44">
        <v>106.79</v>
      </c>
      <c r="R36" s="45">
        <v>3.8</v>
      </c>
      <c r="S36" s="46">
        <v>0</v>
      </c>
      <c r="T36" s="39">
        <f t="shared" si="19"/>
        <v>10</v>
      </c>
      <c r="U36" s="47">
        <f t="shared" si="20"/>
        <v>3.1030321186308117E-3</v>
      </c>
      <c r="V36" s="48">
        <f t="shared" si="21"/>
        <v>0</v>
      </c>
      <c r="W36" s="49">
        <f t="shared" si="22"/>
        <v>3.1030321186308117E-4</v>
      </c>
      <c r="X36" s="44">
        <f t="shared" si="23"/>
        <v>170.74543769799831</v>
      </c>
      <c r="Y36" s="44">
        <f t="shared" si="24"/>
        <v>30.680000000000007</v>
      </c>
      <c r="Z36" s="44">
        <f t="shared" si="25"/>
        <v>658.32447731034654</v>
      </c>
      <c r="AA36" s="50">
        <f t="shared" si="26"/>
        <v>277.5354376979983</v>
      </c>
      <c r="AB36" s="51">
        <f t="shared" si="27"/>
        <v>615.4290710576297</v>
      </c>
      <c r="AC36" s="44">
        <f t="shared" si="28"/>
        <v>259.4516571917344</v>
      </c>
      <c r="AD36" s="44">
        <f t="shared" si="29"/>
        <v>1576.8729982120765</v>
      </c>
      <c r="AE36" s="44">
        <f t="shared" si="30"/>
        <v>0</v>
      </c>
      <c r="AF36" s="52">
        <f>HLOOKUP(I36,ElecAvoidedCostsWOCC!$A$5:$Q$50,G36+1,FALSE)</f>
        <v>0.74487332198138856</v>
      </c>
      <c r="AG36" s="44">
        <f t="shared" si="31"/>
        <v>703.16041595043077</v>
      </c>
      <c r="AH36" s="52">
        <f>HLOOKUP(I36,ElecAvoidedCostsWOCC!$A$5:$Q$50,T36+1,FALSE)</f>
        <v>0.74487332198138856</v>
      </c>
      <c r="AI36" s="44">
        <f t="shared" si="32"/>
        <v>0</v>
      </c>
      <c r="AJ36" s="44">
        <f t="shared" si="33"/>
        <v>703.16041595043077</v>
      </c>
      <c r="AK36" s="44">
        <f>HLOOKUP(I36,ElecAvoidedCostsWOCC!$A$5:$Q$50,G36+1,FALSE)*J36*L36</f>
        <v>0</v>
      </c>
      <c r="AL36" s="44">
        <f t="shared" si="34"/>
        <v>703.16041595043077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703.16041595043077</v>
      </c>
      <c r="AN36" s="48">
        <f t="shared" si="35"/>
        <v>2350.3494557575505</v>
      </c>
      <c r="AO36" s="47">
        <f t="shared" si="36"/>
        <v>1.1425531373453526</v>
      </c>
      <c r="AP36" s="47">
        <f t="shared" si="37"/>
        <v>9.0589109400856351</v>
      </c>
      <c r="AQ36">
        <v>2020</v>
      </c>
    </row>
    <row r="37" spans="2:43">
      <c r="B37" s="97" t="s">
        <v>15</v>
      </c>
      <c r="C37" s="61">
        <v>18230434</v>
      </c>
      <c r="D37" s="61" t="s">
        <v>51</v>
      </c>
      <c r="E37" s="38" t="s">
        <v>1900</v>
      </c>
      <c r="F37" s="39" t="s">
        <v>1901</v>
      </c>
      <c r="G37" s="39">
        <v>14</v>
      </c>
      <c r="H37" s="39"/>
      <c r="I37" s="40" t="s">
        <v>265</v>
      </c>
      <c r="J37" s="41">
        <v>2</v>
      </c>
      <c r="K37" s="41">
        <v>64</v>
      </c>
      <c r="L37" s="41"/>
      <c r="M37" s="42">
        <v>25</v>
      </c>
      <c r="N37" s="42">
        <v>27.87</v>
      </c>
      <c r="O37" s="43">
        <v>128</v>
      </c>
      <c r="P37" s="44">
        <v>50</v>
      </c>
      <c r="Q37" s="44">
        <v>55.74</v>
      </c>
      <c r="R37" s="45">
        <v>11.61</v>
      </c>
      <c r="S37" s="46">
        <v>0</v>
      </c>
      <c r="T37" s="39">
        <f t="shared" si="19"/>
        <v>14</v>
      </c>
      <c r="U37" s="47">
        <f t="shared" si="20"/>
        <v>5.8905016489262866E-4</v>
      </c>
      <c r="V37" s="48">
        <f t="shared" si="21"/>
        <v>2.870000000000001</v>
      </c>
      <c r="W37" s="49">
        <f t="shared" si="22"/>
        <v>4.2075011778044902E-5</v>
      </c>
      <c r="X37" s="44">
        <f t="shared" si="23"/>
        <v>23.151923755660786</v>
      </c>
      <c r="Y37" s="44">
        <f t="shared" si="24"/>
        <v>5.740000000000002</v>
      </c>
      <c r="Z37" s="44">
        <f t="shared" si="25"/>
        <v>89.264335906487659</v>
      </c>
      <c r="AA37" s="50">
        <f t="shared" si="26"/>
        <v>78.891923755660784</v>
      </c>
      <c r="AB37" s="51">
        <f t="shared" si="27"/>
        <v>83.448009634932831</v>
      </c>
      <c r="AC37" s="44">
        <f t="shared" si="28"/>
        <v>73.751447841133754</v>
      </c>
      <c r="AD37" s="44">
        <f t="shared" si="29"/>
        <v>203.43561030827152</v>
      </c>
      <c r="AE37" s="44">
        <f t="shared" si="30"/>
        <v>0</v>
      </c>
      <c r="AF37" s="52">
        <f>HLOOKUP(I37,ElecAvoidedCostsWOCC!$A$5:$Q$50,G37+1,FALSE)</f>
        <v>1.0169996824506593</v>
      </c>
      <c r="AG37" s="44">
        <f t="shared" si="31"/>
        <v>130.17595935368439</v>
      </c>
      <c r="AH37" s="52">
        <f>HLOOKUP(I37,ElecAvoidedCostsWOCC!$A$5:$Q$50,T37+1,FALSE)</f>
        <v>1.0169996824506593</v>
      </c>
      <c r="AI37" s="44">
        <f t="shared" si="32"/>
        <v>0</v>
      </c>
      <c r="AJ37" s="44">
        <f t="shared" si="33"/>
        <v>130.17595935368439</v>
      </c>
      <c r="AK37" s="44">
        <f>HLOOKUP(I37,ElecAvoidedCostsWOCC!$A$5:$Q$50,G37+1,FALSE)*J37*L37</f>
        <v>0</v>
      </c>
      <c r="AL37" s="44">
        <f t="shared" si="34"/>
        <v>130.17595935368439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130.17595935368439</v>
      </c>
      <c r="AN37" s="48">
        <f t="shared" si="35"/>
        <v>346.62916559732435</v>
      </c>
      <c r="AO37" s="47">
        <f t="shared" si="36"/>
        <v>1.559964820289619</v>
      </c>
      <c r="AP37" s="47">
        <f t="shared" si="37"/>
        <v>4.6999642141804463</v>
      </c>
      <c r="AQ37">
        <v>2020</v>
      </c>
    </row>
    <row r="38" spans="2:43">
      <c r="B38" s="97" t="s">
        <v>15</v>
      </c>
      <c r="C38" s="61">
        <v>18230434</v>
      </c>
      <c r="D38" s="61" t="s">
        <v>51</v>
      </c>
      <c r="E38" s="38" t="s">
        <v>1902</v>
      </c>
      <c r="F38" s="39" t="s">
        <v>607</v>
      </c>
      <c r="G38" s="39">
        <v>12</v>
      </c>
      <c r="H38" s="39"/>
      <c r="I38" s="40" t="s">
        <v>263</v>
      </c>
      <c r="J38" s="41">
        <v>2</v>
      </c>
      <c r="K38" s="41">
        <v>93</v>
      </c>
      <c r="L38" s="41"/>
      <c r="M38" s="42">
        <v>25</v>
      </c>
      <c r="N38" s="42">
        <v>50.98</v>
      </c>
      <c r="O38" s="43">
        <v>186</v>
      </c>
      <c r="P38" s="44">
        <v>50</v>
      </c>
      <c r="Q38" s="44">
        <v>101.96</v>
      </c>
      <c r="R38" s="45">
        <v>-0.34</v>
      </c>
      <c r="S38" s="46">
        <v>0</v>
      </c>
      <c r="T38" s="39">
        <f t="shared" si="19"/>
        <v>12</v>
      </c>
      <c r="U38" s="47">
        <f t="shared" si="20"/>
        <v>7.3368301787965799E-4</v>
      </c>
      <c r="V38" s="48">
        <f t="shared" si="21"/>
        <v>25.979999999999997</v>
      </c>
      <c r="W38" s="49">
        <f t="shared" si="22"/>
        <v>6.1140251489971495E-5</v>
      </c>
      <c r="X38" s="44">
        <f t="shared" si="23"/>
        <v>33.642639207444574</v>
      </c>
      <c r="Y38" s="44">
        <f t="shared" si="24"/>
        <v>51.959999999999994</v>
      </c>
      <c r="Z38" s="44">
        <f t="shared" si="25"/>
        <v>129.71223811411488</v>
      </c>
      <c r="AA38" s="50">
        <f t="shared" si="26"/>
        <v>135.60263920744455</v>
      </c>
      <c r="AB38" s="51">
        <f t="shared" si="27"/>
        <v>121.26038900076178</v>
      </c>
      <c r="AC38" s="44">
        <f t="shared" si="28"/>
        <v>126.7669806557395</v>
      </c>
      <c r="AD38" s="44">
        <f t="shared" si="29"/>
        <v>-5.4096726117460108</v>
      </c>
      <c r="AE38" s="44">
        <f t="shared" si="30"/>
        <v>0</v>
      </c>
      <c r="AF38" s="52">
        <f>HLOOKUP(I38,ElecAvoidedCostsWOCC!$A$5:$Q$50,G38+1,FALSE)</f>
        <v>0.87531038854853971</v>
      </c>
      <c r="AG38" s="44">
        <f t="shared" si="31"/>
        <v>162.8077322700284</v>
      </c>
      <c r="AH38" s="52">
        <f>HLOOKUP(I38,ElecAvoidedCostsWOCC!$A$5:$Q$50,T38+1,FALSE)</f>
        <v>0.87531038854853971</v>
      </c>
      <c r="AI38" s="44">
        <f t="shared" si="32"/>
        <v>0</v>
      </c>
      <c r="AJ38" s="44">
        <f t="shared" si="33"/>
        <v>162.8077322700284</v>
      </c>
      <c r="AK38" s="44">
        <f>HLOOKUP(I38,ElecAvoidedCostsWOCC!$A$5:$Q$50,G38+1,FALSE)*J38*L38</f>
        <v>0</v>
      </c>
      <c r="AL38" s="44">
        <f t="shared" si="34"/>
        <v>162.8077322700284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162.8077322700284</v>
      </c>
      <c r="AN38" s="48">
        <f t="shared" si="35"/>
        <v>173.67883288528526</v>
      </c>
      <c r="AO38" s="47">
        <f t="shared" si="36"/>
        <v>1.3426291438748856</v>
      </c>
      <c r="AP38" s="47">
        <f t="shared" si="37"/>
        <v>1.3700636552742709</v>
      </c>
      <c r="AQ38">
        <v>2020</v>
      </c>
    </row>
    <row r="39" spans="2:43">
      <c r="B39" s="97" t="s">
        <v>15</v>
      </c>
      <c r="C39" s="61">
        <v>18230434</v>
      </c>
      <c r="D39" s="61" t="s">
        <v>51</v>
      </c>
      <c r="E39" s="38" t="s">
        <v>606</v>
      </c>
      <c r="F39" s="39" t="s">
        <v>607</v>
      </c>
      <c r="G39" s="39">
        <v>12</v>
      </c>
      <c r="H39" s="39"/>
      <c r="I39" s="40" t="s">
        <v>263</v>
      </c>
      <c r="J39" s="41">
        <v>573</v>
      </c>
      <c r="K39" s="41">
        <v>68</v>
      </c>
      <c r="L39" s="41"/>
      <c r="M39" s="42">
        <v>25</v>
      </c>
      <c r="N39" s="42">
        <v>20.440000000000001</v>
      </c>
      <c r="O39" s="43">
        <v>38964</v>
      </c>
      <c r="P39" s="44">
        <v>14325</v>
      </c>
      <c r="Q39" s="44">
        <v>11712.12</v>
      </c>
      <c r="R39" s="45">
        <v>-0.08</v>
      </c>
      <c r="S39" s="46">
        <v>0</v>
      </c>
      <c r="T39" s="39">
        <f t="shared" si="19"/>
        <v>12</v>
      </c>
      <c r="U39" s="47">
        <f t="shared" si="20"/>
        <v>0.15369475864872578</v>
      </c>
      <c r="V39" s="48">
        <f t="shared" si="21"/>
        <v>-4.5599999999999987</v>
      </c>
      <c r="W39" s="49">
        <f t="shared" si="22"/>
        <v>1.2807896554060481E-2</v>
      </c>
      <c r="X39" s="44">
        <f t="shared" si="23"/>
        <v>7047.5902907466161</v>
      </c>
      <c r="Y39" s="44">
        <f t="shared" si="24"/>
        <v>-2612.8799999999992</v>
      </c>
      <c r="Z39" s="44">
        <f t="shared" si="25"/>
        <v>27172.621752034258</v>
      </c>
      <c r="AA39" s="50">
        <f t="shared" si="26"/>
        <v>18759.710290746618</v>
      </c>
      <c r="AB39" s="51">
        <f t="shared" si="27"/>
        <v>25402.09568293377</v>
      </c>
      <c r="AC39" s="44">
        <f t="shared" si="28"/>
        <v>17537.35653991457</v>
      </c>
      <c r="AD39" s="44">
        <f t="shared" si="29"/>
        <v>-364.67557723887819</v>
      </c>
      <c r="AE39" s="44">
        <f t="shared" si="30"/>
        <v>0</v>
      </c>
      <c r="AF39" s="52">
        <f>HLOOKUP(I39,ElecAvoidedCostsWOCC!$A$5:$Q$50,G39+1,FALSE)</f>
        <v>0.87531038854853971</v>
      </c>
      <c r="AG39" s="44">
        <f t="shared" si="31"/>
        <v>34105.593979405305</v>
      </c>
      <c r="AH39" s="52">
        <f>HLOOKUP(I39,ElecAvoidedCostsWOCC!$A$5:$Q$50,T39+1,FALSE)</f>
        <v>0.87531038854853971</v>
      </c>
      <c r="AI39" s="44">
        <f t="shared" si="32"/>
        <v>0</v>
      </c>
      <c r="AJ39" s="44">
        <f t="shared" si="33"/>
        <v>34105.593979405305</v>
      </c>
      <c r="AK39" s="44">
        <f>HLOOKUP(I39,ElecAvoidedCostsWOCC!$A$5:$Q$50,G39+1,FALSE)*J39*L39</f>
        <v>0</v>
      </c>
      <c r="AL39" s="44">
        <f t="shared" si="34"/>
        <v>34105.593979405305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34105.593979405305</v>
      </c>
      <c r="AN39" s="48">
        <f t="shared" si="35"/>
        <v>37151.477800106957</v>
      </c>
      <c r="AO39" s="47">
        <f t="shared" si="36"/>
        <v>1.3426291438748861</v>
      </c>
      <c r="AP39" s="47">
        <f t="shared" si="37"/>
        <v>2.1184194844617061</v>
      </c>
      <c r="AQ39">
        <v>2020</v>
      </c>
    </row>
    <row r="40" spans="2:43">
      <c r="B40" s="97" t="s">
        <v>15</v>
      </c>
      <c r="C40" s="61">
        <v>18230434</v>
      </c>
      <c r="D40" s="61" t="s">
        <v>51</v>
      </c>
      <c r="E40" s="38" t="s">
        <v>608</v>
      </c>
      <c r="F40" s="39" t="s">
        <v>609</v>
      </c>
      <c r="G40" s="39">
        <v>5</v>
      </c>
      <c r="H40" s="39"/>
      <c r="I40" s="40" t="s">
        <v>264</v>
      </c>
      <c r="J40" s="41">
        <v>803</v>
      </c>
      <c r="K40" s="41">
        <v>411</v>
      </c>
      <c r="L40" s="41"/>
      <c r="M40" s="42">
        <v>120</v>
      </c>
      <c r="N40" s="42">
        <v>120</v>
      </c>
      <c r="O40" s="43">
        <v>330033</v>
      </c>
      <c r="P40" s="44">
        <v>20075</v>
      </c>
      <c r="Q40" s="44">
        <v>96360</v>
      </c>
      <c r="R40" s="45">
        <v>16.579999999999998</v>
      </c>
      <c r="S40" s="46">
        <v>0</v>
      </c>
      <c r="T40" s="39">
        <f t="shared" si="19"/>
        <v>5</v>
      </c>
      <c r="U40" s="47">
        <f t="shared" si="20"/>
        <v>0.54242743602123022</v>
      </c>
      <c r="V40" s="48">
        <f t="shared" si="21"/>
        <v>0</v>
      </c>
      <c r="W40" s="49">
        <f t="shared" si="22"/>
        <v>0.10848548720424604</v>
      </c>
      <c r="X40" s="44">
        <f t="shared" si="23"/>
        <v>59694.52228790622</v>
      </c>
      <c r="Y40" s="44">
        <f t="shared" si="24"/>
        <v>76285</v>
      </c>
      <c r="Z40" s="44">
        <f t="shared" si="25"/>
        <v>230157.62947051442</v>
      </c>
      <c r="AA40" s="50">
        <f t="shared" si="26"/>
        <v>156054.52228790621</v>
      </c>
      <c r="AB40" s="51">
        <f t="shared" si="27"/>
        <v>215160.91378004526</v>
      </c>
      <c r="AC40" s="44">
        <f t="shared" si="28"/>
        <v>145886.25061971226</v>
      </c>
      <c r="AD40" s="44">
        <f t="shared" si="29"/>
        <v>54632.839623143278</v>
      </c>
      <c r="AE40" s="44">
        <f t="shared" si="30"/>
        <v>0</v>
      </c>
      <c r="AF40" s="52">
        <f>HLOOKUP(I40,ElecAvoidedCostsWOCC!$A$5:$Q$50,G40+1,FALSE)</f>
        <v>0.35099237831359642</v>
      </c>
      <c r="AG40" s="44">
        <f t="shared" si="31"/>
        <v>115839.06759197116</v>
      </c>
      <c r="AH40" s="52">
        <f>HLOOKUP(I40,ElecAvoidedCostsWOCC!$A$5:$Q$50,T40+1,FALSE)</f>
        <v>0.35099237831359642</v>
      </c>
      <c r="AI40" s="44">
        <f t="shared" si="32"/>
        <v>0</v>
      </c>
      <c r="AJ40" s="44">
        <f t="shared" si="33"/>
        <v>115839.06759197116</v>
      </c>
      <c r="AK40" s="44">
        <f>HLOOKUP(I40,ElecAvoidedCostsWOCC!$A$5:$Q$50,G40+1,FALSE)*J40*L40</f>
        <v>0</v>
      </c>
      <c r="AL40" s="44">
        <f t="shared" si="34"/>
        <v>115839.06759197116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115839.06759197116</v>
      </c>
      <c r="AN40" s="48">
        <f t="shared" si="35"/>
        <v>182055.81397431158</v>
      </c>
      <c r="AO40" s="47">
        <f t="shared" si="36"/>
        <v>0.53838341526282585</v>
      </c>
      <c r="AP40" s="47">
        <f t="shared" si="37"/>
        <v>1.247929898814687</v>
      </c>
      <c r="AQ40">
        <v>2020</v>
      </c>
    </row>
    <row r="41" spans="2:43">
      <c r="B41" s="97" t="s">
        <v>15</v>
      </c>
      <c r="C41" s="61">
        <v>18230434</v>
      </c>
      <c r="D41" s="61" t="s">
        <v>51</v>
      </c>
      <c r="E41" s="38" t="s">
        <v>611</v>
      </c>
      <c r="F41" s="39" t="s">
        <v>612</v>
      </c>
      <c r="G41" s="39">
        <v>6</v>
      </c>
      <c r="H41" s="39"/>
      <c r="I41" s="40" t="s">
        <v>264</v>
      </c>
      <c r="J41" s="41">
        <v>353</v>
      </c>
      <c r="K41" s="41">
        <v>334</v>
      </c>
      <c r="L41" s="41"/>
      <c r="M41" s="42">
        <v>120</v>
      </c>
      <c r="N41" s="42">
        <v>120</v>
      </c>
      <c r="O41" s="43">
        <v>117902</v>
      </c>
      <c r="P41" s="44">
        <v>8825</v>
      </c>
      <c r="Q41" s="44">
        <v>42360</v>
      </c>
      <c r="R41" s="45">
        <v>15.4</v>
      </c>
      <c r="S41" s="46">
        <v>0</v>
      </c>
      <c r="T41" s="39">
        <f t="shared" si="19"/>
        <v>6</v>
      </c>
      <c r="U41" s="47">
        <f t="shared" si="20"/>
        <v>0.23253412681195548</v>
      </c>
      <c r="V41" s="48">
        <f t="shared" si="21"/>
        <v>0</v>
      </c>
      <c r="W41" s="49">
        <f t="shared" si="22"/>
        <v>3.875568780199258E-2</v>
      </c>
      <c r="X41" s="44">
        <f t="shared" si="23"/>
        <v>21325.454020624358</v>
      </c>
      <c r="Y41" s="44">
        <f t="shared" si="24"/>
        <v>33535</v>
      </c>
      <c r="Z41" s="44">
        <f t="shared" si="25"/>
        <v>82222.21665661491</v>
      </c>
      <c r="AA41" s="50">
        <f t="shared" si="26"/>
        <v>63685.454020624355</v>
      </c>
      <c r="AB41" s="51">
        <f t="shared" si="27"/>
        <v>76864.743999826969</v>
      </c>
      <c r="AC41" s="44">
        <f t="shared" si="28"/>
        <v>59535.808189795593</v>
      </c>
      <c r="AD41" s="44">
        <f t="shared" si="29"/>
        <v>25935.878231647803</v>
      </c>
      <c r="AE41" s="44">
        <f t="shared" si="30"/>
        <v>0</v>
      </c>
      <c r="AF41" s="52">
        <f>HLOOKUP(I41,ElecAvoidedCostsWOCC!$A$5:$Q$50,G41+1,FALSE)</f>
        <v>0.42167853068679217</v>
      </c>
      <c r="AG41" s="44">
        <f t="shared" si="31"/>
        <v>49716.742125034172</v>
      </c>
      <c r="AH41" s="52">
        <f>HLOOKUP(I41,ElecAvoidedCostsWOCC!$A$5:$Q$50,T41+1,FALSE)</f>
        <v>0.42167853068679217</v>
      </c>
      <c r="AI41" s="44">
        <f t="shared" si="32"/>
        <v>0</v>
      </c>
      <c r="AJ41" s="44">
        <f t="shared" si="33"/>
        <v>49716.742125034172</v>
      </c>
      <c r="AK41" s="44">
        <f>HLOOKUP(I41,ElecAvoidedCostsWOCC!$A$5:$Q$50,G41+1,FALSE)*J41*L41</f>
        <v>0</v>
      </c>
      <c r="AL41" s="44">
        <f t="shared" si="34"/>
        <v>49716.742125034172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49716.742125034172</v>
      </c>
      <c r="AN41" s="48">
        <f t="shared" si="35"/>
        <v>80624.294569185397</v>
      </c>
      <c r="AO41" s="47">
        <f t="shared" si="36"/>
        <v>0.64680814035035472</v>
      </c>
      <c r="AP41" s="47">
        <f t="shared" si="37"/>
        <v>1.3542151693340809</v>
      </c>
      <c r="AQ41">
        <v>2020</v>
      </c>
    </row>
    <row r="42" spans="2:43">
      <c r="B42" s="97" t="s">
        <v>15</v>
      </c>
      <c r="C42" s="61">
        <v>18230434</v>
      </c>
      <c r="D42" s="61" t="s">
        <v>51</v>
      </c>
      <c r="E42" s="38" t="s">
        <v>1903</v>
      </c>
      <c r="F42" s="39" t="s">
        <v>1904</v>
      </c>
      <c r="G42" s="39">
        <v>14</v>
      </c>
      <c r="H42" s="39"/>
      <c r="I42" s="40" t="s">
        <v>265</v>
      </c>
      <c r="J42" s="41">
        <v>0</v>
      </c>
      <c r="K42" s="41">
        <v>152</v>
      </c>
      <c r="L42" s="41"/>
      <c r="M42" s="42">
        <v>25</v>
      </c>
      <c r="N42" s="42">
        <v>59.53</v>
      </c>
      <c r="O42" s="43">
        <v>0</v>
      </c>
      <c r="P42" s="44">
        <v>0</v>
      </c>
      <c r="Q42" s="44">
        <v>8.5265128291211997E-14</v>
      </c>
      <c r="R42" s="45">
        <v>16.43</v>
      </c>
      <c r="S42" s="46">
        <v>0</v>
      </c>
      <c r="T42" s="39">
        <f t="shared" si="19"/>
        <v>14</v>
      </c>
      <c r="U42" s="47">
        <f t="shared" si="20"/>
        <v>0</v>
      </c>
      <c r="V42" s="48">
        <f t="shared" si="21"/>
        <v>34.53</v>
      </c>
      <c r="W42" s="49">
        <f t="shared" si="22"/>
        <v>0</v>
      </c>
      <c r="X42" s="44">
        <f t="shared" si="23"/>
        <v>0</v>
      </c>
      <c r="Y42" s="44">
        <f t="shared" si="24"/>
        <v>8.5265128291211997E-14</v>
      </c>
      <c r="Z42" s="44">
        <f t="shared" si="25"/>
        <v>0</v>
      </c>
      <c r="AA42" s="50">
        <f t="shared" si="26"/>
        <v>8.5265128291211997E-14</v>
      </c>
      <c r="AB42" s="51">
        <f t="shared" si="27"/>
        <v>0</v>
      </c>
      <c r="AC42" s="44">
        <f t="shared" si="28"/>
        <v>7.9709384211659338E-14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1.0169996824506593</v>
      </c>
      <c r="AG42" s="44">
        <f t="shared" si="31"/>
        <v>0</v>
      </c>
      <c r="AH42" s="52">
        <f>HLOOKUP(I42,ElecAvoidedCostsWOCC!$A$5:$Q$50,T42+1,FALSE)</f>
        <v>1.0169996824506593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  <c r="AQ42">
        <v>2020</v>
      </c>
    </row>
    <row r="43" spans="2:43">
      <c r="B43" s="97" t="s">
        <v>15</v>
      </c>
      <c r="C43" s="61">
        <v>18230434</v>
      </c>
      <c r="D43" s="61" t="s">
        <v>51</v>
      </c>
      <c r="E43" s="38" t="s">
        <v>1905</v>
      </c>
      <c r="F43" s="39" t="s">
        <v>1904</v>
      </c>
      <c r="G43" s="39">
        <v>14</v>
      </c>
      <c r="H43" s="39"/>
      <c r="I43" s="40" t="s">
        <v>265</v>
      </c>
      <c r="J43" s="41">
        <v>0</v>
      </c>
      <c r="K43" s="41">
        <v>152</v>
      </c>
      <c r="L43" s="41"/>
      <c r="M43" s="42">
        <v>50</v>
      </c>
      <c r="N43" s="42">
        <v>59.53</v>
      </c>
      <c r="O43" s="43">
        <v>0</v>
      </c>
      <c r="P43" s="44">
        <v>1300</v>
      </c>
      <c r="Q43" s="44">
        <v>8.5265128291211997E-14</v>
      </c>
      <c r="R43" s="45">
        <v>16.43</v>
      </c>
      <c r="S43" s="46">
        <v>0</v>
      </c>
      <c r="T43" s="39">
        <f t="shared" si="19"/>
        <v>14</v>
      </c>
      <c r="U43" s="47">
        <f t="shared" si="20"/>
        <v>0</v>
      </c>
      <c r="V43" s="48">
        <f t="shared" si="21"/>
        <v>9.5300000000000011</v>
      </c>
      <c r="W43" s="49">
        <f t="shared" si="22"/>
        <v>0</v>
      </c>
      <c r="X43" s="44">
        <f t="shared" si="23"/>
        <v>0</v>
      </c>
      <c r="Y43" s="44">
        <f t="shared" si="24"/>
        <v>-1300</v>
      </c>
      <c r="Z43" s="44">
        <f t="shared" si="25"/>
        <v>0</v>
      </c>
      <c r="AA43" s="50">
        <f t="shared" si="26"/>
        <v>8.5265128291211997E-14</v>
      </c>
      <c r="AB43" s="51">
        <f t="shared" si="27"/>
        <v>0</v>
      </c>
      <c r="AC43" s="44">
        <f t="shared" si="28"/>
        <v>7.9709384211659338E-14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1.0169996824506593</v>
      </c>
      <c r="AG43" s="44">
        <f t="shared" si="31"/>
        <v>0</v>
      </c>
      <c r="AH43" s="52">
        <f>HLOOKUP(I43,ElecAvoidedCostsWOCC!$A$5:$Q$50,T43+1,FALSE)</f>
        <v>1.0169996824506593</v>
      </c>
      <c r="AI43" s="44">
        <f t="shared" si="32"/>
        <v>0</v>
      </c>
      <c r="AJ43" s="44">
        <f t="shared" si="33"/>
        <v>0</v>
      </c>
      <c r="AK43" s="44">
        <f>HLOOKUP(I43,ElecAvoidedCostsWOCC!$A$5:$Q$50,G43+1,FALSE)*J43*L43</f>
        <v>0</v>
      </c>
      <c r="AL43" s="44">
        <f t="shared" si="34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  <c r="AQ43">
        <v>2020</v>
      </c>
    </row>
    <row r="44" spans="2:43">
      <c r="B44" s="97" t="s">
        <v>15</v>
      </c>
      <c r="C44" s="61">
        <v>18230434</v>
      </c>
      <c r="D44" s="61" t="s">
        <v>51</v>
      </c>
      <c r="E44" s="38" t="s">
        <v>1906</v>
      </c>
      <c r="F44" s="39" t="s">
        <v>1907</v>
      </c>
      <c r="G44" s="39">
        <v>14</v>
      </c>
      <c r="H44" s="39"/>
      <c r="I44" s="40" t="s">
        <v>265</v>
      </c>
      <c r="J44" s="41">
        <v>0</v>
      </c>
      <c r="K44" s="41">
        <v>152</v>
      </c>
      <c r="L44" s="41"/>
      <c r="M44" s="42">
        <v>25</v>
      </c>
      <c r="N44" s="42">
        <v>59.53</v>
      </c>
      <c r="O44" s="43">
        <v>0</v>
      </c>
      <c r="P44" s="44">
        <v>0</v>
      </c>
      <c r="Q44" s="44">
        <v>8.5265128291211997E-14</v>
      </c>
      <c r="R44" s="45">
        <v>16.43</v>
      </c>
      <c r="S44" s="46">
        <v>0</v>
      </c>
      <c r="T44" s="39">
        <f t="shared" si="19"/>
        <v>14</v>
      </c>
      <c r="U44" s="47">
        <f t="shared" si="20"/>
        <v>0</v>
      </c>
      <c r="V44" s="48">
        <f t="shared" si="21"/>
        <v>34.53</v>
      </c>
      <c r="W44" s="49">
        <f t="shared" si="22"/>
        <v>0</v>
      </c>
      <c r="X44" s="44">
        <f t="shared" si="23"/>
        <v>0</v>
      </c>
      <c r="Y44" s="44">
        <f t="shared" si="24"/>
        <v>8.5265128291211997E-14</v>
      </c>
      <c r="Z44" s="44">
        <f t="shared" si="25"/>
        <v>0</v>
      </c>
      <c r="AA44" s="50">
        <f t="shared" si="26"/>
        <v>8.5265128291211997E-14</v>
      </c>
      <c r="AB44" s="51">
        <f t="shared" si="27"/>
        <v>0</v>
      </c>
      <c r="AC44" s="44">
        <f t="shared" si="28"/>
        <v>7.9709384211659338E-14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1.0169996824506593</v>
      </c>
      <c r="AG44" s="44">
        <f t="shared" si="31"/>
        <v>0</v>
      </c>
      <c r="AH44" s="52">
        <f>HLOOKUP(I44,ElecAvoidedCostsWOCC!$A$5:$Q$50,T44+1,FALSE)</f>
        <v>1.0169996824506593</v>
      </c>
      <c r="AI44" s="44">
        <f t="shared" si="32"/>
        <v>0</v>
      </c>
      <c r="AJ44" s="44">
        <f t="shared" si="33"/>
        <v>0</v>
      </c>
      <c r="AK44" s="44">
        <f>HLOOKUP(I44,ElecAvoidedCostsWOCC!$A$5:$Q$50,G44+1,FALSE)*J44*L44</f>
        <v>0</v>
      </c>
      <c r="AL44" s="44">
        <f t="shared" si="34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>
        <f t="shared" si="37"/>
        <v>0</v>
      </c>
      <c r="AQ44">
        <v>2020</v>
      </c>
    </row>
    <row r="45" spans="2:43">
      <c r="B45" s="97" t="s">
        <v>15</v>
      </c>
      <c r="C45" s="61">
        <v>18230434</v>
      </c>
      <c r="D45" s="61" t="s">
        <v>51</v>
      </c>
      <c r="E45" s="38" t="s">
        <v>1908</v>
      </c>
      <c r="F45" s="39" t="s">
        <v>1907</v>
      </c>
      <c r="G45" s="39">
        <v>14</v>
      </c>
      <c r="H45" s="39"/>
      <c r="I45" s="40" t="s">
        <v>265</v>
      </c>
      <c r="J45" s="41">
        <v>0</v>
      </c>
      <c r="K45" s="41">
        <v>152</v>
      </c>
      <c r="L45" s="41"/>
      <c r="M45" s="42">
        <v>50</v>
      </c>
      <c r="N45" s="42">
        <v>59.53</v>
      </c>
      <c r="O45" s="43">
        <v>0</v>
      </c>
      <c r="P45" s="44">
        <v>1025</v>
      </c>
      <c r="Q45" s="44">
        <v>8.5265128291211997E-14</v>
      </c>
      <c r="R45" s="45">
        <v>16.43</v>
      </c>
      <c r="S45" s="46">
        <v>0</v>
      </c>
      <c r="T45" s="39">
        <f t="shared" si="19"/>
        <v>14</v>
      </c>
      <c r="U45" s="47">
        <f t="shared" si="20"/>
        <v>0</v>
      </c>
      <c r="V45" s="48">
        <f t="shared" si="21"/>
        <v>9.5300000000000011</v>
      </c>
      <c r="W45" s="49">
        <f t="shared" si="22"/>
        <v>0</v>
      </c>
      <c r="X45" s="44">
        <f t="shared" si="23"/>
        <v>0</v>
      </c>
      <c r="Y45" s="44">
        <f t="shared" si="24"/>
        <v>-1025</v>
      </c>
      <c r="Z45" s="44">
        <f t="shared" si="25"/>
        <v>0</v>
      </c>
      <c r="AA45" s="50">
        <f t="shared" si="26"/>
        <v>8.5265128291211997E-14</v>
      </c>
      <c r="AB45" s="51">
        <f t="shared" si="27"/>
        <v>0</v>
      </c>
      <c r="AC45" s="44">
        <f t="shared" si="28"/>
        <v>7.9709384211659338E-14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1.0169996824506593</v>
      </c>
      <c r="AG45" s="44">
        <f t="shared" si="31"/>
        <v>0</v>
      </c>
      <c r="AH45" s="52">
        <f>HLOOKUP(I45,ElecAvoidedCostsWOCC!$A$5:$Q$50,T45+1,FALSE)</f>
        <v>1.0169996824506593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15</v>
      </c>
      <c r="C46" s="61">
        <v>18230434</v>
      </c>
      <c r="D46" s="61" t="s">
        <v>51</v>
      </c>
      <c r="E46" s="38" t="s">
        <v>1860</v>
      </c>
      <c r="F46" s="39" t="s">
        <v>1861</v>
      </c>
      <c r="G46" s="39">
        <v>12</v>
      </c>
      <c r="H46" s="39"/>
      <c r="I46" s="40" t="s">
        <v>248</v>
      </c>
      <c r="J46" s="41">
        <v>1870</v>
      </c>
      <c r="K46" s="41">
        <v>11.32</v>
      </c>
      <c r="L46" s="41"/>
      <c r="M46" s="42">
        <v>2</v>
      </c>
      <c r="N46" s="42">
        <v>2</v>
      </c>
      <c r="O46" s="43">
        <v>21168.3999999997</v>
      </c>
      <c r="P46" s="44">
        <v>7049.8999999999696</v>
      </c>
      <c r="Q46" s="44">
        <v>3740</v>
      </c>
      <c r="R46" s="45">
        <v>0</v>
      </c>
      <c r="S46" s="46">
        <v>0</v>
      </c>
      <c r="T46" s="39">
        <f t="shared" si="19"/>
        <v>12</v>
      </c>
      <c r="U46" s="47">
        <f t="shared" si="20"/>
        <v>8.3499438686470598E-2</v>
      </c>
      <c r="V46" s="48">
        <f t="shared" si="21"/>
        <v>0</v>
      </c>
      <c r="W46" s="49">
        <f t="shared" si="22"/>
        <v>6.9582865572058832E-3</v>
      </c>
      <c r="X46" s="44">
        <f t="shared" si="23"/>
        <v>3828.8217408540845</v>
      </c>
      <c r="Y46" s="44">
        <f t="shared" si="24"/>
        <v>-3309.8999999999696</v>
      </c>
      <c r="Z46" s="44">
        <f t="shared" si="25"/>
        <v>14762.368501584895</v>
      </c>
      <c r="AA46" s="50">
        <f t="shared" si="26"/>
        <v>7568.8217408540841</v>
      </c>
      <c r="AB46" s="51">
        <f t="shared" si="27"/>
        <v>13800.475368406931</v>
      </c>
      <c r="AC46" s="44">
        <f t="shared" si="28"/>
        <v>7075.6490051921883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0.91115730059915656</v>
      </c>
      <c r="AG46" s="44">
        <f t="shared" si="31"/>
        <v>19287.742202003185</v>
      </c>
      <c r="AH46" s="52">
        <f>HLOOKUP(I46,ElecAvoidedCostsWOCC!$A$5:$Q$50,T46+1,FALSE)</f>
        <v>0.91115730059915656</v>
      </c>
      <c r="AI46" s="44">
        <f t="shared" si="32"/>
        <v>0</v>
      </c>
      <c r="AJ46" s="44">
        <f t="shared" si="33"/>
        <v>19287.742202003185</v>
      </c>
      <c r="AK46" s="44">
        <f>HLOOKUP(I46,ElecAvoidedCostsWOCC!$A$5:$Q$50,G46+1,FALSE)*J46*L46</f>
        <v>0</v>
      </c>
      <c r="AL46" s="44">
        <f t="shared" si="34"/>
        <v>19287.742202003185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19287.742202003185</v>
      </c>
      <c r="AN46" s="48">
        <f t="shared" si="35"/>
        <v>21216.516422203505</v>
      </c>
      <c r="AO46" s="47">
        <f t="shared" si="36"/>
        <v>1.3976143348045902</v>
      </c>
      <c r="AP46" s="47">
        <f t="shared" si="37"/>
        <v>2.9985258464113462</v>
      </c>
      <c r="AQ46">
        <v>2020</v>
      </c>
    </row>
    <row r="47" spans="2:43">
      <c r="B47" s="97" t="s">
        <v>15</v>
      </c>
      <c r="C47" s="61">
        <v>18230434</v>
      </c>
      <c r="D47" s="61" t="s">
        <v>51</v>
      </c>
      <c r="E47" s="38" t="s">
        <v>1873</v>
      </c>
      <c r="F47" s="39" t="s">
        <v>1874</v>
      </c>
      <c r="G47" s="39">
        <v>10</v>
      </c>
      <c r="H47" s="39"/>
      <c r="I47" s="40" t="s">
        <v>265</v>
      </c>
      <c r="J47" s="41">
        <v>1102</v>
      </c>
      <c r="K47" s="41">
        <v>10</v>
      </c>
      <c r="L47" s="41"/>
      <c r="M47" s="42">
        <v>1.27</v>
      </c>
      <c r="N47" s="42">
        <v>1.27</v>
      </c>
      <c r="O47" s="43">
        <v>11020</v>
      </c>
      <c r="P47" s="44">
        <v>1102</v>
      </c>
      <c r="Q47" s="44">
        <v>1399.53999999999</v>
      </c>
      <c r="R47" s="45">
        <v>2.74</v>
      </c>
      <c r="S47" s="46">
        <v>0</v>
      </c>
      <c r="T47" s="39">
        <f t="shared" si="19"/>
        <v>10</v>
      </c>
      <c r="U47" s="47">
        <f t="shared" si="20"/>
        <v>3.6223955452660536E-2</v>
      </c>
      <c r="V47" s="48">
        <f t="shared" si="21"/>
        <v>0</v>
      </c>
      <c r="W47" s="49">
        <f t="shared" si="22"/>
        <v>3.6223955452660533E-3</v>
      </c>
      <c r="X47" s="44">
        <f t="shared" si="23"/>
        <v>1993.2359358389208</v>
      </c>
      <c r="Y47" s="44">
        <f t="shared" si="24"/>
        <v>297.53999999998996</v>
      </c>
      <c r="Z47" s="44">
        <f t="shared" si="25"/>
        <v>7685.1014194491727</v>
      </c>
      <c r="AA47" s="50">
        <f t="shared" si="26"/>
        <v>3392.7759358389108</v>
      </c>
      <c r="AB47" s="51">
        <f t="shared" si="27"/>
        <v>7184.3520795074992</v>
      </c>
      <c r="AC47" s="44">
        <f t="shared" si="28"/>
        <v>3171.7078955210904</v>
      </c>
      <c r="AD47" s="44">
        <f t="shared" si="29"/>
        <v>21237.004819988408</v>
      </c>
      <c r="AE47" s="44">
        <f t="shared" si="30"/>
        <v>0</v>
      </c>
      <c r="AF47" s="52">
        <f>HLOOKUP(I47,ElecAvoidedCostsWOCC!$A$5:$Q$50,G47+1,FALSE)</f>
        <v>0.74487332198138856</v>
      </c>
      <c r="AG47" s="44">
        <f t="shared" si="31"/>
        <v>8208.5040082349024</v>
      </c>
      <c r="AH47" s="52">
        <f>HLOOKUP(I47,ElecAvoidedCostsWOCC!$A$5:$Q$50,T47+1,FALSE)</f>
        <v>0.74487332198138856</v>
      </c>
      <c r="AI47" s="44">
        <f t="shared" si="32"/>
        <v>0</v>
      </c>
      <c r="AJ47" s="44">
        <f t="shared" si="33"/>
        <v>8208.5040082349024</v>
      </c>
      <c r="AK47" s="44">
        <f>HLOOKUP(I47,ElecAvoidedCostsWOCC!$A$5:$Q$50,G47+1,FALSE)*J47*L47</f>
        <v>0</v>
      </c>
      <c r="AL47" s="44">
        <f t="shared" si="34"/>
        <v>8208.5040082349024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8208.5040082349005</v>
      </c>
      <c r="AN47" s="48">
        <f t="shared" si="35"/>
        <v>30266.3592290468</v>
      </c>
      <c r="AO47" s="47">
        <f t="shared" si="36"/>
        <v>1.1425531373453526</v>
      </c>
      <c r="AP47" s="47">
        <f t="shared" si="37"/>
        <v>9.5426061371500417</v>
      </c>
      <c r="AQ47">
        <v>2020</v>
      </c>
    </row>
    <row r="48" spans="2:43">
      <c r="B48" s="97" t="s">
        <v>15</v>
      </c>
      <c r="C48" s="61">
        <v>18230434</v>
      </c>
      <c r="D48" s="61" t="s">
        <v>51</v>
      </c>
      <c r="E48" s="38" t="s">
        <v>1875</v>
      </c>
      <c r="F48" s="39" t="s">
        <v>1876</v>
      </c>
      <c r="G48" s="39">
        <v>10</v>
      </c>
      <c r="H48" s="39"/>
      <c r="I48" s="40" t="s">
        <v>265</v>
      </c>
      <c r="J48" s="41">
        <v>768</v>
      </c>
      <c r="K48" s="41">
        <v>12</v>
      </c>
      <c r="L48" s="41"/>
      <c r="M48" s="42">
        <v>1.81</v>
      </c>
      <c r="N48" s="42">
        <v>1.81</v>
      </c>
      <c r="O48" s="43">
        <v>9216</v>
      </c>
      <c r="P48" s="44">
        <v>768</v>
      </c>
      <c r="Q48" s="44">
        <v>1390.0799999999899</v>
      </c>
      <c r="R48" s="45">
        <v>2.74</v>
      </c>
      <c r="S48" s="46">
        <v>0</v>
      </c>
      <c r="T48" s="39">
        <f t="shared" si="19"/>
        <v>10</v>
      </c>
      <c r="U48" s="47">
        <f t="shared" si="20"/>
        <v>3.0294008480192328E-2</v>
      </c>
      <c r="V48" s="48">
        <f t="shared" si="21"/>
        <v>0</v>
      </c>
      <c r="W48" s="49">
        <f t="shared" si="22"/>
        <v>3.0294008480192328E-3</v>
      </c>
      <c r="X48" s="44">
        <f t="shared" si="23"/>
        <v>1666.9385104075764</v>
      </c>
      <c r="Y48" s="44">
        <f t="shared" si="24"/>
        <v>622.07999999998992</v>
      </c>
      <c r="Z48" s="44">
        <f t="shared" si="25"/>
        <v>6427.0321852671113</v>
      </c>
      <c r="AA48" s="50">
        <f t="shared" si="26"/>
        <v>3057.0185104075663</v>
      </c>
      <c r="AB48" s="51">
        <f t="shared" si="27"/>
        <v>6008.2566937151641</v>
      </c>
      <c r="AC48" s="44">
        <f t="shared" si="28"/>
        <v>2857.8279054011086</v>
      </c>
      <c r="AD48" s="44">
        <f t="shared" si="29"/>
        <v>14800.380854583575</v>
      </c>
      <c r="AE48" s="44">
        <f t="shared" si="30"/>
        <v>0</v>
      </c>
      <c r="AF48" s="52">
        <f>HLOOKUP(I48,ElecAvoidedCostsWOCC!$A$5:$Q$50,G48+1,FALSE)</f>
        <v>0.74487332198138856</v>
      </c>
      <c r="AG48" s="44">
        <f t="shared" si="31"/>
        <v>6864.7525353804776</v>
      </c>
      <c r="AH48" s="52">
        <f>HLOOKUP(I48,ElecAvoidedCostsWOCC!$A$5:$Q$50,T48+1,FALSE)</f>
        <v>0.74487332198138856</v>
      </c>
      <c r="AI48" s="44">
        <f t="shared" si="32"/>
        <v>0</v>
      </c>
      <c r="AJ48" s="44">
        <f t="shared" si="33"/>
        <v>6864.7525353804776</v>
      </c>
      <c r="AK48" s="44">
        <f>HLOOKUP(I48,ElecAvoidedCostsWOCC!$A$5:$Q$50,G48+1,FALSE)*J48*L48</f>
        <v>0</v>
      </c>
      <c r="AL48" s="44">
        <f t="shared" si="34"/>
        <v>6864.7525353804776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6864.7525353804776</v>
      </c>
      <c r="AN48" s="48">
        <f t="shared" si="35"/>
        <v>22351.608643502099</v>
      </c>
      <c r="AO48" s="47">
        <f t="shared" si="36"/>
        <v>1.1425531373453528</v>
      </c>
      <c r="AP48" s="47">
        <f t="shared" si="37"/>
        <v>7.8211877633565736</v>
      </c>
      <c r="AQ48">
        <v>2020</v>
      </c>
    </row>
    <row r="49" spans="2:43">
      <c r="B49" s="97" t="s">
        <v>15</v>
      </c>
      <c r="C49" s="61">
        <v>18230434</v>
      </c>
      <c r="D49" s="61" t="s">
        <v>51</v>
      </c>
      <c r="E49" s="38" t="s">
        <v>614</v>
      </c>
      <c r="F49" s="39" t="s">
        <v>615</v>
      </c>
      <c r="G49" s="39">
        <v>14</v>
      </c>
      <c r="H49" s="39"/>
      <c r="I49" s="40" t="s">
        <v>265</v>
      </c>
      <c r="J49" s="41">
        <v>411</v>
      </c>
      <c r="K49" s="41">
        <v>142</v>
      </c>
      <c r="L49" s="41"/>
      <c r="M49" s="42">
        <v>25</v>
      </c>
      <c r="N49" s="42">
        <v>65.56</v>
      </c>
      <c r="O49" s="43">
        <v>58362</v>
      </c>
      <c r="P49" s="44">
        <v>10275</v>
      </c>
      <c r="Q49" s="44">
        <v>26945.1600000002</v>
      </c>
      <c r="R49" s="45">
        <v>17.059999999999999</v>
      </c>
      <c r="S49" s="46">
        <v>0</v>
      </c>
      <c r="T49" s="39">
        <f t="shared" si="19"/>
        <v>14</v>
      </c>
      <c r="U49" s="47">
        <f t="shared" si="20"/>
        <v>0.26857926346455935</v>
      </c>
      <c r="V49" s="48">
        <f t="shared" si="21"/>
        <v>40.56</v>
      </c>
      <c r="W49" s="49">
        <f t="shared" si="22"/>
        <v>1.9184233104611381E-2</v>
      </c>
      <c r="X49" s="44">
        <f t="shared" si="23"/>
        <v>10556.191986155272</v>
      </c>
      <c r="Y49" s="44">
        <f t="shared" si="24"/>
        <v>16670.1600000002</v>
      </c>
      <c r="Z49" s="44">
        <f t="shared" si="25"/>
        <v>40700.35290761276</v>
      </c>
      <c r="AA49" s="50">
        <f t="shared" si="26"/>
        <v>37501.351986155474</v>
      </c>
      <c r="AB49" s="51">
        <f t="shared" si="27"/>
        <v>38048.380768077739</v>
      </c>
      <c r="AC49" s="44">
        <f t="shared" si="28"/>
        <v>35057.821806259206</v>
      </c>
      <c r="AD49" s="44">
        <f t="shared" si="29"/>
        <v>61430.720558746551</v>
      </c>
      <c r="AE49" s="44">
        <f t="shared" si="30"/>
        <v>0</v>
      </c>
      <c r="AF49" s="52">
        <f>HLOOKUP(I49,ElecAvoidedCostsWOCC!$A$5:$Q$50,G49+1,FALSE)</f>
        <v>1.0169996824506593</v>
      </c>
      <c r="AG49" s="44">
        <f t="shared" si="31"/>
        <v>59354.135467185377</v>
      </c>
      <c r="AH49" s="52">
        <f>HLOOKUP(I49,ElecAvoidedCostsWOCC!$A$5:$Q$50,T49+1,FALSE)</f>
        <v>1.0169996824506593</v>
      </c>
      <c r="AI49" s="44">
        <f t="shared" si="32"/>
        <v>0</v>
      </c>
      <c r="AJ49" s="44">
        <f t="shared" si="33"/>
        <v>59354.135467185377</v>
      </c>
      <c r="AK49" s="44">
        <f>HLOOKUP(I49,ElecAvoidedCostsWOCC!$A$5:$Q$50,G49+1,FALSE)*J49*L49</f>
        <v>0</v>
      </c>
      <c r="AL49" s="44">
        <f t="shared" si="34"/>
        <v>59354.135467185377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59354.135467185384</v>
      </c>
      <c r="AN49" s="48">
        <f t="shared" si="35"/>
        <v>126720.26957265048</v>
      </c>
      <c r="AO49" s="47">
        <f t="shared" si="36"/>
        <v>1.559964820289619</v>
      </c>
      <c r="AP49" s="47">
        <f t="shared" si="37"/>
        <v>3.6146076123310635</v>
      </c>
      <c r="AQ49">
        <v>2020</v>
      </c>
    </row>
    <row r="50" spans="2:43">
      <c r="B50" s="97" t="s">
        <v>15</v>
      </c>
      <c r="C50" s="61">
        <v>18230434</v>
      </c>
      <c r="D50" s="61" t="s">
        <v>51</v>
      </c>
      <c r="E50" s="38" t="s">
        <v>616</v>
      </c>
      <c r="F50" s="39" t="s">
        <v>615</v>
      </c>
      <c r="G50" s="39">
        <v>14</v>
      </c>
      <c r="H50" s="39"/>
      <c r="I50" s="40" t="s">
        <v>265</v>
      </c>
      <c r="J50" s="41">
        <v>1775</v>
      </c>
      <c r="K50" s="41">
        <v>142</v>
      </c>
      <c r="L50" s="41"/>
      <c r="M50" s="42">
        <v>50</v>
      </c>
      <c r="N50" s="42">
        <v>65.56</v>
      </c>
      <c r="O50" s="43">
        <v>252050</v>
      </c>
      <c r="P50" s="44">
        <v>91775</v>
      </c>
      <c r="Q50" s="44">
        <v>116362.969999997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1.159922609853024</v>
      </c>
      <c r="V50" s="48">
        <f t="shared" si="21"/>
        <v>15.560000000000002</v>
      </c>
      <c r="W50" s="49">
        <f t="shared" si="22"/>
        <v>8.2851614989501707E-2</v>
      </c>
      <c r="X50" s="44">
        <f t="shared" si="23"/>
        <v>45589.393614174231</v>
      </c>
      <c r="Y50" s="44">
        <f t="shared" si="24"/>
        <v>24587.969999997003</v>
      </c>
      <c r="Z50" s="44">
        <f t="shared" si="25"/>
        <v>175774.03019711107</v>
      </c>
      <c r="AA50" s="50">
        <f t="shared" si="26"/>
        <v>161952.36361417122</v>
      </c>
      <c r="AB50" s="51">
        <f t="shared" si="27"/>
        <v>164320.86584753767</v>
      </c>
      <c r="AC50" s="44">
        <f t="shared" si="28"/>
        <v>151399.79771353764</v>
      </c>
      <c r="AD50" s="44">
        <f t="shared" si="29"/>
        <v>265302.99024762807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256334.7699616887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256334.7699616887</v>
      </c>
      <c r="AK50" s="44">
        <f>HLOOKUP(I50,ElecAvoidedCostsWOCC!$A$5:$Q$50,G50+1,FALSE)*J50*L50</f>
        <v>0</v>
      </c>
      <c r="AL50" s="44">
        <f t="shared" si="34"/>
        <v>256334.7699616887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256334.7699616887</v>
      </c>
      <c r="AN50" s="48">
        <f t="shared" si="35"/>
        <v>547271.23720548558</v>
      </c>
      <c r="AO50" s="47">
        <f t="shared" si="36"/>
        <v>1.559964820289619</v>
      </c>
      <c r="AP50" s="47">
        <f t="shared" si="37"/>
        <v>3.6147421956333994</v>
      </c>
      <c r="AQ50">
        <v>2020</v>
      </c>
    </row>
    <row r="51" spans="2:43">
      <c r="B51" s="97" t="s">
        <v>15</v>
      </c>
      <c r="C51" s="61">
        <v>18230434</v>
      </c>
      <c r="D51" s="61" t="s">
        <v>51</v>
      </c>
      <c r="E51" s="38" t="s">
        <v>1909</v>
      </c>
      <c r="F51" s="39" t="s">
        <v>618</v>
      </c>
      <c r="G51" s="39">
        <v>14</v>
      </c>
      <c r="H51" s="39"/>
      <c r="I51" s="40" t="s">
        <v>265</v>
      </c>
      <c r="J51" s="41">
        <v>286</v>
      </c>
      <c r="K51" s="41">
        <v>142</v>
      </c>
      <c r="L51" s="41"/>
      <c r="M51" s="42">
        <v>25</v>
      </c>
      <c r="N51" s="42">
        <v>65.56</v>
      </c>
      <c r="O51" s="43">
        <v>40612</v>
      </c>
      <c r="P51" s="44">
        <v>7150</v>
      </c>
      <c r="Q51" s="44">
        <v>18750.16</v>
      </c>
      <c r="R51" s="45">
        <v>17.059999999999999</v>
      </c>
      <c r="S51" s="46">
        <v>0</v>
      </c>
      <c r="T51" s="39">
        <f t="shared" ref="T51:T57" si="38">G51+H51</f>
        <v>14</v>
      </c>
      <c r="U51" s="47">
        <f t="shared" ref="U51:U57" si="39">(O51/$A$10)*T51</f>
        <v>0.18689457262983933</v>
      </c>
      <c r="V51" s="48">
        <f t="shared" ref="V51:V57" si="40">N51-M51</f>
        <v>40.56</v>
      </c>
      <c r="W51" s="49">
        <f t="shared" ref="W51:W57" si="41">(O51/A$10)</f>
        <v>1.3349612330702809E-2</v>
      </c>
      <c r="X51" s="44">
        <f t="shared" ref="X51:X57" si="42">W51*A$8</f>
        <v>7345.6713091007487</v>
      </c>
      <c r="Y51" s="44">
        <f t="shared" ref="Y51:Y57" si="43">Q51-P51</f>
        <v>11600.16</v>
      </c>
      <c r="Z51" s="44">
        <f t="shared" ref="Z51:Z57" si="44">X51+(A$6*W51)</f>
        <v>28321.900076830287</v>
      </c>
      <c r="AA51" s="50">
        <f t="shared" ref="AA51:AA57" si="45">Q51+X51</f>
        <v>26095.831309100748</v>
      </c>
      <c r="AB51" s="51">
        <f t="shared" ref="AB51:AB57" si="46">Z51/(1+ElecDiscountRate)^1</f>
        <v>26476.488806983532</v>
      </c>
      <c r="AC51" s="44">
        <f t="shared" ref="AC51:AC57" si="47">AA51/(1+ElecDiscountRate)^1</f>
        <v>24395.467242311624</v>
      </c>
      <c r="AD51" s="44">
        <f t="shared" ref="AD51:AD57" si="48">-PV(ElecDiscountRate,T51,R51)*J51</f>
        <v>42747.411386378379</v>
      </c>
      <c r="AE51" s="44">
        <f t="shared" ref="AE51:AE57" si="49">-PV(ElecDiscountRate,T51,S51)*J51</f>
        <v>0</v>
      </c>
      <c r="AF51" s="52">
        <f>HLOOKUP(I51,ElecAvoidedCostsWOCC!$A$5:$Q$50,G51+1,FALSE)</f>
        <v>1.0169996824506593</v>
      </c>
      <c r="AG51" s="44">
        <f t="shared" ref="AG51:AG57" si="50">AF51*J51*K51</f>
        <v>41302.391103686175</v>
      </c>
      <c r="AH51" s="52">
        <f>HLOOKUP(I51,ElecAvoidedCostsWOCC!$A$5:$Q$50,T51+1,FALSE)</f>
        <v>1.0169996824506593</v>
      </c>
      <c r="AI51" s="44">
        <f t="shared" ref="AI51:AI57" si="51">AH51*J51*L51</f>
        <v>0</v>
      </c>
      <c r="AJ51" s="44">
        <f t="shared" ref="AJ51:AJ57" si="52">AG51+AI51</f>
        <v>41302.391103686175</v>
      </c>
      <c r="AK51" s="44">
        <f>HLOOKUP(I51,ElecAvoidedCostsWOCC!$A$5:$Q$50,G51+1,FALSE)*J51*L51</f>
        <v>0</v>
      </c>
      <c r="AL51" s="44">
        <f t="shared" ref="AL51:AL57" si="53">AG51+AI51-AK51</f>
        <v>41302.391103686175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41302.391103686175</v>
      </c>
      <c r="AN51" s="48">
        <f t="shared" ref="AN51:AN57" si="54">AM51*1.1+AD51+AE51</f>
        <v>88180.041600433178</v>
      </c>
      <c r="AO51" s="47">
        <f t="shared" ref="AO51:AO57" si="55">IFERROR(AM51/AB51,0)</f>
        <v>1.559964820289619</v>
      </c>
      <c r="AP51" s="47">
        <f t="shared" ref="AP51:AP57" si="56">AN51/AC51</f>
        <v>3.6146076123310835</v>
      </c>
      <c r="AQ51">
        <v>2020</v>
      </c>
    </row>
    <row r="52" spans="2:43">
      <c r="B52" s="97" t="s">
        <v>15</v>
      </c>
      <c r="C52" s="61">
        <v>18230434</v>
      </c>
      <c r="D52" s="61" t="s">
        <v>51</v>
      </c>
      <c r="E52" s="38" t="s">
        <v>617</v>
      </c>
      <c r="F52" s="39" t="s">
        <v>618</v>
      </c>
      <c r="G52" s="39">
        <v>14</v>
      </c>
      <c r="H52" s="39"/>
      <c r="I52" s="40" t="s">
        <v>265</v>
      </c>
      <c r="J52" s="41">
        <v>1378</v>
      </c>
      <c r="K52" s="41">
        <v>142</v>
      </c>
      <c r="L52" s="41"/>
      <c r="M52" s="42">
        <v>50</v>
      </c>
      <c r="N52" s="42">
        <v>65.56</v>
      </c>
      <c r="O52" s="43">
        <v>195676</v>
      </c>
      <c r="P52" s="44">
        <v>70575</v>
      </c>
      <c r="Q52" s="44">
        <v>90341.679999998203</v>
      </c>
      <c r="R52" s="45">
        <v>17.059999999999999</v>
      </c>
      <c r="S52" s="46">
        <v>0</v>
      </c>
      <c r="T52" s="39">
        <f t="shared" si="38"/>
        <v>14</v>
      </c>
      <c r="U52" s="47">
        <f t="shared" si="39"/>
        <v>0.90049203176195314</v>
      </c>
      <c r="V52" s="48">
        <f t="shared" si="40"/>
        <v>15.560000000000002</v>
      </c>
      <c r="W52" s="49">
        <f t="shared" si="41"/>
        <v>6.4320859411568079E-2</v>
      </c>
      <c r="X52" s="44">
        <f t="shared" si="42"/>
        <v>35392.779943849062</v>
      </c>
      <c r="Y52" s="44">
        <f t="shared" si="43"/>
        <v>19766.679999998203</v>
      </c>
      <c r="Z52" s="44">
        <f t="shared" si="44"/>
        <v>136460.06400654593</v>
      </c>
      <c r="AA52" s="50">
        <f t="shared" si="45"/>
        <v>125734.45994384727</v>
      </c>
      <c r="AB52" s="51">
        <f t="shared" si="46"/>
        <v>127568.53697910247</v>
      </c>
      <c r="AC52" s="44">
        <f t="shared" si="47"/>
        <v>117541.79671295434</v>
      </c>
      <c r="AD52" s="44">
        <f t="shared" si="48"/>
        <v>205964.80031618674</v>
      </c>
      <c r="AE52" s="44">
        <f t="shared" si="49"/>
        <v>0</v>
      </c>
      <c r="AF52" s="52">
        <f>HLOOKUP(I52,ElecAvoidedCostsWOCC!$A$5:$Q$50,G52+1,FALSE)</f>
        <v>1.0169996824506593</v>
      </c>
      <c r="AG52" s="44">
        <f t="shared" si="50"/>
        <v>199002.42986321519</v>
      </c>
      <c r="AH52" s="52">
        <f>HLOOKUP(I52,ElecAvoidedCostsWOCC!$A$5:$Q$50,T52+1,FALSE)</f>
        <v>1.0169996824506593</v>
      </c>
      <c r="AI52" s="44">
        <f t="shared" si="51"/>
        <v>0</v>
      </c>
      <c r="AJ52" s="44">
        <f t="shared" si="52"/>
        <v>199002.42986321519</v>
      </c>
      <c r="AK52" s="44">
        <f>HLOOKUP(I52,ElecAvoidedCostsWOCC!$A$5:$Q$50,G52+1,FALSE)*J52*L52</f>
        <v>0</v>
      </c>
      <c r="AL52" s="44">
        <f t="shared" si="53"/>
        <v>199002.42986321519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199002.42986321522</v>
      </c>
      <c r="AN52" s="48">
        <f t="shared" si="54"/>
        <v>424867.4731657235</v>
      </c>
      <c r="AO52" s="47">
        <f t="shared" si="55"/>
        <v>1.5599648202896192</v>
      </c>
      <c r="AP52" s="47">
        <f t="shared" si="56"/>
        <v>3.6146076123311346</v>
      </c>
      <c r="AQ52">
        <v>2020</v>
      </c>
    </row>
    <row r="53" spans="2:43">
      <c r="B53" s="97" t="s">
        <v>15</v>
      </c>
      <c r="C53" s="61">
        <v>18230434</v>
      </c>
      <c r="D53" s="61" t="s">
        <v>51</v>
      </c>
      <c r="E53" s="38" t="s">
        <v>619</v>
      </c>
      <c r="F53" s="39" t="s">
        <v>620</v>
      </c>
      <c r="G53" s="39"/>
      <c r="H53" s="39"/>
      <c r="I53" s="40" t="s">
        <v>265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50</v>
      </c>
      <c r="Q53" s="44">
        <v>0</v>
      </c>
      <c r="R53" s="45">
        <v>0</v>
      </c>
      <c r="S53" s="46">
        <v>0</v>
      </c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-50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str">
        <f>HLOOKUP(I53,ElecAvoidedCostsWOCC!$A$5:$Q$50,G53+1,FALSE)</f>
        <v>Res Water Heat</v>
      </c>
      <c r="AG53" s="44" t="e">
        <f t="shared" si="50"/>
        <v>#VALUE!</v>
      </c>
      <c r="AH53" s="52" t="str">
        <f>HLOOKUP(I53,ElecAvoidedCostsWOCC!$A$5:$Q$50,T53+1,FALSE)</f>
        <v>Res Water Heat</v>
      </c>
      <c r="AI53" s="44" t="e">
        <f t="shared" si="51"/>
        <v>#VALUE!</v>
      </c>
      <c r="AJ53" s="44" t="e">
        <f t="shared" si="52"/>
        <v>#VALUE!</v>
      </c>
      <c r="AK53" s="44" t="e">
        <f>HLOOKUP(I53,ElecAvoidedCostsWOCC!$A$5:$Q$50,G53+1,FALSE)*J53*L53</f>
        <v>#VALUE!</v>
      </c>
      <c r="AL53" s="44" t="e">
        <f t="shared" si="5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  <c r="AQ53">
        <v>2020</v>
      </c>
    </row>
    <row r="54" spans="2:43">
      <c r="B54" s="97" t="s">
        <v>15</v>
      </c>
      <c r="C54" s="61">
        <v>18230434</v>
      </c>
      <c r="D54" s="61" t="s">
        <v>51</v>
      </c>
      <c r="E54" s="38" t="s">
        <v>623</v>
      </c>
      <c r="F54" s="39" t="s">
        <v>624</v>
      </c>
      <c r="G54" s="39">
        <v>12</v>
      </c>
      <c r="H54" s="39"/>
      <c r="I54" s="40" t="s">
        <v>263</v>
      </c>
      <c r="J54" s="41">
        <v>92</v>
      </c>
      <c r="K54" s="41">
        <v>238</v>
      </c>
      <c r="L54" s="41"/>
      <c r="M54" s="42">
        <v>100</v>
      </c>
      <c r="N54" s="42">
        <v>386.45</v>
      </c>
      <c r="O54" s="43">
        <v>21896</v>
      </c>
      <c r="P54" s="44">
        <v>9350</v>
      </c>
      <c r="Q54" s="44">
        <v>35553.4</v>
      </c>
      <c r="R54" s="45">
        <v>3.91</v>
      </c>
      <c r="S54" s="46">
        <v>0</v>
      </c>
      <c r="T54" s="39">
        <f t="shared" si="38"/>
        <v>12</v>
      </c>
      <c r="U54" s="47">
        <f t="shared" si="39"/>
        <v>8.636948042738167E-2</v>
      </c>
      <c r="V54" s="48">
        <f t="shared" si="40"/>
        <v>286.45</v>
      </c>
      <c r="W54" s="49">
        <f t="shared" si="41"/>
        <v>7.1974567022818061E-3</v>
      </c>
      <c r="X54" s="44">
        <f t="shared" si="42"/>
        <v>3960.4259574527232</v>
      </c>
      <c r="Y54" s="44">
        <f t="shared" si="43"/>
        <v>26203.4</v>
      </c>
      <c r="Z54" s="44">
        <f t="shared" si="44"/>
        <v>15269.780461003545</v>
      </c>
      <c r="AA54" s="50">
        <f t="shared" si="45"/>
        <v>39513.825957452726</v>
      </c>
      <c r="AB54" s="51">
        <f t="shared" si="46"/>
        <v>14274.825148175698</v>
      </c>
      <c r="AC54" s="44">
        <f t="shared" si="47"/>
        <v>36939.16608156747</v>
      </c>
      <c r="AD54" s="44">
        <f t="shared" si="48"/>
        <v>2861.7168116136404</v>
      </c>
      <c r="AE54" s="44">
        <f t="shared" si="49"/>
        <v>0</v>
      </c>
      <c r="AF54" s="52">
        <f>HLOOKUP(I54,ElecAvoidedCostsWOCC!$A$5:$Q$50,G54+1,FALSE)</f>
        <v>0.87531038854853971</v>
      </c>
      <c r="AG54" s="44">
        <f t="shared" si="50"/>
        <v>19165.796267658825</v>
      </c>
      <c r="AH54" s="52">
        <f>HLOOKUP(I54,ElecAvoidedCostsWOCC!$A$5:$Q$50,T54+1,FALSE)</f>
        <v>0.87531038854853971</v>
      </c>
      <c r="AI54" s="44">
        <f t="shared" si="51"/>
        <v>0</v>
      </c>
      <c r="AJ54" s="44">
        <f t="shared" si="52"/>
        <v>19165.796267658825</v>
      </c>
      <c r="AK54" s="44">
        <f>HLOOKUP(I54,ElecAvoidedCostsWOCC!$A$5:$Q$50,G54+1,FALSE)*J54*L54</f>
        <v>0</v>
      </c>
      <c r="AL54" s="44">
        <f t="shared" si="53"/>
        <v>19165.796267658825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19165.796267658825</v>
      </c>
      <c r="AN54" s="48">
        <f t="shared" si="54"/>
        <v>23944.092706038351</v>
      </c>
      <c r="AO54" s="47">
        <f t="shared" si="55"/>
        <v>1.3426291438748856</v>
      </c>
      <c r="AP54" s="47">
        <f t="shared" si="56"/>
        <v>0.64820339076323596</v>
      </c>
      <c r="AQ54">
        <v>2020</v>
      </c>
    </row>
    <row r="55" spans="2:43">
      <c r="B55" s="97" t="s">
        <v>15</v>
      </c>
      <c r="C55" s="61">
        <v>18230434</v>
      </c>
      <c r="D55" s="61" t="s">
        <v>51</v>
      </c>
      <c r="E55" s="38" t="s">
        <v>627</v>
      </c>
      <c r="F55" s="39" t="s">
        <v>628</v>
      </c>
      <c r="G55" s="39">
        <v>12</v>
      </c>
      <c r="H55" s="39"/>
      <c r="I55" s="40" t="s">
        <v>263</v>
      </c>
      <c r="J55" s="41">
        <v>2287</v>
      </c>
      <c r="K55" s="41">
        <v>68</v>
      </c>
      <c r="L55" s="41"/>
      <c r="M55" s="42">
        <v>25</v>
      </c>
      <c r="N55" s="42">
        <v>20.440000000000001</v>
      </c>
      <c r="O55" s="43">
        <v>155516</v>
      </c>
      <c r="P55" s="44">
        <v>62525</v>
      </c>
      <c r="Q55" s="44">
        <v>46746.280000000697</v>
      </c>
      <c r="R55" s="45">
        <v>-0.08</v>
      </c>
      <c r="S55" s="46">
        <v>0</v>
      </c>
      <c r="T55" s="39">
        <f t="shared" si="38"/>
        <v>12</v>
      </c>
      <c r="U55" s="47">
        <f t="shared" si="39"/>
        <v>0.61343789359447787</v>
      </c>
      <c r="V55" s="48">
        <f t="shared" si="40"/>
        <v>-4.5599999999999987</v>
      </c>
      <c r="W55" s="49">
        <f t="shared" si="41"/>
        <v>5.1119824466206491E-2</v>
      </c>
      <c r="X55" s="44">
        <f t="shared" si="42"/>
        <v>28128.863865510488</v>
      </c>
      <c r="Y55" s="44">
        <f t="shared" si="43"/>
        <v>-15778.719999999303</v>
      </c>
      <c r="Z55" s="44">
        <f t="shared" si="44"/>
        <v>108453.37861588543</v>
      </c>
      <c r="AA55" s="50">
        <f t="shared" si="45"/>
        <v>74875.143865511185</v>
      </c>
      <c r="AB55" s="51">
        <f t="shared" si="46"/>
        <v>101386.7239561423</v>
      </c>
      <c r="AC55" s="44">
        <f t="shared" si="47"/>
        <v>69996.395125279218</v>
      </c>
      <c r="AD55" s="44">
        <f t="shared" si="48"/>
        <v>-1455.520148595662</v>
      </c>
      <c r="AE55" s="44">
        <f t="shared" si="49"/>
        <v>0</v>
      </c>
      <c r="AF55" s="52">
        <f>HLOOKUP(I55,ElecAvoidedCostsWOCC!$A$5:$Q$50,G55+1,FALSE)</f>
        <v>0.87531038854853971</v>
      </c>
      <c r="AG55" s="44">
        <f t="shared" si="50"/>
        <v>136124.77038551471</v>
      </c>
      <c r="AH55" s="52">
        <f>HLOOKUP(I55,ElecAvoidedCostsWOCC!$A$5:$Q$50,T55+1,FALSE)</f>
        <v>0.87531038854853971</v>
      </c>
      <c r="AI55" s="44">
        <f t="shared" si="51"/>
        <v>0</v>
      </c>
      <c r="AJ55" s="44">
        <f t="shared" si="52"/>
        <v>136124.77038551471</v>
      </c>
      <c r="AK55" s="44">
        <f>HLOOKUP(I55,ElecAvoidedCostsWOCC!$A$5:$Q$50,G55+1,FALSE)*J55*L55</f>
        <v>0</v>
      </c>
      <c r="AL55" s="44">
        <f t="shared" si="53"/>
        <v>136124.77038551471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136124.77038551471</v>
      </c>
      <c r="AN55" s="48">
        <f t="shared" si="54"/>
        <v>148281.72727547053</v>
      </c>
      <c r="AO55" s="47">
        <f t="shared" si="55"/>
        <v>1.3426291438748859</v>
      </c>
      <c r="AP55" s="47">
        <f t="shared" si="56"/>
        <v>2.118419484461687</v>
      </c>
      <c r="AQ55">
        <v>2020</v>
      </c>
    </row>
    <row r="56" spans="2:43">
      <c r="B56" s="97" t="s">
        <v>15</v>
      </c>
      <c r="C56" s="61">
        <v>18230434</v>
      </c>
      <c r="D56" s="61" t="s">
        <v>51</v>
      </c>
      <c r="E56" s="38" t="s">
        <v>630</v>
      </c>
      <c r="F56" s="39" t="s">
        <v>631</v>
      </c>
      <c r="G56" s="39">
        <v>12</v>
      </c>
      <c r="H56" s="39"/>
      <c r="I56" s="40" t="s">
        <v>263</v>
      </c>
      <c r="J56" s="41">
        <v>12</v>
      </c>
      <c r="K56" s="41">
        <v>118</v>
      </c>
      <c r="L56" s="41"/>
      <c r="M56" s="42">
        <v>25</v>
      </c>
      <c r="N56" s="42">
        <v>184.88</v>
      </c>
      <c r="O56" s="43">
        <v>1416</v>
      </c>
      <c r="P56" s="44">
        <v>300</v>
      </c>
      <c r="Q56" s="44">
        <v>2218.56</v>
      </c>
      <c r="R56" s="45">
        <v>4.46</v>
      </c>
      <c r="S56" s="46">
        <v>0</v>
      </c>
      <c r="T56" s="39">
        <f t="shared" si="38"/>
        <v>12</v>
      </c>
      <c r="U56" s="47">
        <f t="shared" si="39"/>
        <v>5.5854578135354615E-3</v>
      </c>
      <c r="V56" s="48">
        <f t="shared" si="40"/>
        <v>159.88</v>
      </c>
      <c r="W56" s="49">
        <f t="shared" si="41"/>
        <v>4.6545481779462175E-4</v>
      </c>
      <c r="X56" s="44">
        <f t="shared" si="42"/>
        <v>256.11815654699745</v>
      </c>
      <c r="Y56" s="44">
        <f t="shared" si="43"/>
        <v>1918.56</v>
      </c>
      <c r="Z56" s="44">
        <f t="shared" si="44"/>
        <v>987.48671596551981</v>
      </c>
      <c r="AA56" s="50">
        <f t="shared" si="45"/>
        <v>2474.6781565469973</v>
      </c>
      <c r="AB56" s="51">
        <f t="shared" si="46"/>
        <v>923.14360658644455</v>
      </c>
      <c r="AC56" s="44">
        <f t="shared" si="47"/>
        <v>2313.4319496559756</v>
      </c>
      <c r="AD56" s="44">
        <f t="shared" si="48"/>
        <v>425.77305614800957</v>
      </c>
      <c r="AE56" s="44">
        <f t="shared" si="49"/>
        <v>0</v>
      </c>
      <c r="AF56" s="52">
        <f>HLOOKUP(I56,ElecAvoidedCostsWOCC!$A$5:$Q$50,G56+1,FALSE)</f>
        <v>0.87531038854853971</v>
      </c>
      <c r="AG56" s="44">
        <f t="shared" si="50"/>
        <v>1239.4395101847322</v>
      </c>
      <c r="AH56" s="52">
        <f>HLOOKUP(I56,ElecAvoidedCostsWOCC!$A$5:$Q$50,T56+1,FALSE)</f>
        <v>0.87531038854853971</v>
      </c>
      <c r="AI56" s="44">
        <f t="shared" si="51"/>
        <v>0</v>
      </c>
      <c r="AJ56" s="44">
        <f t="shared" si="52"/>
        <v>1239.4395101847322</v>
      </c>
      <c r="AK56" s="44">
        <f>HLOOKUP(I56,ElecAvoidedCostsWOCC!$A$5:$Q$50,G56+1,FALSE)*J56*L56</f>
        <v>0</v>
      </c>
      <c r="AL56" s="44">
        <f t="shared" si="53"/>
        <v>1239.4395101847322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1239.4395101847322</v>
      </c>
      <c r="AN56" s="48">
        <f t="shared" si="54"/>
        <v>1789.1565173512151</v>
      </c>
      <c r="AO56" s="47">
        <f t="shared" si="55"/>
        <v>1.3426291438748854</v>
      </c>
      <c r="AP56" s="47">
        <f t="shared" si="56"/>
        <v>0.77337762955045031</v>
      </c>
      <c r="AQ56">
        <v>2020</v>
      </c>
    </row>
    <row r="57" spans="2:43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ref="T58:T62" si="57">G58+H58</f>
        <v>0</v>
      </c>
      <c r="U58" s="47">
        <f t="shared" ref="U58:U62" si="58">(O58/$A$10)*T58</f>
        <v>0</v>
      </c>
      <c r="V58" s="48">
        <f t="shared" ref="V58:V62" si="59">N58-M58</f>
        <v>0</v>
      </c>
      <c r="W58" s="49">
        <f t="shared" ref="W58:W62" si="60">(O58/A$10)</f>
        <v>0</v>
      </c>
      <c r="X58" s="44">
        <f t="shared" ref="X58:X62" si="61">W58*A$8</f>
        <v>0</v>
      </c>
      <c r="Y58" s="44">
        <f t="shared" ref="Y58:Y62" si="62">Q58-P58</f>
        <v>0</v>
      </c>
      <c r="Z58" s="44">
        <f t="shared" ref="Z58:Z62" si="63">X58+(A$6*W58)</f>
        <v>0</v>
      </c>
      <c r="AA58" s="50">
        <f t="shared" ref="AA58:AA62" si="64">Q58+X58</f>
        <v>0</v>
      </c>
      <c r="AB58" s="51">
        <f t="shared" ref="AB58:AB62" si="65">Z58/(1+ElecDiscountRate)^1</f>
        <v>0</v>
      </c>
      <c r="AC58" s="44">
        <f t="shared" ref="AC58:AC62" si="66">AA58/(1+ElecDiscountRate)^1</f>
        <v>0</v>
      </c>
      <c r="AD58" s="44">
        <f t="shared" ref="AD58:AD62" si="67">-PV(ElecDiscountRate,T58,R58)*J58</f>
        <v>0</v>
      </c>
      <c r="AE58" s="44">
        <f t="shared" ref="AE58:AE62" si="68">-PV(ElecDiscountRate,T58,S58)*J58</f>
        <v>0</v>
      </c>
      <c r="AF58" s="52" t="e">
        <f>HLOOKUP(I58,ElecAvoidedCostsWOCC!$A$5:$Q$50,G58+1,FALSE)</f>
        <v>#N/A</v>
      </c>
      <c r="AG58" s="44" t="e">
        <f t="shared" ref="AG58:AG62" si="69">AF58*J58*K58</f>
        <v>#N/A</v>
      </c>
      <c r="AH58" s="52" t="e">
        <f>HLOOKUP(I58,ElecAvoidedCostsWOCC!$A$5:$Q$50,T58+1,FALSE)</f>
        <v>#N/A</v>
      </c>
      <c r="AI58" s="44" t="e">
        <f t="shared" ref="AI58:AI62" si="70">AH58*J58*L58</f>
        <v>#N/A</v>
      </c>
      <c r="AJ58" s="44" t="e">
        <f t="shared" ref="AJ58:AJ62" si="71">AG58+AI58</f>
        <v>#N/A</v>
      </c>
      <c r="AK58" s="44" t="e">
        <f>HLOOKUP(I58,ElecAvoidedCostsWOCC!$A$5:$Q$50,G58+1,FALSE)*J58*L58</f>
        <v>#N/A</v>
      </c>
      <c r="AL58" s="44" t="e">
        <f t="shared" ref="AL58:AL62" si="72">AG58+AI58-AK58</f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ref="AN58:AN62" si="73">AM58*1.1+AD58+AE58</f>
        <v>0</v>
      </c>
      <c r="AO58" s="47">
        <f t="shared" ref="AO58:AO62" si="74">IFERROR(AM58/AB58,0)</f>
        <v>0</v>
      </c>
      <c r="AP58" s="47" t="e">
        <f t="shared" ref="AP58:AP62" si="75">AN58/AC58</f>
        <v>#DIV/0!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</sheetData>
  <conditionalFormatting sqref="J5:L6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62 R5:S62">
    <cfRule type="expression" dxfId="302" priority="2">
      <formula>ISTEXT(M5)</formula>
    </cfRule>
  </conditionalFormatting>
  <conditionalFormatting sqref="M5:N62 R5:S62">
    <cfRule type="notContainsBlanks" dxfId="301" priority="3">
      <formula>LEN(TRIM(M5))&gt;0</formula>
    </cfRule>
  </conditionalFormatting>
  <conditionalFormatting sqref="R5:S62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9"/>
  <sheetViews>
    <sheetView zoomScale="85" zoomScaleNormal="85" workbookViewId="0">
      <selection activeCell="D23" sqref="D2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18230023</v>
      </c>
      <c r="D2" s="20" t="s">
        <v>297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18230023</v>
      </c>
      <c r="D5" s="61" t="s">
        <v>297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1.527092457226372</v>
      </c>
      <c r="V5" s="48">
        <f t="shared" ref="V5:V24" si="2">N5-M5</f>
        <v>70.28</v>
      </c>
      <c r="W5" s="49">
        <f t="shared" ref="W5:W24" si="3">(O5/A$10)</f>
        <v>0.12725770476886433</v>
      </c>
      <c r="X5" s="44">
        <f t="shared" ref="X5:X24" si="4">W5*A$8</f>
        <v>34219.631171927911</v>
      </c>
      <c r="Y5" s="44">
        <f t="shared" ref="Y5:Y24" si="5">Q5-P5</f>
        <v>28814.799999999697</v>
      </c>
      <c r="Z5" s="44">
        <f t="shared" ref="Z5:Z24" si="6">X5+(A$6*W5)</f>
        <v>113471.54928637497</v>
      </c>
      <c r="AA5" s="50">
        <f t="shared" ref="AA5:AA24" si="7">Q5+X5</f>
        <v>93784.431171927601</v>
      </c>
      <c r="AB5" s="51">
        <f t="shared" ref="AB5:AC20" si="8">Z5/(1+ElecDiscountRate)^1</f>
        <v>106077.91837559592</v>
      </c>
      <c r="AC5" s="44">
        <f t="shared" si="8"/>
        <v>87673.582473523042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4.0281793281361473</v>
      </c>
      <c r="AP5" s="47">
        <f>AN5/AC5</f>
        <v>5.3611470240932029</v>
      </c>
      <c r="AQ5">
        <v>2021</v>
      </c>
    </row>
    <row r="6" spans="1:43" ht="13.5" customHeight="1">
      <c r="A6" s="53">
        <f>SUMIF('Program Costs'!D:D,C2,'Program Costs'!L:L)</f>
        <v>622767.15</v>
      </c>
      <c r="B6" s="97" t="s">
        <v>15</v>
      </c>
      <c r="C6" s="61">
        <v>18230023</v>
      </c>
      <c r="D6" s="61" t="s">
        <v>297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2.097150628902129E-2</v>
      </c>
      <c r="V6" s="48">
        <f t="shared" si="2"/>
        <v>76.830000000000013</v>
      </c>
      <c r="W6" s="49">
        <f t="shared" si="3"/>
        <v>1.9065005717292082E-3</v>
      </c>
      <c r="X6" s="44">
        <f t="shared" si="4"/>
        <v>512.65851849313844</v>
      </c>
      <c r="Y6" s="44">
        <f t="shared" si="5"/>
        <v>845.13000000000011</v>
      </c>
      <c r="Z6" s="44">
        <f t="shared" si="6"/>
        <v>1699.964446022308</v>
      </c>
      <c r="AA6" s="50">
        <f t="shared" si="7"/>
        <v>2182.7885184931383</v>
      </c>
      <c r="AB6" s="51">
        <f t="shared" si="8"/>
        <v>1589.1973880735793</v>
      </c>
      <c r="AC6" s="44">
        <f t="shared" si="8"/>
        <v>2040.561389635541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3.7129209746502401</v>
      </c>
      <c r="AP6" s="47">
        <f t="shared" ref="AP6:AP24" si="16">AN6/AC6</f>
        <v>3.1808015085989738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18230023</v>
      </c>
      <c r="D7" s="61" t="s">
        <v>297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  <c r="AQ7">
        <v>2021</v>
      </c>
    </row>
    <row r="8" spans="1:43" ht="13.5" customHeight="1">
      <c r="A8" s="53">
        <f>SUMIF('Program Costs'!D:D,C2,'Program Costs'!O:O)</f>
        <v>268900.27</v>
      </c>
      <c r="B8" s="97" t="s">
        <v>15</v>
      </c>
      <c r="C8" s="61">
        <v>18230023</v>
      </c>
      <c r="D8" s="61" t="s">
        <v>297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18230023</v>
      </c>
      <c r="D9" s="61" t="s">
        <v>297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2896406.1599999997</v>
      </c>
      <c r="B10" s="97" t="s">
        <v>15</v>
      </c>
      <c r="C10" s="61">
        <v>18230023</v>
      </c>
      <c r="D10" s="61" t="s">
        <v>297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18230023</v>
      </c>
      <c r="D11" s="61" t="s">
        <v>297</v>
      </c>
      <c r="E11" s="38" t="s">
        <v>658</v>
      </c>
      <c r="F11" s="39" t="s">
        <v>659</v>
      </c>
      <c r="G11" s="39">
        <v>11</v>
      </c>
      <c r="H11" s="39"/>
      <c r="I11" s="40" t="s">
        <v>269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0.69180905208404897</v>
      </c>
      <c r="V11" s="48">
        <f t="shared" si="2"/>
        <v>97.38</v>
      </c>
      <c r="W11" s="49">
        <f t="shared" si="3"/>
        <v>6.289173200764081E-2</v>
      </c>
      <c r="X11" s="44">
        <f t="shared" si="4"/>
        <v>16911.603717622256</v>
      </c>
      <c r="Y11" s="44">
        <f t="shared" si="5"/>
        <v>35065.299999999603</v>
      </c>
      <c r="Z11" s="44">
        <f t="shared" si="6"/>
        <v>56078.508418584504</v>
      </c>
      <c r="AA11" s="50">
        <f t="shared" si="7"/>
        <v>78968.403717621855</v>
      </c>
      <c r="AB11" s="51">
        <f t="shared" si="8"/>
        <v>52424.519415335606</v>
      </c>
      <c r="AC11" s="44">
        <f t="shared" si="8"/>
        <v>73822.944486885899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3.7129209746502401</v>
      </c>
      <c r="AP11" s="47">
        <f t="shared" si="16"/>
        <v>2.9003571854751709</v>
      </c>
      <c r="AQ11">
        <v>2021</v>
      </c>
    </row>
    <row r="12" spans="1:43" ht="13.5" customHeight="1">
      <c r="A12" s="55">
        <f>SUM(P5:P1000)</f>
        <v>572926.44999999995</v>
      </c>
      <c r="B12" s="97" t="s">
        <v>15</v>
      </c>
      <c r="C12" s="61">
        <v>18230023</v>
      </c>
      <c r="D12" s="61" t="s">
        <v>297</v>
      </c>
      <c r="E12" s="38" t="s">
        <v>660</v>
      </c>
      <c r="F12" s="39" t="s">
        <v>659</v>
      </c>
      <c r="G12" s="39">
        <v>11</v>
      </c>
      <c r="H12" s="39"/>
      <c r="I12" s="40" t="s">
        <v>269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6.4129514211501348</v>
      </c>
      <c r="V12" s="48">
        <f t="shared" si="2"/>
        <v>114</v>
      </c>
      <c r="W12" s="49">
        <f t="shared" si="3"/>
        <v>0.58299558374092131</v>
      </c>
      <c r="X12" s="44">
        <f t="shared" si="4"/>
        <v>156767.66987674136</v>
      </c>
      <c r="Y12" s="44">
        <f t="shared" si="5"/>
        <v>379181.62</v>
      </c>
      <c r="Z12" s="44">
        <f t="shared" si="6"/>
        <v>519838.16802566126</v>
      </c>
      <c r="AA12" s="50">
        <f t="shared" si="7"/>
        <v>785003.66987674136</v>
      </c>
      <c r="AB12" s="51">
        <f t="shared" si="8"/>
        <v>485966.31581346283</v>
      </c>
      <c r="AC12" s="44">
        <f t="shared" si="8"/>
        <v>733854.04307445197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3.7129209746502392</v>
      </c>
      <c r="AP12" s="47">
        <f t="shared" si="16"/>
        <v>2.7046113575089699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18230023</v>
      </c>
      <c r="D13" s="61" t="s">
        <v>297</v>
      </c>
      <c r="E13" s="38" t="s">
        <v>661</v>
      </c>
      <c r="F13" s="39" t="s">
        <v>662</v>
      </c>
      <c r="G13" s="39">
        <v>11</v>
      </c>
      <c r="H13" s="39"/>
      <c r="I13" s="40" t="s">
        <v>269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586552.94000000053</v>
      </c>
      <c r="B14" s="97" t="s">
        <v>15</v>
      </c>
      <c r="C14" s="61">
        <v>18230023</v>
      </c>
      <c r="D14" s="61" t="s">
        <v>297</v>
      </c>
      <c r="E14" s="38" t="s">
        <v>663</v>
      </c>
      <c r="F14" s="39" t="s">
        <v>662</v>
      </c>
      <c r="G14" s="39">
        <v>11</v>
      </c>
      <c r="H14" s="39"/>
      <c r="I14" s="40" t="s">
        <v>269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18230023</v>
      </c>
      <c r="D15" s="61" t="s">
        <v>297</v>
      </c>
      <c r="E15" s="38" t="s">
        <v>664</v>
      </c>
      <c r="F15" s="39" t="s">
        <v>665</v>
      </c>
      <c r="G15" s="39">
        <v>15</v>
      </c>
      <c r="H15" s="39"/>
      <c r="I15" s="40" t="s">
        <v>269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0.90764204147390715</v>
      </c>
      <c r="V15" s="48">
        <f t="shared" si="2"/>
        <v>25</v>
      </c>
      <c r="W15" s="49">
        <f t="shared" si="3"/>
        <v>6.0509469431593813E-2</v>
      </c>
      <c r="X15" s="44">
        <f t="shared" si="4"/>
        <v>16271.012667712324</v>
      </c>
      <c r="Y15" s="44">
        <f t="shared" si="5"/>
        <v>63425</v>
      </c>
      <c r="Z15" s="44">
        <f t="shared" si="6"/>
        <v>53954.322493638123</v>
      </c>
      <c r="AA15" s="50">
        <f t="shared" si="7"/>
        <v>270271.01266771235</v>
      </c>
      <c r="AB15" s="51">
        <f t="shared" si="8"/>
        <v>50438.742164754716</v>
      </c>
      <c r="AC15" s="44">
        <f t="shared" si="8"/>
        <v>252660.57087754729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4.8275444803938266</v>
      </c>
      <c r="AP15" s="47">
        <f t="shared" si="16"/>
        <v>1.0600973374623923</v>
      </c>
      <c r="AQ15">
        <v>2021</v>
      </c>
    </row>
    <row r="16" spans="1:43" ht="13.5" customHeight="1">
      <c r="A16" s="54">
        <f>SUM(U5:U999)</f>
        <v>11.369865309221689</v>
      </c>
      <c r="B16" s="97" t="s">
        <v>15</v>
      </c>
      <c r="C16" s="100">
        <v>18230023</v>
      </c>
      <c r="D16" s="100" t="s">
        <v>297</v>
      </c>
      <c r="E16" s="38" t="s">
        <v>651</v>
      </c>
      <c r="F16" s="39" t="s">
        <v>650</v>
      </c>
      <c r="G16" s="39">
        <v>11</v>
      </c>
      <c r="H16" s="39"/>
      <c r="I16" s="40" t="s">
        <v>269</v>
      </c>
      <c r="J16" s="41">
        <v>276</v>
      </c>
      <c r="K16" s="41">
        <v>502</v>
      </c>
      <c r="L16" s="41"/>
      <c r="M16" s="42">
        <v>75</v>
      </c>
      <c r="N16" s="42">
        <v>151.83000000000001</v>
      </c>
      <c r="O16" s="43">
        <v>138552</v>
      </c>
      <c r="P16" s="44">
        <v>20636.47</v>
      </c>
      <c r="Q16" s="44">
        <v>41905.0800000003</v>
      </c>
      <c r="R16" s="45">
        <v>0</v>
      </c>
      <c r="S16" s="46">
        <v>0</v>
      </c>
      <c r="T16" s="39">
        <f t="shared" si="0"/>
        <v>11</v>
      </c>
      <c r="U16" s="47">
        <f t="shared" si="1"/>
        <v>0.52619415779726153</v>
      </c>
      <c r="V16" s="48">
        <f t="shared" si="2"/>
        <v>76.830000000000013</v>
      </c>
      <c r="W16" s="49">
        <f t="shared" si="3"/>
        <v>4.7835832527023774E-2</v>
      </c>
      <c r="X16" s="44">
        <f t="shared" si="4"/>
        <v>12863.068282191476</v>
      </c>
      <c r="Y16" s="44">
        <f t="shared" si="5"/>
        <v>21268.610000000299</v>
      </c>
      <c r="Z16" s="44">
        <f t="shared" si="6"/>
        <v>42653.653372923371</v>
      </c>
      <c r="AA16" s="50">
        <f t="shared" si="7"/>
        <v>54768.148282191774</v>
      </c>
      <c r="AB16" s="51">
        <f t="shared" si="8"/>
        <v>39874.407191664359</v>
      </c>
      <c r="AC16" s="44">
        <f t="shared" si="8"/>
        <v>51199.540321764762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1.0685556528500126</v>
      </c>
      <c r="AG16" s="44">
        <f t="shared" si="10"/>
        <v>148050.52281367494</v>
      </c>
      <c r="AH16" s="52">
        <f>HLOOKUP(I16,ElecAvoidedCostsWOCC!$A$5:$Q$50,T16+1,FALSE)</f>
        <v>1.0685556528500126</v>
      </c>
      <c r="AI16" s="44">
        <f t="shared" si="11"/>
        <v>0</v>
      </c>
      <c r="AJ16" s="44">
        <f t="shared" si="12"/>
        <v>148050.52281367494</v>
      </c>
      <c r="AK16" s="44">
        <f>HLOOKUP(I16,ElecAvoidedCostsWOCC!$A$5:$Q$50,G16+1,FALSE)*J16*L16</f>
        <v>0</v>
      </c>
      <c r="AL16" s="44">
        <f t="shared" si="13"/>
        <v>148050.52281367494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148050.52281367496</v>
      </c>
      <c r="AN16" s="48">
        <f t="shared" si="14"/>
        <v>162855.57509504247</v>
      </c>
      <c r="AO16" s="47">
        <f t="shared" si="15"/>
        <v>3.7129209746502401</v>
      </c>
      <c r="AP16" s="47">
        <f t="shared" si="16"/>
        <v>3.1808015085989569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18230023</v>
      </c>
      <c r="D17" s="100" t="s">
        <v>297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1938</v>
      </c>
      <c r="K17" s="41">
        <v>11.32</v>
      </c>
      <c r="L17" s="41"/>
      <c r="M17" s="42">
        <v>2</v>
      </c>
      <c r="N17" s="42">
        <v>2</v>
      </c>
      <c r="O17" s="43">
        <v>21938.159999999702</v>
      </c>
      <c r="P17" s="44">
        <v>7306.2599999999702</v>
      </c>
      <c r="Q17" s="44">
        <v>3876</v>
      </c>
      <c r="R17" s="45">
        <v>0</v>
      </c>
      <c r="S17" s="46">
        <v>0</v>
      </c>
      <c r="T17" s="39">
        <f t="shared" si="0"/>
        <v>12</v>
      </c>
      <c r="U17" s="47">
        <f t="shared" si="1"/>
        <v>9.0891230531009656E-2</v>
      </c>
      <c r="V17" s="48">
        <f t="shared" si="2"/>
        <v>0</v>
      </c>
      <c r="W17" s="49">
        <f t="shared" si="3"/>
        <v>7.5742692109174716E-3</v>
      </c>
      <c r="X17" s="44">
        <f t="shared" si="4"/>
        <v>2036.7230358683953</v>
      </c>
      <c r="Y17" s="44">
        <f t="shared" si="5"/>
        <v>-3430.2599999999702</v>
      </c>
      <c r="Z17" s="44">
        <f t="shared" si="6"/>
        <v>6753.7290856842183</v>
      </c>
      <c r="AA17" s="50">
        <f t="shared" si="7"/>
        <v>5912.7230358683955</v>
      </c>
      <c r="AB17" s="51">
        <f t="shared" si="8"/>
        <v>6313.6665286381394</v>
      </c>
      <c r="AC17" s="44">
        <f t="shared" si="8"/>
        <v>5527.4591342137001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19989.114645712394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19989.114645712394</v>
      </c>
      <c r="AK17" s="44">
        <f>HLOOKUP(I17,ElecAvoidedCostsWOCC!$A$5:$Q$50,G17+1,FALSE)*J17*L17</f>
        <v>0</v>
      </c>
      <c r="AL17" s="44">
        <f t="shared" si="13"/>
        <v>19989.114645712394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19989.114645712394</v>
      </c>
      <c r="AN17" s="48">
        <f t="shared" si="14"/>
        <v>21988.026110283634</v>
      </c>
      <c r="AO17" s="47">
        <f t="shared" si="15"/>
        <v>3.1660073516781151</v>
      </c>
      <c r="AP17" s="47">
        <f t="shared" si="16"/>
        <v>3.9779626726107864</v>
      </c>
      <c r="AQ17">
        <v>2020</v>
      </c>
    </row>
    <row r="18" spans="1:43" ht="13.5" customHeight="1">
      <c r="A18" s="59">
        <f>A6+A8</f>
        <v>891667.42</v>
      </c>
      <c r="B18" s="97" t="s">
        <v>15</v>
      </c>
      <c r="C18" s="100">
        <v>18230023</v>
      </c>
      <c r="D18" s="100" t="s">
        <v>297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1484</v>
      </c>
      <c r="K18" s="41">
        <v>10</v>
      </c>
      <c r="L18" s="41"/>
      <c r="M18" s="42">
        <v>1.27</v>
      </c>
      <c r="N18" s="42">
        <v>1.27</v>
      </c>
      <c r="O18" s="43">
        <v>14840</v>
      </c>
      <c r="P18" s="44">
        <v>1261.4000000000201</v>
      </c>
      <c r="Q18" s="44">
        <v>1884.6799999999801</v>
      </c>
      <c r="R18" s="45">
        <v>2.74</v>
      </c>
      <c r="S18" s="46">
        <v>0</v>
      </c>
      <c r="T18" s="39">
        <f t="shared" si="0"/>
        <v>10</v>
      </c>
      <c r="U18" s="47">
        <f t="shared" si="1"/>
        <v>5.1235908157300711E-2</v>
      </c>
      <c r="V18" s="48">
        <f t="shared" si="2"/>
        <v>0</v>
      </c>
      <c r="W18" s="49">
        <f t="shared" si="3"/>
        <v>5.1235908157300711E-3</v>
      </c>
      <c r="X18" s="44">
        <f t="shared" si="4"/>
        <v>1377.7349537193365</v>
      </c>
      <c r="Y18" s="44">
        <f t="shared" si="5"/>
        <v>623.27999999995995</v>
      </c>
      <c r="Z18" s="44">
        <f t="shared" si="6"/>
        <v>4568.5390037977286</v>
      </c>
      <c r="AA18" s="50">
        <f t="shared" si="7"/>
        <v>3262.4149537193166</v>
      </c>
      <c r="AB18" s="51">
        <f t="shared" si="8"/>
        <v>4270.860057771084</v>
      </c>
      <c r="AC18" s="44">
        <f t="shared" si="8"/>
        <v>3049.8410336723532</v>
      </c>
      <c r="AD18" s="44">
        <f t="shared" si="9"/>
        <v>28598.652588804718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11053.920098203806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11053.920098203806</v>
      </c>
      <c r="AK18" s="44">
        <f>HLOOKUP(I18,ElecAvoidedCostsWOCC!$A$5:$Q$50,G18+1,FALSE)*J18*L18</f>
        <v>0</v>
      </c>
      <c r="AL18" s="44">
        <f t="shared" si="13"/>
        <v>11053.920098203806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11053.920098203806</v>
      </c>
      <c r="AN18" s="48">
        <f t="shared" si="14"/>
        <v>40757.964696828902</v>
      </c>
      <c r="AO18" s="47">
        <f t="shared" si="15"/>
        <v>2.5882187542273929</v>
      </c>
      <c r="AP18" s="47">
        <f t="shared" si="16"/>
        <v>13.363963644935195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18230023</v>
      </c>
      <c r="D19" s="100" t="s">
        <v>297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454</v>
      </c>
      <c r="K19" s="41">
        <v>12</v>
      </c>
      <c r="L19" s="41"/>
      <c r="M19" s="42">
        <v>1.81</v>
      </c>
      <c r="N19" s="42">
        <v>1.81</v>
      </c>
      <c r="O19" s="43">
        <v>5448</v>
      </c>
      <c r="P19" s="44">
        <v>454</v>
      </c>
      <c r="Q19" s="44">
        <v>821.74000000000103</v>
      </c>
      <c r="R19" s="45">
        <v>2.74</v>
      </c>
      <c r="S19" s="46">
        <v>0</v>
      </c>
      <c r="T19" s="39">
        <f t="shared" si="0"/>
        <v>10</v>
      </c>
      <c r="U19" s="47">
        <f t="shared" si="1"/>
        <v>1.8809516687397186E-2</v>
      </c>
      <c r="V19" s="48">
        <f t="shared" si="2"/>
        <v>0</v>
      </c>
      <c r="W19" s="49">
        <f t="shared" si="3"/>
        <v>1.8809516687397186E-3</v>
      </c>
      <c r="X19" s="44">
        <f t="shared" si="4"/>
        <v>505.78841158106093</v>
      </c>
      <c r="Y19" s="44">
        <f t="shared" si="5"/>
        <v>367.74000000000103</v>
      </c>
      <c r="Z19" s="44">
        <f t="shared" si="6"/>
        <v>1677.1833216098396</v>
      </c>
      <c r="AA19" s="50">
        <f t="shared" si="7"/>
        <v>1327.5284115810618</v>
      </c>
      <c r="AB19" s="51">
        <f t="shared" si="8"/>
        <v>1567.9006465456105</v>
      </c>
      <c r="AC19" s="44">
        <f t="shared" si="8"/>
        <v>1241.0287104618694</v>
      </c>
      <c r="AD19" s="44">
        <f t="shared" si="9"/>
        <v>8749.1834739335191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4058.0698581546048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4058.0698581546048</v>
      </c>
      <c r="AK19" s="44">
        <f>HLOOKUP(I19,ElecAvoidedCostsWOCC!$A$5:$Q$50,G19+1,FALSE)*J19*L19</f>
        <v>0</v>
      </c>
      <c r="AL19" s="44">
        <f t="shared" si="13"/>
        <v>4058.0698581546048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4058.0698581546053</v>
      </c>
      <c r="AN19" s="48">
        <f t="shared" si="14"/>
        <v>13213.060317903586</v>
      </c>
      <c r="AO19" s="47">
        <f t="shared" si="15"/>
        <v>2.5882187542273938</v>
      </c>
      <c r="AP19" s="47">
        <f t="shared" si="16"/>
        <v>10.6468611132986</v>
      </c>
      <c r="AQ19">
        <v>2020</v>
      </c>
    </row>
    <row r="20" spans="1:43" ht="13.5" customHeight="1">
      <c r="A20" s="59">
        <f>A8+SUM(Q5:Q906)</f>
        <v>1428379.6600000006</v>
      </c>
      <c r="B20" s="97" t="s">
        <v>15</v>
      </c>
      <c r="C20" s="100">
        <v>18230023</v>
      </c>
      <c r="D20" s="100" t="s">
        <v>297</v>
      </c>
      <c r="E20" s="38" t="s">
        <v>658</v>
      </c>
      <c r="F20" s="39" t="s">
        <v>659</v>
      </c>
      <c r="G20" s="39">
        <v>11</v>
      </c>
      <c r="H20" s="39"/>
      <c r="I20" s="40" t="s">
        <v>269</v>
      </c>
      <c r="J20" s="41">
        <v>584</v>
      </c>
      <c r="K20" s="41">
        <v>506</v>
      </c>
      <c r="L20" s="41"/>
      <c r="M20" s="42">
        <v>75</v>
      </c>
      <c r="N20" s="42">
        <v>172.38</v>
      </c>
      <c r="O20" s="43">
        <v>295504</v>
      </c>
      <c r="P20" s="44">
        <v>43722.44</v>
      </c>
      <c r="Q20" s="44">
        <v>100669.920000001</v>
      </c>
      <c r="R20" s="45">
        <v>0</v>
      </c>
      <c r="S20" s="46">
        <v>0</v>
      </c>
      <c r="T20" s="39">
        <f t="shared" si="0"/>
        <v>11</v>
      </c>
      <c r="U20" s="47">
        <f t="shared" si="1"/>
        <v>1.1222680178252349</v>
      </c>
      <c r="V20" s="48">
        <f t="shared" si="2"/>
        <v>97.38</v>
      </c>
      <c r="W20" s="49">
        <f t="shared" si="3"/>
        <v>0.10202436525683954</v>
      </c>
      <c r="X20" s="44">
        <f t="shared" si="4"/>
        <v>27434.379364142773</v>
      </c>
      <c r="Y20" s="44">
        <f t="shared" si="5"/>
        <v>56947.480000001</v>
      </c>
      <c r="Z20" s="44">
        <f t="shared" si="6"/>
        <v>90971.802545703758</v>
      </c>
      <c r="AA20" s="50">
        <f t="shared" si="7"/>
        <v>128104.29936414378</v>
      </c>
      <c r="AB20" s="51">
        <f t="shared" si="8"/>
        <v>85044.220384877772</v>
      </c>
      <c r="AC20" s="44">
        <f t="shared" si="8"/>
        <v>119757.22105650534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1.0685556528500126</v>
      </c>
      <c r="AG20" s="44">
        <f t="shared" si="10"/>
        <v>315762.46963979019</v>
      </c>
      <c r="AH20" s="52">
        <f>HLOOKUP(I20,ElecAvoidedCostsWOCC!$A$5:$Q$50,T20+1,FALSE)</f>
        <v>1.0685556528500126</v>
      </c>
      <c r="AI20" s="44">
        <f t="shared" si="11"/>
        <v>0</v>
      </c>
      <c r="AJ20" s="44">
        <f t="shared" si="12"/>
        <v>315762.46963979019</v>
      </c>
      <c r="AK20" s="44">
        <f>HLOOKUP(I20,ElecAvoidedCostsWOCC!$A$5:$Q$50,G20+1,FALSE)*J20*L20</f>
        <v>0</v>
      </c>
      <c r="AL20" s="44">
        <f t="shared" si="13"/>
        <v>315762.46963979019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315762.46963979019</v>
      </c>
      <c r="AN20" s="48">
        <f t="shared" si="14"/>
        <v>347338.71660376922</v>
      </c>
      <c r="AO20" s="47">
        <f t="shared" si="15"/>
        <v>3.7129209746502401</v>
      </c>
      <c r="AP20" s="47">
        <f t="shared" si="16"/>
        <v>2.9003571854751335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3" ht="13.5" customHeight="1">
      <c r="A22" s="60">
        <f>(SUM(AM5:AM1000)/(SUM(AB5:AB1000)))</f>
        <v>3.808464810571758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2.6431511711808806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9" si="19">G25+H25</f>
        <v>0</v>
      </c>
      <c r="U25" s="47">
        <f t="shared" ref="U25:U39" si="20">(O25/$A$10)*T25</f>
        <v>0</v>
      </c>
      <c r="V25" s="48">
        <f t="shared" ref="V25:V39" si="21">N25-M25</f>
        <v>0</v>
      </c>
      <c r="W25" s="49">
        <f t="shared" ref="W25:W39" si="22">(O25/A$10)</f>
        <v>0</v>
      </c>
      <c r="X25" s="44">
        <f t="shared" ref="X25:X39" si="23">W25*A$8</f>
        <v>0</v>
      </c>
      <c r="Y25" s="44">
        <f t="shared" ref="Y25:Y39" si="24">Q25-P25</f>
        <v>0</v>
      </c>
      <c r="Z25" s="44">
        <f t="shared" ref="Z25:Z39" si="25">X25+(A$6*W25)</f>
        <v>0</v>
      </c>
      <c r="AA25" s="50">
        <f t="shared" ref="AA25:AA39" si="26">Q25+X25</f>
        <v>0</v>
      </c>
      <c r="AB25" s="51">
        <f t="shared" ref="AB25:AB39" si="27">Z25/(1+ElecDiscountRate)^1</f>
        <v>0</v>
      </c>
      <c r="AC25" s="44">
        <f t="shared" ref="AC25:AC39" si="28">AA25/(1+ElecDiscountRate)^1</f>
        <v>0</v>
      </c>
      <c r="AD25" s="44">
        <f t="shared" ref="AD25:AD39" si="29">-PV(ElecDiscountRate,T25,R25)*J25</f>
        <v>0</v>
      </c>
      <c r="AE25" s="44">
        <f t="shared" ref="AE25:AE39" si="30">-PV(ElecDiscountRate,T25,S25)*J25</f>
        <v>0</v>
      </c>
      <c r="AF25" s="52" t="e">
        <f>HLOOKUP(I25,ElecAvoidedCostsWOCC!$A$5:$Q$50,G25+1,FALSE)</f>
        <v>#N/A</v>
      </c>
      <c r="AG25" s="44" t="e">
        <f t="shared" ref="AG25:AG39" si="31">AF25*J25*K25</f>
        <v>#N/A</v>
      </c>
      <c r="AH25" s="52" t="e">
        <f>HLOOKUP(I25,ElecAvoidedCostsWOCC!$A$5:$Q$50,T25+1,FALSE)</f>
        <v>#N/A</v>
      </c>
      <c r="AI25" s="44" t="e">
        <f t="shared" ref="AI25:AI39" si="32">AH25*J25*L25</f>
        <v>#N/A</v>
      </c>
      <c r="AJ25" s="44" t="e">
        <f t="shared" ref="AJ25:AJ39" si="33">AG25+AI25</f>
        <v>#N/A</v>
      </c>
      <c r="AK25" s="44" t="e">
        <f>HLOOKUP(I25,ElecAvoidedCostsWOCC!$A$5:$Q$50,G25+1,FALSE)*J25*L25</f>
        <v>#N/A</v>
      </c>
      <c r="AL25" s="44" t="e">
        <f t="shared" ref="AL25:AL39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9" si="35">AM25*1.1+AD25+AE25</f>
        <v>0</v>
      </c>
      <c r="AO25" s="47">
        <f t="shared" ref="AO25:AO39" si="36">IFERROR(AM25/AB25,0)</f>
        <v>0</v>
      </c>
      <c r="AP25" s="47" t="e">
        <f t="shared" ref="AP25:AP39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</sheetData>
  <conditionalFormatting sqref="J5:L39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39 R5:S39">
    <cfRule type="expression" dxfId="297" priority="2">
      <formula>ISTEXT(M5)</formula>
    </cfRule>
  </conditionalFormatting>
  <conditionalFormatting sqref="M5:N39 R5:S39">
    <cfRule type="notContainsBlanks" dxfId="296" priority="3">
      <formula>LEN(TRIM(M5))&gt;0</formula>
    </cfRule>
  </conditionalFormatting>
  <conditionalFormatting sqref="R5:S39">
    <cfRule type="expression" dxfId="2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0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6.6521088051998847E-4</v>
      </c>
      <c r="V5" s="48">
        <f t="shared" ref="V5:V24" si="2">N5-M5</f>
        <v>-3.29</v>
      </c>
      <c r="W5" s="49">
        <f t="shared" ref="W5:W24" si="3">(O5/A$10)</f>
        <v>6.6521088051998847E-5</v>
      </c>
      <c r="X5" s="44">
        <f t="shared" ref="X5:X24" si="4">W5*A$8</f>
        <v>13.316472125240708</v>
      </c>
      <c r="Y5" s="44">
        <f t="shared" ref="Y5:Y24" si="5">Q5-P5</f>
        <v>-3.29</v>
      </c>
      <c r="Z5" s="44">
        <f t="shared" ref="Z5:Z24" si="6">X5+(A$6*W5)</f>
        <v>25.248301815781137</v>
      </c>
      <c r="AA5" s="50">
        <f t="shared" ref="AA5:AA24" si="7">Q5+X5</f>
        <v>17.026472125240709</v>
      </c>
      <c r="AB5" s="51">
        <f t="shared" ref="AB5:AC20" si="8">Z5/(1+ElecDiscountRate)^1</f>
        <v>23.60316146188757</v>
      </c>
      <c r="AC5" s="44">
        <f t="shared" si="8"/>
        <v>15.917053496532398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1.7087563183723018</v>
      </c>
      <c r="AP5" s="47">
        <f>AN5/AC5</f>
        <v>6.7111191879625682</v>
      </c>
      <c r="AQ5">
        <v>2021</v>
      </c>
    </row>
    <row r="6" spans="1:43" ht="13.5" customHeight="1">
      <c r="A6" s="53">
        <f>SUMIF('Program Costs'!D:D,C2,'Program Costs'!L:L)</f>
        <v>179369.13</v>
      </c>
      <c r="B6" s="97" t="s">
        <v>15</v>
      </c>
      <c r="C6" s="61">
        <v>18230435</v>
      </c>
      <c r="D6" s="61" t="s">
        <v>52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0.27838719622017927</v>
      </c>
      <c r="V6" s="48">
        <f t="shared" si="2"/>
        <v>-3.29</v>
      </c>
      <c r="W6" s="49">
        <f t="shared" si="3"/>
        <v>2.7838719622017925E-2</v>
      </c>
      <c r="X6" s="44">
        <f t="shared" si="4"/>
        <v>5572.8723733323523</v>
      </c>
      <c r="Y6" s="44">
        <f t="shared" si="5"/>
        <v>-1832.5300000000002</v>
      </c>
      <c r="Z6" s="44">
        <f t="shared" si="6"/>
        <v>10566.279292247636</v>
      </c>
      <c r="AA6" s="50">
        <f t="shared" si="7"/>
        <v>7639.3423733323525</v>
      </c>
      <c r="AB6" s="51">
        <f t="shared" si="8"/>
        <v>9877.7968516851779</v>
      </c>
      <c r="AC6" s="44">
        <f t="shared" si="8"/>
        <v>7141.5746221672916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1.4008093134340238</v>
      </c>
      <c r="AP6" s="47">
        <f t="shared" ref="AP6:AP24" si="16">AN6/AC6</f>
        <v>5.0605649698798647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2.3826644265897767E-2</v>
      </c>
      <c r="V7" s="48">
        <f t="shared" si="2"/>
        <v>0.20999999999999996</v>
      </c>
      <c r="W7" s="49">
        <f t="shared" si="3"/>
        <v>2.3826644265897766E-3</v>
      </c>
      <c r="X7" s="44">
        <f t="shared" si="4"/>
        <v>476.97181975862162</v>
      </c>
      <c r="Y7" s="44">
        <f t="shared" si="5"/>
        <v>14.280000000000001</v>
      </c>
      <c r="Z7" s="44">
        <f t="shared" si="6"/>
        <v>904.34826503797876</v>
      </c>
      <c r="AA7" s="50">
        <f t="shared" si="7"/>
        <v>729.25181975862165</v>
      </c>
      <c r="AB7" s="51">
        <f t="shared" si="8"/>
        <v>845.42232872579109</v>
      </c>
      <c r="AC7" s="44">
        <f t="shared" si="8"/>
        <v>681.73489740920036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1.0203555617724678</v>
      </c>
      <c r="AP7" s="47">
        <f t="shared" si="16"/>
        <v>3.1527557105511872</v>
      </c>
      <c r="AQ7">
        <v>2021</v>
      </c>
    </row>
    <row r="8" spans="1:43" ht="13.5" customHeight="1">
      <c r="A8" s="53">
        <f>SUMIF('Program Costs'!D:D,C2,'Program Costs'!O:O)</f>
        <v>200184.21999999997</v>
      </c>
      <c r="B8" s="97" t="s">
        <v>15</v>
      </c>
      <c r="C8" s="61">
        <v>18230435</v>
      </c>
      <c r="D8" s="61" t="s">
        <v>52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3.8863255987598259E-3</v>
      </c>
      <c r="V8" s="48">
        <f t="shared" si="2"/>
        <v>-4.71</v>
      </c>
      <c r="W8" s="49">
        <f t="shared" si="3"/>
        <v>3.8863255987598257E-4</v>
      </c>
      <c r="X8" s="44">
        <f t="shared" si="4"/>
        <v>77.798105865376854</v>
      </c>
      <c r="Y8" s="44">
        <f t="shared" si="5"/>
        <v>-23.55</v>
      </c>
      <c r="Z8" s="44">
        <f t="shared" si="6"/>
        <v>147.50679002000476</v>
      </c>
      <c r="AA8" s="50">
        <f t="shared" si="7"/>
        <v>104.24810586537686</v>
      </c>
      <c r="AB8" s="51">
        <f t="shared" si="8"/>
        <v>137.89547538562658</v>
      </c>
      <c r="AC8" s="44">
        <f t="shared" si="8"/>
        <v>97.455460283609284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1.7026465098993162</v>
      </c>
      <c r="AP8" s="47">
        <f t="shared" si="16"/>
        <v>5.8544273133484168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18230435</v>
      </c>
      <c r="D9" s="61" t="s">
        <v>52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0.10224949329917871</v>
      </c>
      <c r="V9" s="48">
        <f t="shared" si="2"/>
        <v>-4.71</v>
      </c>
      <c r="W9" s="49">
        <f t="shared" si="3"/>
        <v>1.0224949329917871E-2</v>
      </c>
      <c r="X9" s="44">
        <f t="shared" si="4"/>
        <v>2046.8735061491313</v>
      </c>
      <c r="Y9" s="44">
        <f t="shared" si="5"/>
        <v>-824.25</v>
      </c>
      <c r="Z9" s="44">
        <f t="shared" si="6"/>
        <v>3880.9137717505828</v>
      </c>
      <c r="AA9" s="50">
        <f t="shared" si="7"/>
        <v>2972.6235061491316</v>
      </c>
      <c r="AB9" s="51">
        <f t="shared" si="8"/>
        <v>3628.0394239044426</v>
      </c>
      <c r="AC9" s="44">
        <f t="shared" si="8"/>
        <v>2778.9319492840341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1.3941282472671579</v>
      </c>
      <c r="AP9" s="47">
        <f t="shared" si="16"/>
        <v>4.3672879696318105</v>
      </c>
      <c r="AQ9">
        <v>2021</v>
      </c>
    </row>
    <row r="10" spans="1:43" ht="13.5" customHeight="1">
      <c r="A10" s="54">
        <f>SUM(O5:O999)</f>
        <v>1124455.4500000002</v>
      </c>
      <c r="B10" s="97" t="s">
        <v>15</v>
      </c>
      <c r="C10" s="61">
        <v>18230435</v>
      </c>
      <c r="D10" s="61" t="s">
        <v>52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1.3119239183731111E-2</v>
      </c>
      <c r="V10" s="48">
        <f t="shared" si="2"/>
        <v>0.29000000000000004</v>
      </c>
      <c r="W10" s="49">
        <f t="shared" si="3"/>
        <v>1.3119239183731111E-3</v>
      </c>
      <c r="X10" s="44">
        <f t="shared" si="4"/>
        <v>262.6264662988649</v>
      </c>
      <c r="Y10" s="44">
        <f t="shared" si="5"/>
        <v>9.2800000000000011</v>
      </c>
      <c r="Z10" s="44">
        <f t="shared" si="6"/>
        <v>497.94511816364081</v>
      </c>
      <c r="AA10" s="50">
        <f t="shared" si="7"/>
        <v>431.90646629886487</v>
      </c>
      <c r="AB10" s="51">
        <f t="shared" si="8"/>
        <v>465.49978326973991</v>
      </c>
      <c r="AC10" s="44">
        <f t="shared" si="8"/>
        <v>403.76410797313719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0.97972674984182517</v>
      </c>
      <c r="AP10" s="47">
        <f t="shared" si="16"/>
        <v>2.6416069207246395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18230435</v>
      </c>
      <c r="D11" s="61" t="s">
        <v>52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3.1588623631109611E-3</v>
      </c>
      <c r="V11" s="48">
        <f t="shared" si="2"/>
        <v>8.5</v>
      </c>
      <c r="W11" s="49">
        <f t="shared" si="3"/>
        <v>3.158862363110961E-4</v>
      </c>
      <c r="X11" s="44">
        <f t="shared" si="4"/>
        <v>63.23543982467244</v>
      </c>
      <c r="Y11" s="44">
        <f t="shared" si="5"/>
        <v>272</v>
      </c>
      <c r="Z11" s="44">
        <f t="shared" si="6"/>
        <v>119.89567921076815</v>
      </c>
      <c r="AA11" s="50">
        <f t="shared" si="7"/>
        <v>447.23543982467243</v>
      </c>
      <c r="AB11" s="51">
        <f t="shared" si="8"/>
        <v>112.08346191527357</v>
      </c>
      <c r="AC11" s="44">
        <f t="shared" si="8"/>
        <v>418.09426925742957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2.3605534612036743</v>
      </c>
      <c r="AP11" s="47">
        <f t="shared" si="16"/>
        <v>2.3971804771755276</v>
      </c>
      <c r="AQ11">
        <v>2021</v>
      </c>
    </row>
    <row r="12" spans="1:43" ht="13.5" customHeight="1">
      <c r="A12" s="55">
        <f>SUM(P5:P1000)</f>
        <v>142453.81999999998</v>
      </c>
      <c r="B12" s="97" t="s">
        <v>15</v>
      </c>
      <c r="C12" s="61">
        <v>18230435</v>
      </c>
      <c r="D12" s="61" t="s">
        <v>52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1.0485075242420675E-3</v>
      </c>
      <c r="V12" s="48">
        <f t="shared" si="2"/>
        <v>12.14</v>
      </c>
      <c r="W12" s="49">
        <f t="shared" si="3"/>
        <v>1.0485075242420675E-4</v>
      </c>
      <c r="X12" s="44">
        <f t="shared" si="4"/>
        <v>20.989466090452936</v>
      </c>
      <c r="Y12" s="44">
        <f t="shared" si="5"/>
        <v>109.25999999999999</v>
      </c>
      <c r="Z12" s="44">
        <f t="shared" si="6"/>
        <v>39.796454332628294</v>
      </c>
      <c r="AA12" s="50">
        <f t="shared" si="7"/>
        <v>175.24946609045293</v>
      </c>
      <c r="AB12" s="51">
        <f t="shared" si="8"/>
        <v>37.203378828296053</v>
      </c>
      <c r="AC12" s="44">
        <f t="shared" si="8"/>
        <v>163.83048152795448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2.3605534612036734</v>
      </c>
      <c r="AP12" s="47">
        <f t="shared" si="16"/>
        <v>1.8105945600036395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18230435</v>
      </c>
      <c r="D13" s="61" t="s">
        <v>52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-57298.799999999996</v>
      </c>
      <c r="B14" s="97" t="s">
        <v>15</v>
      </c>
      <c r="C14" s="61">
        <v>18230435</v>
      </c>
      <c r="D14" s="61" t="s">
        <v>52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9.7037192536173822E-2</v>
      </c>
      <c r="V14" s="48">
        <f t="shared" si="2"/>
        <v>-6.9700000000000006</v>
      </c>
      <c r="W14" s="49">
        <f t="shared" si="3"/>
        <v>9.7037192536173818E-3</v>
      </c>
      <c r="X14" s="44">
        <f t="shared" si="4"/>
        <v>1942.5314698843774</v>
      </c>
      <c r="Y14" s="44">
        <f t="shared" si="5"/>
        <v>-1507.6599999999999</v>
      </c>
      <c r="Z14" s="44">
        <f t="shared" si="6"/>
        <v>3683.0791501699769</v>
      </c>
      <c r="AA14" s="50">
        <f t="shared" si="7"/>
        <v>4439.8714698843778</v>
      </c>
      <c r="AB14" s="51">
        <f t="shared" si="8"/>
        <v>3443.095400738503</v>
      </c>
      <c r="AC14" s="44">
        <f t="shared" si="8"/>
        <v>4150.5763016587616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2.3605534612036734</v>
      </c>
      <c r="AP14" s="47">
        <f t="shared" si="16"/>
        <v>7.9663930127190303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18230435</v>
      </c>
      <c r="D15" s="61" t="s">
        <v>52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3.7883226053997958E-2</v>
      </c>
      <c r="V15" s="48">
        <f t="shared" si="2"/>
        <v>-9.9600000000000009</v>
      </c>
      <c r="W15" s="49">
        <f t="shared" si="3"/>
        <v>3.7883226053997956E-3</v>
      </c>
      <c r="X15" s="44">
        <f t="shared" si="4"/>
        <v>758.3624058703258</v>
      </c>
      <c r="Y15" s="44">
        <f t="shared" si="5"/>
        <v>-587.6400000000001</v>
      </c>
      <c r="Z15" s="44">
        <f t="shared" si="6"/>
        <v>1437.8705357602205</v>
      </c>
      <c r="AA15" s="50">
        <f t="shared" si="7"/>
        <v>1940.7224058703257</v>
      </c>
      <c r="AB15" s="51">
        <f t="shared" si="8"/>
        <v>1344.1811122372819</v>
      </c>
      <c r="AC15" s="44">
        <f t="shared" si="8"/>
        <v>1814.2679310744372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2.3605534612036734</v>
      </c>
      <c r="AP15" s="47">
        <f t="shared" si="16"/>
        <v>6.3313242135743852</v>
      </c>
      <c r="AQ15">
        <v>2021</v>
      </c>
    </row>
    <row r="16" spans="1:43" ht="13.5" customHeight="1">
      <c r="A16" s="54">
        <f>SUM(U5:U999)</f>
        <v>10.000000000000004</v>
      </c>
      <c r="B16" s="97" t="s">
        <v>15</v>
      </c>
      <c r="C16" s="61">
        <v>18230435</v>
      </c>
      <c r="D16" s="61" t="s">
        <v>52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5.8142810371011218E-2</v>
      </c>
      <c r="V16" s="48">
        <f t="shared" si="2"/>
        <v>8.5</v>
      </c>
      <c r="W16" s="49">
        <f t="shared" si="3"/>
        <v>5.8142810371011218E-3</v>
      </c>
      <c r="X16" s="44">
        <f t="shared" si="4"/>
        <v>1163.9273142728789</v>
      </c>
      <c r="Y16" s="44">
        <f t="shared" si="5"/>
        <v>3795.5</v>
      </c>
      <c r="Z16" s="44">
        <f t="shared" si="6"/>
        <v>2206.8298454732048</v>
      </c>
      <c r="AA16" s="50">
        <f t="shared" si="7"/>
        <v>8231.927314272878</v>
      </c>
      <c r="AB16" s="51">
        <f t="shared" si="8"/>
        <v>2063.0362208780075</v>
      </c>
      <c r="AC16" s="44">
        <f t="shared" si="8"/>
        <v>7695.5476435195633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2.3605534612036703</v>
      </c>
      <c r="AP16" s="47">
        <f t="shared" si="16"/>
        <v>2.6986371481110116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18230435</v>
      </c>
      <c r="D17" s="61" t="s">
        <v>52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2.2601162189217899E-2</v>
      </c>
      <c r="V17" s="48">
        <f t="shared" si="2"/>
        <v>12.399999999999999</v>
      </c>
      <c r="W17" s="49">
        <f t="shared" si="3"/>
        <v>2.2601162189217899E-3</v>
      </c>
      <c r="X17" s="44">
        <f t="shared" si="4"/>
        <v>452.43960239420767</v>
      </c>
      <c r="Y17" s="44">
        <f t="shared" si="5"/>
        <v>1685.6000000000099</v>
      </c>
      <c r="Z17" s="44">
        <f t="shared" si="6"/>
        <v>857.83468228109859</v>
      </c>
      <c r="AA17" s="50">
        <f t="shared" si="7"/>
        <v>3828.0396023942176</v>
      </c>
      <c r="AB17" s="51">
        <f t="shared" si="8"/>
        <v>801.93949918771477</v>
      </c>
      <c r="AC17" s="44">
        <f t="shared" si="8"/>
        <v>3578.6104537666797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2.3605534612036738</v>
      </c>
      <c r="AP17" s="47">
        <f t="shared" si="16"/>
        <v>2.0002562950856513</v>
      </c>
      <c r="AQ17">
        <v>2021</v>
      </c>
    </row>
    <row r="18" spans="1:43" ht="13.5" customHeight="1">
      <c r="A18" s="59">
        <f>A6+A8</f>
        <v>379553.35</v>
      </c>
      <c r="B18" s="97" t="s">
        <v>15</v>
      </c>
      <c r="C18" s="61">
        <v>18230435</v>
      </c>
      <c r="D18" s="61" t="s">
        <v>52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18230435</v>
      </c>
      <c r="D19" s="100" t="s">
        <v>52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61.3</v>
      </c>
      <c r="L19" s="41"/>
      <c r="M19" s="42">
        <v>7</v>
      </c>
      <c r="N19" s="42">
        <v>0.01</v>
      </c>
      <c r="O19" s="43">
        <v>34025.759999999798</v>
      </c>
      <c r="P19" s="44">
        <v>5835.9</v>
      </c>
      <c r="Q19" s="44">
        <v>5.6099999999999497</v>
      </c>
      <c r="R19" s="45">
        <v>14.31</v>
      </c>
      <c r="S19" s="46">
        <v>0</v>
      </c>
      <c r="T19" s="39">
        <f t="shared" si="0"/>
        <v>10</v>
      </c>
      <c r="U19" s="47">
        <f t="shared" si="1"/>
        <v>0.30259767072141269</v>
      </c>
      <c r="V19" s="48">
        <f t="shared" si="2"/>
        <v>-6.99</v>
      </c>
      <c r="W19" s="49">
        <f t="shared" si="3"/>
        <v>3.0259767072141269E-2</v>
      </c>
      <c r="X19" s="44">
        <f t="shared" si="4"/>
        <v>6057.5278687182827</v>
      </c>
      <c r="Y19" s="44">
        <f t="shared" si="5"/>
        <v>-5830.29</v>
      </c>
      <c r="Z19" s="44">
        <f t="shared" si="6"/>
        <v>11485.195962450909</v>
      </c>
      <c r="AA19" s="50">
        <f t="shared" si="7"/>
        <v>6063.1378687182823</v>
      </c>
      <c r="AB19" s="51">
        <f t="shared" si="8"/>
        <v>10736.83833079453</v>
      </c>
      <c r="AC19" s="44">
        <f t="shared" si="8"/>
        <v>5668.0731688494734</v>
      </c>
      <c r="AD19" s="44">
        <f t="shared" si="9"/>
        <v>55866.118417183468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25344.903975214434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25344.903975214434</v>
      </c>
      <c r="AK19" s="44">
        <f>HLOOKUP(I19,ElecAvoidedCostsWOCC!$A$5:$Q$50,G19+1,FALSE)*J19*L19</f>
        <v>0</v>
      </c>
      <c r="AL19" s="44">
        <f t="shared" si="13"/>
        <v>25344.903975214434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25344.903975214434</v>
      </c>
      <c r="AN19" s="48">
        <f t="shared" si="14"/>
        <v>83745.512789919347</v>
      </c>
      <c r="AO19" s="47">
        <f t="shared" si="15"/>
        <v>2.3605556118435942</v>
      </c>
      <c r="AP19" s="47">
        <f t="shared" si="16"/>
        <v>14.774952668248339</v>
      </c>
      <c r="AQ19">
        <v>2020</v>
      </c>
    </row>
    <row r="20" spans="1:43" ht="13.5" customHeight="1">
      <c r="A20" s="59">
        <f>A8+SUM(Q5:Q906)</f>
        <v>285339.23999999993</v>
      </c>
      <c r="B20" s="97" t="s">
        <v>15</v>
      </c>
      <c r="C20" s="100">
        <v>18230435</v>
      </c>
      <c r="D20" s="100" t="s">
        <v>52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40.1</v>
      </c>
      <c r="L20" s="41"/>
      <c r="M20" s="42">
        <v>7</v>
      </c>
      <c r="N20" s="42">
        <v>0.01</v>
      </c>
      <c r="O20" s="43">
        <v>40781.699999999997</v>
      </c>
      <c r="P20" s="44">
        <v>7119</v>
      </c>
      <c r="Q20" s="44">
        <v>10.17</v>
      </c>
      <c r="R20" s="45">
        <v>9.3000000000000007</v>
      </c>
      <c r="S20" s="46">
        <v>0</v>
      </c>
      <c r="T20" s="39">
        <f t="shared" si="0"/>
        <v>10</v>
      </c>
      <c r="U20" s="47">
        <f t="shared" si="1"/>
        <v>0.36267955302275418</v>
      </c>
      <c r="V20" s="48">
        <f t="shared" si="2"/>
        <v>-6.99</v>
      </c>
      <c r="W20" s="49">
        <f t="shared" si="3"/>
        <v>3.6267955302275418E-2</v>
      </c>
      <c r="X20" s="44">
        <f t="shared" si="4"/>
        <v>7260.2723431808681</v>
      </c>
      <c r="Y20" s="44">
        <f t="shared" si="5"/>
        <v>-7108.83</v>
      </c>
      <c r="Z20" s="44">
        <f t="shared" si="6"/>
        <v>13765.623932628896</v>
      </c>
      <c r="AA20" s="50">
        <f t="shared" si="7"/>
        <v>7270.4423431808682</v>
      </c>
      <c r="AB20" s="51">
        <f t="shared" si="8"/>
        <v>12868.677136233426</v>
      </c>
      <c r="AC20" s="44">
        <f t="shared" si="8"/>
        <v>6796.7115482666795</v>
      </c>
      <c r="AD20" s="44">
        <f t="shared" si="9"/>
        <v>66521.955862576448</v>
      </c>
      <c r="AE20" s="44">
        <f t="shared" si="17"/>
        <v>0</v>
      </c>
      <c r="AF20" s="52">
        <f>HLOOKUP(I20,ElecAvoidedCostsWOCC!$A$5:$Q$50,G20+1,FALSE)</f>
        <v>0.74487332198138856</v>
      </c>
      <c r="AG20" s="44">
        <f t="shared" si="10"/>
        <v>30377.200355048393</v>
      </c>
      <c r="AH20" s="52">
        <f>HLOOKUP(I20,ElecAvoidedCostsWOCC!$A$5:$Q$50,T20+1,FALSE)</f>
        <v>0.74487332198138856</v>
      </c>
      <c r="AI20" s="44">
        <f t="shared" si="11"/>
        <v>0</v>
      </c>
      <c r="AJ20" s="44">
        <f t="shared" si="12"/>
        <v>30377.200355048393</v>
      </c>
      <c r="AK20" s="44">
        <f>HLOOKUP(I20,ElecAvoidedCostsWOCC!$A$5:$Q$50,G20+1,FALSE)*J20*L20</f>
        <v>0</v>
      </c>
      <c r="AL20" s="44">
        <f t="shared" si="13"/>
        <v>30377.200355048393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30377.200355048397</v>
      </c>
      <c r="AN20" s="48">
        <f t="shared" si="14"/>
        <v>99936.876253129682</v>
      </c>
      <c r="AO20" s="47">
        <f t="shared" si="15"/>
        <v>2.3605534612036738</v>
      </c>
      <c r="AP20" s="47">
        <f t="shared" si="16"/>
        <v>14.703710102073689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18230435</v>
      </c>
      <c r="D21" s="100" t="s">
        <v>52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14.9</v>
      </c>
      <c r="L21" s="41"/>
      <c r="M21" s="42">
        <v>2.1</v>
      </c>
      <c r="N21" s="42">
        <v>0.01</v>
      </c>
      <c r="O21" s="43">
        <v>23390.320000000102</v>
      </c>
      <c r="P21" s="44">
        <v>7021.6999999999498</v>
      </c>
      <c r="Q21" s="44">
        <v>15.6999999999998</v>
      </c>
      <c r="R21" s="45">
        <v>3.41</v>
      </c>
      <c r="S21" s="46">
        <v>0</v>
      </c>
      <c r="T21" s="39">
        <f t="shared" si="0"/>
        <v>10</v>
      </c>
      <c r="U21" s="47">
        <f t="shared" si="1"/>
        <v>0.20801464388829363</v>
      </c>
      <c r="V21" s="48">
        <f t="shared" si="2"/>
        <v>-2.0900000000000003</v>
      </c>
      <c r="W21" s="49">
        <f t="shared" si="3"/>
        <v>2.0801464388829363E-2</v>
      </c>
      <c r="X21" s="44">
        <f t="shared" si="4"/>
        <v>4164.1249235355826</v>
      </c>
      <c r="Y21" s="44">
        <f t="shared" si="5"/>
        <v>-7005.99999999995</v>
      </c>
      <c r="Z21" s="44">
        <f t="shared" si="6"/>
        <v>7895.2654936858871</v>
      </c>
      <c r="AA21" s="50">
        <f t="shared" si="7"/>
        <v>4179.8249235355825</v>
      </c>
      <c r="AB21" s="51">
        <f t="shared" ref="AB21:AC24" si="18">Z21/(1+ElecDiscountRate)^1</f>
        <v>7380.8221872355671</v>
      </c>
      <c r="AC21" s="44">
        <f t="shared" si="18"/>
        <v>3907.4739866650293</v>
      </c>
      <c r="AD21" s="44">
        <f t="shared" si="9"/>
        <v>37650.031605181503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17422.82387086107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17422.82387086107</v>
      </c>
      <c r="AK21" s="44">
        <f>HLOOKUP(I21,ElecAvoidedCostsWOCC!$A$5:$Q$50,G21+1,FALSE)*J21*L21</f>
        <v>0</v>
      </c>
      <c r="AL21" s="44">
        <f t="shared" si="13"/>
        <v>17422.82387086107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17422.823870861066</v>
      </c>
      <c r="AN21" s="48">
        <f t="shared" si="14"/>
        <v>56815.137863128679</v>
      </c>
      <c r="AO21" s="47">
        <f t="shared" si="15"/>
        <v>2.3605532593634608</v>
      </c>
      <c r="AP21" s="47">
        <f t="shared" si="16"/>
        <v>14.540119283460553</v>
      </c>
      <c r="AQ21">
        <v>2020</v>
      </c>
    </row>
    <row r="22" spans="1:43" ht="13.5" customHeight="1">
      <c r="A22" s="60">
        <f>(SUM(AM5:AM1000)/(SUM(AB5:AB1000)))</f>
        <v>1.5925169082855231</v>
      </c>
      <c r="B22" s="97" t="s">
        <v>15</v>
      </c>
      <c r="C22" s="100">
        <v>18230435</v>
      </c>
      <c r="D22" s="100" t="s">
        <v>52</v>
      </c>
      <c r="E22" s="38" t="s">
        <v>1917</v>
      </c>
      <c r="F22" s="39" t="s">
        <v>1918</v>
      </c>
      <c r="G22" s="39">
        <v>10</v>
      </c>
      <c r="H22" s="39"/>
      <c r="I22" s="40" t="s">
        <v>265</v>
      </c>
      <c r="J22" s="41">
        <v>235</v>
      </c>
      <c r="K22" s="41">
        <v>74.099999999999994</v>
      </c>
      <c r="L22" s="41"/>
      <c r="M22" s="42">
        <v>10</v>
      </c>
      <c r="N22" s="42">
        <v>0.01</v>
      </c>
      <c r="O22" s="43">
        <v>17413.5</v>
      </c>
      <c r="P22" s="44">
        <v>3159</v>
      </c>
      <c r="Q22" s="44">
        <v>2.35</v>
      </c>
      <c r="R22" s="45">
        <v>14.31</v>
      </c>
      <c r="S22" s="46">
        <v>0</v>
      </c>
      <c r="T22" s="39">
        <f t="shared" si="0"/>
        <v>10</v>
      </c>
      <c r="U22" s="47">
        <f t="shared" si="1"/>
        <v>0.15486162657666869</v>
      </c>
      <c r="V22" s="48">
        <f t="shared" si="2"/>
        <v>-9.99</v>
      </c>
      <c r="W22" s="49">
        <f t="shared" si="3"/>
        <v>1.548616265766687E-2</v>
      </c>
      <c r="X22" s="44">
        <f t="shared" si="4"/>
        <v>3100.0853924181688</v>
      </c>
      <c r="Y22" s="44">
        <f t="shared" si="5"/>
        <v>-3156.65</v>
      </c>
      <c r="Z22" s="44">
        <f t="shared" si="6"/>
        <v>5877.8249153623638</v>
      </c>
      <c r="AA22" s="50">
        <f t="shared" si="7"/>
        <v>3102.4353924181687</v>
      </c>
      <c r="AB22" s="51">
        <f t="shared" si="18"/>
        <v>5494.8349213446418</v>
      </c>
      <c r="AC22" s="44">
        <f t="shared" si="18"/>
        <v>2900.2854935198357</v>
      </c>
      <c r="AD22" s="44">
        <f t="shared" si="9"/>
        <v>23652.039973405361</v>
      </c>
      <c r="AE22" s="44">
        <f t="shared" si="17"/>
        <v>0</v>
      </c>
      <c r="AF22" s="52">
        <f>HLOOKUP(I22,ElecAvoidedCostsWOCC!$A$5:$Q$50,G22+1,FALSE)</f>
        <v>0.74487332198138856</v>
      </c>
      <c r="AG22" s="44">
        <f t="shared" si="10"/>
        <v>12970.85159232291</v>
      </c>
      <c r="AH22" s="52">
        <f>HLOOKUP(I22,ElecAvoidedCostsWOCC!$A$5:$Q$50,T22+1,FALSE)</f>
        <v>0.74487332198138856</v>
      </c>
      <c r="AI22" s="44">
        <f t="shared" si="11"/>
        <v>0</v>
      </c>
      <c r="AJ22" s="44">
        <f t="shared" si="12"/>
        <v>12970.85159232291</v>
      </c>
      <c r="AK22" s="44">
        <f>HLOOKUP(I22,ElecAvoidedCostsWOCC!$A$5:$Q$50,G22+1,FALSE)*J22*L22</f>
        <v>0</v>
      </c>
      <c r="AL22" s="44">
        <f t="shared" si="13"/>
        <v>12970.85159232291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12970.851592322908</v>
      </c>
      <c r="AN22" s="48">
        <f t="shared" si="14"/>
        <v>37919.976724960565</v>
      </c>
      <c r="AO22" s="47">
        <f t="shared" si="15"/>
        <v>2.3605534612036734</v>
      </c>
      <c r="AP22" s="47">
        <f t="shared" si="16"/>
        <v>13.074566903736169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18230435</v>
      </c>
      <c r="D23" s="100" t="s">
        <v>52</v>
      </c>
      <c r="E23" s="38" t="s">
        <v>1919</v>
      </c>
      <c r="F23" s="39" t="s">
        <v>1920</v>
      </c>
      <c r="G23" s="39">
        <v>10</v>
      </c>
      <c r="H23" s="39"/>
      <c r="I23" s="40" t="s">
        <v>265</v>
      </c>
      <c r="J23" s="41">
        <v>516</v>
      </c>
      <c r="K23" s="41">
        <v>48.5</v>
      </c>
      <c r="L23" s="41"/>
      <c r="M23" s="42">
        <v>10</v>
      </c>
      <c r="N23" s="42">
        <v>0.01</v>
      </c>
      <c r="O23" s="43">
        <v>25026</v>
      </c>
      <c r="P23" s="44">
        <v>5160</v>
      </c>
      <c r="Q23" s="44">
        <v>5.16</v>
      </c>
      <c r="R23" s="45">
        <v>9.3000000000000007</v>
      </c>
      <c r="S23" s="46">
        <v>0</v>
      </c>
      <c r="T23" s="39">
        <f t="shared" si="0"/>
        <v>10</v>
      </c>
      <c r="U23" s="47">
        <f t="shared" si="1"/>
        <v>0.22256106277932125</v>
      </c>
      <c r="V23" s="48">
        <f t="shared" si="2"/>
        <v>-9.99</v>
      </c>
      <c r="W23" s="49">
        <f t="shared" si="3"/>
        <v>2.2256106277932126E-2</v>
      </c>
      <c r="X23" s="44">
        <f t="shared" si="4"/>
        <v>4455.3212754849455</v>
      </c>
      <c r="Y23" s="44">
        <f t="shared" si="5"/>
        <v>-5154.84</v>
      </c>
      <c r="Z23" s="44">
        <f t="shared" si="6"/>
        <v>8447.3796957451705</v>
      </c>
      <c r="AA23" s="50">
        <f t="shared" si="7"/>
        <v>4460.4812754849454</v>
      </c>
      <c r="AB23" s="51">
        <f t="shared" si="18"/>
        <v>7896.9614805507799</v>
      </c>
      <c r="AC23" s="44">
        <f t="shared" si="18"/>
        <v>4169.8432041553197</v>
      </c>
      <c r="AD23" s="44">
        <f t="shared" si="9"/>
        <v>33751.55282702994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18641.199755906229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18641.199755906229</v>
      </c>
      <c r="AK23" s="44">
        <f>HLOOKUP(I23,ElecAvoidedCostsWOCC!$A$5:$Q$50,G23+1,FALSE)*J23*L23</f>
        <v>0</v>
      </c>
      <c r="AL23" s="44">
        <f t="shared" si="13"/>
        <v>18641.199755906229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18641.199755906233</v>
      </c>
      <c r="AN23" s="48">
        <f t="shared" si="14"/>
        <v>54256.872558526797</v>
      </c>
      <c r="AO23" s="47">
        <f t="shared" si="15"/>
        <v>2.3605534612036738</v>
      </c>
      <c r="AP23" s="47">
        <f t="shared" si="16"/>
        <v>13.011729674741463</v>
      </c>
      <c r="AQ23">
        <v>2020</v>
      </c>
    </row>
    <row r="24" spans="1:43" ht="13.5" customHeight="1">
      <c r="A24" s="60">
        <f>(SUM(AN5:AN1000)/SUM(AC5:AC1000))</f>
        <v>5.9543020605287014</v>
      </c>
      <c r="B24" s="97" t="s">
        <v>15</v>
      </c>
      <c r="C24" s="61">
        <v>18230435</v>
      </c>
      <c r="D24" s="61" t="s">
        <v>52</v>
      </c>
      <c r="E24" s="38" t="s">
        <v>1921</v>
      </c>
      <c r="F24" s="39" t="s">
        <v>1922</v>
      </c>
      <c r="G24" s="39">
        <v>10</v>
      </c>
      <c r="H24" s="39"/>
      <c r="I24" s="40" t="s">
        <v>265</v>
      </c>
      <c r="J24" s="41">
        <v>716</v>
      </c>
      <c r="K24" s="41">
        <v>18.100000000000001</v>
      </c>
      <c r="L24" s="41"/>
      <c r="M24" s="42">
        <v>3</v>
      </c>
      <c r="N24" s="42">
        <v>0.01</v>
      </c>
      <c r="O24" s="43">
        <v>12959.6</v>
      </c>
      <c r="P24" s="44">
        <v>4770</v>
      </c>
      <c r="Q24" s="44">
        <v>7.1599999999999602</v>
      </c>
      <c r="R24" s="45">
        <v>3.41</v>
      </c>
      <c r="S24" s="46">
        <v>0</v>
      </c>
      <c r="T24" s="39">
        <f t="shared" si="0"/>
        <v>10</v>
      </c>
      <c r="U24" s="47">
        <f t="shared" si="1"/>
        <v>0.11525223164688292</v>
      </c>
      <c r="V24" s="48">
        <f t="shared" si="2"/>
        <v>-2.99</v>
      </c>
      <c r="W24" s="49">
        <f t="shared" si="3"/>
        <v>1.1525223164688292E-2</v>
      </c>
      <c r="X24" s="44">
        <f t="shared" si="4"/>
        <v>2307.167809549057</v>
      </c>
      <c r="Y24" s="44">
        <f t="shared" si="5"/>
        <v>-4762.84</v>
      </c>
      <c r="Z24" s="44">
        <f t="shared" si="6"/>
        <v>4374.4370616550423</v>
      </c>
      <c r="AA24" s="50">
        <f t="shared" si="7"/>
        <v>2314.3278095490568</v>
      </c>
      <c r="AB24" s="51">
        <f t="shared" si="18"/>
        <v>4089.4054984154827</v>
      </c>
      <c r="AC24" s="44">
        <f t="shared" si="18"/>
        <v>2163.5297836300429</v>
      </c>
      <c r="AD24" s="44">
        <f t="shared" si="9"/>
        <v>17172.301683829963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9653.2603035500033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9653.2603035500033</v>
      </c>
      <c r="AK24" s="44">
        <f>HLOOKUP(I24,ElecAvoidedCostsWOCC!$A$5:$Q$50,G24+1,FALSE)*J24*L24</f>
        <v>0</v>
      </c>
      <c r="AL24" s="44">
        <f t="shared" si="13"/>
        <v>9653.2603035500033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9653.2603035500033</v>
      </c>
      <c r="AN24" s="48">
        <f t="shared" si="14"/>
        <v>27790.888017734967</v>
      </c>
      <c r="AO24" s="47">
        <f t="shared" si="15"/>
        <v>2.3605534612036738</v>
      </c>
      <c r="AP24" s="47">
        <f t="shared" si="16"/>
        <v>12.845160823765728</v>
      </c>
      <c r="AQ24">
        <v>2020</v>
      </c>
    </row>
    <row r="25" spans="1:43" ht="13.5" customHeight="1">
      <c r="B25" s="97" t="s">
        <v>15</v>
      </c>
      <c r="C25" s="61">
        <v>18230435</v>
      </c>
      <c r="D25" s="61" t="s">
        <v>52</v>
      </c>
      <c r="E25" s="38" t="s">
        <v>1927</v>
      </c>
      <c r="F25" s="39" t="s">
        <v>1928</v>
      </c>
      <c r="G25" s="39"/>
      <c r="H25" s="39"/>
      <c r="I25" s="40" t="s">
        <v>265</v>
      </c>
      <c r="J25" s="41">
        <v>16</v>
      </c>
      <c r="K25" s="41">
        <v>0</v>
      </c>
      <c r="L25" s="41"/>
      <c r="M25" s="42">
        <v>10</v>
      </c>
      <c r="N25" s="42">
        <v>0.01</v>
      </c>
      <c r="O25" s="43">
        <v>0</v>
      </c>
      <c r="P25" s="44">
        <v>240</v>
      </c>
      <c r="Q25" s="44">
        <v>0.16</v>
      </c>
      <c r="R25" s="45"/>
      <c r="S25" s="46">
        <v>0</v>
      </c>
      <c r="T25" s="39">
        <f t="shared" ref="T25:T60" si="19">G25+H25</f>
        <v>0</v>
      </c>
      <c r="U25" s="47">
        <f t="shared" ref="U25:U60" si="20">(O25/$A$10)*T25</f>
        <v>0</v>
      </c>
      <c r="V25" s="48">
        <f t="shared" ref="V25:V60" si="21">N25-M25</f>
        <v>-9.99</v>
      </c>
      <c r="W25" s="49">
        <f t="shared" ref="W25:W60" si="22">(O25/A$10)</f>
        <v>0</v>
      </c>
      <c r="X25" s="44">
        <f t="shared" ref="X25:X60" si="23">W25*A$8</f>
        <v>0</v>
      </c>
      <c r="Y25" s="44">
        <f t="shared" ref="Y25:Y60" si="24">Q25-P25</f>
        <v>-239.84</v>
      </c>
      <c r="Z25" s="44">
        <f t="shared" ref="Z25:Z60" si="25">X25+(A$6*W25)</f>
        <v>0</v>
      </c>
      <c r="AA25" s="50">
        <f t="shared" ref="AA25:AA60" si="26">Q25+X25</f>
        <v>0.16</v>
      </c>
      <c r="AB25" s="51">
        <f t="shared" ref="AB25:AB60" si="27">Z25/(1+ElecDiscountRate)^1</f>
        <v>0</v>
      </c>
      <c r="AC25" s="44">
        <f t="shared" ref="AC25:AC60" si="28">AA25/(1+ElecDiscountRate)^1</f>
        <v>0.14957464709731699</v>
      </c>
      <c r="AD25" s="44">
        <f t="shared" ref="AD25:AD60" si="29">-PV(ElecDiscountRate,T25,R25)*J25</f>
        <v>0</v>
      </c>
      <c r="AE25" s="44">
        <f t="shared" ref="AE25:AE60" si="30">-PV(ElecDiscountRate,T25,S25)*J25</f>
        <v>0</v>
      </c>
      <c r="AF25" s="52" t="str">
        <f>HLOOKUP(I25,ElecAvoidedCostsWOCC!$A$5:$Q$50,G25+1,FALSE)</f>
        <v>Res Water Heat</v>
      </c>
      <c r="AG25" s="44" t="e">
        <f t="shared" ref="AG25:AG60" si="31">AF25*J25*K25</f>
        <v>#VALUE!</v>
      </c>
      <c r="AH25" s="52" t="str">
        <f>HLOOKUP(I25,ElecAvoidedCostsWOCC!$A$5:$Q$50,T25+1,FALSE)</f>
        <v>Res Water Heat</v>
      </c>
      <c r="AI25" s="44" t="e">
        <f t="shared" ref="AI25:AI60" si="32">AH25*J25*L25</f>
        <v>#VALUE!</v>
      </c>
      <c r="AJ25" s="44" t="e">
        <f t="shared" ref="AJ25:AJ60" si="33">AG25+AI25</f>
        <v>#VALUE!</v>
      </c>
      <c r="AK25" s="44" t="e">
        <f>HLOOKUP(I25,ElecAvoidedCostsWOCC!$A$5:$Q$50,G25+1,FALSE)*J25*L25</f>
        <v>#VALUE!</v>
      </c>
      <c r="AL25" s="44" t="e">
        <f t="shared" ref="AL25:AL60" si="34">AG25+AI25-AK25</f>
        <v>#VALUE!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60" si="35">AM25*1.1+AD25+AE25</f>
        <v>0</v>
      </c>
      <c r="AO25" s="47">
        <f t="shared" ref="AO25:AO60" si="36">IFERROR(AM25/AB25,0)</f>
        <v>0</v>
      </c>
      <c r="AP25" s="47">
        <f t="shared" ref="AP25:AP60" si="37">AN25/AC25</f>
        <v>0</v>
      </c>
      <c r="AQ25">
        <v>2020</v>
      </c>
    </row>
    <row r="26" spans="1:43" ht="13.5" customHeight="1">
      <c r="B26" s="97" t="s">
        <v>15</v>
      </c>
      <c r="C26" s="61">
        <v>18230435</v>
      </c>
      <c r="D26" s="61" t="s">
        <v>52</v>
      </c>
      <c r="E26" s="38" t="s">
        <v>1929</v>
      </c>
      <c r="F26" s="39" t="s">
        <v>1928</v>
      </c>
      <c r="G26" s="39"/>
      <c r="H26" s="39"/>
      <c r="I26" s="40" t="s">
        <v>265</v>
      </c>
      <c r="J26" s="41">
        <v>19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285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-285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str">
        <f>HLOOKUP(I26,ElecAvoidedCostsWOCC!$A$5:$Q$50,G26+1,FALSE)</f>
        <v>Res Water Heat</v>
      </c>
      <c r="AG26" s="44" t="e">
        <f t="shared" si="31"/>
        <v>#VALUE!</v>
      </c>
      <c r="AH26" s="52" t="str">
        <f>HLOOKUP(I26,ElecAvoidedCostsWOCC!$A$5:$Q$50,T26+1,FALSE)</f>
        <v>Res Water Heat</v>
      </c>
      <c r="AI26" s="44" t="e">
        <f t="shared" si="32"/>
        <v>#VALUE!</v>
      </c>
      <c r="AJ26" s="44" t="e">
        <f t="shared" si="33"/>
        <v>#VALUE!</v>
      </c>
      <c r="AK26" s="44" t="e">
        <f>HLOOKUP(I26,ElecAvoidedCostsWOCC!$A$5:$Q$50,G26+1,FALSE)*J26*L26</f>
        <v>#VALUE!</v>
      </c>
      <c r="AL26" s="44" t="e">
        <f t="shared" si="34"/>
        <v>#VALUE!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15</v>
      </c>
      <c r="C27" s="61">
        <v>18230435</v>
      </c>
      <c r="D27" s="61" t="s">
        <v>52</v>
      </c>
      <c r="E27" s="38" t="s">
        <v>1930</v>
      </c>
      <c r="F27" s="39" t="s">
        <v>1931</v>
      </c>
      <c r="G27" s="39">
        <v>10</v>
      </c>
      <c r="H27" s="39"/>
      <c r="I27" s="40" t="s">
        <v>265</v>
      </c>
      <c r="J27" s="41">
        <v>374</v>
      </c>
      <c r="K27" s="41">
        <v>12</v>
      </c>
      <c r="L27" s="41"/>
      <c r="M27" s="42">
        <v>1.81</v>
      </c>
      <c r="N27" s="42">
        <v>1.81</v>
      </c>
      <c r="O27" s="43">
        <v>4488</v>
      </c>
      <c r="P27" s="44">
        <v>224.4</v>
      </c>
      <c r="Q27" s="44">
        <v>676.94000000000096</v>
      </c>
      <c r="R27" s="45">
        <v>2.74</v>
      </c>
      <c r="S27" s="46">
        <v>0</v>
      </c>
      <c r="T27" s="39">
        <f t="shared" si="19"/>
        <v>10</v>
      </c>
      <c r="U27" s="47">
        <f t="shared" si="20"/>
        <v>3.9912652831199311E-2</v>
      </c>
      <c r="V27" s="48">
        <f t="shared" si="21"/>
        <v>0</v>
      </c>
      <c r="W27" s="49">
        <f t="shared" si="22"/>
        <v>3.9912652831199311E-3</v>
      </c>
      <c r="X27" s="44">
        <f t="shared" si="23"/>
        <v>798.9883275144424</v>
      </c>
      <c r="Y27" s="44">
        <f t="shared" si="24"/>
        <v>452.54000000000099</v>
      </c>
      <c r="Z27" s="44">
        <f t="shared" si="25"/>
        <v>1514.898108946868</v>
      </c>
      <c r="AA27" s="50">
        <f t="shared" si="26"/>
        <v>1475.9283275144435</v>
      </c>
      <c r="AB27" s="51">
        <f t="shared" si="27"/>
        <v>1416.189687713254</v>
      </c>
      <c r="AC27" s="44">
        <f t="shared" si="28"/>
        <v>1379.7591170556636</v>
      </c>
      <c r="AD27" s="44">
        <f t="shared" si="29"/>
        <v>7207.4771349143966</v>
      </c>
      <c r="AE27" s="44">
        <f t="shared" si="30"/>
        <v>0</v>
      </c>
      <c r="AF27" s="52">
        <f>HLOOKUP(I27,ElecAvoidedCostsWOCC!$A$5:$Q$50,G27+1,FALSE)</f>
        <v>0.74487332198138856</v>
      </c>
      <c r="AG27" s="44">
        <f t="shared" si="31"/>
        <v>3342.991469052472</v>
      </c>
      <c r="AH27" s="52">
        <f>HLOOKUP(I27,ElecAvoidedCostsWOCC!$A$5:$Q$50,T27+1,FALSE)</f>
        <v>0.74487332198138856</v>
      </c>
      <c r="AI27" s="44">
        <f t="shared" si="32"/>
        <v>0</v>
      </c>
      <c r="AJ27" s="44">
        <f t="shared" si="33"/>
        <v>3342.991469052472</v>
      </c>
      <c r="AK27" s="44">
        <f>HLOOKUP(I27,ElecAvoidedCostsWOCC!$A$5:$Q$50,G27+1,FALSE)*J27*L27</f>
        <v>0</v>
      </c>
      <c r="AL27" s="44">
        <f t="shared" si="34"/>
        <v>3342.991469052472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3342.991469052472</v>
      </c>
      <c r="AN27" s="48">
        <f t="shared" si="35"/>
        <v>10884.767750872117</v>
      </c>
      <c r="AO27" s="47">
        <f t="shared" si="36"/>
        <v>2.3605534612036743</v>
      </c>
      <c r="AP27" s="47">
        <f t="shared" si="37"/>
        <v>7.8888898912294652</v>
      </c>
      <c r="AQ27">
        <v>2020</v>
      </c>
    </row>
    <row r="28" spans="1:43" ht="13.5" customHeight="1">
      <c r="B28" s="97" t="s">
        <v>15</v>
      </c>
      <c r="C28" s="61">
        <v>18230435</v>
      </c>
      <c r="D28" s="61" t="s">
        <v>52</v>
      </c>
      <c r="E28" s="38" t="s">
        <v>1932</v>
      </c>
      <c r="F28" s="39" t="s">
        <v>1931</v>
      </c>
      <c r="G28" s="39">
        <v>10</v>
      </c>
      <c r="H28" s="39"/>
      <c r="I28" s="40" t="s">
        <v>265</v>
      </c>
      <c r="J28" s="41">
        <v>327.12</v>
      </c>
      <c r="K28" s="41">
        <v>10.3</v>
      </c>
      <c r="L28" s="41"/>
      <c r="M28" s="42">
        <v>1.81</v>
      </c>
      <c r="N28" s="42">
        <v>1.81</v>
      </c>
      <c r="O28" s="43">
        <v>3369.3199999999902</v>
      </c>
      <c r="P28" s="44">
        <v>206.4</v>
      </c>
      <c r="Q28" s="44">
        <v>592.1</v>
      </c>
      <c r="R28" s="45">
        <v>2.74</v>
      </c>
      <c r="S28" s="46">
        <v>0</v>
      </c>
      <c r="T28" s="39">
        <f t="shared" si="19"/>
        <v>10</v>
      </c>
      <c r="U28" s="47">
        <f t="shared" si="20"/>
        <v>2.996401502611766E-2</v>
      </c>
      <c r="V28" s="48">
        <f t="shared" si="21"/>
        <v>0</v>
      </c>
      <c r="W28" s="49">
        <f t="shared" si="22"/>
        <v>2.9964015026117661E-3</v>
      </c>
      <c r="X28" s="44">
        <f t="shared" si="23"/>
        <v>599.83229760716426</v>
      </c>
      <c r="Y28" s="44">
        <f t="shared" si="24"/>
        <v>385.70000000000005</v>
      </c>
      <c r="Z28" s="44">
        <f t="shared" si="25"/>
        <v>1137.2942282613294</v>
      </c>
      <c r="AA28" s="50">
        <f t="shared" si="26"/>
        <v>1191.9322976071644</v>
      </c>
      <c r="AB28" s="51">
        <f t="shared" si="27"/>
        <v>1063.1898927375239</v>
      </c>
      <c r="AC28" s="44">
        <f t="shared" si="28"/>
        <v>1114.2678298655364</v>
      </c>
      <c r="AD28" s="44">
        <f t="shared" si="29"/>
        <v>6304.0372202491908</v>
      </c>
      <c r="AE28" s="44">
        <f t="shared" si="30"/>
        <v>0</v>
      </c>
      <c r="AF28" s="52">
        <f>HLOOKUP(I28,ElecAvoidedCostsWOCC!$A$5:$Q$50,G28+1,FALSE)</f>
        <v>0.74487332198138856</v>
      </c>
      <c r="AG28" s="44">
        <f t="shared" si="31"/>
        <v>2509.7284991914839</v>
      </c>
      <c r="AH28" s="52">
        <f>HLOOKUP(I28,ElecAvoidedCostsWOCC!$A$5:$Q$50,T28+1,FALSE)</f>
        <v>0.74487332198138856</v>
      </c>
      <c r="AI28" s="44">
        <f t="shared" si="32"/>
        <v>0</v>
      </c>
      <c r="AJ28" s="44">
        <f t="shared" si="33"/>
        <v>2509.7284991914839</v>
      </c>
      <c r="AK28" s="44">
        <f>HLOOKUP(I28,ElecAvoidedCostsWOCC!$A$5:$Q$50,G28+1,FALSE)*J28*L28</f>
        <v>0</v>
      </c>
      <c r="AL28" s="44">
        <f t="shared" si="34"/>
        <v>2509.7284991914839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2509.7284991914839</v>
      </c>
      <c r="AN28" s="48">
        <f t="shared" si="35"/>
        <v>9064.7385693598226</v>
      </c>
      <c r="AO28" s="47">
        <f t="shared" si="36"/>
        <v>2.3605646708410495</v>
      </c>
      <c r="AP28" s="47">
        <f t="shared" si="37"/>
        <v>8.1351523631923435</v>
      </c>
      <c r="AQ28">
        <v>2020</v>
      </c>
    </row>
    <row r="29" spans="1:43">
      <c r="B29" s="97" t="s">
        <v>15</v>
      </c>
      <c r="C29" s="61">
        <v>18230435</v>
      </c>
      <c r="D29" s="61" t="s">
        <v>52</v>
      </c>
      <c r="E29" s="38" t="s">
        <v>1933</v>
      </c>
      <c r="F29" s="39" t="s">
        <v>1934</v>
      </c>
      <c r="G29" s="39">
        <v>10</v>
      </c>
      <c r="H29" s="39"/>
      <c r="I29" s="40" t="s">
        <v>265</v>
      </c>
      <c r="J29" s="41">
        <v>1020.24</v>
      </c>
      <c r="K29" s="41">
        <v>10</v>
      </c>
      <c r="L29" s="41"/>
      <c r="M29" s="42">
        <v>1.27</v>
      </c>
      <c r="N29" s="42">
        <v>1.27</v>
      </c>
      <c r="O29" s="43">
        <v>10202.4</v>
      </c>
      <c r="P29" s="44">
        <v>448.55999999999699</v>
      </c>
      <c r="Q29" s="44">
        <v>1295.70999999999</v>
      </c>
      <c r="R29" s="45">
        <v>2.74</v>
      </c>
      <c r="S29" s="46">
        <v>0</v>
      </c>
      <c r="T29" s="39">
        <f t="shared" si="19"/>
        <v>10</v>
      </c>
      <c r="U29" s="47">
        <f t="shared" si="20"/>
        <v>9.0731918280977666E-2</v>
      </c>
      <c r="V29" s="48">
        <f t="shared" si="21"/>
        <v>0</v>
      </c>
      <c r="W29" s="49">
        <f t="shared" si="22"/>
        <v>9.073191828097767E-3</v>
      </c>
      <c r="X29" s="44">
        <f t="shared" si="23"/>
        <v>1816.3098290181254</v>
      </c>
      <c r="Y29" s="44">
        <f t="shared" si="24"/>
        <v>847.14999999999304</v>
      </c>
      <c r="Z29" s="44">
        <f t="shared" si="25"/>
        <v>3443.7603535471317</v>
      </c>
      <c r="AA29" s="50">
        <f t="shared" si="26"/>
        <v>3112.0198290181152</v>
      </c>
      <c r="AB29" s="51">
        <f t="shared" si="27"/>
        <v>3219.3702473096487</v>
      </c>
      <c r="AC29" s="44">
        <f t="shared" si="28"/>
        <v>2909.2454230327335</v>
      </c>
      <c r="AD29" s="44">
        <f t="shared" si="29"/>
        <v>19661.380941510866</v>
      </c>
      <c r="AE29" s="44">
        <f t="shared" si="30"/>
        <v>0</v>
      </c>
      <c r="AF29" s="52">
        <f>HLOOKUP(I29,ElecAvoidedCostsWOCC!$A$5:$Q$50,G29+1,FALSE)</f>
        <v>0.74487332198138856</v>
      </c>
      <c r="AG29" s="44">
        <f t="shared" si="31"/>
        <v>7599.4955801829192</v>
      </c>
      <c r="AH29" s="52">
        <f>HLOOKUP(I29,ElecAvoidedCostsWOCC!$A$5:$Q$50,T29+1,FALSE)</f>
        <v>0.74487332198138856</v>
      </c>
      <c r="AI29" s="44">
        <f t="shared" si="32"/>
        <v>0</v>
      </c>
      <c r="AJ29" s="44">
        <f t="shared" si="33"/>
        <v>7599.4955801829192</v>
      </c>
      <c r="AK29" s="44">
        <f>HLOOKUP(I29,ElecAvoidedCostsWOCC!$A$5:$Q$50,G29+1,FALSE)*J29*L29</f>
        <v>0</v>
      </c>
      <c r="AL29" s="44">
        <f t="shared" si="34"/>
        <v>7599.4955801829192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7599.4955801829183</v>
      </c>
      <c r="AN29" s="48">
        <f t="shared" si="35"/>
        <v>28020.826079712075</v>
      </c>
      <c r="AO29" s="47">
        <f t="shared" si="36"/>
        <v>2.3605534612036738</v>
      </c>
      <c r="AP29" s="47">
        <f t="shared" si="37"/>
        <v>9.6316473879683393</v>
      </c>
      <c r="AQ29">
        <v>2020</v>
      </c>
    </row>
    <row r="30" spans="1:43">
      <c r="B30" s="97" t="s">
        <v>15</v>
      </c>
      <c r="C30" s="61">
        <v>18230435</v>
      </c>
      <c r="D30" s="61" t="s">
        <v>52</v>
      </c>
      <c r="E30" s="38" t="s">
        <v>1935</v>
      </c>
      <c r="F30" s="39" t="s">
        <v>1934</v>
      </c>
      <c r="G30" s="39">
        <v>10</v>
      </c>
      <c r="H30" s="39"/>
      <c r="I30" s="40" t="s">
        <v>265</v>
      </c>
      <c r="J30" s="41">
        <v>487.55</v>
      </c>
      <c r="K30" s="41">
        <v>8.6999999999999993</v>
      </c>
      <c r="L30" s="41"/>
      <c r="M30" s="42">
        <v>1.27</v>
      </c>
      <c r="N30" s="42">
        <v>1.27</v>
      </c>
      <c r="O30" s="43">
        <v>4241.7700000000004</v>
      </c>
      <c r="P30" s="44">
        <v>267.26000000000101</v>
      </c>
      <c r="Q30" s="44">
        <v>619.04999999999905</v>
      </c>
      <c r="R30" s="45">
        <v>2.74</v>
      </c>
      <c r="S30" s="46">
        <v>0</v>
      </c>
      <c r="T30" s="39">
        <f t="shared" si="19"/>
        <v>10</v>
      </c>
      <c r="U30" s="47">
        <f t="shared" si="20"/>
        <v>3.7722881773573157E-2</v>
      </c>
      <c r="V30" s="48">
        <f t="shared" si="21"/>
        <v>0</v>
      </c>
      <c r="W30" s="49">
        <f t="shared" si="22"/>
        <v>3.7722881773573154E-3</v>
      </c>
      <c r="X30" s="44">
        <f t="shared" si="23"/>
        <v>755.15256639949575</v>
      </c>
      <c r="Y30" s="44">
        <f t="shared" si="24"/>
        <v>351.78999999999803</v>
      </c>
      <c r="Z30" s="44">
        <f t="shared" si="25"/>
        <v>1431.7846148813633</v>
      </c>
      <c r="AA30" s="50">
        <f t="shared" si="26"/>
        <v>1374.2025663994948</v>
      </c>
      <c r="AB30" s="51">
        <f t="shared" si="27"/>
        <v>1338.491740564049</v>
      </c>
      <c r="AC30" s="44">
        <f t="shared" si="28"/>
        <v>1284.6616494339485</v>
      </c>
      <c r="AD30" s="44">
        <f t="shared" si="29"/>
        <v>9395.7365698596641</v>
      </c>
      <c r="AE30" s="44">
        <f t="shared" si="30"/>
        <v>0</v>
      </c>
      <c r="AF30" s="52">
        <f>HLOOKUP(I30,ElecAvoidedCostsWOCC!$A$5:$Q$50,G30+1,FALSE)</f>
        <v>0.74487332198138856</v>
      </c>
      <c r="AG30" s="44">
        <f t="shared" si="31"/>
        <v>3159.517996748626</v>
      </c>
      <c r="AH30" s="52">
        <f>HLOOKUP(I30,ElecAvoidedCostsWOCC!$A$5:$Q$50,T30+1,FALSE)</f>
        <v>0.74487332198138856</v>
      </c>
      <c r="AI30" s="44">
        <f t="shared" si="32"/>
        <v>0</v>
      </c>
      <c r="AJ30" s="44">
        <f t="shared" si="33"/>
        <v>3159.517996748626</v>
      </c>
      <c r="AK30" s="44">
        <f>HLOOKUP(I30,ElecAvoidedCostsWOCC!$A$5:$Q$50,G30+1,FALSE)*J30*L30</f>
        <v>0</v>
      </c>
      <c r="AL30" s="44">
        <f t="shared" si="34"/>
        <v>3159.517996748626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3159.517996748626</v>
      </c>
      <c r="AN30" s="48">
        <f t="shared" si="35"/>
        <v>12871.206366283153</v>
      </c>
      <c r="AO30" s="47">
        <f t="shared" si="36"/>
        <v>2.3605061585342209</v>
      </c>
      <c r="AP30" s="47">
        <f t="shared" si="37"/>
        <v>10.01914112712441</v>
      </c>
      <c r="AQ30">
        <v>2020</v>
      </c>
    </row>
    <row r="31" spans="1:43">
      <c r="B31" s="97" t="s">
        <v>15</v>
      </c>
      <c r="C31" s="61">
        <v>18230435</v>
      </c>
      <c r="D31" s="61" t="s">
        <v>52</v>
      </c>
      <c r="E31" s="38" t="s">
        <v>1938</v>
      </c>
      <c r="F31" s="39" t="s">
        <v>1939</v>
      </c>
      <c r="G31" s="39">
        <v>10</v>
      </c>
      <c r="H31" s="39"/>
      <c r="I31" s="40" t="s">
        <v>265</v>
      </c>
      <c r="J31" s="41">
        <v>187</v>
      </c>
      <c r="K31" s="41">
        <v>19</v>
      </c>
      <c r="L31" s="41"/>
      <c r="M31" s="42">
        <v>1.81</v>
      </c>
      <c r="N31" s="42">
        <v>1.81</v>
      </c>
      <c r="O31" s="43">
        <v>3553</v>
      </c>
      <c r="P31" s="44">
        <v>280.5</v>
      </c>
      <c r="Q31" s="44">
        <v>338.47</v>
      </c>
      <c r="R31" s="45">
        <v>3.8</v>
      </c>
      <c r="S31" s="46">
        <v>0</v>
      </c>
      <c r="T31" s="39">
        <f t="shared" si="19"/>
        <v>10</v>
      </c>
      <c r="U31" s="47">
        <f t="shared" si="20"/>
        <v>3.1597516824699454E-2</v>
      </c>
      <c r="V31" s="48">
        <f t="shared" si="21"/>
        <v>0</v>
      </c>
      <c r="W31" s="49">
        <f t="shared" si="22"/>
        <v>3.1597516824699453E-3</v>
      </c>
      <c r="X31" s="44">
        <f t="shared" si="23"/>
        <v>632.53242594893356</v>
      </c>
      <c r="Y31" s="44">
        <f t="shared" si="24"/>
        <v>57.970000000000027</v>
      </c>
      <c r="Z31" s="44">
        <f t="shared" si="25"/>
        <v>1199.2943362496039</v>
      </c>
      <c r="AA31" s="50">
        <f t="shared" si="26"/>
        <v>971.00242594893359</v>
      </c>
      <c r="AB31" s="51">
        <f t="shared" si="27"/>
        <v>1121.1501694396595</v>
      </c>
      <c r="AC31" s="44">
        <f t="shared" si="28"/>
        <v>907.73340744969005</v>
      </c>
      <c r="AD31" s="44">
        <f t="shared" si="29"/>
        <v>4997.8856045026832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2646.5349129998735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2646.5349129998735</v>
      </c>
      <c r="AK31" s="44">
        <f>HLOOKUP(I31,ElecAvoidedCostsWOCC!$A$5:$Q$50,G31+1,FALSE)*J31*L31</f>
        <v>0</v>
      </c>
      <c r="AL31" s="44">
        <f t="shared" si="34"/>
        <v>2646.5349129998735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2646.5349129998735</v>
      </c>
      <c r="AN31" s="48">
        <f t="shared" si="35"/>
        <v>7909.074008802545</v>
      </c>
      <c r="AO31" s="47">
        <f t="shared" si="36"/>
        <v>2.3605534612036738</v>
      </c>
      <c r="AP31" s="47">
        <f t="shared" si="37"/>
        <v>8.712992100867341</v>
      </c>
      <c r="AQ31">
        <v>2020</v>
      </c>
    </row>
    <row r="32" spans="1:43">
      <c r="B32" s="97" t="s">
        <v>15</v>
      </c>
      <c r="C32" s="61">
        <v>18230435</v>
      </c>
      <c r="D32" s="61" t="s">
        <v>52</v>
      </c>
      <c r="E32" s="38" t="s">
        <v>1940</v>
      </c>
      <c r="F32" s="39" t="s">
        <v>1939</v>
      </c>
      <c r="G32" s="39">
        <v>10</v>
      </c>
      <c r="H32" s="39"/>
      <c r="I32" s="40" t="s">
        <v>265</v>
      </c>
      <c r="J32" s="41">
        <v>163.57</v>
      </c>
      <c r="K32" s="41">
        <v>16.8</v>
      </c>
      <c r="L32" s="41"/>
      <c r="M32" s="42">
        <v>1.81</v>
      </c>
      <c r="N32" s="42">
        <v>1.81</v>
      </c>
      <c r="O32" s="43">
        <v>2747.97</v>
      </c>
      <c r="P32" s="44">
        <v>258</v>
      </c>
      <c r="Q32" s="44">
        <v>296.06</v>
      </c>
      <c r="R32" s="45">
        <v>3.8</v>
      </c>
      <c r="S32" s="46">
        <v>0</v>
      </c>
      <c r="T32" s="39">
        <f t="shared" si="19"/>
        <v>10</v>
      </c>
      <c r="U32" s="47">
        <f t="shared" si="20"/>
        <v>2.4438229189071022E-2</v>
      </c>
      <c r="V32" s="48">
        <f t="shared" si="21"/>
        <v>0</v>
      </c>
      <c r="W32" s="49">
        <f t="shared" si="22"/>
        <v>2.4438229189071023E-3</v>
      </c>
      <c r="X32" s="44">
        <f t="shared" si="23"/>
        <v>489.21478483954144</v>
      </c>
      <c r="Y32" s="44">
        <f t="shared" si="24"/>
        <v>38.06</v>
      </c>
      <c r="Z32" s="44">
        <f t="shared" si="25"/>
        <v>927.561175677969</v>
      </c>
      <c r="AA32" s="50">
        <f t="shared" si="26"/>
        <v>785.27478483954144</v>
      </c>
      <c r="AB32" s="51">
        <f t="shared" si="27"/>
        <v>867.12272195752917</v>
      </c>
      <c r="AC32" s="44">
        <f t="shared" si="28"/>
        <v>734.1074926049746</v>
      </c>
      <c r="AD32" s="44">
        <f t="shared" si="29"/>
        <v>4371.6799375855817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2046.8940118451283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2046.8940118451283</v>
      </c>
      <c r="AK32" s="44">
        <f>HLOOKUP(I32,ElecAvoidedCostsWOCC!$A$5:$Q$50,G32+1,FALSE)*J32*L32</f>
        <v>0</v>
      </c>
      <c r="AL32" s="44">
        <f t="shared" si="34"/>
        <v>2046.8940118451283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2046.8940118451283</v>
      </c>
      <c r="AN32" s="48">
        <f t="shared" si="35"/>
        <v>6623.2633506152233</v>
      </c>
      <c r="AO32" s="47">
        <f t="shared" si="36"/>
        <v>2.3605586153067999</v>
      </c>
      <c r="AP32" s="47">
        <f t="shared" si="37"/>
        <v>9.0221982711450419</v>
      </c>
      <c r="AQ32">
        <v>2020</v>
      </c>
    </row>
    <row r="33" spans="2:43">
      <c r="B33" s="97" t="s">
        <v>15</v>
      </c>
      <c r="C33" s="61">
        <v>18230435</v>
      </c>
      <c r="D33" s="61" t="s">
        <v>52</v>
      </c>
      <c r="E33" s="38" t="s">
        <v>1941</v>
      </c>
      <c r="F33" s="39" t="s">
        <v>1942</v>
      </c>
      <c r="G33" s="39">
        <v>10</v>
      </c>
      <c r="H33" s="39"/>
      <c r="I33" s="40" t="s">
        <v>265</v>
      </c>
      <c r="J33" s="41">
        <v>510.12</v>
      </c>
      <c r="K33" s="41">
        <v>16</v>
      </c>
      <c r="L33" s="41"/>
      <c r="M33" s="42">
        <v>1.27</v>
      </c>
      <c r="N33" s="42">
        <v>1.27</v>
      </c>
      <c r="O33" s="43">
        <v>8161.92</v>
      </c>
      <c r="P33" s="44">
        <v>560.70000000000095</v>
      </c>
      <c r="Q33" s="44">
        <v>647.86999999999705</v>
      </c>
      <c r="R33" s="45">
        <v>3.8</v>
      </c>
      <c r="S33" s="46">
        <v>0</v>
      </c>
      <c r="T33" s="39">
        <f t="shared" si="19"/>
        <v>10</v>
      </c>
      <c r="U33" s="47">
        <f t="shared" si="20"/>
        <v>7.258553462478215E-2</v>
      </c>
      <c r="V33" s="48">
        <f t="shared" si="21"/>
        <v>0</v>
      </c>
      <c r="W33" s="49">
        <f t="shared" si="22"/>
        <v>7.2585534624782146E-3</v>
      </c>
      <c r="X33" s="44">
        <f t="shared" si="23"/>
        <v>1453.0478632145005</v>
      </c>
      <c r="Y33" s="44">
        <f t="shared" si="24"/>
        <v>87.169999999996094</v>
      </c>
      <c r="Z33" s="44">
        <f t="shared" si="25"/>
        <v>2755.0082828377053</v>
      </c>
      <c r="AA33" s="50">
        <f t="shared" si="26"/>
        <v>2100.9178632144976</v>
      </c>
      <c r="AB33" s="51">
        <f t="shared" si="27"/>
        <v>2575.496197847719</v>
      </c>
      <c r="AC33" s="44">
        <f t="shared" si="28"/>
        <v>1964.0252998172361</v>
      </c>
      <c r="AD33" s="44">
        <f t="shared" si="29"/>
        <v>13633.804302507533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6079.5964641463352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6079.5964641463352</v>
      </c>
      <c r="AK33" s="44">
        <f>HLOOKUP(I33,ElecAvoidedCostsWOCC!$A$5:$Q$50,G33+1,FALSE)*J33*L33</f>
        <v>0</v>
      </c>
      <c r="AL33" s="44">
        <f t="shared" si="34"/>
        <v>6079.5964641463352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6079.5964641463352</v>
      </c>
      <c r="AN33" s="48">
        <f t="shared" si="35"/>
        <v>20321.360413068502</v>
      </c>
      <c r="AO33" s="47">
        <f t="shared" si="36"/>
        <v>2.3605534612036738</v>
      </c>
      <c r="AP33" s="47">
        <f t="shared" si="37"/>
        <v>10.346791568804903</v>
      </c>
      <c r="AQ33">
        <v>2020</v>
      </c>
    </row>
    <row r="34" spans="2:43">
      <c r="B34" s="97" t="s">
        <v>15</v>
      </c>
      <c r="C34" s="61">
        <v>18230435</v>
      </c>
      <c r="D34" s="61" t="s">
        <v>52</v>
      </c>
      <c r="E34" s="38" t="s">
        <v>1943</v>
      </c>
      <c r="F34" s="39" t="s">
        <v>1942</v>
      </c>
      <c r="G34" s="39">
        <v>10</v>
      </c>
      <c r="H34" s="39"/>
      <c r="I34" s="40" t="s">
        <v>265</v>
      </c>
      <c r="J34" s="41">
        <v>243.88</v>
      </c>
      <c r="K34" s="41">
        <v>14.3</v>
      </c>
      <c r="L34" s="41"/>
      <c r="M34" s="42">
        <v>1.27</v>
      </c>
      <c r="N34" s="42">
        <v>1.27</v>
      </c>
      <c r="O34" s="43">
        <v>3487.52</v>
      </c>
      <c r="P34" s="44">
        <v>334.780000000001</v>
      </c>
      <c r="Q34" s="44">
        <v>309.70999999999998</v>
      </c>
      <c r="R34" s="45">
        <v>3.8</v>
      </c>
      <c r="S34" s="46">
        <v>0</v>
      </c>
      <c r="T34" s="39">
        <f t="shared" si="19"/>
        <v>10</v>
      </c>
      <c r="U34" s="47">
        <f t="shared" si="20"/>
        <v>3.1015190508436766E-2</v>
      </c>
      <c r="V34" s="48">
        <f t="shared" si="21"/>
        <v>0</v>
      </c>
      <c r="W34" s="49">
        <f t="shared" si="22"/>
        <v>3.1015190508436766E-3</v>
      </c>
      <c r="X34" s="44">
        <f t="shared" si="23"/>
        <v>620.87517200828165</v>
      </c>
      <c r="Y34" s="44">
        <f t="shared" si="24"/>
        <v>-25.070000000001016</v>
      </c>
      <c r="Z34" s="44">
        <f t="shared" si="25"/>
        <v>1177.1919458365378</v>
      </c>
      <c r="AA34" s="50">
        <f t="shared" si="26"/>
        <v>930.58517200828169</v>
      </c>
      <c r="AB34" s="51">
        <f t="shared" si="27"/>
        <v>1100.4879366519003</v>
      </c>
      <c r="AC34" s="44">
        <f t="shared" si="28"/>
        <v>869.94967935709224</v>
      </c>
      <c r="AD34" s="44">
        <f t="shared" si="29"/>
        <v>6518.0980814230716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2597.7337924369408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2597.7337924369408</v>
      </c>
      <c r="AK34" s="44">
        <f>HLOOKUP(I34,ElecAvoidedCostsWOCC!$A$5:$Q$50,G34+1,FALSE)*J34*L34</f>
        <v>0</v>
      </c>
      <c r="AL34" s="44">
        <f t="shared" si="34"/>
        <v>2597.7337924369408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2597.7337924369408</v>
      </c>
      <c r="AN34" s="48">
        <f t="shared" si="35"/>
        <v>9375.6052531037058</v>
      </c>
      <c r="AO34" s="47">
        <f t="shared" si="36"/>
        <v>2.3605290943399413</v>
      </c>
      <c r="AP34" s="47">
        <f t="shared" si="37"/>
        <v>10.777181112397718</v>
      </c>
      <c r="AQ34">
        <v>2020</v>
      </c>
    </row>
    <row r="35" spans="2:43">
      <c r="B35" s="97" t="s">
        <v>15</v>
      </c>
      <c r="C35" s="61">
        <v>18230435</v>
      </c>
      <c r="D35" s="61" t="s">
        <v>52</v>
      </c>
      <c r="E35" s="38" t="s">
        <v>1946</v>
      </c>
      <c r="F35" s="39" t="s">
        <v>1947</v>
      </c>
      <c r="G35" s="39">
        <v>10</v>
      </c>
      <c r="H35" s="39"/>
      <c r="I35" s="40" t="s">
        <v>265</v>
      </c>
      <c r="J35" s="41">
        <v>32</v>
      </c>
      <c r="K35" s="41">
        <v>0</v>
      </c>
      <c r="L35" s="41"/>
      <c r="M35" s="42">
        <v>1.81</v>
      </c>
      <c r="N35" s="42">
        <v>1.81</v>
      </c>
      <c r="O35" s="43">
        <v>0</v>
      </c>
      <c r="P35" s="44">
        <v>19.2</v>
      </c>
      <c r="Q35" s="44">
        <v>57.92</v>
      </c>
      <c r="R35" s="45">
        <v>0</v>
      </c>
      <c r="S35" s="46">
        <v>0</v>
      </c>
      <c r="T35" s="39">
        <f t="shared" si="19"/>
        <v>10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38.72</v>
      </c>
      <c r="Z35" s="44">
        <f t="shared" si="25"/>
        <v>0</v>
      </c>
      <c r="AA35" s="50">
        <f t="shared" si="26"/>
        <v>57.92</v>
      </c>
      <c r="AB35" s="51">
        <f t="shared" si="27"/>
        <v>0</v>
      </c>
      <c r="AC35" s="44">
        <f t="shared" si="28"/>
        <v>54.14602224922875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0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>
        <f t="shared" si="37"/>
        <v>0</v>
      </c>
      <c r="AQ35">
        <v>2020</v>
      </c>
    </row>
    <row r="36" spans="2:43">
      <c r="B36" s="97" t="s">
        <v>15</v>
      </c>
      <c r="C36" s="61">
        <v>18230435</v>
      </c>
      <c r="D36" s="61" t="s">
        <v>52</v>
      </c>
      <c r="E36" s="38" t="s">
        <v>1948</v>
      </c>
      <c r="F36" s="39" t="s">
        <v>1947</v>
      </c>
      <c r="G36" s="39"/>
      <c r="H36" s="39"/>
      <c r="I36" s="40" t="s">
        <v>265</v>
      </c>
      <c r="J36" s="41">
        <v>38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str">
        <f>HLOOKUP(I36,ElecAvoidedCostsWOCC!$A$5:$Q$50,G36+1,FALSE)</f>
        <v>Res Water Heat</v>
      </c>
      <c r="AG36" s="44" t="e">
        <f t="shared" si="31"/>
        <v>#VALUE!</v>
      </c>
      <c r="AH36" s="52" t="str">
        <f>HLOOKUP(I36,ElecAvoidedCostsWOCC!$A$5:$Q$50,T36+1,FALSE)</f>
        <v>Res Water Heat</v>
      </c>
      <c r="AI36" s="44" t="e">
        <f t="shared" si="32"/>
        <v>#VALUE!</v>
      </c>
      <c r="AJ36" s="44" t="e">
        <f t="shared" si="33"/>
        <v>#VALUE!</v>
      </c>
      <c r="AK36" s="44" t="e">
        <f>HLOOKUP(I36,ElecAvoidedCostsWOCC!$A$5:$Q$50,G36+1,FALSE)*J36*L36</f>
        <v>#VALUE!</v>
      </c>
      <c r="AL36" s="44" t="e">
        <f t="shared" si="34"/>
        <v>#VALUE!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15</v>
      </c>
      <c r="C37" s="61">
        <v>18230435</v>
      </c>
      <c r="D37" s="61" t="s">
        <v>52</v>
      </c>
      <c r="E37" s="38" t="s">
        <v>1949</v>
      </c>
      <c r="F37" s="39" t="s">
        <v>1950</v>
      </c>
      <c r="G37" s="39">
        <v>10</v>
      </c>
      <c r="H37" s="39"/>
      <c r="I37" s="40" t="s">
        <v>265</v>
      </c>
      <c r="J37" s="41">
        <v>16</v>
      </c>
      <c r="K37" s="41">
        <v>0</v>
      </c>
      <c r="L37" s="41"/>
      <c r="M37" s="42">
        <v>1.81</v>
      </c>
      <c r="N37" s="42">
        <v>1.81</v>
      </c>
      <c r="O37" s="43">
        <v>0</v>
      </c>
      <c r="P37" s="44">
        <v>24</v>
      </c>
      <c r="Q37" s="44">
        <v>28.96</v>
      </c>
      <c r="R37" s="45">
        <v>0</v>
      </c>
      <c r="S37" s="46">
        <v>0</v>
      </c>
      <c r="T37" s="39">
        <f t="shared" si="19"/>
        <v>10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4.9600000000000009</v>
      </c>
      <c r="Z37" s="44">
        <f t="shared" si="25"/>
        <v>0</v>
      </c>
      <c r="AA37" s="50">
        <f t="shared" si="26"/>
        <v>28.96</v>
      </c>
      <c r="AB37" s="51">
        <f t="shared" si="27"/>
        <v>0</v>
      </c>
      <c r="AC37" s="44">
        <f t="shared" si="28"/>
        <v>27.073011124614375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0.74487332198138856</v>
      </c>
      <c r="AG37" s="44">
        <f t="shared" si="31"/>
        <v>0</v>
      </c>
      <c r="AH37" s="52">
        <f>HLOOKUP(I37,ElecAvoidedCostsWOCC!$A$5:$Q$50,T37+1,FALSE)</f>
        <v>0.74487332198138856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18230435</v>
      </c>
      <c r="D38" s="61" t="s">
        <v>52</v>
      </c>
      <c r="E38" s="38" t="s">
        <v>1951</v>
      </c>
      <c r="F38" s="39" t="s">
        <v>1950</v>
      </c>
      <c r="G38" s="39"/>
      <c r="H38" s="39"/>
      <c r="I38" s="40" t="s">
        <v>265</v>
      </c>
      <c r="J38" s="41">
        <v>19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str">
        <f>HLOOKUP(I38,ElecAvoidedCostsWOCC!$A$5:$Q$50,G38+1,FALSE)</f>
        <v>Res Water Heat</v>
      </c>
      <c r="AG38" s="44" t="e">
        <f t="shared" si="31"/>
        <v>#VALUE!</v>
      </c>
      <c r="AH38" s="52" t="str">
        <f>HLOOKUP(I38,ElecAvoidedCostsWOCC!$A$5:$Q$50,T38+1,FALSE)</f>
        <v>Res Water Heat</v>
      </c>
      <c r="AI38" s="44" t="e">
        <f t="shared" si="32"/>
        <v>#VALUE!</v>
      </c>
      <c r="AJ38" s="44" t="e">
        <f t="shared" si="33"/>
        <v>#VALUE!</v>
      </c>
      <c r="AK38" s="44" t="e">
        <f>HLOOKUP(I38,ElecAvoidedCostsWOCC!$A$5:$Q$50,G38+1,FALSE)*J38*L38</f>
        <v>#VALUE!</v>
      </c>
      <c r="AL38" s="44" t="e">
        <f t="shared" si="34"/>
        <v>#VALUE!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15</v>
      </c>
      <c r="C39" s="61">
        <v>18230435</v>
      </c>
      <c r="D39" s="61" t="s">
        <v>52</v>
      </c>
      <c r="E39" s="38" t="s">
        <v>1873</v>
      </c>
      <c r="F39" s="39" t="s">
        <v>1874</v>
      </c>
      <c r="G39" s="39">
        <v>10</v>
      </c>
      <c r="H39" s="39"/>
      <c r="I39" s="40" t="s">
        <v>265</v>
      </c>
      <c r="J39" s="41">
        <v>938</v>
      </c>
      <c r="K39" s="41">
        <v>10</v>
      </c>
      <c r="L39" s="41"/>
      <c r="M39" s="42">
        <v>1.27</v>
      </c>
      <c r="N39" s="42">
        <v>1.27</v>
      </c>
      <c r="O39" s="43">
        <v>9380</v>
      </c>
      <c r="P39" s="44">
        <v>797.30000000000496</v>
      </c>
      <c r="Q39" s="44">
        <v>1191.25999999999</v>
      </c>
      <c r="R39" s="45">
        <v>2.74</v>
      </c>
      <c r="S39" s="46">
        <v>0</v>
      </c>
      <c r="T39" s="39">
        <f t="shared" si="19"/>
        <v>10</v>
      </c>
      <c r="U39" s="47">
        <f t="shared" si="20"/>
        <v>8.3418155872693744E-2</v>
      </c>
      <c r="V39" s="48">
        <f t="shared" si="21"/>
        <v>0</v>
      </c>
      <c r="W39" s="49">
        <f t="shared" si="22"/>
        <v>8.3418155872693744E-3</v>
      </c>
      <c r="X39" s="44">
        <f t="shared" si="23"/>
        <v>1669.8998467213614</v>
      </c>
      <c r="Y39" s="44">
        <f t="shared" si="24"/>
        <v>393.95999999998503</v>
      </c>
      <c r="Z39" s="44">
        <f t="shared" si="25"/>
        <v>3166.1640512303084</v>
      </c>
      <c r="AA39" s="50">
        <f t="shared" si="26"/>
        <v>2861.1598467213516</v>
      </c>
      <c r="AB39" s="51">
        <f t="shared" si="27"/>
        <v>2959.8616913436554</v>
      </c>
      <c r="AC39" s="44">
        <f t="shared" si="28"/>
        <v>2674.7310897647485</v>
      </c>
      <c r="AD39" s="44">
        <f t="shared" si="29"/>
        <v>18076.506824999207</v>
      </c>
      <c r="AE39" s="44">
        <f t="shared" si="30"/>
        <v>0</v>
      </c>
      <c r="AF39" s="52">
        <f>HLOOKUP(I39,ElecAvoidedCostsWOCC!$A$5:$Q$50,G39+1,FALSE)</f>
        <v>0.74487332198138856</v>
      </c>
      <c r="AG39" s="44">
        <f t="shared" si="31"/>
        <v>6986.911760185425</v>
      </c>
      <c r="AH39" s="52">
        <f>HLOOKUP(I39,ElecAvoidedCostsWOCC!$A$5:$Q$50,T39+1,FALSE)</f>
        <v>0.74487332198138856</v>
      </c>
      <c r="AI39" s="44">
        <f t="shared" si="32"/>
        <v>0</v>
      </c>
      <c r="AJ39" s="44">
        <f t="shared" si="33"/>
        <v>6986.911760185425</v>
      </c>
      <c r="AK39" s="44">
        <f>HLOOKUP(I39,ElecAvoidedCostsWOCC!$A$5:$Q$50,G39+1,FALSE)*J39*L39</f>
        <v>0</v>
      </c>
      <c r="AL39" s="44">
        <f t="shared" si="34"/>
        <v>6986.911760185425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6986.9117601854241</v>
      </c>
      <c r="AN39" s="48">
        <f t="shared" si="35"/>
        <v>25762.109761203174</v>
      </c>
      <c r="AO39" s="47">
        <f t="shared" si="36"/>
        <v>2.3605534612036734</v>
      </c>
      <c r="AP39" s="47">
        <f t="shared" si="37"/>
        <v>9.6316634819050311</v>
      </c>
      <c r="AQ39">
        <v>2020</v>
      </c>
    </row>
    <row r="40" spans="2:43">
      <c r="B40" s="97" t="s">
        <v>15</v>
      </c>
      <c r="C40" s="61">
        <v>18230435</v>
      </c>
      <c r="D40" s="61" t="s">
        <v>52</v>
      </c>
      <c r="E40" s="38" t="s">
        <v>1875</v>
      </c>
      <c r="F40" s="39" t="s">
        <v>1876</v>
      </c>
      <c r="G40" s="39">
        <v>10</v>
      </c>
      <c r="H40" s="39"/>
      <c r="I40" s="40" t="s">
        <v>265</v>
      </c>
      <c r="J40" s="41">
        <v>770</v>
      </c>
      <c r="K40" s="41">
        <v>12</v>
      </c>
      <c r="L40" s="41"/>
      <c r="M40" s="42">
        <v>1.81</v>
      </c>
      <c r="N40" s="42">
        <v>1.81</v>
      </c>
      <c r="O40" s="43">
        <v>9240</v>
      </c>
      <c r="P40" s="44">
        <v>770</v>
      </c>
      <c r="Q40" s="44">
        <v>1393.69999999999</v>
      </c>
      <c r="R40" s="45">
        <v>2.74</v>
      </c>
      <c r="S40" s="46">
        <v>0</v>
      </c>
      <c r="T40" s="39">
        <f t="shared" si="19"/>
        <v>10</v>
      </c>
      <c r="U40" s="47">
        <f t="shared" si="20"/>
        <v>8.2173108770116216E-2</v>
      </c>
      <c r="V40" s="48">
        <f t="shared" si="21"/>
        <v>0</v>
      </c>
      <c r="W40" s="49">
        <f t="shared" si="22"/>
        <v>8.2173108770116216E-3</v>
      </c>
      <c r="X40" s="44">
        <f t="shared" si="23"/>
        <v>1644.9759684120872</v>
      </c>
      <c r="Y40" s="44">
        <f t="shared" si="24"/>
        <v>623.69999999999004</v>
      </c>
      <c r="Z40" s="44">
        <f t="shared" si="25"/>
        <v>3118.9078713611989</v>
      </c>
      <c r="AA40" s="50">
        <f t="shared" si="26"/>
        <v>3038.6759684120771</v>
      </c>
      <c r="AB40" s="51">
        <f t="shared" si="27"/>
        <v>2915.6846511743465</v>
      </c>
      <c r="AC40" s="44">
        <f t="shared" si="28"/>
        <v>2840.6805351145899</v>
      </c>
      <c r="AD40" s="44">
        <f t="shared" si="29"/>
        <v>14838.923513059051</v>
      </c>
      <c r="AE40" s="44">
        <f t="shared" si="30"/>
        <v>0</v>
      </c>
      <c r="AF40" s="52">
        <f>HLOOKUP(I40,ElecAvoidedCostsWOCC!$A$5:$Q$50,G40+1,FALSE)</f>
        <v>0.74487332198138856</v>
      </c>
      <c r="AG40" s="44">
        <f t="shared" si="31"/>
        <v>6882.6294951080299</v>
      </c>
      <c r="AH40" s="52">
        <f>HLOOKUP(I40,ElecAvoidedCostsWOCC!$A$5:$Q$50,T40+1,FALSE)</f>
        <v>0.74487332198138856</v>
      </c>
      <c r="AI40" s="44">
        <f t="shared" si="32"/>
        <v>0</v>
      </c>
      <c r="AJ40" s="44">
        <f t="shared" si="33"/>
        <v>6882.6294951080299</v>
      </c>
      <c r="AK40" s="44">
        <f>HLOOKUP(I40,ElecAvoidedCostsWOCC!$A$5:$Q$50,G40+1,FALSE)*J40*L40</f>
        <v>0</v>
      </c>
      <c r="AL40" s="44">
        <f t="shared" si="34"/>
        <v>6882.6294951080299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6882.6294951080308</v>
      </c>
      <c r="AN40" s="48">
        <f t="shared" si="35"/>
        <v>22409.815957677885</v>
      </c>
      <c r="AO40" s="47">
        <f t="shared" si="36"/>
        <v>2.3605534612036743</v>
      </c>
      <c r="AP40" s="47">
        <f t="shared" si="37"/>
        <v>7.8888898912294962</v>
      </c>
      <c r="AQ40">
        <v>2020</v>
      </c>
    </row>
    <row r="41" spans="2:43">
      <c r="B41" s="97" t="s">
        <v>15</v>
      </c>
      <c r="C41" s="61">
        <v>18230435</v>
      </c>
      <c r="D41" s="61" t="s">
        <v>52</v>
      </c>
      <c r="E41" s="38" t="s">
        <v>666</v>
      </c>
      <c r="F41" s="39" t="s">
        <v>667</v>
      </c>
      <c r="G41" s="39">
        <v>3</v>
      </c>
      <c r="H41" s="39">
        <v>7</v>
      </c>
      <c r="I41" s="40" t="s">
        <v>265</v>
      </c>
      <c r="J41" s="41">
        <v>247.88</v>
      </c>
      <c r="K41" s="41">
        <v>74.8</v>
      </c>
      <c r="L41" s="41">
        <v>44.7</v>
      </c>
      <c r="M41" s="42">
        <v>7</v>
      </c>
      <c r="N41" s="42">
        <v>3.71</v>
      </c>
      <c r="O41" s="43">
        <v>18541.43</v>
      </c>
      <c r="P41" s="44">
        <v>3367</v>
      </c>
      <c r="Q41" s="44">
        <v>919.71</v>
      </c>
      <c r="R41" s="45">
        <v>8.8800000000000008</v>
      </c>
      <c r="S41" s="46">
        <v>0</v>
      </c>
      <c r="T41" s="39">
        <f t="shared" si="19"/>
        <v>10</v>
      </c>
      <c r="U41" s="47">
        <f t="shared" si="20"/>
        <v>0.16489252642245628</v>
      </c>
      <c r="V41" s="48">
        <f t="shared" si="21"/>
        <v>-3.29</v>
      </c>
      <c r="W41" s="49">
        <f t="shared" si="22"/>
        <v>1.6489252642245628E-2</v>
      </c>
      <c r="X41" s="44">
        <f t="shared" si="23"/>
        <v>3300.8881785708795</v>
      </c>
      <c r="Y41" s="44">
        <f t="shared" si="24"/>
        <v>-2447.29</v>
      </c>
      <c r="Z41" s="44">
        <f t="shared" si="25"/>
        <v>6258.5510793606791</v>
      </c>
      <c r="AA41" s="50">
        <f t="shared" si="26"/>
        <v>4220.5981785708791</v>
      </c>
      <c r="AB41" s="51">
        <f t="shared" si="27"/>
        <v>5850.7535564744121</v>
      </c>
      <c r="AC41" s="44">
        <f t="shared" si="28"/>
        <v>3945.5905193707381</v>
      </c>
      <c r="AD41" s="44">
        <f t="shared" si="29"/>
        <v>15481.589989811189</v>
      </c>
      <c r="AE41" s="44">
        <f t="shared" si="30"/>
        <v>0</v>
      </c>
      <c r="AF41" s="52">
        <f>HLOOKUP(I41,ElecAvoidedCostsWOCC!$A$5:$Q$50,G41+1,FALSE)</f>
        <v>0.2337612554483032</v>
      </c>
      <c r="AG41" s="44">
        <f t="shared" si="31"/>
        <v>4334.2665520392993</v>
      </c>
      <c r="AH41" s="52">
        <f>HLOOKUP(I41,ElecAvoidedCostsWOCC!$A$5:$Q$50,T41+1,FALSE)</f>
        <v>0.74487332198138856</v>
      </c>
      <c r="AI41" s="44">
        <f t="shared" si="32"/>
        <v>8253.3721976577726</v>
      </c>
      <c r="AJ41" s="44">
        <f t="shared" si="33"/>
        <v>12587.638749697071</v>
      </c>
      <c r="AK41" s="44">
        <f>HLOOKUP(I41,ElecAvoidedCostsWOCC!$A$5:$Q$50,G41+1,FALSE)*J41*L41</f>
        <v>2590.1298780234856</v>
      </c>
      <c r="AL41" s="44">
        <f t="shared" si="34"/>
        <v>9997.5088716735845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9997.5088716735863</v>
      </c>
      <c r="AN41" s="48">
        <f t="shared" si="35"/>
        <v>26478.849748652137</v>
      </c>
      <c r="AO41" s="47">
        <f t="shared" si="36"/>
        <v>1.7087557654193788</v>
      </c>
      <c r="AP41" s="47">
        <f t="shared" si="37"/>
        <v>6.7109979149268417</v>
      </c>
      <c r="AQ41">
        <v>2020</v>
      </c>
    </row>
    <row r="42" spans="2:43">
      <c r="B42" s="97" t="s">
        <v>15</v>
      </c>
      <c r="C42" s="61">
        <v>18230435</v>
      </c>
      <c r="D42" s="61" t="s">
        <v>52</v>
      </c>
      <c r="E42" s="38" t="s">
        <v>668</v>
      </c>
      <c r="F42" s="39" t="s">
        <v>669</v>
      </c>
      <c r="G42" s="39">
        <v>3</v>
      </c>
      <c r="H42" s="39">
        <v>7</v>
      </c>
      <c r="I42" s="40" t="s">
        <v>265</v>
      </c>
      <c r="J42" s="41">
        <v>10058</v>
      </c>
      <c r="K42" s="41">
        <v>56.2</v>
      </c>
      <c r="L42" s="41">
        <v>22.9</v>
      </c>
      <c r="M42" s="42">
        <v>7</v>
      </c>
      <c r="N42" s="42">
        <v>3.71</v>
      </c>
      <c r="O42" s="43">
        <v>565259.6</v>
      </c>
      <c r="P42" s="44">
        <v>56227.5</v>
      </c>
      <c r="Q42" s="44">
        <v>37315.18</v>
      </c>
      <c r="R42" s="45">
        <v>5.34</v>
      </c>
      <c r="S42" s="46">
        <v>0</v>
      </c>
      <c r="T42" s="39">
        <f t="shared" si="19"/>
        <v>10</v>
      </c>
      <c r="U42" s="47">
        <f t="shared" si="20"/>
        <v>5.0269630513151933</v>
      </c>
      <c r="V42" s="48">
        <f t="shared" si="21"/>
        <v>-3.29</v>
      </c>
      <c r="W42" s="49">
        <f t="shared" si="22"/>
        <v>0.50269630513151931</v>
      </c>
      <c r="X42" s="44">
        <f t="shared" si="23"/>
        <v>100631.86773963517</v>
      </c>
      <c r="Y42" s="44">
        <f t="shared" si="24"/>
        <v>-18912.32</v>
      </c>
      <c r="Z42" s="44">
        <f t="shared" si="25"/>
        <v>190800.06664529032</v>
      </c>
      <c r="AA42" s="50">
        <f t="shared" si="26"/>
        <v>137947.04773963516</v>
      </c>
      <c r="AB42" s="51">
        <f t="shared" si="27"/>
        <v>178367.82896633664</v>
      </c>
      <c r="AC42" s="44">
        <f t="shared" si="28"/>
        <v>128958.63114857918</v>
      </c>
      <c r="AD42" s="44">
        <f t="shared" si="29"/>
        <v>377758.28371780168</v>
      </c>
      <c r="AE42" s="44">
        <f t="shared" si="30"/>
        <v>0</v>
      </c>
      <c r="AF42" s="52">
        <f>HLOOKUP(I42,ElecAvoidedCostsWOCC!$A$5:$Q$50,G42+1,FALSE)</f>
        <v>0.2337612554483032</v>
      </c>
      <c r="AG42" s="44">
        <f t="shared" si="31"/>
        <v>132135.79375020569</v>
      </c>
      <c r="AH42" s="52">
        <f>HLOOKUP(I42,ElecAvoidedCostsWOCC!$A$5:$Q$50,T42+1,FALSE)</f>
        <v>0.74487332198138856</v>
      </c>
      <c r="AI42" s="44">
        <f t="shared" si="32"/>
        <v>171565.33147999365</v>
      </c>
      <c r="AJ42" s="44">
        <f t="shared" si="33"/>
        <v>303701.12523019931</v>
      </c>
      <c r="AK42" s="44">
        <f>HLOOKUP(I42,ElecAvoidedCostsWOCC!$A$5:$Q$50,G42+1,FALSE)*J42*L42</f>
        <v>53841.809197147864</v>
      </c>
      <c r="AL42" s="44">
        <f t="shared" si="34"/>
        <v>249859.31603305144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249859.31603305144</v>
      </c>
      <c r="AN42" s="48">
        <f t="shared" si="35"/>
        <v>652603.5313541583</v>
      </c>
      <c r="AO42" s="47">
        <f t="shared" si="36"/>
        <v>1.4008093134340238</v>
      </c>
      <c r="AP42" s="47">
        <f t="shared" si="37"/>
        <v>5.0605649698798656</v>
      </c>
      <c r="AQ42">
        <v>2020</v>
      </c>
    </row>
    <row r="43" spans="2:43">
      <c r="B43" s="97" t="s">
        <v>15</v>
      </c>
      <c r="C43" s="61">
        <v>18230435</v>
      </c>
      <c r="D43" s="61" t="s">
        <v>52</v>
      </c>
      <c r="E43" s="38" t="s">
        <v>670</v>
      </c>
      <c r="F43" s="39" t="s">
        <v>671</v>
      </c>
      <c r="G43" s="39">
        <v>3</v>
      </c>
      <c r="H43" s="39">
        <v>7</v>
      </c>
      <c r="I43" s="40" t="s">
        <v>265</v>
      </c>
      <c r="J43" s="41">
        <v>841</v>
      </c>
      <c r="K43" s="41">
        <v>39.4</v>
      </c>
      <c r="L43" s="41">
        <v>6.8</v>
      </c>
      <c r="M43" s="42">
        <v>3.5</v>
      </c>
      <c r="N43" s="42">
        <v>3.71</v>
      </c>
      <c r="O43" s="43">
        <v>33135.4000000003</v>
      </c>
      <c r="P43" s="44">
        <v>1608.1200000000199</v>
      </c>
      <c r="Q43" s="44">
        <v>3120.1100000000201</v>
      </c>
      <c r="R43" s="45">
        <v>2.5099999999999998</v>
      </c>
      <c r="S43" s="46">
        <v>0</v>
      </c>
      <c r="T43" s="39">
        <f t="shared" si="19"/>
        <v>10</v>
      </c>
      <c r="U43" s="47">
        <f t="shared" si="20"/>
        <v>0.29467952687676774</v>
      </c>
      <c r="V43" s="48">
        <f t="shared" si="21"/>
        <v>0.20999999999999996</v>
      </c>
      <c r="W43" s="49">
        <f t="shared" si="22"/>
        <v>2.9467952687676772E-2</v>
      </c>
      <c r="X43" s="44">
        <f t="shared" si="23"/>
        <v>5899.019123779477</v>
      </c>
      <c r="Y43" s="44">
        <f t="shared" si="24"/>
        <v>1511.9900000000002</v>
      </c>
      <c r="Z43" s="44">
        <f t="shared" si="25"/>
        <v>11184.660160249221</v>
      </c>
      <c r="AA43" s="50">
        <f t="shared" si="26"/>
        <v>9019.1291237794976</v>
      </c>
      <c r="AB43" s="51">
        <f t="shared" si="27"/>
        <v>10455.884977329364</v>
      </c>
      <c r="AC43" s="44">
        <f t="shared" si="28"/>
        <v>8431.4565988403265</v>
      </c>
      <c r="AD43" s="44">
        <f t="shared" si="29"/>
        <v>14846.730511399886</v>
      </c>
      <c r="AE43" s="44">
        <f t="shared" si="30"/>
        <v>0</v>
      </c>
      <c r="AF43" s="52">
        <f>HLOOKUP(I43,ElecAvoidedCostsWOCC!$A$5:$Q$50,G43+1,FALSE)</f>
        <v>0.2337612554483032</v>
      </c>
      <c r="AG43" s="44">
        <f t="shared" si="31"/>
        <v>7745.7727037817058</v>
      </c>
      <c r="AH43" s="52">
        <f>HLOOKUP(I43,ElecAvoidedCostsWOCC!$A$5:$Q$50,T43+1,FALSE)</f>
        <v>0.74487332198138856</v>
      </c>
      <c r="AI43" s="44">
        <f t="shared" si="32"/>
        <v>4259.7815537471652</v>
      </c>
      <c r="AJ43" s="44">
        <f t="shared" si="33"/>
        <v>12005.554257528871</v>
      </c>
      <c r="AK43" s="44">
        <f>HLOOKUP(I43,ElecAvoidedCostsWOCC!$A$5:$Q$50,G43+1,FALSE)*J43*L43</f>
        <v>1336.8338676577564</v>
      </c>
      <c r="AL43" s="44">
        <f t="shared" si="34"/>
        <v>10668.720389871114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10668.720389871114</v>
      </c>
      <c r="AN43" s="48">
        <f t="shared" si="35"/>
        <v>26582.322940258113</v>
      </c>
      <c r="AO43" s="47">
        <f t="shared" si="36"/>
        <v>1.0203555617724587</v>
      </c>
      <c r="AP43" s="47">
        <f t="shared" si="37"/>
        <v>3.1527557105511614</v>
      </c>
      <c r="AQ43">
        <v>2020</v>
      </c>
    </row>
    <row r="44" spans="2:43">
      <c r="B44" s="97" t="s">
        <v>15</v>
      </c>
      <c r="C44" s="61">
        <v>18230435</v>
      </c>
      <c r="D44" s="61" t="s">
        <v>52</v>
      </c>
      <c r="E44" s="38" t="s">
        <v>672</v>
      </c>
      <c r="F44" s="39" t="s">
        <v>673</v>
      </c>
      <c r="G44" s="39">
        <v>3</v>
      </c>
      <c r="H44" s="39">
        <v>7</v>
      </c>
      <c r="I44" s="40" t="s">
        <v>265</v>
      </c>
      <c r="J44" s="41">
        <v>167.57</v>
      </c>
      <c r="K44" s="41">
        <v>87.4</v>
      </c>
      <c r="L44" s="41">
        <v>51.9</v>
      </c>
      <c r="M44" s="42">
        <v>10</v>
      </c>
      <c r="N44" s="42">
        <v>5.29</v>
      </c>
      <c r="O44" s="43">
        <v>14645.62</v>
      </c>
      <c r="P44" s="44">
        <v>2620</v>
      </c>
      <c r="Q44" s="44">
        <v>886.44999999999902</v>
      </c>
      <c r="R44" s="45">
        <v>8.8800000000000008</v>
      </c>
      <c r="S44" s="46">
        <v>0</v>
      </c>
      <c r="T44" s="39">
        <f t="shared" si="19"/>
        <v>10</v>
      </c>
      <c r="U44" s="47">
        <f t="shared" si="20"/>
        <v>0.13024633390322399</v>
      </c>
      <c r="V44" s="48">
        <f t="shared" si="21"/>
        <v>-4.71</v>
      </c>
      <c r="W44" s="49">
        <f t="shared" si="22"/>
        <v>1.3024633390322398E-2</v>
      </c>
      <c r="X44" s="44">
        <f t="shared" si="23"/>
        <v>2607.3260760276444</v>
      </c>
      <c r="Y44" s="44">
        <f t="shared" si="24"/>
        <v>-1733.5500000000011</v>
      </c>
      <c r="Z44" s="44">
        <f t="shared" si="25"/>
        <v>4943.5432358187236</v>
      </c>
      <c r="AA44" s="50">
        <f t="shared" si="26"/>
        <v>3493.7760760276433</v>
      </c>
      <c r="AB44" s="51">
        <f t="shared" si="27"/>
        <v>4621.4295931744628</v>
      </c>
      <c r="AC44" s="44">
        <f t="shared" si="28"/>
        <v>3266.1270225555231</v>
      </c>
      <c r="AD44" s="44">
        <f t="shared" si="29"/>
        <v>10465.749695790952</v>
      </c>
      <c r="AE44" s="44">
        <f t="shared" si="30"/>
        <v>0</v>
      </c>
      <c r="AF44" s="52">
        <f>HLOOKUP(I44,ElecAvoidedCostsWOCC!$A$5:$Q$50,G44+1,FALSE)</f>
        <v>0.2337612554483032</v>
      </c>
      <c r="AG44" s="44">
        <f t="shared" si="31"/>
        <v>3423.5780504962677</v>
      </c>
      <c r="AH44" s="52">
        <f>HLOOKUP(I44,ElecAvoidedCostsWOCC!$A$5:$Q$50,T44+1,FALSE)</f>
        <v>0.74487332198138856</v>
      </c>
      <c r="AI44" s="44">
        <f t="shared" si="32"/>
        <v>6478.076131093464</v>
      </c>
      <c r="AJ44" s="44">
        <f t="shared" si="33"/>
        <v>9901.6541815897326</v>
      </c>
      <c r="AK44" s="44">
        <f>HLOOKUP(I44,ElecAvoidedCostsWOCC!$A$5:$Q$50,G44+1,FALSE)*J44*L44</f>
        <v>2032.9942885670055</v>
      </c>
      <c r="AL44" s="44">
        <f t="shared" si="34"/>
        <v>7868.6598930227274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7868.6598930227256</v>
      </c>
      <c r="AN44" s="48">
        <f t="shared" si="35"/>
        <v>19121.27557811595</v>
      </c>
      <c r="AO44" s="47">
        <f t="shared" si="36"/>
        <v>1.7026462773865907</v>
      </c>
      <c r="AP44" s="47">
        <f t="shared" si="37"/>
        <v>5.8544188410513343</v>
      </c>
      <c r="AQ44">
        <v>2020</v>
      </c>
    </row>
    <row r="45" spans="2:43">
      <c r="B45" s="97" t="s">
        <v>15</v>
      </c>
      <c r="C45" s="61">
        <v>18230435</v>
      </c>
      <c r="D45" s="61" t="s">
        <v>52</v>
      </c>
      <c r="E45" s="38" t="s">
        <v>674</v>
      </c>
      <c r="F45" s="39" t="s">
        <v>675</v>
      </c>
      <c r="G45" s="39">
        <v>3</v>
      </c>
      <c r="H45" s="39">
        <v>7</v>
      </c>
      <c r="I45" s="40" t="s">
        <v>265</v>
      </c>
      <c r="J45" s="41">
        <v>2925</v>
      </c>
      <c r="K45" s="41">
        <v>65.7</v>
      </c>
      <c r="L45" s="41">
        <v>26.5</v>
      </c>
      <c r="M45" s="42">
        <v>10</v>
      </c>
      <c r="N45" s="42">
        <v>5.29</v>
      </c>
      <c r="O45" s="43">
        <v>192172.5</v>
      </c>
      <c r="P45" s="44">
        <v>22765</v>
      </c>
      <c r="Q45" s="44">
        <v>15473.25</v>
      </c>
      <c r="R45" s="45">
        <v>5.34</v>
      </c>
      <c r="S45" s="46">
        <v>0</v>
      </c>
      <c r="T45" s="39">
        <f t="shared" si="19"/>
        <v>10</v>
      </c>
      <c r="U45" s="47">
        <f t="shared" si="20"/>
        <v>1.7090272451434154</v>
      </c>
      <c r="V45" s="48">
        <f t="shared" si="21"/>
        <v>-4.71</v>
      </c>
      <c r="W45" s="49">
        <f t="shared" si="22"/>
        <v>0.17090272451434155</v>
      </c>
      <c r="X45" s="44">
        <f t="shared" si="23"/>
        <v>34212.028602778337</v>
      </c>
      <c r="Y45" s="44">
        <f t="shared" si="24"/>
        <v>-7291.75</v>
      </c>
      <c r="Z45" s="44">
        <f t="shared" si="25"/>
        <v>64866.701613545454</v>
      </c>
      <c r="AA45" s="50">
        <f t="shared" si="26"/>
        <v>49685.278602778337</v>
      </c>
      <c r="AB45" s="51">
        <f t="shared" si="27"/>
        <v>60640.0875138314</v>
      </c>
      <c r="AC45" s="44">
        <f t="shared" si="28"/>
        <v>46447.86258089028</v>
      </c>
      <c r="AD45" s="44">
        <f t="shared" si="29"/>
        <v>109857.12665287034</v>
      </c>
      <c r="AE45" s="44">
        <f t="shared" si="30"/>
        <v>0</v>
      </c>
      <c r="AF45" s="52">
        <f>HLOOKUP(I45,ElecAvoidedCostsWOCC!$A$5:$Q$50,G45+1,FALSE)</f>
        <v>0.2337612554483032</v>
      </c>
      <c r="AG45" s="44">
        <f t="shared" si="31"/>
        <v>44922.484862639052</v>
      </c>
      <c r="AH45" s="52">
        <f>HLOOKUP(I45,ElecAvoidedCostsWOCC!$A$5:$Q$50,T45+1,FALSE)</f>
        <v>0.74487332198138856</v>
      </c>
      <c r="AI45" s="44">
        <f t="shared" si="32"/>
        <v>57736.993370082382</v>
      </c>
      <c r="AJ45" s="44">
        <f t="shared" si="33"/>
        <v>102659.47823272143</v>
      </c>
      <c r="AK45" s="44">
        <f>HLOOKUP(I45,ElecAvoidedCostsWOCC!$A$5:$Q$50,G45+1,FALSE)*J45*L45</f>
        <v>18119.419312936603</v>
      </c>
      <c r="AL45" s="44">
        <f t="shared" si="34"/>
        <v>84540.058919784831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84540.058919784817</v>
      </c>
      <c r="AN45" s="48">
        <f t="shared" si="35"/>
        <v>202851.19146463365</v>
      </c>
      <c r="AO45" s="47">
        <f t="shared" si="36"/>
        <v>1.3941282472671577</v>
      </c>
      <c r="AP45" s="47">
        <f t="shared" si="37"/>
        <v>4.3672879696318105</v>
      </c>
      <c r="AQ45">
        <v>2020</v>
      </c>
    </row>
    <row r="46" spans="2:43">
      <c r="B46" s="97" t="s">
        <v>15</v>
      </c>
      <c r="C46" s="61">
        <v>18230435</v>
      </c>
      <c r="D46" s="61" t="s">
        <v>52</v>
      </c>
      <c r="E46" s="38" t="s">
        <v>676</v>
      </c>
      <c r="F46" s="39" t="s">
        <v>677</v>
      </c>
      <c r="G46" s="39">
        <v>3</v>
      </c>
      <c r="H46" s="39">
        <v>7</v>
      </c>
      <c r="I46" s="40" t="s">
        <v>265</v>
      </c>
      <c r="J46" s="41">
        <v>347.97</v>
      </c>
      <c r="K46" s="41">
        <v>46.1</v>
      </c>
      <c r="L46" s="41">
        <v>6.8</v>
      </c>
      <c r="M46" s="42">
        <v>5</v>
      </c>
      <c r="N46" s="42">
        <v>5.29</v>
      </c>
      <c r="O46" s="43">
        <v>16041.4200000001</v>
      </c>
      <c r="P46" s="44">
        <v>1086</v>
      </c>
      <c r="Q46" s="44">
        <v>1840.75999999999</v>
      </c>
      <c r="R46" s="45">
        <v>2.5099999999999998</v>
      </c>
      <c r="S46" s="46">
        <v>0</v>
      </c>
      <c r="T46" s="39">
        <f t="shared" si="19"/>
        <v>10</v>
      </c>
      <c r="U46" s="47">
        <f t="shared" si="20"/>
        <v>0.14265945351592274</v>
      </c>
      <c r="V46" s="48">
        <f t="shared" si="21"/>
        <v>0.29000000000000004</v>
      </c>
      <c r="W46" s="49">
        <f t="shared" si="22"/>
        <v>1.4265945351592273E-2</v>
      </c>
      <c r="X46" s="44">
        <f t="shared" si="23"/>
        <v>2855.8171427711245</v>
      </c>
      <c r="Y46" s="44">
        <f t="shared" si="24"/>
        <v>754.75999999998999</v>
      </c>
      <c r="Z46" s="44">
        <f t="shared" si="25"/>
        <v>5414.6873491137749</v>
      </c>
      <c r="AA46" s="50">
        <f t="shared" si="26"/>
        <v>4696.5771427711143</v>
      </c>
      <c r="AB46" s="51">
        <f t="shared" si="27"/>
        <v>5061.8746836624987</v>
      </c>
      <c r="AC46" s="44">
        <f t="shared" si="28"/>
        <v>4390.5554293457171</v>
      </c>
      <c r="AD46" s="44">
        <f t="shared" si="29"/>
        <v>6142.9450844849216</v>
      </c>
      <c r="AE46" s="44">
        <f t="shared" si="30"/>
        <v>0</v>
      </c>
      <c r="AF46" s="52">
        <f>HLOOKUP(I46,ElecAvoidedCostsWOCC!$A$5:$Q$50,G46+1,FALSE)</f>
        <v>0.2337612554483032</v>
      </c>
      <c r="AG46" s="44">
        <f t="shared" si="31"/>
        <v>3749.861777089754</v>
      </c>
      <c r="AH46" s="52">
        <f>HLOOKUP(I46,ElecAvoidedCostsWOCC!$A$5:$Q$50,T46+1,FALSE)</f>
        <v>0.74487332198138856</v>
      </c>
      <c r="AI46" s="44">
        <f t="shared" si="32"/>
        <v>1762.5162749790738</v>
      </c>
      <c r="AJ46" s="44">
        <f t="shared" si="33"/>
        <v>5512.3780520688279</v>
      </c>
      <c r="AK46" s="44">
        <f>HLOOKUP(I46,ElecAvoidedCostsWOCC!$A$5:$Q$50,G46+1,FALSE)*J46*L46</f>
        <v>553.12494759675326</v>
      </c>
      <c r="AL46" s="44">
        <f t="shared" si="34"/>
        <v>4959.2531044720745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4959.2531044720745</v>
      </c>
      <c r="AN46" s="48">
        <f t="shared" si="35"/>
        <v>11598.123499404204</v>
      </c>
      <c r="AO46" s="47">
        <f t="shared" si="36"/>
        <v>0.97972656661737567</v>
      </c>
      <c r="AP46" s="47">
        <f t="shared" si="37"/>
        <v>2.6416073515173824</v>
      </c>
      <c r="AQ46">
        <v>2020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</sheetData>
  <conditionalFormatting sqref="J5:L6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60 R5:S60">
    <cfRule type="expression" dxfId="292" priority="2">
      <formula>ISTEXT(M5)</formula>
    </cfRule>
  </conditionalFormatting>
  <conditionalFormatting sqref="M5:N60 R5:S60">
    <cfRule type="notContainsBlanks" dxfId="291" priority="3">
      <formula>LEN(TRIM(M5))&gt;0</formula>
    </cfRule>
  </conditionalFormatting>
  <conditionalFormatting sqref="R5:S6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515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1786</v>
      </c>
      <c r="F5" s="39" t="s">
        <v>1787</v>
      </c>
      <c r="G5" s="39">
        <v>45</v>
      </c>
      <c r="H5" s="39"/>
      <c r="I5" s="40" t="s">
        <v>269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0.93977174867368252</v>
      </c>
      <c r="V5" s="48">
        <f t="shared" ref="V5:V24" si="2">N5-M5</f>
        <v>-29.5</v>
      </c>
      <c r="W5" s="49">
        <f t="shared" ref="W5:W24" si="3">(O5/A$10)</f>
        <v>2.0883816637192944E-2</v>
      </c>
      <c r="X5" s="44">
        <f t="shared" ref="X5:X24" si="4">W5*A$8</f>
        <v>6480.5394229248914</v>
      </c>
      <c r="Y5" s="44">
        <f t="shared" ref="Y5:Y24" si="5">Q5-P5</f>
        <v>67447.759999999995</v>
      </c>
      <c r="Z5" s="44">
        <f t="shared" ref="Z5:Z24" si="6">X5+(A$6*W5)</f>
        <v>40108.697644790838</v>
      </c>
      <c r="AA5" s="50">
        <f t="shared" ref="AA5:AA24" si="7">Q5+X5</f>
        <v>81878.299422924887</v>
      </c>
      <c r="AB5" s="51">
        <f t="shared" ref="AB5:AC20" si="8">Z5/(1+ElecDiscountRate)^1</f>
        <v>37495.276848453621</v>
      </c>
      <c r="AC5" s="44">
        <f t="shared" si="8"/>
        <v>76543.235881952773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5.3122761687117732</v>
      </c>
      <c r="AP5" s="47">
        <f>AN5/AC5</f>
        <v>3.0330827983286608</v>
      </c>
      <c r="AQ5">
        <v>2021</v>
      </c>
    </row>
    <row r="6" spans="1:43" ht="13.5" customHeight="1">
      <c r="A6" s="53">
        <f>SUMIF('Program Costs'!D:D,C2,'Program Costs'!L:L)</f>
        <v>1610249.64</v>
      </c>
      <c r="B6" s="97" t="s">
        <v>15</v>
      </c>
      <c r="C6" s="61">
        <v>18230627</v>
      </c>
      <c r="D6" s="61" t="s">
        <v>80</v>
      </c>
      <c r="E6" s="38" t="s">
        <v>1788</v>
      </c>
      <c r="F6" s="39" t="s">
        <v>1787</v>
      </c>
      <c r="G6" s="39">
        <v>45</v>
      </c>
      <c r="H6" s="39"/>
      <c r="I6" s="40" t="s">
        <v>269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0.89340841476346811</v>
      </c>
      <c r="V6" s="48">
        <f t="shared" si="2"/>
        <v>-27.4</v>
      </c>
      <c r="W6" s="49">
        <f t="shared" si="3"/>
        <v>1.9853520328077068E-2</v>
      </c>
      <c r="X6" s="44">
        <f t="shared" si="4"/>
        <v>6160.8241158756864</v>
      </c>
      <c r="Y6" s="44">
        <f t="shared" si="5"/>
        <v>235649.59000000003</v>
      </c>
      <c r="Z6" s="44">
        <f t="shared" si="6"/>
        <v>38129.948076894463</v>
      </c>
      <c r="AA6" s="50">
        <f t="shared" si="7"/>
        <v>273660.41411587573</v>
      </c>
      <c r="AB6" s="51">
        <f t="shared" si="8"/>
        <v>35645.459546503189</v>
      </c>
      <c r="AC6" s="44">
        <f t="shared" si="8"/>
        <v>255829.12416179836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5.3152370869584704</v>
      </c>
      <c r="AP6" s="47">
        <f t="shared" ref="AP6:AP24" si="16">AN6/AC6</f>
        <v>0.81464718335887432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1789</v>
      </c>
      <c r="F7" s="39" t="s">
        <v>1790</v>
      </c>
      <c r="G7" s="39">
        <v>45</v>
      </c>
      <c r="H7" s="39"/>
      <c r="I7" s="40" t="s">
        <v>269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0.33946254657776431</v>
      </c>
      <c r="V7" s="48">
        <f t="shared" si="2"/>
        <v>-29.5</v>
      </c>
      <c r="W7" s="49">
        <f t="shared" si="3"/>
        <v>7.5436121461725401E-3</v>
      </c>
      <c r="X7" s="44">
        <f t="shared" si="4"/>
        <v>2340.8880069106563</v>
      </c>
      <c r="Y7" s="44">
        <f t="shared" si="5"/>
        <v>53711.29</v>
      </c>
      <c r="Z7" s="44">
        <f t="shared" si="6"/>
        <v>14487.986749584616</v>
      </c>
      <c r="AA7" s="50">
        <f t="shared" si="7"/>
        <v>63902.178006910661</v>
      </c>
      <c r="AB7" s="51">
        <f t="shared" si="8"/>
        <v>13543.971907623272</v>
      </c>
      <c r="AC7" s="44">
        <f t="shared" si="8"/>
        <v>59738.410775834956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5.3122743945906121</v>
      </c>
      <c r="AP7" s="47">
        <f t="shared" si="16"/>
        <v>1.4003553035862943</v>
      </c>
      <c r="AQ7">
        <v>2021</v>
      </c>
    </row>
    <row r="8" spans="1:43" ht="13.5" customHeight="1">
      <c r="A8" s="53">
        <f>SUMIF('Program Costs'!D:D,C2,'Program Costs'!O:O)</f>
        <v>310313.93999999994</v>
      </c>
      <c r="B8" s="97" t="s">
        <v>15</v>
      </c>
      <c r="C8" s="61">
        <v>18230627</v>
      </c>
      <c r="D8" s="61" t="s">
        <v>80</v>
      </c>
      <c r="E8" s="38" t="s">
        <v>1791</v>
      </c>
      <c r="F8" s="39" t="s">
        <v>1790</v>
      </c>
      <c r="G8" s="39">
        <v>45</v>
      </c>
      <c r="H8" s="39"/>
      <c r="I8" s="40" t="s">
        <v>269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0.53800103814146971</v>
      </c>
      <c r="V8" s="48">
        <f t="shared" si="2"/>
        <v>-27.4</v>
      </c>
      <c r="W8" s="49">
        <f t="shared" si="3"/>
        <v>1.1955578625365995E-2</v>
      </c>
      <c r="X8" s="44">
        <f t="shared" si="4"/>
        <v>3709.982708217105</v>
      </c>
      <c r="Y8" s="44">
        <f t="shared" si="5"/>
        <v>228011.95</v>
      </c>
      <c r="Z8" s="44">
        <f t="shared" si="6"/>
        <v>22961.448885704391</v>
      </c>
      <c r="AA8" s="50">
        <f t="shared" si="7"/>
        <v>263021.93270821712</v>
      </c>
      <c r="AB8" s="51">
        <f t="shared" si="8"/>
        <v>21465.316337014479</v>
      </c>
      <c r="AC8" s="44">
        <f t="shared" si="8"/>
        <v>245883.82977303647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5.3133726435332571</v>
      </c>
      <c r="AP8" s="47">
        <f t="shared" si="16"/>
        <v>0.51023504549556198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18230627</v>
      </c>
      <c r="D9" s="61" t="s">
        <v>80</v>
      </c>
      <c r="E9" s="38" t="s">
        <v>1792</v>
      </c>
      <c r="F9" s="39" t="s">
        <v>1793</v>
      </c>
      <c r="G9" s="39">
        <v>45</v>
      </c>
      <c r="H9" s="39"/>
      <c r="I9" s="40" t="s">
        <v>269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0.69272811897742259</v>
      </c>
      <c r="V9" s="48">
        <f t="shared" si="2"/>
        <v>-29.5</v>
      </c>
      <c r="W9" s="49">
        <f t="shared" si="3"/>
        <v>1.539395819949828E-2</v>
      </c>
      <c r="X9" s="44">
        <f t="shared" si="4"/>
        <v>4776.9598210816166</v>
      </c>
      <c r="Y9" s="44">
        <f t="shared" si="5"/>
        <v>84444.5</v>
      </c>
      <c r="Z9" s="44">
        <f t="shared" si="6"/>
        <v>29565.075469998766</v>
      </c>
      <c r="AA9" s="50">
        <f t="shared" si="7"/>
        <v>103221.45982108162</v>
      </c>
      <c r="AB9" s="51">
        <f t="shared" si="8"/>
        <v>27638.660811441307</v>
      </c>
      <c r="AC9" s="44">
        <f t="shared" si="8"/>
        <v>96495.708910051049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5.3122789339002114</v>
      </c>
      <c r="AP9" s="47">
        <f t="shared" si="16"/>
        <v>1.7756545154321612</v>
      </c>
      <c r="AQ9">
        <v>2021</v>
      </c>
    </row>
    <row r="10" spans="1:43" ht="13.5" customHeight="1">
      <c r="A10" s="54">
        <f>SUM(O5:O999)</f>
        <v>2782607.2699999982</v>
      </c>
      <c r="B10" s="97" t="s">
        <v>15</v>
      </c>
      <c r="C10" s="61">
        <v>18230627</v>
      </c>
      <c r="D10" s="61" t="s">
        <v>80</v>
      </c>
      <c r="E10" s="38" t="s">
        <v>1794</v>
      </c>
      <c r="F10" s="39" t="s">
        <v>1793</v>
      </c>
      <c r="G10" s="39">
        <v>45</v>
      </c>
      <c r="H10" s="39"/>
      <c r="I10" s="40" t="s">
        <v>269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0.90586319067584464</v>
      </c>
      <c r="V10" s="48">
        <f t="shared" si="2"/>
        <v>-27.4</v>
      </c>
      <c r="W10" s="49">
        <f t="shared" si="3"/>
        <v>2.0130293126129881E-2</v>
      </c>
      <c r="X10" s="44">
        <f t="shared" si="4"/>
        <v>6246.7105733242797</v>
      </c>
      <c r="Y10" s="44">
        <f t="shared" si="5"/>
        <v>249262.13</v>
      </c>
      <c r="Z10" s="44">
        <f t="shared" si="6"/>
        <v>38661.507832769392</v>
      </c>
      <c r="AA10" s="50">
        <f t="shared" si="7"/>
        <v>291758.8405733243</v>
      </c>
      <c r="AB10" s="51">
        <f t="shared" si="8"/>
        <v>36142.383689603994</v>
      </c>
      <c r="AC10" s="44">
        <f t="shared" si="8"/>
        <v>272748.28510173346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5.3076043094829206</v>
      </c>
      <c r="AP10" s="47">
        <f t="shared" si="16"/>
        <v>0.7736525950651304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18230627</v>
      </c>
      <c r="D11" s="61" t="s">
        <v>80</v>
      </c>
      <c r="E11" s="38" t="s">
        <v>1699</v>
      </c>
      <c r="F11" s="39" t="s">
        <v>1700</v>
      </c>
      <c r="G11" s="39">
        <v>30</v>
      </c>
      <c r="H11" s="39"/>
      <c r="I11" s="40" t="s">
        <v>269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1602847.0899999994</v>
      </c>
      <c r="B12" s="97" t="s">
        <v>15</v>
      </c>
      <c r="C12" s="61">
        <v>18230627</v>
      </c>
      <c r="D12" s="61" t="s">
        <v>80</v>
      </c>
      <c r="E12" s="38" t="s">
        <v>1701</v>
      </c>
      <c r="F12" s="39" t="s">
        <v>1700</v>
      </c>
      <c r="G12" s="39">
        <v>45</v>
      </c>
      <c r="H12" s="39"/>
      <c r="I12" s="40" t="s">
        <v>269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18230627</v>
      </c>
      <c r="D13" s="61" t="s">
        <v>80</v>
      </c>
      <c r="E13" s="38" t="s">
        <v>1702</v>
      </c>
      <c r="F13" s="39" t="s">
        <v>1700</v>
      </c>
      <c r="G13" s="39">
        <v>45</v>
      </c>
      <c r="H13" s="39"/>
      <c r="I13" s="40" t="s">
        <v>269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0.64131268872879821</v>
      </c>
      <c r="V13" s="48">
        <f t="shared" si="2"/>
        <v>0</v>
      </c>
      <c r="W13" s="49">
        <f t="shared" si="3"/>
        <v>1.4251393082862183E-2</v>
      </c>
      <c r="X13" s="44">
        <f t="shared" si="4"/>
        <v>4422.4059380317094</v>
      </c>
      <c r="Y13" s="44">
        <f t="shared" si="5"/>
        <v>0</v>
      </c>
      <c r="Z13" s="44">
        <f t="shared" si="6"/>
        <v>27370.706519209027</v>
      </c>
      <c r="AA13" s="50">
        <f t="shared" si="7"/>
        <v>4422.4059380317094</v>
      </c>
      <c r="AB13" s="51">
        <f t="shared" si="8"/>
        <v>25587.273552593273</v>
      </c>
      <c r="AC13" s="44">
        <f t="shared" si="8"/>
        <v>4134.2487968885753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5.3406601586329776</v>
      </c>
      <c r="AP13" s="47">
        <f t="shared" si="16"/>
        <v>36.359259700709138</v>
      </c>
      <c r="AQ13">
        <v>2021</v>
      </c>
    </row>
    <row r="14" spans="1:43" ht="13.5" customHeight="1">
      <c r="A14" s="55">
        <f>SUM(Y5:Y1000)</f>
        <v>3535460.8400000003</v>
      </c>
      <c r="B14" s="97" t="s">
        <v>15</v>
      </c>
      <c r="C14" s="61">
        <v>18230627</v>
      </c>
      <c r="D14" s="61" t="s">
        <v>80</v>
      </c>
      <c r="E14" s="38" t="s">
        <v>1795</v>
      </c>
      <c r="F14" s="39" t="s">
        <v>1796</v>
      </c>
      <c r="G14" s="39">
        <v>25</v>
      </c>
      <c r="H14" s="39"/>
      <c r="I14" s="40" t="s">
        <v>269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0.26529282732737219</v>
      </c>
      <c r="V14" s="48">
        <f t="shared" si="2"/>
        <v>-182.19</v>
      </c>
      <c r="W14" s="49">
        <f t="shared" si="3"/>
        <v>1.0611713093094888E-2</v>
      </c>
      <c r="X14" s="44">
        <f t="shared" si="4"/>
        <v>3292.9625000678607</v>
      </c>
      <c r="Y14" s="44">
        <f t="shared" si="5"/>
        <v>11328.43</v>
      </c>
      <c r="Z14" s="44">
        <f t="shared" si="6"/>
        <v>20380.46968800719</v>
      </c>
      <c r="AA14" s="50">
        <f t="shared" si="7"/>
        <v>55988.112500067858</v>
      </c>
      <c r="AB14" s="51">
        <f t="shared" si="8"/>
        <v>19052.509757882759</v>
      </c>
      <c r="AC14" s="44">
        <f t="shared" si="8"/>
        <v>52340.013555265825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3.178431303504694</v>
      </c>
      <c r="AP14" s="47">
        <f t="shared" si="16"/>
        <v>1.3255378176684647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18230627</v>
      </c>
      <c r="D15" s="61" t="s">
        <v>80</v>
      </c>
      <c r="E15" s="38" t="s">
        <v>1797</v>
      </c>
      <c r="F15" s="39" t="s">
        <v>1796</v>
      </c>
      <c r="G15" s="39">
        <v>25</v>
      </c>
      <c r="H15" s="39"/>
      <c r="I15" s="40" t="s">
        <v>269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0.87432406514197092</v>
      </c>
      <c r="V15" s="48">
        <f t="shared" si="2"/>
        <v>-181.47</v>
      </c>
      <c r="W15" s="49">
        <f t="shared" si="3"/>
        <v>3.4972962605678837E-2</v>
      </c>
      <c r="X15" s="44">
        <f t="shared" si="4"/>
        <v>10852.597819640865</v>
      </c>
      <c r="Y15" s="44">
        <f t="shared" si="5"/>
        <v>30195.430000000008</v>
      </c>
      <c r="Z15" s="44">
        <f t="shared" si="6"/>
        <v>67167.798265168676</v>
      </c>
      <c r="AA15" s="50">
        <f t="shared" si="7"/>
        <v>119908.11781964087</v>
      </c>
      <c r="AB15" s="51">
        <f t="shared" si="8"/>
        <v>62791.248261352404</v>
      </c>
      <c r="AC15" s="44">
        <f t="shared" si="8"/>
        <v>112095.09004360181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3.1793355154803078</v>
      </c>
      <c r="AP15" s="47">
        <f t="shared" si="16"/>
        <v>1.9590321943548767</v>
      </c>
      <c r="AQ15">
        <v>2021</v>
      </c>
    </row>
    <row r="16" spans="1:43" ht="13.5" customHeight="1">
      <c r="A16" s="54">
        <f>SUM(U5:U999)</f>
        <v>36.297323437956813</v>
      </c>
      <c r="B16" s="97" t="s">
        <v>15</v>
      </c>
      <c r="C16" s="61">
        <v>18230627</v>
      </c>
      <c r="D16" s="61" t="s">
        <v>80</v>
      </c>
      <c r="E16" s="38" t="s">
        <v>1703</v>
      </c>
      <c r="F16" s="39" t="s">
        <v>1704</v>
      </c>
      <c r="G16" s="39">
        <v>25</v>
      </c>
      <c r="H16" s="39"/>
      <c r="I16" s="40" t="s">
        <v>269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18230627</v>
      </c>
      <c r="D17" s="61" t="s">
        <v>80</v>
      </c>
      <c r="E17" s="38" t="s">
        <v>1705</v>
      </c>
      <c r="F17" s="39" t="s">
        <v>1704</v>
      </c>
      <c r="G17" s="39">
        <v>25</v>
      </c>
      <c r="H17" s="39"/>
      <c r="I17" s="40" t="s">
        <v>269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6.5687494592077348E-3</v>
      </c>
      <c r="V17" s="48">
        <f t="shared" si="2"/>
        <v>0</v>
      </c>
      <c r="W17" s="49">
        <f t="shared" si="3"/>
        <v>2.6274997836830938E-4</v>
      </c>
      <c r="X17" s="44">
        <f t="shared" si="4"/>
        <v>81.534981022384841</v>
      </c>
      <c r="Y17" s="44">
        <f t="shared" si="5"/>
        <v>0</v>
      </c>
      <c r="Z17" s="44">
        <f t="shared" si="6"/>
        <v>504.62803909996279</v>
      </c>
      <c r="AA17" s="50">
        <f t="shared" si="7"/>
        <v>81.534981022384841</v>
      </c>
      <c r="AB17" s="51">
        <f t="shared" si="8"/>
        <v>471.74725539867507</v>
      </c>
      <c r="AC17" s="44">
        <f t="shared" si="8"/>
        <v>76.222287578185316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3.1704728074500643</v>
      </c>
      <c r="AP17" s="47">
        <f t="shared" si="16"/>
        <v>21.584605789562151</v>
      </c>
      <c r="AQ17">
        <v>2021</v>
      </c>
    </row>
    <row r="18" spans="1:43" ht="13.5" customHeight="1">
      <c r="A18" s="59">
        <f>A6+A8</f>
        <v>1920563.5799999998</v>
      </c>
      <c r="B18" s="97" t="s">
        <v>15</v>
      </c>
      <c r="C18" s="61">
        <v>18230627</v>
      </c>
      <c r="D18" s="61" t="s">
        <v>80</v>
      </c>
      <c r="E18" s="38" t="s">
        <v>1798</v>
      </c>
      <c r="F18" s="39" t="s">
        <v>1799</v>
      </c>
      <c r="G18" s="39">
        <v>45</v>
      </c>
      <c r="H18" s="39"/>
      <c r="I18" s="40" t="s">
        <v>269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0.5033239922499021</v>
      </c>
      <c r="V18" s="48">
        <f t="shared" si="2"/>
        <v>0.74</v>
      </c>
      <c r="W18" s="49">
        <f t="shared" si="3"/>
        <v>1.1184977605553379E-2</v>
      </c>
      <c r="X18" s="44">
        <f t="shared" si="4"/>
        <v>3470.8544695910341</v>
      </c>
      <c r="Y18" s="44">
        <f t="shared" si="5"/>
        <v>9988.25</v>
      </c>
      <c r="Z18" s="44">
        <f t="shared" si="6"/>
        <v>21481.460632341423</v>
      </c>
      <c r="AA18" s="50">
        <f t="shared" si="7"/>
        <v>19893.414469591036</v>
      </c>
      <c r="AB18" s="51">
        <f t="shared" si="8"/>
        <v>20081.761832608601</v>
      </c>
      <c r="AC18" s="44">
        <f t="shared" si="8"/>
        <v>18597.190305310865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5.3122769000342211</v>
      </c>
      <c r="AP18" s="47">
        <f t="shared" si="16"/>
        <v>6.6989665629771977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1800</v>
      </c>
      <c r="F19" s="39" t="s">
        <v>1799</v>
      </c>
      <c r="G19" s="39">
        <v>45</v>
      </c>
      <c r="H19" s="39"/>
      <c r="I19" s="40" t="s">
        <v>269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0.47907069544887698</v>
      </c>
      <c r="V19" s="48">
        <f t="shared" si="2"/>
        <v>0.99</v>
      </c>
      <c r="W19" s="49">
        <f t="shared" si="3"/>
        <v>1.0646015454419488E-2</v>
      </c>
      <c r="X19" s="44">
        <f t="shared" si="4"/>
        <v>3303.6070009618011</v>
      </c>
      <c r="Y19" s="44">
        <f t="shared" si="5"/>
        <v>15930.79</v>
      </c>
      <c r="Z19" s="44">
        <f t="shared" si="6"/>
        <v>20446.349553875218</v>
      </c>
      <c r="AA19" s="50">
        <f t="shared" si="7"/>
        <v>27031.857000961802</v>
      </c>
      <c r="AB19" s="51">
        <f t="shared" si="8"/>
        <v>19114.096993432941</v>
      </c>
      <c r="AC19" s="44">
        <f t="shared" si="8"/>
        <v>25270.502945649994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5.3117066454087967</v>
      </c>
      <c r="AP19" s="47">
        <f t="shared" si="16"/>
        <v>4.4194341467323754</v>
      </c>
      <c r="AQ19">
        <v>2021</v>
      </c>
    </row>
    <row r="20" spans="1:43" ht="13.5" customHeight="1">
      <c r="A20" s="59">
        <f>A8+SUM(Q5:Q906)</f>
        <v>5448621.8700000029</v>
      </c>
      <c r="B20" s="97" t="s">
        <v>15</v>
      </c>
      <c r="C20" s="61">
        <v>18230627</v>
      </c>
      <c r="D20" s="61" t="s">
        <v>80</v>
      </c>
      <c r="E20" s="38" t="s">
        <v>1706</v>
      </c>
      <c r="F20" s="39" t="s">
        <v>1707</v>
      </c>
      <c r="G20" s="39">
        <v>45</v>
      </c>
      <c r="H20" s="39"/>
      <c r="I20" s="40" t="s">
        <v>269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1708</v>
      </c>
      <c r="F21" s="39" t="s">
        <v>1707</v>
      </c>
      <c r="G21" s="39">
        <v>45</v>
      </c>
      <c r="H21" s="39"/>
      <c r="I21" s="40" t="s">
        <v>269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0.37021451467709299</v>
      </c>
      <c r="V21" s="48">
        <f t="shared" si="2"/>
        <v>0</v>
      </c>
      <c r="W21" s="49">
        <f t="shared" si="3"/>
        <v>8.2269892150465106E-3</v>
      </c>
      <c r="X21" s="44">
        <f t="shared" si="4"/>
        <v>2552.9494376585894</v>
      </c>
      <c r="Y21" s="44">
        <f t="shared" si="5"/>
        <v>0</v>
      </c>
      <c r="Z21" s="44">
        <f t="shared" si="6"/>
        <v>15800.455859471116</v>
      </c>
      <c r="AA21" s="50">
        <f t="shared" si="7"/>
        <v>2552.9494376585894</v>
      </c>
      <c r="AB21" s="51">
        <f t="shared" ref="AB21:AC24" si="18">Z21/(1+ElecDiscountRate)^1</f>
        <v>14770.922557232041</v>
      </c>
      <c r="AC21" s="44">
        <f t="shared" si="18"/>
        <v>2386.6031949692338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5.3456183267820849</v>
      </c>
      <c r="AP21" s="47">
        <f t="shared" si="16"/>
        <v>36.393014951561746</v>
      </c>
      <c r="AQ21">
        <v>2021</v>
      </c>
    </row>
    <row r="22" spans="1:43" ht="13.5" customHeight="1">
      <c r="A22" s="60">
        <f>(SUM(AM5:AM1000)/(SUM(AB5:AB1000)))</f>
        <v>4.3749971879180674</v>
      </c>
      <c r="B22" s="97" t="s">
        <v>15</v>
      </c>
      <c r="C22" s="61">
        <v>18230627</v>
      </c>
      <c r="D22" s="61" t="s">
        <v>80</v>
      </c>
      <c r="E22" s="38" t="s">
        <v>1801</v>
      </c>
      <c r="F22" s="39" t="s">
        <v>695</v>
      </c>
      <c r="G22" s="39">
        <v>45</v>
      </c>
      <c r="H22" s="39"/>
      <c r="I22" s="40" t="s">
        <v>269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8.8615451651572877E-2</v>
      </c>
      <c r="V22" s="48">
        <f t="shared" si="2"/>
        <v>0.74</v>
      </c>
      <c r="W22" s="49">
        <f t="shared" si="3"/>
        <v>1.9692322589238416E-3</v>
      </c>
      <c r="X22" s="44">
        <f t="shared" si="4"/>
        <v>611.08022104175734</v>
      </c>
      <c r="Y22" s="44">
        <f t="shared" si="5"/>
        <v>2708.8</v>
      </c>
      <c r="Z22" s="44">
        <f t="shared" si="6"/>
        <v>3782.0357570502597</v>
      </c>
      <c r="AA22" s="50">
        <f t="shared" si="7"/>
        <v>5719.880221041758</v>
      </c>
      <c r="AB22" s="51">
        <f t="shared" si="18"/>
        <v>3535.6041479389169</v>
      </c>
      <c r="AC22" s="44">
        <f t="shared" si="18"/>
        <v>5347.181659382778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5.312276900034222</v>
      </c>
      <c r="AP22" s="47">
        <f t="shared" si="16"/>
        <v>4.0742069405896943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694</v>
      </c>
      <c r="F23" s="39" t="s">
        <v>695</v>
      </c>
      <c r="G23" s="39">
        <v>45</v>
      </c>
      <c r="H23" s="39"/>
      <c r="I23" s="40" t="s">
        <v>269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0.28426710032997238</v>
      </c>
      <c r="V23" s="48">
        <f t="shared" si="2"/>
        <v>0.99</v>
      </c>
      <c r="W23" s="49">
        <f t="shared" si="3"/>
        <v>6.3170466739993865E-3</v>
      </c>
      <c r="X23" s="44">
        <f t="shared" si="4"/>
        <v>1960.2676425726447</v>
      </c>
      <c r="Y23" s="44">
        <f t="shared" si="5"/>
        <v>13585.400000000001</v>
      </c>
      <c r="Z23" s="44">
        <f t="shared" si="6"/>
        <v>12132.289775243353</v>
      </c>
      <c r="AA23" s="50">
        <f t="shared" si="7"/>
        <v>22090.167642572647</v>
      </c>
      <c r="AB23" s="51">
        <f t="shared" si="18"/>
        <v>11341.768510090074</v>
      </c>
      <c r="AC23" s="44">
        <f t="shared" si="18"/>
        <v>20650.806434114842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5.307785998710937</v>
      </c>
      <c r="AP23" s="47">
        <f t="shared" si="16"/>
        <v>3.2066373930526249</v>
      </c>
      <c r="AQ23">
        <v>2021</v>
      </c>
    </row>
    <row r="24" spans="1:43" ht="13.5" customHeight="1">
      <c r="A24" s="60">
        <f>(SUM(AN5:AN1000)/SUM(AC5:AC1000))</f>
        <v>1.7629633941704246</v>
      </c>
      <c r="B24" s="97" t="s">
        <v>15</v>
      </c>
      <c r="C24" s="61">
        <v>18230627</v>
      </c>
      <c r="D24" s="61" t="s">
        <v>80</v>
      </c>
      <c r="E24" s="38" t="s">
        <v>696</v>
      </c>
      <c r="F24" s="39" t="s">
        <v>697</v>
      </c>
      <c r="G24" s="39">
        <v>45</v>
      </c>
      <c r="H24" s="39"/>
      <c r="I24" s="40" t="s">
        <v>269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0.19914315827975265</v>
      </c>
      <c r="V24" s="48">
        <f t="shared" si="2"/>
        <v>0.74</v>
      </c>
      <c r="W24" s="49">
        <f t="shared" si="3"/>
        <v>4.4254035173278364E-3</v>
      </c>
      <c r="X24" s="44">
        <f t="shared" si="4"/>
        <v>1373.264401551859</v>
      </c>
      <c r="Y24" s="44">
        <f t="shared" si="5"/>
        <v>3792.37</v>
      </c>
      <c r="Z24" s="44">
        <f t="shared" si="6"/>
        <v>8499.2688221837416</v>
      </c>
      <c r="AA24" s="50">
        <f t="shared" si="7"/>
        <v>8442.5044015518579</v>
      </c>
      <c r="AB24" s="51">
        <f t="shared" si="18"/>
        <v>7945.4695916460132</v>
      </c>
      <c r="AC24" s="44">
        <f t="shared" si="18"/>
        <v>7892.4038529979034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5.312276900034222</v>
      </c>
      <c r="AP24" s="47">
        <f t="shared" si="16"/>
        <v>6.2773481988737645</v>
      </c>
      <c r="AQ24">
        <v>2021</v>
      </c>
    </row>
    <row r="25" spans="1:43" ht="13.5" customHeight="1">
      <c r="B25" s="97" t="s">
        <v>15</v>
      </c>
      <c r="C25" s="61">
        <v>18230627</v>
      </c>
      <c r="D25" s="61" t="s">
        <v>80</v>
      </c>
      <c r="E25" s="38" t="s">
        <v>698</v>
      </c>
      <c r="F25" s="39" t="s">
        <v>697</v>
      </c>
      <c r="G25" s="39">
        <v>45</v>
      </c>
      <c r="H25" s="39"/>
      <c r="I25" s="40" t="s">
        <v>269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0.41941342660259801</v>
      </c>
      <c r="V25" s="48">
        <f t="shared" ref="V25:V67" si="21">N25-M25</f>
        <v>0.99</v>
      </c>
      <c r="W25" s="49">
        <f t="shared" ref="W25:W67" si="22">(O25/A$10)</f>
        <v>9.3202983689466227E-3</v>
      </c>
      <c r="X25" s="44">
        <f t="shared" ref="X25:X67" si="23">W25*A$8</f>
        <v>2892.2185088433998</v>
      </c>
      <c r="Y25" s="44">
        <f t="shared" ref="Y25:Y67" si="24">Q25-P25</f>
        <v>19574.120000000003</v>
      </c>
      <c r="Z25" s="44">
        <f t="shared" ref="Z25:Z67" si="25">X25+(A$6*W25)</f>
        <v>17900.225602132283</v>
      </c>
      <c r="AA25" s="50">
        <f t="shared" ref="AA25:AA67" si="26">Q25+X25</f>
        <v>35006.188508843399</v>
      </c>
      <c r="AB25" s="51">
        <f t="shared" ref="AB25:AB67" si="27">Z25/(1+ElecDiscountRate)^1</f>
        <v>16733.874546258092</v>
      </c>
      <c r="AC25" s="44">
        <f t="shared" ref="AC25:AC67" si="28">AA25/(1+ElecDiscountRate)^1</f>
        <v>32725.239327702529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5.297707160696298</v>
      </c>
      <c r="AP25" s="47">
        <f t="shared" ref="AP25:AP67" si="37">AN25/AC25</f>
        <v>2.9798493674680677</v>
      </c>
      <c r="AQ25">
        <v>2021</v>
      </c>
    </row>
    <row r="26" spans="1:43" ht="13.5" customHeight="1">
      <c r="B26" s="97" t="s">
        <v>15</v>
      </c>
      <c r="C26" s="61">
        <v>18230627</v>
      </c>
      <c r="D26" s="61" t="s">
        <v>80</v>
      </c>
      <c r="E26" s="38" t="s">
        <v>699</v>
      </c>
      <c r="F26" s="39" t="s">
        <v>700</v>
      </c>
      <c r="G26" s="39">
        <v>45</v>
      </c>
      <c r="H26" s="39"/>
      <c r="I26" s="40" t="s">
        <v>269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9.5934199151287397E-2</v>
      </c>
      <c r="V26" s="48">
        <f t="shared" si="21"/>
        <v>0.59000000000000008</v>
      </c>
      <c r="W26" s="49">
        <f t="shared" si="22"/>
        <v>2.1318710922508311E-3</v>
      </c>
      <c r="X26" s="44">
        <f t="shared" si="23"/>
        <v>661.54931820845877</v>
      </c>
      <c r="Y26" s="44">
        <f t="shared" si="24"/>
        <v>5629.1200000000008</v>
      </c>
      <c r="Z26" s="44">
        <f t="shared" si="25"/>
        <v>4094.3939770317661</v>
      </c>
      <c r="AA26" s="50">
        <f t="shared" si="26"/>
        <v>11090.66931820846</v>
      </c>
      <c r="AB26" s="51">
        <f t="shared" si="27"/>
        <v>3827.6095886994162</v>
      </c>
      <c r="AC26" s="44">
        <f t="shared" si="28"/>
        <v>10368.018433400448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5.3122769000342229</v>
      </c>
      <c r="AP26" s="47">
        <f t="shared" si="37"/>
        <v>2.2832910380872873</v>
      </c>
      <c r="AQ26">
        <v>2021</v>
      </c>
    </row>
    <row r="27" spans="1:43" ht="13.5" customHeight="1">
      <c r="B27" s="97" t="s">
        <v>15</v>
      </c>
      <c r="C27" s="61">
        <v>18230627</v>
      </c>
      <c r="D27" s="61" t="s">
        <v>80</v>
      </c>
      <c r="E27" s="38" t="s">
        <v>701</v>
      </c>
      <c r="F27" s="39" t="s">
        <v>700</v>
      </c>
      <c r="G27" s="39">
        <v>45</v>
      </c>
      <c r="H27" s="39"/>
      <c r="I27" s="40" t="s">
        <v>269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0.30599823021378098</v>
      </c>
      <c r="V27" s="48">
        <f t="shared" si="21"/>
        <v>0.74</v>
      </c>
      <c r="W27" s="49">
        <f t="shared" si="22"/>
        <v>6.7999606714173547E-3</v>
      </c>
      <c r="X27" s="44">
        <f t="shared" si="23"/>
        <v>2110.1225877925644</v>
      </c>
      <c r="Y27" s="44">
        <f t="shared" si="24"/>
        <v>32047.199999999997</v>
      </c>
      <c r="Z27" s="44">
        <f t="shared" si="25"/>
        <v>13059.756810956518</v>
      </c>
      <c r="AA27" s="50">
        <f t="shared" si="26"/>
        <v>55157.322587792558</v>
      </c>
      <c r="AB27" s="51">
        <f t="shared" si="27"/>
        <v>12208.80322609752</v>
      </c>
      <c r="AC27" s="44">
        <f t="shared" si="28"/>
        <v>51563.356630637143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5.2846453181452828</v>
      </c>
      <c r="AP27" s="47">
        <f t="shared" si="37"/>
        <v>1.3763866227374355</v>
      </c>
      <c r="AQ27">
        <v>2021</v>
      </c>
    </row>
    <row r="28" spans="1:43" ht="13.5" customHeight="1">
      <c r="B28" s="97" t="s">
        <v>15</v>
      </c>
      <c r="C28" s="61">
        <v>18230627</v>
      </c>
      <c r="D28" s="61" t="s">
        <v>80</v>
      </c>
      <c r="E28" s="38" t="s">
        <v>702</v>
      </c>
      <c r="F28" s="39" t="s">
        <v>703</v>
      </c>
      <c r="G28" s="39">
        <v>45</v>
      </c>
      <c r="H28" s="39"/>
      <c r="I28" s="40" t="s">
        <v>269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2021</v>
      </c>
    </row>
    <row r="29" spans="1:43">
      <c r="B29" s="97" t="s">
        <v>15</v>
      </c>
      <c r="C29" s="61">
        <v>18230627</v>
      </c>
      <c r="D29" s="61" t="s">
        <v>80</v>
      </c>
      <c r="E29" s="38" t="s">
        <v>704</v>
      </c>
      <c r="F29" s="39" t="s">
        <v>703</v>
      </c>
      <c r="G29" s="39">
        <v>45</v>
      </c>
      <c r="H29" s="39"/>
      <c r="I29" s="40" t="s">
        <v>269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0.19464430206854175</v>
      </c>
      <c r="V29" s="48">
        <f t="shared" si="21"/>
        <v>0</v>
      </c>
      <c r="W29" s="49">
        <f t="shared" si="22"/>
        <v>4.3254289348564831E-3</v>
      </c>
      <c r="X29" s="44">
        <f t="shared" si="23"/>
        <v>1342.2408949653184</v>
      </c>
      <c r="Y29" s="44">
        <f t="shared" si="24"/>
        <v>0</v>
      </c>
      <c r="Z29" s="44">
        <f t="shared" si="25"/>
        <v>8307.2612801635532</v>
      </c>
      <c r="AA29" s="50">
        <f t="shared" si="26"/>
        <v>1342.2408949653184</v>
      </c>
      <c r="AB29" s="51">
        <f t="shared" si="27"/>
        <v>7765.9729645354328</v>
      </c>
      <c r="AC29" s="44">
        <f t="shared" si="28"/>
        <v>1254.7825511501526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5.5528526716506068</v>
      </c>
      <c r="AP29" s="47">
        <f t="shared" si="37"/>
        <v>37.803868130789233</v>
      </c>
      <c r="AQ29">
        <v>2021</v>
      </c>
    </row>
    <row r="30" spans="1:43">
      <c r="B30" s="97" t="s">
        <v>15</v>
      </c>
      <c r="C30" s="61">
        <v>18230627</v>
      </c>
      <c r="D30" s="61" t="s">
        <v>80</v>
      </c>
      <c r="E30" s="38" t="s">
        <v>705</v>
      </c>
      <c r="F30" s="39" t="s">
        <v>706</v>
      </c>
      <c r="G30" s="39">
        <v>45</v>
      </c>
      <c r="H30" s="39"/>
      <c r="I30" s="40" t="s">
        <v>269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4.7407875851628929E-2</v>
      </c>
      <c r="V30" s="48">
        <f t="shared" si="21"/>
        <v>0.59000000000000008</v>
      </c>
      <c r="W30" s="49">
        <f t="shared" si="22"/>
        <v>1.0535083522584207E-3</v>
      </c>
      <c r="X30" s="44">
        <f t="shared" si="23"/>
        <v>326.91832761221838</v>
      </c>
      <c r="Y30" s="44">
        <f t="shared" si="24"/>
        <v>6889.75</v>
      </c>
      <c r="Z30" s="44">
        <f t="shared" si="25"/>
        <v>2023.3297725733332</v>
      </c>
      <c r="AA30" s="50">
        <f t="shared" si="26"/>
        <v>12616.668327612218</v>
      </c>
      <c r="AB30" s="51">
        <f t="shared" si="27"/>
        <v>1891.4927293384435</v>
      </c>
      <c r="AC30" s="44">
        <f t="shared" si="28"/>
        <v>11794.585704040588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5.3122769000342211</v>
      </c>
      <c r="AP30" s="47">
        <f t="shared" si="37"/>
        <v>1.1981973041342138</v>
      </c>
      <c r="AQ30">
        <v>2021</v>
      </c>
    </row>
    <row r="31" spans="1:43">
      <c r="B31" s="97" t="s">
        <v>15</v>
      </c>
      <c r="C31" s="61">
        <v>18230627</v>
      </c>
      <c r="D31" s="61" t="s">
        <v>80</v>
      </c>
      <c r="E31" s="38" t="s">
        <v>707</v>
      </c>
      <c r="F31" s="39" t="s">
        <v>706</v>
      </c>
      <c r="G31" s="39">
        <v>45</v>
      </c>
      <c r="H31" s="39"/>
      <c r="I31" s="40" t="s">
        <v>269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0.13594020402311396</v>
      </c>
      <c r="V31" s="48">
        <f t="shared" si="21"/>
        <v>0.74</v>
      </c>
      <c r="W31" s="49">
        <f t="shared" si="22"/>
        <v>3.020893422735866E-3</v>
      </c>
      <c r="X31" s="44">
        <f t="shared" si="23"/>
        <v>937.42534032925198</v>
      </c>
      <c r="Y31" s="44">
        <f t="shared" si="24"/>
        <v>18392.689999999999</v>
      </c>
      <c r="Z31" s="44">
        <f t="shared" si="25"/>
        <v>5801.8178867680481</v>
      </c>
      <c r="AA31" s="50">
        <f t="shared" si="26"/>
        <v>32418.545340329252</v>
      </c>
      <c r="AB31" s="51">
        <f t="shared" si="27"/>
        <v>5423.7803933514515</v>
      </c>
      <c r="AC31" s="44">
        <f t="shared" si="28"/>
        <v>30306.202991800739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5.2946324226575801</v>
      </c>
      <c r="AP31" s="47">
        <f t="shared" si="37"/>
        <v>1.0423151948451148</v>
      </c>
      <c r="AQ31">
        <v>2021</v>
      </c>
    </row>
    <row r="32" spans="1:43">
      <c r="B32" s="97" t="s">
        <v>15</v>
      </c>
      <c r="C32" s="61">
        <v>18230627</v>
      </c>
      <c r="D32" s="61" t="s">
        <v>80</v>
      </c>
      <c r="E32" s="38" t="s">
        <v>708</v>
      </c>
      <c r="F32" s="39" t="s">
        <v>709</v>
      </c>
      <c r="G32" s="39">
        <v>45</v>
      </c>
      <c r="H32" s="39"/>
      <c r="I32" s="40" t="s">
        <v>269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9.9988813728643849E-2</v>
      </c>
      <c r="V32" s="48">
        <f t="shared" si="21"/>
        <v>0.59000000000000008</v>
      </c>
      <c r="W32" s="49">
        <f t="shared" si="22"/>
        <v>2.2219736384143079E-3</v>
      </c>
      <c r="X32" s="44">
        <f t="shared" si="23"/>
        <v>689.50939431247912</v>
      </c>
      <c r="Y32" s="44">
        <f t="shared" si="24"/>
        <v>8716.68</v>
      </c>
      <c r="Z32" s="44">
        <f t="shared" si="25"/>
        <v>4267.4416456586086</v>
      </c>
      <c r="AA32" s="50">
        <f t="shared" si="26"/>
        <v>16006.18939431248</v>
      </c>
      <c r="AB32" s="51">
        <f t="shared" si="27"/>
        <v>3989.3817384861254</v>
      </c>
      <c r="AC32" s="44">
        <f t="shared" si="28"/>
        <v>14963.250812669419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5.3122769000342211</v>
      </c>
      <c r="AP32" s="47">
        <f t="shared" si="37"/>
        <v>1.6861862873990323</v>
      </c>
      <c r="AQ32">
        <v>2021</v>
      </c>
    </row>
    <row r="33" spans="2:43">
      <c r="B33" s="97" t="s">
        <v>15</v>
      </c>
      <c r="C33" s="61">
        <v>18230627</v>
      </c>
      <c r="D33" s="61" t="s">
        <v>80</v>
      </c>
      <c r="E33" s="38" t="s">
        <v>710</v>
      </c>
      <c r="F33" s="39" t="s">
        <v>709</v>
      </c>
      <c r="G33" s="39">
        <v>45</v>
      </c>
      <c r="H33" s="39"/>
      <c r="I33" s="40" t="s">
        <v>269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0.2139127775656248</v>
      </c>
      <c r="V33" s="48">
        <f t="shared" si="21"/>
        <v>0.74</v>
      </c>
      <c r="W33" s="49">
        <f t="shared" si="22"/>
        <v>4.7536172792361064E-3</v>
      </c>
      <c r="X33" s="44">
        <f t="shared" si="23"/>
        <v>1475.113707171836</v>
      </c>
      <c r="Y33" s="44">
        <f t="shared" si="24"/>
        <v>19836.560000000001</v>
      </c>
      <c r="Z33" s="44">
        <f t="shared" si="25"/>
        <v>9129.6242197595548</v>
      </c>
      <c r="AA33" s="50">
        <f t="shared" si="26"/>
        <v>39276.513707171835</v>
      </c>
      <c r="AB33" s="51">
        <f t="shared" si="27"/>
        <v>8534.752005010334</v>
      </c>
      <c r="AC33" s="44">
        <f t="shared" si="28"/>
        <v>36717.316731019753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5.264525464692257</v>
      </c>
      <c r="AP33" s="47">
        <f t="shared" si="37"/>
        <v>1.3460831452853976</v>
      </c>
      <c r="AQ33">
        <v>2021</v>
      </c>
    </row>
    <row r="34" spans="2:43">
      <c r="B34" s="97" t="s">
        <v>15</v>
      </c>
      <c r="C34" s="61">
        <v>18230627</v>
      </c>
      <c r="D34" s="61" t="s">
        <v>80</v>
      </c>
      <c r="E34" s="38" t="s">
        <v>711</v>
      </c>
      <c r="F34" s="39" t="s">
        <v>712</v>
      </c>
      <c r="G34" s="39">
        <v>5</v>
      </c>
      <c r="H34" s="39"/>
      <c r="I34" s="40" t="s">
        <v>269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2021</v>
      </c>
    </row>
    <row r="35" spans="2:43">
      <c r="B35" s="97" t="s">
        <v>15</v>
      </c>
      <c r="C35" s="61">
        <v>18230627</v>
      </c>
      <c r="D35" s="61" t="s">
        <v>80</v>
      </c>
      <c r="E35" s="38" t="s">
        <v>713</v>
      </c>
      <c r="F35" s="39" t="s">
        <v>712</v>
      </c>
      <c r="G35" s="39">
        <v>5</v>
      </c>
      <c r="H35" s="39"/>
      <c r="I35" s="40" t="s">
        <v>269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2021</v>
      </c>
    </row>
    <row r="36" spans="2:43">
      <c r="B36" s="97" t="s">
        <v>15</v>
      </c>
      <c r="C36" s="61">
        <v>18230627</v>
      </c>
      <c r="D36" s="61" t="s">
        <v>80</v>
      </c>
      <c r="E36" s="38" t="s">
        <v>714</v>
      </c>
      <c r="F36" s="39" t="s">
        <v>715</v>
      </c>
      <c r="G36" s="39">
        <v>25</v>
      </c>
      <c r="H36" s="39"/>
      <c r="I36" s="40" t="s">
        <v>269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2.6377419764306173E-2</v>
      </c>
      <c r="V36" s="48">
        <f t="shared" si="21"/>
        <v>0.92999999999999994</v>
      </c>
      <c r="W36" s="49">
        <f t="shared" si="22"/>
        <v>1.0550967905722469E-3</v>
      </c>
      <c r="X36" s="44">
        <f t="shared" si="23"/>
        <v>327.41124216382872</v>
      </c>
      <c r="Y36" s="44">
        <f t="shared" si="24"/>
        <v>12105.919999999998</v>
      </c>
      <c r="Z36" s="44">
        <f t="shared" si="25"/>
        <v>2026.3804693479447</v>
      </c>
      <c r="AA36" s="50">
        <f t="shared" si="26"/>
        <v>22033.331242163826</v>
      </c>
      <c r="AB36" s="51">
        <f t="shared" si="27"/>
        <v>1894.34464742259</v>
      </c>
      <c r="AC36" s="44">
        <f t="shared" si="28"/>
        <v>20597.673405780894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3.1399345056997037</v>
      </c>
      <c r="AP36" s="47">
        <f t="shared" si="37"/>
        <v>0.31765383437463285</v>
      </c>
      <c r="AQ36">
        <v>2021</v>
      </c>
    </row>
    <row r="37" spans="2:43">
      <c r="B37" s="97" t="s">
        <v>15</v>
      </c>
      <c r="C37" s="61">
        <v>18230627</v>
      </c>
      <c r="D37" s="61" t="s">
        <v>80</v>
      </c>
      <c r="E37" s="38" t="s">
        <v>716</v>
      </c>
      <c r="F37" s="39" t="s">
        <v>717</v>
      </c>
      <c r="G37" s="39">
        <v>25</v>
      </c>
      <c r="H37" s="39"/>
      <c r="I37" s="40" t="s">
        <v>269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7.6246296876813724E-2</v>
      </c>
      <c r="V37" s="48">
        <f t="shared" si="21"/>
        <v>0</v>
      </c>
      <c r="W37" s="49">
        <f t="shared" si="22"/>
        <v>3.0498518750725488E-3</v>
      </c>
      <c r="X37" s="44">
        <f t="shared" si="23"/>
        <v>946.41155177015025</v>
      </c>
      <c r="Y37" s="44">
        <f t="shared" si="24"/>
        <v>10273.650000000001</v>
      </c>
      <c r="Z37" s="44">
        <f t="shared" si="25"/>
        <v>5857.4344356590464</v>
      </c>
      <c r="AA37" s="50">
        <f t="shared" si="26"/>
        <v>26590.521551770151</v>
      </c>
      <c r="AB37" s="51">
        <f t="shared" si="27"/>
        <v>5475.7730538085871</v>
      </c>
      <c r="AC37" s="44">
        <f t="shared" si="28"/>
        <v>24857.924232747639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3.1784318201788309</v>
      </c>
      <c r="AP37" s="47">
        <f t="shared" si="37"/>
        <v>0.77016923321827901</v>
      </c>
      <c r="AQ37">
        <v>2021</v>
      </c>
    </row>
    <row r="38" spans="2:43">
      <c r="B38" s="97" t="s">
        <v>15</v>
      </c>
      <c r="C38" s="61">
        <v>18230627</v>
      </c>
      <c r="D38" s="61" t="s">
        <v>80</v>
      </c>
      <c r="E38" s="38" t="s">
        <v>718</v>
      </c>
      <c r="F38" s="39" t="s">
        <v>717</v>
      </c>
      <c r="G38" s="39">
        <v>25</v>
      </c>
      <c r="H38" s="39"/>
      <c r="I38" s="40" t="s">
        <v>269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0.30160795921445305</v>
      </c>
      <c r="V38" s="48">
        <f t="shared" si="21"/>
        <v>0.92999999999999994</v>
      </c>
      <c r="W38" s="49">
        <f t="shared" si="22"/>
        <v>1.2064318368578122E-2</v>
      </c>
      <c r="X38" s="44">
        <f t="shared" si="23"/>
        <v>3743.7261663678487</v>
      </c>
      <c r="Y38" s="44">
        <f t="shared" si="24"/>
        <v>59893.890000000007</v>
      </c>
      <c r="Z38" s="44">
        <f t="shared" si="25"/>
        <v>23170.290476216156</v>
      </c>
      <c r="AA38" s="50">
        <f t="shared" si="26"/>
        <v>100673.32616636786</v>
      </c>
      <c r="AB38" s="51">
        <f t="shared" si="27"/>
        <v>21660.550132014727</v>
      </c>
      <c r="AC38" s="44">
        <f t="shared" si="28"/>
        <v>94113.607709047254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3.1645839251068431</v>
      </c>
      <c r="AP38" s="47">
        <f t="shared" si="37"/>
        <v>0.80117310841512634</v>
      </c>
      <c r="AQ38">
        <v>2021</v>
      </c>
    </row>
    <row r="39" spans="2:43">
      <c r="B39" s="97" t="s">
        <v>15</v>
      </c>
      <c r="C39" s="61">
        <v>18230627</v>
      </c>
      <c r="D39" s="61" t="s">
        <v>80</v>
      </c>
      <c r="E39" s="38" t="s">
        <v>719</v>
      </c>
      <c r="F39" s="39" t="s">
        <v>720</v>
      </c>
      <c r="G39" s="39">
        <v>25</v>
      </c>
      <c r="H39" s="39"/>
      <c r="I39" s="40" t="s">
        <v>269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  <c r="AQ39">
        <v>2021</v>
      </c>
    </row>
    <row r="40" spans="2:43">
      <c r="B40" s="97" t="s">
        <v>15</v>
      </c>
      <c r="C40" s="61">
        <v>18230627</v>
      </c>
      <c r="D40" s="61" t="s">
        <v>80</v>
      </c>
      <c r="E40" s="38" t="s">
        <v>721</v>
      </c>
      <c r="F40" s="39" t="s">
        <v>722</v>
      </c>
      <c r="G40" s="39">
        <v>45</v>
      </c>
      <c r="H40" s="39"/>
      <c r="I40" s="40" t="s">
        <v>269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0.41831810494766686</v>
      </c>
      <c r="V40" s="48">
        <f t="shared" si="21"/>
        <v>1.21</v>
      </c>
      <c r="W40" s="49">
        <f t="shared" si="22"/>
        <v>9.2959578877259297E-3</v>
      </c>
      <c r="X40" s="44">
        <f t="shared" si="23"/>
        <v>2884.6653182143104</v>
      </c>
      <c r="Y40" s="44">
        <f t="shared" si="24"/>
        <v>33365.82</v>
      </c>
      <c r="Z40" s="44">
        <f t="shared" si="25"/>
        <v>17853.478160380149</v>
      </c>
      <c r="AA40" s="50">
        <f t="shared" si="26"/>
        <v>40650.485318214312</v>
      </c>
      <c r="AB40" s="51">
        <f t="shared" si="27"/>
        <v>16690.17309561573</v>
      </c>
      <c r="AC40" s="44">
        <f t="shared" si="28"/>
        <v>38001.762473791074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5.3122769000342211</v>
      </c>
      <c r="AP40" s="47">
        <f t="shared" si="37"/>
        <v>2.7523352787078892</v>
      </c>
      <c r="AQ40">
        <v>2021</v>
      </c>
    </row>
    <row r="41" spans="2:43">
      <c r="B41" s="97" t="s">
        <v>15</v>
      </c>
      <c r="C41" s="61">
        <v>18230627</v>
      </c>
      <c r="D41" s="61" t="s">
        <v>80</v>
      </c>
      <c r="E41" s="38" t="s">
        <v>723</v>
      </c>
      <c r="F41" s="39" t="s">
        <v>722</v>
      </c>
      <c r="G41" s="39">
        <v>45</v>
      </c>
      <c r="H41" s="39"/>
      <c r="I41" s="40" t="s">
        <v>269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0.51834718666569179</v>
      </c>
      <c r="V41" s="48">
        <f t="shared" si="21"/>
        <v>1.1599999999999999</v>
      </c>
      <c r="W41" s="49">
        <f t="shared" si="22"/>
        <v>1.1518826370348706E-2</v>
      </c>
      <c r="X41" s="44">
        <f t="shared" si="23"/>
        <v>3574.4523951588053</v>
      </c>
      <c r="Y41" s="44">
        <f t="shared" si="24"/>
        <v>118051.93000000001</v>
      </c>
      <c r="Z41" s="44">
        <f t="shared" si="25"/>
        <v>22122.638411235315</v>
      </c>
      <c r="AA41" s="50">
        <f t="shared" si="26"/>
        <v>136458.4923951588</v>
      </c>
      <c r="AB41" s="51">
        <f t="shared" si="27"/>
        <v>20681.161457637947</v>
      </c>
      <c r="AC41" s="44">
        <f t="shared" si="28"/>
        <v>127567.0677714862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5.3107173109732777</v>
      </c>
      <c r="AP41" s="47">
        <f t="shared" si="37"/>
        <v>0.94707030968949579</v>
      </c>
      <c r="AQ41">
        <v>2021</v>
      </c>
    </row>
    <row r="42" spans="2:43">
      <c r="B42" s="97" t="s">
        <v>15</v>
      </c>
      <c r="C42" s="61">
        <v>18230627</v>
      </c>
      <c r="D42" s="61" t="s">
        <v>80</v>
      </c>
      <c r="E42" s="38" t="s">
        <v>724</v>
      </c>
      <c r="F42" s="39" t="s">
        <v>725</v>
      </c>
      <c r="G42" s="39">
        <v>45</v>
      </c>
      <c r="H42" s="39"/>
      <c r="I42" s="40" t="s">
        <v>269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  <c r="AQ42">
        <v>2021</v>
      </c>
    </row>
    <row r="43" spans="2:43">
      <c r="B43" s="97" t="s">
        <v>15</v>
      </c>
      <c r="C43" s="61">
        <v>18230627</v>
      </c>
      <c r="D43" s="61" t="s">
        <v>80</v>
      </c>
      <c r="E43" s="38" t="s">
        <v>726</v>
      </c>
      <c r="F43" s="39" t="s">
        <v>725</v>
      </c>
      <c r="G43" s="39">
        <v>45</v>
      </c>
      <c r="H43" s="39"/>
      <c r="I43" s="40" t="s">
        <v>269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0.46297659892191723</v>
      </c>
      <c r="V43" s="48">
        <f t="shared" si="21"/>
        <v>0</v>
      </c>
      <c r="W43" s="49">
        <f t="shared" si="22"/>
        <v>1.0288368864931494E-2</v>
      </c>
      <c r="X43" s="44">
        <f t="shared" si="23"/>
        <v>3192.6242786502189</v>
      </c>
      <c r="Y43" s="44">
        <f t="shared" si="24"/>
        <v>0</v>
      </c>
      <c r="Z43" s="44">
        <f t="shared" si="25"/>
        <v>19759.466539593363</v>
      </c>
      <c r="AA43" s="50">
        <f t="shared" si="26"/>
        <v>3192.6242786502189</v>
      </c>
      <c r="AB43" s="51">
        <f t="shared" si="27"/>
        <v>18471.970215568253</v>
      </c>
      <c r="AC43" s="44">
        <f t="shared" si="28"/>
        <v>2984.5978112089547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4.7431077548570579</v>
      </c>
      <c r="AP43" s="47">
        <f t="shared" si="37"/>
        <v>32.291117862747122</v>
      </c>
      <c r="AQ43">
        <v>2021</v>
      </c>
    </row>
    <row r="44" spans="2:43">
      <c r="B44" s="97" t="s">
        <v>15</v>
      </c>
      <c r="C44" s="61">
        <v>18230627</v>
      </c>
      <c r="D44" s="61" t="s">
        <v>80</v>
      </c>
      <c r="E44" s="38" t="s">
        <v>727</v>
      </c>
      <c r="F44" s="39" t="s">
        <v>728</v>
      </c>
      <c r="G44" s="39">
        <v>45</v>
      </c>
      <c r="H44" s="39"/>
      <c r="I44" s="40" t="s">
        <v>269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4.2974192330058884E-2</v>
      </c>
      <c r="V44" s="48">
        <f t="shared" si="21"/>
        <v>1.21</v>
      </c>
      <c r="W44" s="49">
        <f t="shared" si="22"/>
        <v>9.5498205177908628E-4</v>
      </c>
      <c r="X44" s="44">
        <f t="shared" si="23"/>
        <v>296.34424311685223</v>
      </c>
      <c r="Y44" s="44">
        <f t="shared" si="24"/>
        <v>18953.98</v>
      </c>
      <c r="Z44" s="44">
        <f t="shared" si="25"/>
        <v>1834.1037482005872</v>
      </c>
      <c r="AA44" s="50">
        <f t="shared" si="26"/>
        <v>21850.324243116851</v>
      </c>
      <c r="AB44" s="51">
        <f t="shared" si="27"/>
        <v>1714.5963804810574</v>
      </c>
      <c r="AC44" s="44">
        <f t="shared" si="28"/>
        <v>20426.590860163455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5.3122769000342211</v>
      </c>
      <c r="AP44" s="47">
        <f t="shared" si="37"/>
        <v>0.49050044072419507</v>
      </c>
      <c r="AQ44">
        <v>2021</v>
      </c>
    </row>
    <row r="45" spans="2:43">
      <c r="B45" s="97" t="s">
        <v>15</v>
      </c>
      <c r="C45" s="61">
        <v>18230627</v>
      </c>
      <c r="D45" s="61" t="s">
        <v>80</v>
      </c>
      <c r="E45" s="38" t="s">
        <v>729</v>
      </c>
      <c r="F45" s="39" t="s">
        <v>728</v>
      </c>
      <c r="G45" s="39">
        <v>45</v>
      </c>
      <c r="H45" s="39"/>
      <c r="I45" s="40" t="s">
        <v>269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0.26370244838755141</v>
      </c>
      <c r="V45" s="48">
        <f t="shared" si="21"/>
        <v>1.1599999999999999</v>
      </c>
      <c r="W45" s="49">
        <f t="shared" si="22"/>
        <v>5.8600544086122542E-3</v>
      </c>
      <c r="X45" s="44">
        <f t="shared" si="23"/>
        <v>1818.4565721508382</v>
      </c>
      <c r="Y45" s="44">
        <f t="shared" si="24"/>
        <v>112627.74</v>
      </c>
      <c r="Z45" s="44">
        <f t="shared" si="25"/>
        <v>11254.607073999134</v>
      </c>
      <c r="AA45" s="50">
        <f t="shared" si="26"/>
        <v>127046.19657215085</v>
      </c>
      <c r="AB45" s="51">
        <f t="shared" si="27"/>
        <v>10521.274258202424</v>
      </c>
      <c r="AC45" s="44">
        <f t="shared" si="28"/>
        <v>118768.06260834892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5.20812112351752</v>
      </c>
      <c r="AP45" s="47">
        <f t="shared" si="37"/>
        <v>0.50750745998339242</v>
      </c>
      <c r="AQ45">
        <v>2021</v>
      </c>
    </row>
    <row r="46" spans="2:43">
      <c r="B46" s="97" t="s">
        <v>15</v>
      </c>
      <c r="C46" s="61">
        <v>18230627</v>
      </c>
      <c r="D46" s="61" t="s">
        <v>80</v>
      </c>
      <c r="E46" s="38" t="s">
        <v>730</v>
      </c>
      <c r="F46" s="39" t="s">
        <v>731</v>
      </c>
      <c r="G46" s="39">
        <v>45</v>
      </c>
      <c r="H46" s="39"/>
      <c r="I46" s="40" t="s">
        <v>269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0.2908652287104822</v>
      </c>
      <c r="V46" s="48">
        <f t="shared" si="21"/>
        <v>1.21</v>
      </c>
      <c r="W46" s="49">
        <f t="shared" si="22"/>
        <v>6.4636717491218269E-3</v>
      </c>
      <c r="X46" s="44">
        <f t="shared" si="23"/>
        <v>2005.7674473366853</v>
      </c>
      <c r="Y46" s="44">
        <f t="shared" si="24"/>
        <v>21894.52</v>
      </c>
      <c r="Z46" s="44">
        <f t="shared" si="25"/>
        <v>12413.892554438278</v>
      </c>
      <c r="AA46" s="50">
        <f t="shared" si="26"/>
        <v>27500.287447336686</v>
      </c>
      <c r="AB46" s="51">
        <f t="shared" si="27"/>
        <v>11605.022487088228</v>
      </c>
      <c r="AC46" s="44">
        <f t="shared" si="28"/>
        <v>25708.411187563506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5.3122769000342203</v>
      </c>
      <c r="AP46" s="47">
        <f t="shared" si="37"/>
        <v>2.8233178662668932</v>
      </c>
      <c r="AQ46">
        <v>2021</v>
      </c>
    </row>
    <row r="47" spans="2:43">
      <c r="B47" s="97" t="s">
        <v>15</v>
      </c>
      <c r="C47" s="61">
        <v>18230627</v>
      </c>
      <c r="D47" s="61" t="s">
        <v>80</v>
      </c>
      <c r="E47" s="38" t="s">
        <v>732</v>
      </c>
      <c r="F47" s="39" t="s">
        <v>731</v>
      </c>
      <c r="G47" s="39">
        <v>45</v>
      </c>
      <c r="H47" s="39"/>
      <c r="I47" s="40" t="s">
        <v>269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0.73980156028270616</v>
      </c>
      <c r="V47" s="48">
        <f t="shared" si="21"/>
        <v>1.1599999999999999</v>
      </c>
      <c r="W47" s="49">
        <f t="shared" si="22"/>
        <v>1.6440034672949026E-2</v>
      </c>
      <c r="X47" s="44">
        <f t="shared" si="23"/>
        <v>5101.5719330994225</v>
      </c>
      <c r="Y47" s="44">
        <f t="shared" si="24"/>
        <v>89117.97</v>
      </c>
      <c r="Z47" s="44">
        <f t="shared" si="25"/>
        <v>31574.131846803106</v>
      </c>
      <c r="AA47" s="50">
        <f t="shared" si="26"/>
        <v>108619.54193309942</v>
      </c>
      <c r="AB47" s="51">
        <f t="shared" si="27"/>
        <v>29516.810177435826</v>
      </c>
      <c r="AC47" s="44">
        <f t="shared" si="28"/>
        <v>101542.06032822232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5.2858445072828788</v>
      </c>
      <c r="AP47" s="47">
        <f t="shared" si="37"/>
        <v>1.6901705095312218</v>
      </c>
      <c r="AQ47">
        <v>2021</v>
      </c>
    </row>
    <row r="48" spans="2:43">
      <c r="B48" s="97" t="s">
        <v>15</v>
      </c>
      <c r="C48" s="61">
        <v>18230627</v>
      </c>
      <c r="D48" s="61" t="s">
        <v>80</v>
      </c>
      <c r="E48" s="38" t="s">
        <v>733</v>
      </c>
      <c r="F48" s="39" t="s">
        <v>734</v>
      </c>
      <c r="G48" s="39">
        <v>20</v>
      </c>
      <c r="H48" s="39"/>
      <c r="I48" s="40" t="s">
        <v>269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0.23415449496759219</v>
      </c>
      <c r="V48" s="48">
        <f t="shared" si="21"/>
        <v>600</v>
      </c>
      <c r="W48" s="49">
        <f t="shared" si="22"/>
        <v>1.1707724748379609E-2</v>
      </c>
      <c r="X48" s="44">
        <f t="shared" si="23"/>
        <v>3633.0701951051847</v>
      </c>
      <c r="Y48" s="44">
        <f t="shared" si="24"/>
        <v>16715.260000000002</v>
      </c>
      <c r="Z48" s="44">
        <f t="shared" si="25"/>
        <v>22485.42975640254</v>
      </c>
      <c r="AA48" s="50">
        <f t="shared" si="26"/>
        <v>29633.070195105185</v>
      </c>
      <c r="AB48" s="51">
        <f t="shared" si="27"/>
        <v>21020.313879033878</v>
      </c>
      <c r="AC48" s="44">
        <f t="shared" si="28"/>
        <v>27702.225105268004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2.6780287996808654</v>
      </c>
      <c r="AP48" s="47">
        <f t="shared" si="37"/>
        <v>2.2352827726191231</v>
      </c>
      <c r="AQ48">
        <v>2021</v>
      </c>
    </row>
    <row r="49" spans="2:43">
      <c r="B49" s="97" t="s">
        <v>15</v>
      </c>
      <c r="C49" s="61">
        <v>18230627</v>
      </c>
      <c r="D49" s="61" t="s">
        <v>80</v>
      </c>
      <c r="E49" s="38" t="s">
        <v>735</v>
      </c>
      <c r="F49" s="39" t="s">
        <v>734</v>
      </c>
      <c r="G49" s="39">
        <v>20</v>
      </c>
      <c r="H49" s="39"/>
      <c r="I49" s="40" t="s">
        <v>269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1.2328293816324294</v>
      </c>
      <c r="V49" s="48">
        <f t="shared" si="21"/>
        <v>600</v>
      </c>
      <c r="W49" s="49">
        <f t="shared" si="22"/>
        <v>6.1641469081621464E-2</v>
      </c>
      <c r="X49" s="44">
        <f t="shared" si="23"/>
        <v>19128.207138106136</v>
      </c>
      <c r="Y49" s="44">
        <f t="shared" si="24"/>
        <v>83786.38</v>
      </c>
      <c r="Z49" s="44">
        <f t="shared" si="25"/>
        <v>118386.36053585823</v>
      </c>
      <c r="AA49" s="50">
        <f t="shared" si="26"/>
        <v>156128.20713810614</v>
      </c>
      <c r="AB49" s="51">
        <f t="shared" si="27"/>
        <v>110672.48811429206</v>
      </c>
      <c r="AC49" s="44">
        <f t="shared" si="28"/>
        <v>145955.13427886897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2.6780287996808654</v>
      </c>
      <c r="AP49" s="47">
        <f t="shared" si="37"/>
        <v>2.2337173896859239</v>
      </c>
      <c r="AQ49">
        <v>2021</v>
      </c>
    </row>
    <row r="50" spans="2:43">
      <c r="B50" s="97" t="s">
        <v>15</v>
      </c>
      <c r="C50" s="61">
        <v>18230627</v>
      </c>
      <c r="D50" s="61" t="s">
        <v>80</v>
      </c>
      <c r="E50" s="38" t="s">
        <v>736</v>
      </c>
      <c r="F50" s="39" t="s">
        <v>737</v>
      </c>
      <c r="G50" s="39">
        <v>20</v>
      </c>
      <c r="H50" s="39"/>
      <c r="I50" s="40" t="s">
        <v>269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  <c r="AQ50">
        <v>2021</v>
      </c>
    </row>
    <row r="51" spans="2:43">
      <c r="B51" s="97" t="s">
        <v>15</v>
      </c>
      <c r="C51" s="61">
        <v>18230627</v>
      </c>
      <c r="D51" s="61" t="s">
        <v>80</v>
      </c>
      <c r="E51" s="38" t="s">
        <v>738</v>
      </c>
      <c r="F51" s="39" t="s">
        <v>737</v>
      </c>
      <c r="G51" s="39">
        <v>20</v>
      </c>
      <c r="H51" s="39"/>
      <c r="I51" s="40" t="s">
        <v>269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  <c r="AQ51">
        <v>2021</v>
      </c>
    </row>
    <row r="52" spans="2:43">
      <c r="B52" s="97" t="s">
        <v>15</v>
      </c>
      <c r="C52" s="61">
        <v>18230627</v>
      </c>
      <c r="D52" s="61" t="s">
        <v>80</v>
      </c>
      <c r="E52" s="38" t="s">
        <v>739</v>
      </c>
      <c r="F52" s="39" t="s">
        <v>740</v>
      </c>
      <c r="G52" s="39">
        <v>20</v>
      </c>
      <c r="H52" s="39"/>
      <c r="I52" s="40" t="s">
        <v>269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9.9144425796026961E-2</v>
      </c>
      <c r="V52" s="48">
        <f t="shared" si="21"/>
        <v>331.58000000000004</v>
      </c>
      <c r="W52" s="49">
        <f t="shared" si="22"/>
        <v>4.9572212898013482E-3</v>
      </c>
      <c r="X52" s="44">
        <f t="shared" si="23"/>
        <v>1538.294869890138</v>
      </c>
      <c r="Y52" s="44">
        <f t="shared" si="24"/>
        <v>3771.27</v>
      </c>
      <c r="Z52" s="44">
        <f t="shared" si="25"/>
        <v>9520.6586671930945</v>
      </c>
      <c r="AA52" s="50">
        <f t="shared" si="26"/>
        <v>8485.6748698901374</v>
      </c>
      <c r="AB52" s="51">
        <f t="shared" si="27"/>
        <v>8900.3072517463715</v>
      </c>
      <c r="AC52" s="44">
        <f t="shared" si="28"/>
        <v>7932.761400289929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2.6780287996808658</v>
      </c>
      <c r="AP52" s="47">
        <f t="shared" si="37"/>
        <v>3.3051299210695428</v>
      </c>
      <c r="AQ52">
        <v>2021</v>
      </c>
    </row>
    <row r="53" spans="2:43">
      <c r="B53" s="97" t="s">
        <v>15</v>
      </c>
      <c r="C53" s="61">
        <v>18230627</v>
      </c>
      <c r="D53" s="61" t="s">
        <v>80</v>
      </c>
      <c r="E53" s="38" t="s">
        <v>741</v>
      </c>
      <c r="F53" s="39" t="s">
        <v>742</v>
      </c>
      <c r="G53" s="39">
        <v>20</v>
      </c>
      <c r="H53" s="39"/>
      <c r="I53" s="40" t="s">
        <v>269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2021</v>
      </c>
    </row>
    <row r="54" spans="2:43">
      <c r="B54" s="97" t="s">
        <v>15</v>
      </c>
      <c r="C54" s="61">
        <v>18230627</v>
      </c>
      <c r="D54" s="61" t="s">
        <v>80</v>
      </c>
      <c r="E54" s="38" t="s">
        <v>743</v>
      </c>
      <c r="F54" s="39" t="s">
        <v>744</v>
      </c>
      <c r="G54" s="39">
        <v>20</v>
      </c>
      <c r="H54" s="39"/>
      <c r="I54" s="40" t="s">
        <v>269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5.4855028104630846E-2</v>
      </c>
      <c r="V54" s="48">
        <f t="shared" si="21"/>
        <v>331.58000000000004</v>
      </c>
      <c r="W54" s="49">
        <f t="shared" si="22"/>
        <v>2.7427514052315422E-3</v>
      </c>
      <c r="X54" s="44">
        <f t="shared" si="23"/>
        <v>851.11399499793629</v>
      </c>
      <c r="Y54" s="44">
        <f t="shared" si="24"/>
        <v>3271.0600000000004</v>
      </c>
      <c r="Z54" s="44">
        <f t="shared" si="25"/>
        <v>5267.6284578815212</v>
      </c>
      <c r="AA54" s="50">
        <f t="shared" si="26"/>
        <v>6535.3339949979363</v>
      </c>
      <c r="AB54" s="51">
        <f t="shared" si="27"/>
        <v>4924.3979226713291</v>
      </c>
      <c r="AC54" s="44">
        <f t="shared" si="28"/>
        <v>6109.50172478072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2.6780287996808658</v>
      </c>
      <c r="AP54" s="47">
        <f t="shared" si="37"/>
        <v>2.3744076124838731</v>
      </c>
      <c r="AQ54">
        <v>2021</v>
      </c>
    </row>
    <row r="55" spans="2:43">
      <c r="B55" s="97" t="s">
        <v>15</v>
      </c>
      <c r="C55" s="61">
        <v>18230627</v>
      </c>
      <c r="D55" s="61" t="s">
        <v>80</v>
      </c>
      <c r="E55" s="38" t="s">
        <v>745</v>
      </c>
      <c r="F55" s="39" t="s">
        <v>746</v>
      </c>
      <c r="G55" s="39">
        <v>45</v>
      </c>
      <c r="H55" s="39"/>
      <c r="I55" s="40" t="s">
        <v>269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2.3080511825155997E-2</v>
      </c>
      <c r="V55" s="48">
        <f t="shared" si="21"/>
        <v>0.79</v>
      </c>
      <c r="W55" s="49">
        <f t="shared" si="22"/>
        <v>5.1290026278124441E-4</v>
      </c>
      <c r="X55" s="44">
        <f t="shared" si="23"/>
        <v>159.16010137068329</v>
      </c>
      <c r="Y55" s="44">
        <f t="shared" si="24"/>
        <v>319.59000000000003</v>
      </c>
      <c r="Z55" s="44">
        <f t="shared" si="25"/>
        <v>985.05756487008739</v>
      </c>
      <c r="AA55" s="50">
        <f t="shared" si="26"/>
        <v>1144.7601013706833</v>
      </c>
      <c r="AB55" s="51">
        <f t="shared" si="27"/>
        <v>920.87273522491103</v>
      </c>
      <c r="AC55" s="44">
        <f t="shared" si="28"/>
        <v>1070.1693010850549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5.3122769000342203</v>
      </c>
      <c r="AP55" s="47">
        <f t="shared" si="37"/>
        <v>5.3549494238084536</v>
      </c>
      <c r="AQ55">
        <v>2021</v>
      </c>
    </row>
    <row r="56" spans="2:43">
      <c r="B56" s="97" t="s">
        <v>15</v>
      </c>
      <c r="C56" s="61">
        <v>18230627</v>
      </c>
      <c r="D56" s="61" t="s">
        <v>80</v>
      </c>
      <c r="E56" s="38" t="s">
        <v>747</v>
      </c>
      <c r="F56" s="39" t="s">
        <v>746</v>
      </c>
      <c r="G56" s="39">
        <v>45</v>
      </c>
      <c r="H56" s="39"/>
      <c r="I56" s="40" t="s">
        <v>269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7.8256713531838135E-2</v>
      </c>
      <c r="V56" s="48">
        <f t="shared" si="21"/>
        <v>0.81</v>
      </c>
      <c r="W56" s="49">
        <f t="shared" si="22"/>
        <v>1.7390380784852919E-3</v>
      </c>
      <c r="X56" s="44">
        <f t="shared" si="23"/>
        <v>539.64775794480011</v>
      </c>
      <c r="Y56" s="44">
        <f t="shared" si="24"/>
        <v>5164.1099999999997</v>
      </c>
      <c r="Z56" s="44">
        <f t="shared" si="25"/>
        <v>3339.9331977720331</v>
      </c>
      <c r="AA56" s="50">
        <f t="shared" si="26"/>
        <v>7778.0477579447997</v>
      </c>
      <c r="AB56" s="51">
        <f t="shared" si="27"/>
        <v>3122.308308658533</v>
      </c>
      <c r="AC56" s="44">
        <f t="shared" si="28"/>
        <v>7271.2421781291941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5.2975006321072975</v>
      </c>
      <c r="AP56" s="47">
        <f t="shared" si="37"/>
        <v>2.5022510345417919</v>
      </c>
      <c r="AQ56">
        <v>2021</v>
      </c>
    </row>
    <row r="57" spans="2:43">
      <c r="B57" s="97" t="s">
        <v>15</v>
      </c>
      <c r="C57" s="61">
        <v>18230627</v>
      </c>
      <c r="D57" s="61" t="s">
        <v>80</v>
      </c>
      <c r="E57" s="38" t="s">
        <v>748</v>
      </c>
      <c r="F57" s="39" t="s">
        <v>749</v>
      </c>
      <c r="G57" s="39">
        <v>45</v>
      </c>
      <c r="H57" s="39"/>
      <c r="I57" s="40" t="s">
        <v>269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  <c r="AQ57">
        <v>2021</v>
      </c>
    </row>
    <row r="58" spans="2:43">
      <c r="B58" s="97" t="s">
        <v>15</v>
      </c>
      <c r="C58" s="61">
        <v>18230627</v>
      </c>
      <c r="D58" s="61" t="s">
        <v>80</v>
      </c>
      <c r="E58" s="38" t="s">
        <v>750</v>
      </c>
      <c r="F58" s="39" t="s">
        <v>749</v>
      </c>
      <c r="G58" s="39">
        <v>45</v>
      </c>
      <c r="H58" s="39"/>
      <c r="I58" s="40" t="s">
        <v>269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0.11253285843675677</v>
      </c>
      <c r="V58" s="48">
        <f t="shared" si="21"/>
        <v>0</v>
      </c>
      <c r="W58" s="49">
        <f t="shared" si="22"/>
        <v>2.5007301874834837E-3</v>
      </c>
      <c r="X58" s="44">
        <f t="shared" si="23"/>
        <v>776.01143735493838</v>
      </c>
      <c r="Y58" s="44">
        <f t="shared" si="24"/>
        <v>0</v>
      </c>
      <c r="Z58" s="44">
        <f t="shared" si="25"/>
        <v>4802.8113214873501</v>
      </c>
      <c r="AA58" s="50">
        <f t="shared" si="26"/>
        <v>776.01143735493838</v>
      </c>
      <c r="AB58" s="51">
        <f t="shared" si="27"/>
        <v>4489.8675530404316</v>
      </c>
      <c r="AC58" s="44">
        <f t="shared" si="28"/>
        <v>725.44773053654137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5.0834883932086248</v>
      </c>
      <c r="AP58" s="47">
        <f t="shared" si="37"/>
        <v>34.608432138382589</v>
      </c>
      <c r="AQ58">
        <v>2021</v>
      </c>
    </row>
    <row r="59" spans="2:43">
      <c r="B59" s="97" t="s">
        <v>15</v>
      </c>
      <c r="C59" s="61">
        <v>18230627</v>
      </c>
      <c r="D59" s="61" t="s">
        <v>80</v>
      </c>
      <c r="E59" s="38" t="s">
        <v>751</v>
      </c>
      <c r="F59" s="39" t="s">
        <v>752</v>
      </c>
      <c r="G59" s="39">
        <v>45</v>
      </c>
      <c r="H59" s="39"/>
      <c r="I59" s="40" t="s">
        <v>269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3.7182394050167225E-2</v>
      </c>
      <c r="V59" s="48">
        <f t="shared" si="21"/>
        <v>0.79</v>
      </c>
      <c r="W59" s="49">
        <f t="shared" si="22"/>
        <v>8.2627542333704946E-4</v>
      </c>
      <c r="X59" s="44">
        <f t="shared" si="23"/>
        <v>256.40478214088773</v>
      </c>
      <c r="Y59" s="44">
        <f t="shared" si="24"/>
        <v>2888.3</v>
      </c>
      <c r="Z59" s="44">
        <f t="shared" si="25"/>
        <v>1586.9144851102192</v>
      </c>
      <c r="AA59" s="50">
        <f t="shared" si="26"/>
        <v>3944.7047821408878</v>
      </c>
      <c r="AB59" s="51">
        <f t="shared" si="27"/>
        <v>1483.5135880248845</v>
      </c>
      <c r="AC59" s="44">
        <f t="shared" si="28"/>
        <v>3687.6739105738875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5.3122769000342211</v>
      </c>
      <c r="AP59" s="47">
        <f t="shared" si="37"/>
        <v>2.5281553350874244</v>
      </c>
      <c r="AQ59">
        <v>2021</v>
      </c>
    </row>
    <row r="60" spans="2:43">
      <c r="B60" s="97" t="s">
        <v>15</v>
      </c>
      <c r="C60" s="61">
        <v>18230627</v>
      </c>
      <c r="D60" s="61" t="s">
        <v>80</v>
      </c>
      <c r="E60" s="38" t="s">
        <v>753</v>
      </c>
      <c r="F60" s="39" t="s">
        <v>752</v>
      </c>
      <c r="G60" s="39">
        <v>45</v>
      </c>
      <c r="H60" s="39"/>
      <c r="I60" s="40" t="s">
        <v>269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9.5831345973591234E-2</v>
      </c>
      <c r="V60" s="48">
        <f t="shared" si="21"/>
        <v>0.81</v>
      </c>
      <c r="W60" s="49">
        <f t="shared" si="22"/>
        <v>2.1295854660798052E-3</v>
      </c>
      <c r="X60" s="44">
        <f t="shared" si="23"/>
        <v>660.84005654596058</v>
      </c>
      <c r="Y60" s="44">
        <f t="shared" si="24"/>
        <v>12339.16</v>
      </c>
      <c r="Z60" s="44">
        <f t="shared" si="25"/>
        <v>4090.004286650199</v>
      </c>
      <c r="AA60" s="50">
        <f t="shared" si="26"/>
        <v>16200.00005654596</v>
      </c>
      <c r="AB60" s="51">
        <f t="shared" si="27"/>
        <v>3823.5059237638579</v>
      </c>
      <c r="AC60" s="44">
        <f t="shared" si="28"/>
        <v>15144.433071464857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5.268520405469661</v>
      </c>
      <c r="AP60" s="47">
        <f t="shared" si="37"/>
        <v>1.4631542014942591</v>
      </c>
      <c r="AQ60">
        <v>2021</v>
      </c>
    </row>
    <row r="61" spans="2:43">
      <c r="B61" s="97" t="s">
        <v>15</v>
      </c>
      <c r="C61" s="61">
        <v>18230627</v>
      </c>
      <c r="D61" s="61" t="s">
        <v>80</v>
      </c>
      <c r="E61" s="38" t="s">
        <v>754</v>
      </c>
      <c r="F61" s="39" t="s">
        <v>755</v>
      </c>
      <c r="G61" s="39">
        <v>45</v>
      </c>
      <c r="H61" s="39"/>
      <c r="I61" s="40" t="s">
        <v>269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  <c r="AQ61">
        <v>2021</v>
      </c>
    </row>
    <row r="62" spans="2:43">
      <c r="B62" s="97" t="s">
        <v>15</v>
      </c>
      <c r="C62" s="61">
        <v>18230627</v>
      </c>
      <c r="D62" s="61" t="s">
        <v>80</v>
      </c>
      <c r="E62" s="38" t="s">
        <v>756</v>
      </c>
      <c r="F62" s="39" t="s">
        <v>755</v>
      </c>
      <c r="G62" s="39">
        <v>45</v>
      </c>
      <c r="H62" s="39"/>
      <c r="I62" s="40" t="s">
        <v>269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7.4781860970269134E-2</v>
      </c>
      <c r="V62" s="48">
        <f t="shared" si="21"/>
        <v>0.81</v>
      </c>
      <c r="W62" s="49">
        <f t="shared" si="22"/>
        <v>1.6618191326726473E-3</v>
      </c>
      <c r="X62" s="44">
        <f t="shared" si="23"/>
        <v>515.68564262703183</v>
      </c>
      <c r="Y62" s="44">
        <f t="shared" si="24"/>
        <v>5247.9000000000005</v>
      </c>
      <c r="Z62" s="44">
        <f t="shared" si="25"/>
        <v>3191.6293027582742</v>
      </c>
      <c r="AA62" s="50">
        <f t="shared" si="26"/>
        <v>9076.9656426270321</v>
      </c>
      <c r="AB62" s="51">
        <f t="shared" si="27"/>
        <v>2983.6676664095298</v>
      </c>
      <c r="AC62" s="44">
        <f t="shared" si="28"/>
        <v>8485.5245794400598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5.2958835011117102</v>
      </c>
      <c r="AP62" s="47">
        <f t="shared" si="37"/>
        <v>2.0483438403073402</v>
      </c>
      <c r="AQ62">
        <v>2021</v>
      </c>
    </row>
    <row r="63" spans="2:43">
      <c r="B63" s="97" t="s">
        <v>15</v>
      </c>
      <c r="C63" s="61">
        <v>18230627</v>
      </c>
      <c r="D63" s="61" t="s">
        <v>80</v>
      </c>
      <c r="E63" s="38" t="s">
        <v>757</v>
      </c>
      <c r="F63" s="39" t="s">
        <v>758</v>
      </c>
      <c r="G63" s="39">
        <v>25</v>
      </c>
      <c r="H63" s="39"/>
      <c r="I63" s="40" t="s">
        <v>269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2.0025463384921019E-2</v>
      </c>
      <c r="V63" s="48">
        <f t="shared" si="21"/>
        <v>2.39</v>
      </c>
      <c r="W63" s="49">
        <f t="shared" si="22"/>
        <v>8.0101853539684081E-4</v>
      </c>
      <c r="X63" s="44">
        <f t="shared" si="23"/>
        <v>248.5672177320231</v>
      </c>
      <c r="Y63" s="44">
        <f t="shared" si="24"/>
        <v>8201.5</v>
      </c>
      <c r="Z63" s="44">
        <f t="shared" si="25"/>
        <v>1538.4070259881132</v>
      </c>
      <c r="AA63" s="50">
        <f t="shared" si="26"/>
        <v>10850.067217732023</v>
      </c>
      <c r="AB63" s="51">
        <f t="shared" si="27"/>
        <v>1438.1668000262812</v>
      </c>
      <c r="AC63" s="44">
        <f t="shared" si="28"/>
        <v>10143.093594215221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3.163088099280313</v>
      </c>
      <c r="AP63" s="47">
        <f t="shared" si="37"/>
        <v>0.49333598989871669</v>
      </c>
      <c r="AQ63">
        <v>2021</v>
      </c>
    </row>
    <row r="64" spans="2:43">
      <c r="B64" s="97" t="s">
        <v>15</v>
      </c>
      <c r="C64" s="61">
        <v>18230627</v>
      </c>
      <c r="D64" s="61" t="s">
        <v>80</v>
      </c>
      <c r="E64" s="38" t="s">
        <v>759</v>
      </c>
      <c r="F64" s="39" t="s">
        <v>760</v>
      </c>
      <c r="G64" s="39">
        <v>25</v>
      </c>
      <c r="H64" s="39"/>
      <c r="I64" s="40" t="s">
        <v>269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5.3531089926319386E-2</v>
      </c>
      <c r="V64" s="48">
        <f t="shared" si="21"/>
        <v>-182.19</v>
      </c>
      <c r="W64" s="49">
        <f t="shared" si="22"/>
        <v>2.1412435970527754E-3</v>
      </c>
      <c r="X64" s="44">
        <f t="shared" si="23"/>
        <v>664.45773710121898</v>
      </c>
      <c r="Y64" s="44">
        <f t="shared" si="24"/>
        <v>7988.9500000000007</v>
      </c>
      <c r="Z64" s="44">
        <f t="shared" si="25"/>
        <v>4112.3944684077551</v>
      </c>
      <c r="AA64" s="50">
        <f t="shared" si="26"/>
        <v>27529.407737101221</v>
      </c>
      <c r="AB64" s="51">
        <f t="shared" si="27"/>
        <v>3844.437195856553</v>
      </c>
      <c r="AC64" s="44">
        <f t="shared" si="28"/>
        <v>25735.634044219143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3.1784419557565493</v>
      </c>
      <c r="AP64" s="47">
        <f t="shared" si="37"/>
        <v>0.54282850448031839</v>
      </c>
      <c r="AQ64">
        <v>2021</v>
      </c>
    </row>
    <row r="65" spans="2:43">
      <c r="B65" s="97" t="s">
        <v>15</v>
      </c>
      <c r="C65" s="61">
        <v>18230627</v>
      </c>
      <c r="D65" s="61" t="s">
        <v>80</v>
      </c>
      <c r="E65" s="38" t="s">
        <v>761</v>
      </c>
      <c r="F65" s="39" t="s">
        <v>760</v>
      </c>
      <c r="G65" s="39">
        <v>25</v>
      </c>
      <c r="H65" s="39"/>
      <c r="I65" s="40" t="s">
        <v>269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0.36475709703726916</v>
      </c>
      <c r="V65" s="48">
        <f t="shared" si="21"/>
        <v>-181.47</v>
      </c>
      <c r="W65" s="49">
        <f t="shared" si="22"/>
        <v>1.4590283881490767E-2</v>
      </c>
      <c r="X65" s="44">
        <f t="shared" si="23"/>
        <v>4527.5684769838917</v>
      </c>
      <c r="Y65" s="44">
        <f t="shared" si="24"/>
        <v>50300.92</v>
      </c>
      <c r="Z65" s="44">
        <f t="shared" si="25"/>
        <v>28021.5678446522</v>
      </c>
      <c r="AA65" s="50">
        <f t="shared" si="26"/>
        <v>116563.6584769839</v>
      </c>
      <c r="AB65" s="51">
        <f t="shared" si="27"/>
        <v>26195.725759233614</v>
      </c>
      <c r="AC65" s="44">
        <f t="shared" si="28"/>
        <v>108968.55050666905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3.1761592654188733</v>
      </c>
      <c r="AP65" s="47">
        <f t="shared" si="37"/>
        <v>0.8398934955771169</v>
      </c>
      <c r="AQ65">
        <v>2021</v>
      </c>
    </row>
    <row r="66" spans="2:43">
      <c r="B66" s="97" t="s">
        <v>15</v>
      </c>
      <c r="C66" s="61">
        <v>18230627</v>
      </c>
      <c r="D66" s="61" t="s">
        <v>80</v>
      </c>
      <c r="E66" s="38" t="s">
        <v>762</v>
      </c>
      <c r="F66" s="39" t="s">
        <v>763</v>
      </c>
      <c r="G66" s="39">
        <v>25</v>
      </c>
      <c r="H66" s="39"/>
      <c r="I66" s="40" t="s">
        <v>269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4.4935374584858349E-3</v>
      </c>
      <c r="V66" s="48">
        <f t="shared" si="21"/>
        <v>-182.19</v>
      </c>
      <c r="W66" s="49">
        <f t="shared" si="22"/>
        <v>1.7974149833943341E-4</v>
      </c>
      <c r="X66" s="44">
        <f t="shared" si="23"/>
        <v>55.776292531213031</v>
      </c>
      <c r="Y66" s="44">
        <f t="shared" si="24"/>
        <v>455.09999999999991</v>
      </c>
      <c r="Z66" s="44">
        <f t="shared" si="25"/>
        <v>345.20497552534624</v>
      </c>
      <c r="AA66" s="50">
        <f t="shared" si="26"/>
        <v>2310.876292531213</v>
      </c>
      <c r="AB66" s="51">
        <f t="shared" si="27"/>
        <v>322.71195244026006</v>
      </c>
      <c r="AC66" s="44">
        <f t="shared" si="28"/>
        <v>2160.3031621307027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3.1784254652216779</v>
      </c>
      <c r="AP66" s="47">
        <f t="shared" si="37"/>
        <v>0.54282875216269522</v>
      </c>
      <c r="AQ66">
        <v>2021</v>
      </c>
    </row>
    <row r="67" spans="2:43">
      <c r="B67" s="97" t="s">
        <v>15</v>
      </c>
      <c r="C67" s="61">
        <v>18230627</v>
      </c>
      <c r="D67" s="61" t="s">
        <v>80</v>
      </c>
      <c r="E67" s="38" t="s">
        <v>764</v>
      </c>
      <c r="F67" s="39" t="s">
        <v>763</v>
      </c>
      <c r="G67" s="39">
        <v>25</v>
      </c>
      <c r="H67" s="39"/>
      <c r="I67" s="40" t="s">
        <v>269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7.2706810688380086E-2</v>
      </c>
      <c r="V67" s="48">
        <f t="shared" si="21"/>
        <v>-181.47</v>
      </c>
      <c r="W67" s="49">
        <f t="shared" si="22"/>
        <v>2.9082724275352034E-3</v>
      </c>
      <c r="X67" s="44">
        <f t="shared" si="23"/>
        <v>902.47747558181334</v>
      </c>
      <c r="Y67" s="44">
        <f t="shared" si="24"/>
        <v>11037.43</v>
      </c>
      <c r="Z67" s="44">
        <f t="shared" si="25"/>
        <v>5585.5221050423006</v>
      </c>
      <c r="AA67" s="50">
        <f t="shared" si="26"/>
        <v>29939.907475581815</v>
      </c>
      <c r="AB67" s="51">
        <f t="shared" si="27"/>
        <v>5221.5781107247831</v>
      </c>
      <c r="AC67" s="44">
        <f t="shared" si="28"/>
        <v>27989.069342415456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3.1758388267358466</v>
      </c>
      <c r="AP67" s="47">
        <f t="shared" si="37"/>
        <v>0.65172511910990683</v>
      </c>
      <c r="AQ67">
        <v>2021</v>
      </c>
    </row>
    <row r="68" spans="2:43">
      <c r="B68" s="97" t="s">
        <v>15</v>
      </c>
      <c r="C68" s="61">
        <v>18230627</v>
      </c>
      <c r="D68" s="61" t="s">
        <v>80</v>
      </c>
      <c r="E68" s="38" t="s">
        <v>765</v>
      </c>
      <c r="F68" s="39" t="s">
        <v>766</v>
      </c>
      <c r="G68" s="39">
        <v>25</v>
      </c>
      <c r="H68" s="39"/>
      <c r="I68" s="40" t="s">
        <v>269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  <c r="AQ68">
        <v>2021</v>
      </c>
    </row>
    <row r="69" spans="2:43">
      <c r="B69" s="97" t="s">
        <v>15</v>
      </c>
      <c r="C69" s="61">
        <v>18230627</v>
      </c>
      <c r="D69" s="61" t="s">
        <v>80</v>
      </c>
      <c r="E69" s="38" t="s">
        <v>767</v>
      </c>
      <c r="F69" s="39" t="s">
        <v>766</v>
      </c>
      <c r="G69" s="39">
        <v>25</v>
      </c>
      <c r="H69" s="39"/>
      <c r="I69" s="40" t="s">
        <v>269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1.4194421334923065E-3</v>
      </c>
      <c r="V69" s="48">
        <f t="shared" si="40"/>
        <v>0</v>
      </c>
      <c r="W69" s="49">
        <f t="shared" si="41"/>
        <v>5.6777685339692266E-5</v>
      </c>
      <c r="X69" s="44">
        <f t="shared" si="42"/>
        <v>17.618907241840141</v>
      </c>
      <c r="Y69" s="44">
        <f t="shared" si="43"/>
        <v>0</v>
      </c>
      <c r="Z69" s="44">
        <f t="shared" si="44"/>
        <v>109.0451546201129</v>
      </c>
      <c r="AA69" s="50">
        <f t="shared" si="45"/>
        <v>17.618907241840141</v>
      </c>
      <c r="AB69" s="51">
        <f t="shared" si="46"/>
        <v>101.93994074984845</v>
      </c>
      <c r="AC69" s="44">
        <f t="shared" si="47"/>
        <v>16.47088645586626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3.2169475978845865</v>
      </c>
      <c r="AP69" s="47">
        <f t="shared" si="56"/>
        <v>21.901006557398567</v>
      </c>
      <c r="AQ69">
        <v>2021</v>
      </c>
    </row>
    <row r="70" spans="2:43">
      <c r="B70" s="97" t="s">
        <v>15</v>
      </c>
      <c r="C70" s="61">
        <v>18230627</v>
      </c>
      <c r="D70" s="61" t="s">
        <v>80</v>
      </c>
      <c r="E70" s="38" t="s">
        <v>768</v>
      </c>
      <c r="F70" s="39" t="s">
        <v>769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  <c r="AQ70">
        <v>2021</v>
      </c>
    </row>
    <row r="71" spans="2:43">
      <c r="B71" s="97" t="s">
        <v>15</v>
      </c>
      <c r="C71" s="61">
        <v>18230627</v>
      </c>
      <c r="D71" s="61" t="s">
        <v>80</v>
      </c>
      <c r="E71" s="38" t="s">
        <v>770</v>
      </c>
      <c r="F71" s="39" t="s">
        <v>769</v>
      </c>
      <c r="G71" s="39"/>
      <c r="H71" s="39"/>
      <c r="I71" s="40" t="s">
        <v>269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  <c r="AQ71">
        <v>2021</v>
      </c>
    </row>
    <row r="72" spans="2:43">
      <c r="B72" s="97" t="s">
        <v>15</v>
      </c>
      <c r="C72" s="61">
        <v>18230627</v>
      </c>
      <c r="D72" s="61" t="s">
        <v>80</v>
      </c>
      <c r="E72" s="38" t="s">
        <v>771</v>
      </c>
      <c r="F72" s="39" t="s">
        <v>772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  <c r="AQ72">
        <v>2021</v>
      </c>
    </row>
    <row r="73" spans="2:43">
      <c r="B73" s="97" t="s">
        <v>15</v>
      </c>
      <c r="C73" s="61">
        <v>18230627</v>
      </c>
      <c r="D73" s="61" t="s">
        <v>80</v>
      </c>
      <c r="E73" s="38" t="s">
        <v>773</v>
      </c>
      <c r="F73" s="39" t="s">
        <v>772</v>
      </c>
      <c r="G73" s="39"/>
      <c r="H73" s="39"/>
      <c r="I73" s="40" t="s">
        <v>269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  <c r="AQ73">
        <v>2021</v>
      </c>
    </row>
    <row r="74" spans="2:43">
      <c r="B74" s="97" t="s">
        <v>15</v>
      </c>
      <c r="C74" s="61">
        <v>18230627</v>
      </c>
      <c r="D74" s="61" t="s">
        <v>80</v>
      </c>
      <c r="E74" s="38" t="s">
        <v>774</v>
      </c>
      <c r="F74" s="39" t="s">
        <v>775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  <c r="AQ74">
        <v>2021</v>
      </c>
    </row>
    <row r="75" spans="2:43">
      <c r="B75" s="97" t="s">
        <v>15</v>
      </c>
      <c r="C75" s="61">
        <v>18230627</v>
      </c>
      <c r="D75" s="61" t="s">
        <v>80</v>
      </c>
      <c r="E75" s="38" t="s">
        <v>776</v>
      </c>
      <c r="F75" s="39" t="s">
        <v>775</v>
      </c>
      <c r="G75" s="39"/>
      <c r="H75" s="39"/>
      <c r="I75" s="40" t="s">
        <v>269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  <c r="AQ75">
        <v>2021</v>
      </c>
    </row>
    <row r="76" spans="2:43">
      <c r="B76" s="97" t="s">
        <v>15</v>
      </c>
      <c r="C76" s="61">
        <v>18230627</v>
      </c>
      <c r="D76" s="61" t="s">
        <v>80</v>
      </c>
      <c r="E76" s="38" t="s">
        <v>777</v>
      </c>
      <c r="F76" s="39" t="s">
        <v>778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  <c r="AQ76">
        <v>2021</v>
      </c>
    </row>
    <row r="77" spans="2:43">
      <c r="B77" s="97" t="s">
        <v>15</v>
      </c>
      <c r="C77" s="61">
        <v>18230627</v>
      </c>
      <c r="D77" s="61" t="s">
        <v>80</v>
      </c>
      <c r="E77" s="38" t="s">
        <v>779</v>
      </c>
      <c r="F77" s="39" t="s">
        <v>778</v>
      </c>
      <c r="G77" s="39"/>
      <c r="H77" s="39"/>
      <c r="I77" s="40" t="s">
        <v>269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  <c r="AQ77">
        <v>2021</v>
      </c>
    </row>
    <row r="78" spans="2:43">
      <c r="B78" s="97" t="s">
        <v>15</v>
      </c>
      <c r="C78" s="61">
        <v>18230627</v>
      </c>
      <c r="D78" s="61" t="s">
        <v>80</v>
      </c>
      <c r="E78" s="38" t="s">
        <v>780</v>
      </c>
      <c r="F78" s="39" t="s">
        <v>781</v>
      </c>
      <c r="G78" s="39">
        <v>10</v>
      </c>
      <c r="H78" s="39"/>
      <c r="I78" s="40" t="s">
        <v>263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2.3539074560097748E-3</v>
      </c>
      <c r="V78" s="48">
        <f t="shared" si="40"/>
        <v>0</v>
      </c>
      <c r="W78" s="49">
        <f t="shared" si="41"/>
        <v>2.3539074560097748E-4</v>
      </c>
      <c r="X78" s="44">
        <f t="shared" si="42"/>
        <v>73.045029706976976</v>
      </c>
      <c r="Y78" s="44">
        <f t="shared" si="43"/>
        <v>0</v>
      </c>
      <c r="Z78" s="44">
        <f t="shared" si="44"/>
        <v>452.08289307028247</v>
      </c>
      <c r="AA78" s="50">
        <f t="shared" si="45"/>
        <v>323.04502970697695</v>
      </c>
      <c r="AB78" s="51">
        <f t="shared" si="46"/>
        <v>422.62586993575997</v>
      </c>
      <c r="AC78" s="44">
        <f t="shared" si="47"/>
        <v>301.99591446852099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1.1393219744365077</v>
      </c>
      <c r="AP78" s="47">
        <f t="shared" si="56"/>
        <v>1.7538569539048585</v>
      </c>
      <c r="AQ78">
        <v>2021</v>
      </c>
    </row>
    <row r="79" spans="2:43">
      <c r="B79" s="97" t="s">
        <v>15</v>
      </c>
      <c r="C79" s="61">
        <v>18230627</v>
      </c>
      <c r="D79" s="61" t="s">
        <v>80</v>
      </c>
      <c r="E79" s="38" t="s">
        <v>782</v>
      </c>
      <c r="F79" s="39" t="s">
        <v>783</v>
      </c>
      <c r="G79" s="39">
        <v>45</v>
      </c>
      <c r="H79" s="39"/>
      <c r="I79" s="40" t="s">
        <v>269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  <c r="AQ79">
        <v>2021</v>
      </c>
    </row>
    <row r="80" spans="2:43">
      <c r="B80" s="97" t="s">
        <v>15</v>
      </c>
      <c r="C80" s="61">
        <v>18230627</v>
      </c>
      <c r="D80" s="61" t="s">
        <v>80</v>
      </c>
      <c r="E80" s="38" t="s">
        <v>784</v>
      </c>
      <c r="F80" s="39" t="s">
        <v>783</v>
      </c>
      <c r="G80" s="39">
        <v>45</v>
      </c>
      <c r="H80" s="39"/>
      <c r="I80" s="40" t="s">
        <v>269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6.3023446352168874E-3</v>
      </c>
      <c r="V80" s="48">
        <f t="shared" si="40"/>
        <v>0</v>
      </c>
      <c r="W80" s="49">
        <f t="shared" si="41"/>
        <v>1.4005210300481973E-4</v>
      </c>
      <c r="X80" s="44">
        <f t="shared" si="42"/>
        <v>43.460119888711439</v>
      </c>
      <c r="Y80" s="44">
        <f t="shared" si="43"/>
        <v>0</v>
      </c>
      <c r="Z80" s="44">
        <f t="shared" si="44"/>
        <v>268.97896833346533</v>
      </c>
      <c r="AA80" s="50">
        <f t="shared" si="45"/>
        <v>43.460119888711439</v>
      </c>
      <c r="AB80" s="51">
        <f t="shared" si="46"/>
        <v>251.45271415674048</v>
      </c>
      <c r="AC80" s="44">
        <f t="shared" si="47"/>
        <v>40.62832559475688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5.3456737294845409</v>
      </c>
      <c r="AP80" s="47">
        <f t="shared" si="56"/>
        <v>36.393392133630421</v>
      </c>
      <c r="AQ80">
        <v>2021</v>
      </c>
    </row>
    <row r="81" spans="2:43">
      <c r="B81" s="97" t="s">
        <v>15</v>
      </c>
      <c r="C81" s="61">
        <v>18230627</v>
      </c>
      <c r="D81" s="61" t="s">
        <v>80</v>
      </c>
      <c r="E81" s="38" t="s">
        <v>785</v>
      </c>
      <c r="F81" s="39" t="s">
        <v>786</v>
      </c>
      <c r="G81" s="39">
        <v>45</v>
      </c>
      <c r="H81" s="39"/>
      <c r="I81" s="40" t="s">
        <v>269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1.1485594947072793E-2</v>
      </c>
      <c r="V81" s="48">
        <f t="shared" si="40"/>
        <v>0.24</v>
      </c>
      <c r="W81" s="49">
        <f t="shared" si="41"/>
        <v>2.5523544326828431E-4</v>
      </c>
      <c r="X81" s="44">
        <f t="shared" si="42"/>
        <v>79.203116028227768</v>
      </c>
      <c r="Y81" s="44">
        <f t="shared" si="43"/>
        <v>-537.84</v>
      </c>
      <c r="Z81" s="44">
        <f t="shared" si="44"/>
        <v>490.19589666622301</v>
      </c>
      <c r="AA81" s="50">
        <f t="shared" si="45"/>
        <v>741.36311602822775</v>
      </c>
      <c r="AB81" s="51">
        <f t="shared" si="46"/>
        <v>458.25548907751983</v>
      </c>
      <c r="AC81" s="44">
        <f t="shared" si="47"/>
        <v>693.05704031805897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5.3122769000342211</v>
      </c>
      <c r="AP81" s="47">
        <f t="shared" si="56"/>
        <v>4.0742069405896943</v>
      </c>
      <c r="AQ81">
        <v>2021</v>
      </c>
    </row>
    <row r="82" spans="2:43">
      <c r="B82" s="97" t="s">
        <v>15</v>
      </c>
      <c r="C82" s="61">
        <v>18230627</v>
      </c>
      <c r="D82" s="61" t="s">
        <v>80</v>
      </c>
      <c r="E82" s="38" t="s">
        <v>787</v>
      </c>
      <c r="F82" s="39" t="s">
        <v>788</v>
      </c>
      <c r="G82" s="39">
        <v>45</v>
      </c>
      <c r="H82" s="39"/>
      <c r="I82" s="40" t="s">
        <v>269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1.1330021429865675E-2</v>
      </c>
      <c r="V82" s="48">
        <f t="shared" si="40"/>
        <v>9.000000000000008E-2</v>
      </c>
      <c r="W82" s="49">
        <f t="shared" si="41"/>
        <v>2.5177825399701502E-4</v>
      </c>
      <c r="X82" s="44">
        <f t="shared" si="42"/>
        <v>78.130302004134464</v>
      </c>
      <c r="Y82" s="44">
        <f t="shared" si="43"/>
        <v>31.700000000000045</v>
      </c>
      <c r="Z82" s="44">
        <f t="shared" si="44"/>
        <v>483.55614486265642</v>
      </c>
      <c r="AA82" s="50">
        <f t="shared" si="45"/>
        <v>1309.8303020041344</v>
      </c>
      <c r="AB82" s="51">
        <f t="shared" si="46"/>
        <v>452.0483732473183</v>
      </c>
      <c r="AC82" s="44">
        <f t="shared" si="47"/>
        <v>1224.4837823727535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5.3122769000342211</v>
      </c>
      <c r="AP82" s="47">
        <f t="shared" si="56"/>
        <v>2.2832910380872868</v>
      </c>
      <c r="AQ82">
        <v>2021</v>
      </c>
    </row>
    <row r="83" spans="2:43">
      <c r="B83" s="97" t="s">
        <v>15</v>
      </c>
      <c r="C83" s="61">
        <v>18230627</v>
      </c>
      <c r="D83" s="61" t="s">
        <v>80</v>
      </c>
      <c r="E83" s="38" t="s">
        <v>789</v>
      </c>
      <c r="F83" s="39" t="s">
        <v>790</v>
      </c>
      <c r="G83" s="39">
        <v>45</v>
      </c>
      <c r="H83" s="39"/>
      <c r="I83" s="40" t="s">
        <v>269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  <c r="AQ83">
        <v>2021</v>
      </c>
    </row>
    <row r="84" spans="2:43">
      <c r="B84" s="97" t="s">
        <v>15</v>
      </c>
      <c r="C84" s="61">
        <v>18230627</v>
      </c>
      <c r="D84" s="61" t="s">
        <v>80</v>
      </c>
      <c r="E84" s="38" t="s">
        <v>791</v>
      </c>
      <c r="F84" s="39" t="s">
        <v>790</v>
      </c>
      <c r="G84" s="39">
        <v>45</v>
      </c>
      <c r="H84" s="39"/>
      <c r="I84" s="40" t="s">
        <v>269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3.6202377923062086E-3</v>
      </c>
      <c r="V84" s="48">
        <f t="shared" si="40"/>
        <v>0</v>
      </c>
      <c r="W84" s="49">
        <f t="shared" si="41"/>
        <v>8.0449728717915751E-5</v>
      </c>
      <c r="X84" s="44">
        <f t="shared" si="42"/>
        <v>24.964672290387579</v>
      </c>
      <c r="Y84" s="44">
        <f t="shared" si="43"/>
        <v>0</v>
      </c>
      <c r="Z84" s="44">
        <f t="shared" si="44"/>
        <v>154.50881899650906</v>
      </c>
      <c r="AA84" s="50">
        <f t="shared" si="45"/>
        <v>24.964672290387579</v>
      </c>
      <c r="AB84" s="51">
        <f t="shared" si="46"/>
        <v>144.44126296766294</v>
      </c>
      <c r="AC84" s="44">
        <f t="shared" si="47"/>
        <v>23.338012798343065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5.5529026829626007</v>
      </c>
      <c r="AP84" s="47">
        <f t="shared" si="56"/>
        <v>37.804208608225863</v>
      </c>
      <c r="AQ84">
        <v>2021</v>
      </c>
    </row>
    <row r="85" spans="2:43">
      <c r="B85" s="97" t="s">
        <v>15</v>
      </c>
      <c r="C85" s="61">
        <v>18230627</v>
      </c>
      <c r="D85" s="61" t="s">
        <v>80</v>
      </c>
      <c r="E85" s="38" t="s">
        <v>792</v>
      </c>
      <c r="F85" s="39" t="s">
        <v>793</v>
      </c>
      <c r="G85" s="39">
        <v>45</v>
      </c>
      <c r="H85" s="39"/>
      <c r="I85" s="40" t="s">
        <v>269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5.1465401367976771E-3</v>
      </c>
      <c r="V85" s="48">
        <f t="shared" si="40"/>
        <v>9.000000000000008E-2</v>
      </c>
      <c r="W85" s="49">
        <f t="shared" si="41"/>
        <v>1.1436755859550393E-4</v>
      </c>
      <c r="X85" s="44">
        <f t="shared" si="42"/>
        <v>35.489847715951683</v>
      </c>
      <c r="Y85" s="44">
        <f t="shared" si="43"/>
        <v>-1065.8399999999999</v>
      </c>
      <c r="Z85" s="44">
        <f t="shared" si="44"/>
        <v>219.65016777204079</v>
      </c>
      <c r="AA85" s="50">
        <f t="shared" si="45"/>
        <v>1369.6498477159519</v>
      </c>
      <c r="AB85" s="51">
        <f t="shared" si="46"/>
        <v>205.3381020585592</v>
      </c>
      <c r="AC85" s="44">
        <f t="shared" si="47"/>
        <v>1280.4055788687965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5.3122769000342211</v>
      </c>
      <c r="AP85" s="47">
        <f t="shared" si="56"/>
        <v>1.1981973041342135</v>
      </c>
      <c r="AQ85">
        <v>2021</v>
      </c>
    </row>
    <row r="86" spans="2:43">
      <c r="B86" s="97" t="s">
        <v>15</v>
      </c>
      <c r="C86" s="61">
        <v>18230627</v>
      </c>
      <c r="D86" s="61" t="s">
        <v>80</v>
      </c>
      <c r="E86" s="38" t="s">
        <v>794</v>
      </c>
      <c r="F86" s="39" t="s">
        <v>793</v>
      </c>
      <c r="G86" s="39">
        <v>45</v>
      </c>
      <c r="H86" s="39"/>
      <c r="I86" s="40" t="s">
        <v>269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6.7252393831343698E-3</v>
      </c>
      <c r="V86" s="48">
        <f t="shared" si="40"/>
        <v>0.24</v>
      </c>
      <c r="W86" s="49">
        <f t="shared" si="41"/>
        <v>1.4944976406965267E-4</v>
      </c>
      <c r="X86" s="44">
        <f t="shared" si="42"/>
        <v>46.376345120524348</v>
      </c>
      <c r="Y86" s="44">
        <f t="shared" si="43"/>
        <v>357.44000000000005</v>
      </c>
      <c r="Z86" s="44">
        <f t="shared" si="44"/>
        <v>287.02777391176744</v>
      </c>
      <c r="AA86" s="50">
        <f t="shared" si="45"/>
        <v>1603.8163451205244</v>
      </c>
      <c r="AB86" s="51">
        <f t="shared" si="46"/>
        <v>268.32548743738192</v>
      </c>
      <c r="AC86" s="44">
        <f t="shared" si="47"/>
        <v>1499.314148939445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5.2946485103789351</v>
      </c>
      <c r="AP86" s="47">
        <f t="shared" si="56"/>
        <v>1.0423152864249112</v>
      </c>
      <c r="AQ86">
        <v>2021</v>
      </c>
    </row>
    <row r="87" spans="2:43">
      <c r="B87" s="97" t="s">
        <v>15</v>
      </c>
      <c r="C87" s="61">
        <v>18230627</v>
      </c>
      <c r="D87" s="61" t="s">
        <v>80</v>
      </c>
      <c r="E87" s="38" t="s">
        <v>795</v>
      </c>
      <c r="F87" s="39" t="s">
        <v>796</v>
      </c>
      <c r="G87" s="39">
        <v>45</v>
      </c>
      <c r="H87" s="39"/>
      <c r="I87" s="40" t="s">
        <v>269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3.5856784777249601E-2</v>
      </c>
      <c r="V87" s="48">
        <f t="shared" si="40"/>
        <v>0.24</v>
      </c>
      <c r="W87" s="49">
        <f t="shared" si="41"/>
        <v>7.9681743949443554E-4</v>
      </c>
      <c r="X87" s="44">
        <f t="shared" si="42"/>
        <v>247.26355911022986</v>
      </c>
      <c r="Y87" s="44">
        <f t="shared" si="43"/>
        <v>1536.3999999999996</v>
      </c>
      <c r="Z87" s="44">
        <f t="shared" si="44"/>
        <v>1530.3385542018664</v>
      </c>
      <c r="AA87" s="50">
        <f t="shared" si="45"/>
        <v>6583.6635591102295</v>
      </c>
      <c r="AB87" s="51">
        <f t="shared" si="46"/>
        <v>1430.6240574010155</v>
      </c>
      <c r="AC87" s="44">
        <f t="shared" si="47"/>
        <v>6154.6822091336162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5.2645264733226567</v>
      </c>
      <c r="AP87" s="47">
        <f t="shared" si="56"/>
        <v>1.3460831549712353</v>
      </c>
      <c r="AQ87">
        <v>2021</v>
      </c>
    </row>
    <row r="88" spans="2:43">
      <c r="B88" s="97" t="s">
        <v>15</v>
      </c>
      <c r="C88" s="61">
        <v>18230627</v>
      </c>
      <c r="D88" s="61" t="s">
        <v>80</v>
      </c>
      <c r="E88" s="38" t="s">
        <v>797</v>
      </c>
      <c r="F88" s="39" t="s">
        <v>798</v>
      </c>
      <c r="G88" s="39">
        <v>45</v>
      </c>
      <c r="H88" s="39"/>
      <c r="I88" s="40" t="s">
        <v>269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2.6521888588323873E-2</v>
      </c>
      <c r="V88" s="48">
        <f t="shared" si="40"/>
        <v>0.96</v>
      </c>
      <c r="W88" s="49">
        <f t="shared" si="41"/>
        <v>5.8937530196275271E-4</v>
      </c>
      <c r="X88" s="44">
        <f t="shared" si="42"/>
        <v>182.8913720907515</v>
      </c>
      <c r="Y88" s="44">
        <f t="shared" si="43"/>
        <v>1994.4</v>
      </c>
      <c r="Z88" s="44">
        <f t="shared" si="44"/>
        <v>1131.9327399011654</v>
      </c>
      <c r="AA88" s="50">
        <f t="shared" si="45"/>
        <v>2577.2913720907518</v>
      </c>
      <c r="AB88" s="51">
        <f t="shared" si="46"/>
        <v>1058.1777506788494</v>
      </c>
      <c r="AC88" s="44">
        <f t="shared" si="47"/>
        <v>2409.3590465464631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5.3122769000342211</v>
      </c>
      <c r="AP88" s="47">
        <f t="shared" si="56"/>
        <v>2.7523352787078896</v>
      </c>
      <c r="AQ88">
        <v>2021</v>
      </c>
    </row>
    <row r="89" spans="2:43">
      <c r="B89" s="97" t="s">
        <v>15</v>
      </c>
      <c r="C89" s="61">
        <v>18230627</v>
      </c>
      <c r="D89" s="61" t="s">
        <v>80</v>
      </c>
      <c r="E89" s="38" t="s">
        <v>799</v>
      </c>
      <c r="F89" s="39" t="s">
        <v>800</v>
      </c>
      <c r="G89" s="39">
        <v>45</v>
      </c>
      <c r="H89" s="39"/>
      <c r="I89" s="40" t="s">
        <v>269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  <c r="AQ89">
        <v>2021</v>
      </c>
    </row>
    <row r="90" spans="2:43">
      <c r="B90" s="97" t="s">
        <v>15</v>
      </c>
      <c r="C90" s="61">
        <v>18230627</v>
      </c>
      <c r="D90" s="61" t="s">
        <v>80</v>
      </c>
      <c r="E90" s="38" t="s">
        <v>801</v>
      </c>
      <c r="F90" s="39" t="s">
        <v>800</v>
      </c>
      <c r="G90" s="39">
        <v>45</v>
      </c>
      <c r="H90" s="39"/>
      <c r="I90" s="40" t="s">
        <v>269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6.5877783752070823E-3</v>
      </c>
      <c r="V90" s="48">
        <f t="shared" si="40"/>
        <v>0</v>
      </c>
      <c r="W90" s="49">
        <f t="shared" si="41"/>
        <v>1.4639507500460182E-4</v>
      </c>
      <c r="X90" s="44">
        <f t="shared" si="42"/>
        <v>45.4284325212735</v>
      </c>
      <c r="Y90" s="44">
        <f t="shared" si="43"/>
        <v>0</v>
      </c>
      <c r="Z90" s="44">
        <f t="shared" si="44"/>
        <v>281.16104934520655</v>
      </c>
      <c r="AA90" s="50">
        <f t="shared" si="45"/>
        <v>45.4284325212735</v>
      </c>
      <c r="AB90" s="51">
        <f t="shared" si="46"/>
        <v>262.84102958325371</v>
      </c>
      <c r="AC90" s="44">
        <f t="shared" si="47"/>
        <v>42.468386015961016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4.7431788935596204</v>
      </c>
      <c r="AP90" s="47">
        <f t="shared" si="56"/>
        <v>32.291602175638111</v>
      </c>
      <c r="AQ90">
        <v>2021</v>
      </c>
    </row>
    <row r="91" spans="2:43">
      <c r="B91" s="97" t="s">
        <v>15</v>
      </c>
      <c r="C91" s="61">
        <v>18230627</v>
      </c>
      <c r="D91" s="61" t="s">
        <v>80</v>
      </c>
      <c r="E91" s="38" t="s">
        <v>802</v>
      </c>
      <c r="F91" s="39" t="s">
        <v>803</v>
      </c>
      <c r="G91" s="39">
        <v>45</v>
      </c>
      <c r="H91" s="39"/>
      <c r="I91" s="40" t="s">
        <v>269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8.942404581585104E-3</v>
      </c>
      <c r="V91" s="48">
        <f t="shared" si="40"/>
        <v>0.96</v>
      </c>
      <c r="W91" s="49">
        <f t="shared" si="41"/>
        <v>1.9872010181300231E-4</v>
      </c>
      <c r="X91" s="44">
        <f t="shared" si="42"/>
        <v>61.665617750793878</v>
      </c>
      <c r="Y91" s="44">
        <f t="shared" si="43"/>
        <v>3285.12</v>
      </c>
      <c r="Z91" s="44">
        <f t="shared" si="44"/>
        <v>381.65459015594416</v>
      </c>
      <c r="AA91" s="50">
        <f t="shared" si="45"/>
        <v>4546.7856177507938</v>
      </c>
      <c r="AB91" s="51">
        <f t="shared" si="46"/>
        <v>356.78656647279064</v>
      </c>
      <c r="AC91" s="44">
        <f t="shared" si="47"/>
        <v>4250.5240887639466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5.3122769000342211</v>
      </c>
      <c r="AP91" s="47">
        <f t="shared" si="56"/>
        <v>0.49050044072419496</v>
      </c>
      <c r="AQ91">
        <v>2021</v>
      </c>
    </row>
    <row r="92" spans="2:43">
      <c r="B92" s="97" t="s">
        <v>15</v>
      </c>
      <c r="C92" s="61">
        <v>18230627</v>
      </c>
      <c r="D92" s="61" t="s">
        <v>80</v>
      </c>
      <c r="E92" s="38" t="s">
        <v>804</v>
      </c>
      <c r="F92" s="39" t="s">
        <v>803</v>
      </c>
      <c r="G92" s="39">
        <v>45</v>
      </c>
      <c r="H92" s="39"/>
      <c r="I92" s="40" t="s">
        <v>269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3.5629893254753146E-3</v>
      </c>
      <c r="V92" s="48">
        <f t="shared" si="40"/>
        <v>0.90999999999999992</v>
      </c>
      <c r="W92" s="49">
        <f t="shared" si="41"/>
        <v>7.9177540566118104E-5</v>
      </c>
      <c r="X92" s="44">
        <f t="shared" si="42"/>
        <v>24.569894572581934</v>
      </c>
      <c r="Y92" s="44">
        <f t="shared" si="43"/>
        <v>1292</v>
      </c>
      <c r="Z92" s="44">
        <f t="shared" si="44"/>
        <v>152.065500765259</v>
      </c>
      <c r="AA92" s="50">
        <f t="shared" si="45"/>
        <v>1716.5698945725819</v>
      </c>
      <c r="AB92" s="51">
        <f t="shared" si="46"/>
        <v>142.15714757900253</v>
      </c>
      <c r="AC92" s="44">
        <f t="shared" si="47"/>
        <v>1604.7208512410787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5.2081146078766869</v>
      </c>
      <c r="AP92" s="47">
        <f t="shared" si="56"/>
        <v>0.50750745089556037</v>
      </c>
      <c r="AQ92">
        <v>2021</v>
      </c>
    </row>
    <row r="93" spans="2:43">
      <c r="B93" s="97" t="s">
        <v>15</v>
      </c>
      <c r="C93" s="61">
        <v>18230627</v>
      </c>
      <c r="D93" s="61" t="s">
        <v>80</v>
      </c>
      <c r="E93" s="38" t="s">
        <v>805</v>
      </c>
      <c r="F93" s="39" t="s">
        <v>806</v>
      </c>
      <c r="G93" s="39">
        <v>45</v>
      </c>
      <c r="H93" s="39"/>
      <c r="I93" s="40" t="s">
        <v>269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1.1789788071674238E-2</v>
      </c>
      <c r="V93" s="48">
        <f t="shared" si="40"/>
        <v>0.90999999999999992</v>
      </c>
      <c r="W93" s="49">
        <f t="shared" si="41"/>
        <v>2.6199529048164975E-4</v>
      </c>
      <c r="X93" s="44">
        <f t="shared" si="42"/>
        <v>81.300790850805214</v>
      </c>
      <c r="Y93" s="44">
        <f t="shared" si="43"/>
        <v>1249.7</v>
      </c>
      <c r="Z93" s="44">
        <f t="shared" si="44"/>
        <v>503.17861303057714</v>
      </c>
      <c r="AA93" s="50">
        <f t="shared" si="45"/>
        <v>1731.0007908508053</v>
      </c>
      <c r="AB93" s="51">
        <f t="shared" si="46"/>
        <v>470.39227169353751</v>
      </c>
      <c r="AC93" s="44">
        <f t="shared" si="47"/>
        <v>1618.2114526042865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5.2858259101612077</v>
      </c>
      <c r="AP93" s="47">
        <f t="shared" si="56"/>
        <v>1.6901702302386583</v>
      </c>
      <c r="AQ93">
        <v>2021</v>
      </c>
    </row>
    <row r="94" spans="2:43">
      <c r="B94" s="97" t="s">
        <v>15</v>
      </c>
      <c r="C94" s="61">
        <v>18230627</v>
      </c>
      <c r="D94" s="61" t="s">
        <v>80</v>
      </c>
      <c r="E94" s="38" t="s">
        <v>807</v>
      </c>
      <c r="F94" s="39" t="s">
        <v>808</v>
      </c>
      <c r="G94" s="39">
        <v>45</v>
      </c>
      <c r="H94" s="39"/>
      <c r="I94" s="40" t="s">
        <v>269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2021</v>
      </c>
    </row>
    <row r="95" spans="2:43">
      <c r="B95" s="97" t="s">
        <v>15</v>
      </c>
      <c r="C95" s="61">
        <v>18230627</v>
      </c>
      <c r="D95" s="61" t="s">
        <v>80</v>
      </c>
      <c r="E95" s="38" t="s">
        <v>809</v>
      </c>
      <c r="F95" s="39" t="s">
        <v>808</v>
      </c>
      <c r="G95" s="39">
        <v>45</v>
      </c>
      <c r="H95" s="39"/>
      <c r="I95" s="40" t="s">
        <v>269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2.0198682223668608E-3</v>
      </c>
      <c r="V95" s="48">
        <f t="shared" si="40"/>
        <v>0</v>
      </c>
      <c r="W95" s="49">
        <f t="shared" si="41"/>
        <v>4.4885960497041353E-5</v>
      </c>
      <c r="X95" s="44">
        <f t="shared" si="42"/>
        <v>13.928739252521257</v>
      </c>
      <c r="Y95" s="44">
        <f t="shared" si="43"/>
        <v>0</v>
      </c>
      <c r="Z95" s="44">
        <f t="shared" si="44"/>
        <v>86.206340983936315</v>
      </c>
      <c r="AA95" s="50">
        <f t="shared" si="45"/>
        <v>13.928739252521257</v>
      </c>
      <c r="AB95" s="51">
        <f t="shared" si="46"/>
        <v>80.589268938895302</v>
      </c>
      <c r="AC95" s="44">
        <f t="shared" si="47"/>
        <v>13.021164113790087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5.0834534434915142</v>
      </c>
      <c r="AP95" s="47">
        <f t="shared" si="56"/>
        <v>34.608194200411788</v>
      </c>
      <c r="AQ95">
        <v>2021</v>
      </c>
    </row>
    <row r="96" spans="2:43">
      <c r="B96" s="97" t="s">
        <v>15</v>
      </c>
      <c r="C96" s="61">
        <v>18230627</v>
      </c>
      <c r="D96" s="61" t="s">
        <v>80</v>
      </c>
      <c r="E96" s="38" t="s">
        <v>810</v>
      </c>
      <c r="F96" s="39" t="s">
        <v>811</v>
      </c>
      <c r="G96" s="39">
        <v>45</v>
      </c>
      <c r="H96" s="39"/>
      <c r="I96" s="40" t="s">
        <v>269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6.2100031816563215E-3</v>
      </c>
      <c r="V96" s="48">
        <f t="shared" si="40"/>
        <v>0</v>
      </c>
      <c r="W96" s="49">
        <f t="shared" si="41"/>
        <v>1.380000707034738E-4</v>
      </c>
      <c r="X96" s="44">
        <f t="shared" si="42"/>
        <v>42.823345660273517</v>
      </c>
      <c r="Y96" s="44">
        <f t="shared" si="43"/>
        <v>-184</v>
      </c>
      <c r="Z96" s="44">
        <f t="shared" si="44"/>
        <v>265.03790983051675</v>
      </c>
      <c r="AA96" s="50">
        <f t="shared" si="45"/>
        <v>658.8233456602735</v>
      </c>
      <c r="AB96" s="51">
        <f t="shared" si="46"/>
        <v>247.76844893943792</v>
      </c>
      <c r="AC96" s="44">
        <f t="shared" si="47"/>
        <v>615.89543391630684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5.312276900034222</v>
      </c>
      <c r="AP96" s="47">
        <f t="shared" si="56"/>
        <v>2.5281553350874248</v>
      </c>
      <c r="AQ96">
        <v>2021</v>
      </c>
    </row>
    <row r="97" spans="2:43">
      <c r="B97" s="97" t="s">
        <v>15</v>
      </c>
      <c r="C97" s="61">
        <v>18230627</v>
      </c>
      <c r="D97" s="61" t="s">
        <v>80</v>
      </c>
      <c r="E97" s="38" t="s">
        <v>812</v>
      </c>
      <c r="F97" s="39" t="s">
        <v>813</v>
      </c>
      <c r="G97" s="39">
        <v>45</v>
      </c>
      <c r="H97" s="39"/>
      <c r="I97" s="40" t="s">
        <v>269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2.5698739729088697E-2</v>
      </c>
      <c r="V97" s="48">
        <f t="shared" si="40"/>
        <v>-177.4</v>
      </c>
      <c r="W97" s="49">
        <f t="shared" si="41"/>
        <v>5.7108310509085996E-4</v>
      </c>
      <c r="X97" s="44">
        <f t="shared" si="42"/>
        <v>177.21504840817877</v>
      </c>
      <c r="Y97" s="44">
        <f t="shared" si="43"/>
        <v>3494.62</v>
      </c>
      <c r="Z97" s="44">
        <f t="shared" si="44"/>
        <v>1096.8014127908182</v>
      </c>
      <c r="AA97" s="50">
        <f t="shared" si="45"/>
        <v>7871.8350484081784</v>
      </c>
      <c r="AB97" s="51">
        <f t="shared" si="46"/>
        <v>1025.3355265876583</v>
      </c>
      <c r="AC97" s="44">
        <f t="shared" si="47"/>
        <v>7358.9184335871532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5.3152685032044698</v>
      </c>
      <c r="AP97" s="47">
        <f t="shared" si="56"/>
        <v>0.81464783809738173</v>
      </c>
      <c r="AQ97">
        <v>2021</v>
      </c>
    </row>
    <row r="98" spans="2:43">
      <c r="B98" s="97" t="s">
        <v>15</v>
      </c>
      <c r="C98" s="61">
        <v>18230627</v>
      </c>
      <c r="D98" s="61" t="s">
        <v>80</v>
      </c>
      <c r="E98" s="38" t="s">
        <v>814</v>
      </c>
      <c r="F98" s="39" t="s">
        <v>815</v>
      </c>
      <c r="G98" s="39">
        <v>45</v>
      </c>
      <c r="H98" s="39"/>
      <c r="I98" s="40" t="s">
        <v>269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  <c r="AQ98">
        <v>2021</v>
      </c>
    </row>
    <row r="99" spans="2:43">
      <c r="B99" s="97" t="s">
        <v>15</v>
      </c>
      <c r="C99" s="61">
        <v>18230627</v>
      </c>
      <c r="D99" s="61" t="s">
        <v>80</v>
      </c>
      <c r="E99" s="38" t="s">
        <v>816</v>
      </c>
      <c r="F99" s="39" t="s">
        <v>815</v>
      </c>
      <c r="G99" s="39">
        <v>45</v>
      </c>
      <c r="H99" s="39"/>
      <c r="I99" s="40" t="s">
        <v>269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1.4581378564428184E-2</v>
      </c>
      <c r="V99" s="48">
        <f t="shared" si="40"/>
        <v>0</v>
      </c>
      <c r="W99" s="49">
        <f t="shared" si="41"/>
        <v>3.2403063476507075E-4</v>
      </c>
      <c r="X99" s="44">
        <f t="shared" si="42"/>
        <v>100.55122295465006</v>
      </c>
      <c r="Y99" s="44">
        <f t="shared" si="43"/>
        <v>0</v>
      </c>
      <c r="Z99" s="44">
        <f t="shared" si="44"/>
        <v>622.3214359340767</v>
      </c>
      <c r="AA99" s="50">
        <f t="shared" si="45"/>
        <v>100.55122295465006</v>
      </c>
      <c r="AB99" s="51">
        <f t="shared" si="46"/>
        <v>581.77193225584426</v>
      </c>
      <c r="AC99" s="44">
        <f t="shared" si="47"/>
        <v>93.999460554033888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5.340601973427006</v>
      </c>
      <c r="AP99" s="47">
        <f t="shared" si="56"/>
        <v>36.358863575332911</v>
      </c>
      <c r="AQ99">
        <v>2021</v>
      </c>
    </row>
    <row r="100" spans="2:43">
      <c r="B100" s="97" t="s">
        <v>15</v>
      </c>
      <c r="C100" s="61">
        <v>18230627</v>
      </c>
      <c r="D100" s="61" t="s">
        <v>80</v>
      </c>
      <c r="E100" s="38" t="s">
        <v>817</v>
      </c>
      <c r="F100" s="39" t="s">
        <v>818</v>
      </c>
      <c r="G100" s="39">
        <v>25</v>
      </c>
      <c r="H100" s="39"/>
      <c r="I100" s="40" t="s">
        <v>269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8.752205265387672E-2</v>
      </c>
      <c r="V100" s="48">
        <f t="shared" si="40"/>
        <v>-182.19</v>
      </c>
      <c r="W100" s="49">
        <f t="shared" si="41"/>
        <v>3.500882106155069E-3</v>
      </c>
      <c r="X100" s="44">
        <f t="shared" si="42"/>
        <v>1086.3725198364775</v>
      </c>
      <c r="Y100" s="44">
        <f t="shared" si="43"/>
        <v>5984.52</v>
      </c>
      <c r="Z100" s="44">
        <f t="shared" si="44"/>
        <v>6723.6666709551182</v>
      </c>
      <c r="AA100" s="50">
        <f t="shared" si="45"/>
        <v>18470.892519836478</v>
      </c>
      <c r="AB100" s="51">
        <f t="shared" si="46"/>
        <v>6285.5629344256495</v>
      </c>
      <c r="AC100" s="44">
        <f t="shared" si="47"/>
        <v>17267.357688918833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3.178431102374327</v>
      </c>
      <c r="AP100" s="47">
        <f t="shared" si="56"/>
        <v>1.3255375255996202</v>
      </c>
      <c r="AQ100">
        <v>2021</v>
      </c>
    </row>
    <row r="101" spans="2:43">
      <c r="B101" s="97" t="s">
        <v>15</v>
      </c>
      <c r="C101" s="61">
        <v>18230627</v>
      </c>
      <c r="D101" s="61" t="s">
        <v>80</v>
      </c>
      <c r="E101" s="38" t="s">
        <v>819</v>
      </c>
      <c r="F101" s="39" t="s">
        <v>818</v>
      </c>
      <c r="G101" s="39">
        <v>25</v>
      </c>
      <c r="H101" s="39"/>
      <c r="I101" s="40" t="s">
        <v>269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0.26591310889516956</v>
      </c>
      <c r="V101" s="48">
        <f t="shared" si="40"/>
        <v>-181.47</v>
      </c>
      <c r="W101" s="49">
        <f t="shared" si="41"/>
        <v>1.0636524355806783E-2</v>
      </c>
      <c r="X101" s="44">
        <f t="shared" si="42"/>
        <v>3300.6617807563639</v>
      </c>
      <c r="Y101" s="44">
        <f t="shared" si="43"/>
        <v>21781.760000000002</v>
      </c>
      <c r="Z101" s="44">
        <f t="shared" si="44"/>
        <v>20428.121295545465</v>
      </c>
      <c r="AA101" s="50">
        <f t="shared" si="45"/>
        <v>58011.421780756369</v>
      </c>
      <c r="AB101" s="51">
        <f t="shared" si="46"/>
        <v>19097.056460264994</v>
      </c>
      <c r="AC101" s="44">
        <f t="shared" si="47"/>
        <v>54231.487127939014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3.1770659349360075</v>
      </c>
      <c r="AP101" s="47">
        <f t="shared" si="56"/>
        <v>1.2306479468976279</v>
      </c>
      <c r="AQ101">
        <v>2021</v>
      </c>
    </row>
    <row r="102" spans="2:43">
      <c r="B102" s="97" t="s">
        <v>15</v>
      </c>
      <c r="C102" s="61">
        <v>18230627</v>
      </c>
      <c r="D102" s="61" t="s">
        <v>80</v>
      </c>
      <c r="E102" s="38" t="s">
        <v>820</v>
      </c>
      <c r="F102" s="39" t="s">
        <v>821</v>
      </c>
      <c r="G102" s="39">
        <v>45</v>
      </c>
      <c r="H102" s="39"/>
      <c r="I102" s="40" t="s">
        <v>269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2.4954994816785637E-2</v>
      </c>
      <c r="V102" s="48">
        <f t="shared" si="40"/>
        <v>-179.5</v>
      </c>
      <c r="W102" s="49">
        <f t="shared" si="41"/>
        <v>5.5455544037301418E-4</v>
      </c>
      <c r="X102" s="44">
        <f t="shared" si="42"/>
        <v>172.08628365058507</v>
      </c>
      <c r="Y102" s="44">
        <f t="shared" si="43"/>
        <v>2725.58</v>
      </c>
      <c r="Z102" s="44">
        <f t="shared" si="44"/>
        <v>1065.0589818712724</v>
      </c>
      <c r="AA102" s="50">
        <f t="shared" si="45"/>
        <v>4697.6662836505848</v>
      </c>
      <c r="AB102" s="51">
        <f t="shared" si="46"/>
        <v>995.6613834451457</v>
      </c>
      <c r="AC102" s="44">
        <f t="shared" si="47"/>
        <v>4391.5736034875054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5.3122851622219862</v>
      </c>
      <c r="AP102" s="47">
        <f t="shared" si="56"/>
        <v>1.4003552979941949</v>
      </c>
      <c r="AQ102">
        <v>2021</v>
      </c>
    </row>
    <row r="103" spans="2:43">
      <c r="B103" s="97" t="s">
        <v>15</v>
      </c>
      <c r="C103" s="61">
        <v>18230627</v>
      </c>
      <c r="D103" s="61" t="s">
        <v>80</v>
      </c>
      <c r="E103" s="38" t="s">
        <v>822</v>
      </c>
      <c r="F103" s="39" t="s">
        <v>821</v>
      </c>
      <c r="G103" s="39">
        <v>45</v>
      </c>
      <c r="H103" s="39"/>
      <c r="I103" s="40" t="s">
        <v>269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7.5716757543007546E-3</v>
      </c>
      <c r="V103" s="48">
        <f t="shared" si="40"/>
        <v>-177.4</v>
      </c>
      <c r="W103" s="49">
        <f t="shared" si="41"/>
        <v>1.6825946120668344E-4</v>
      </c>
      <c r="X103" s="44">
        <f t="shared" si="42"/>
        <v>52.213256349323082</v>
      </c>
      <c r="Y103" s="44">
        <f t="shared" si="43"/>
        <v>849.44999999999982</v>
      </c>
      <c r="Z103" s="44">
        <f t="shared" si="44"/>
        <v>323.15299318397905</v>
      </c>
      <c r="AA103" s="50">
        <f t="shared" si="45"/>
        <v>3701.6632563493231</v>
      </c>
      <c r="AB103" s="51">
        <f t="shared" si="46"/>
        <v>302.09684321209596</v>
      </c>
      <c r="AC103" s="44">
        <f t="shared" si="47"/>
        <v>3460.4685952597201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5.3133207476950552</v>
      </c>
      <c r="AP103" s="47">
        <f t="shared" si="56"/>
        <v>0.51023470340284727</v>
      </c>
      <c r="AQ103">
        <v>2021</v>
      </c>
    </row>
    <row r="104" spans="2:43">
      <c r="B104" s="97" t="s">
        <v>15</v>
      </c>
      <c r="C104" s="61"/>
      <c r="D104" s="61"/>
      <c r="E104" s="38" t="s">
        <v>823</v>
      </c>
      <c r="F104" s="39" t="s">
        <v>824</v>
      </c>
      <c r="G104" s="39">
        <v>45</v>
      </c>
      <c r="H104" s="39"/>
      <c r="I104" s="40" t="s">
        <v>269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5.2974238078519816E-2</v>
      </c>
      <c r="V104" s="48">
        <f t="shared" si="40"/>
        <v>-179.5</v>
      </c>
      <c r="W104" s="49">
        <f t="shared" si="41"/>
        <v>1.1772052906337737E-3</v>
      </c>
      <c r="X104" s="44">
        <f t="shared" si="42"/>
        <v>365.30321192541135</v>
      </c>
      <c r="Y104" s="44">
        <f t="shared" si="43"/>
        <v>4128.21</v>
      </c>
      <c r="Z104" s="44">
        <f t="shared" si="44"/>
        <v>2260.8976073745407</v>
      </c>
      <c r="AA104" s="50">
        <f t="shared" si="45"/>
        <v>7893.5132119254113</v>
      </c>
      <c r="AB104" s="51">
        <f t="shared" si="46"/>
        <v>2113.5810109138456</v>
      </c>
      <c r="AC104" s="44">
        <f t="shared" si="47"/>
        <v>7379.1840814484531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5.3122632775639227</v>
      </c>
      <c r="AP104" s="47">
        <f t="shared" si="56"/>
        <v>1.7756556560364767</v>
      </c>
      <c r="AQ104">
        <v>2021</v>
      </c>
    </row>
    <row r="105" spans="2:43">
      <c r="B105" s="97" t="s">
        <v>15</v>
      </c>
      <c r="C105" s="61"/>
      <c r="D105" s="61"/>
      <c r="E105" s="38" t="s">
        <v>825</v>
      </c>
      <c r="F105" s="39" t="s">
        <v>824</v>
      </c>
      <c r="G105" s="39">
        <v>45</v>
      </c>
      <c r="H105" s="39"/>
      <c r="I105" s="40" t="s">
        <v>269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2.8723367059987612E-2</v>
      </c>
      <c r="V105" s="48">
        <f t="shared" si="40"/>
        <v>-177.4</v>
      </c>
      <c r="W105" s="49">
        <f t="shared" si="41"/>
        <v>6.3829704577750247E-4</v>
      </c>
      <c r="X105" s="44">
        <f t="shared" si="42"/>
        <v>198.07247116557713</v>
      </c>
      <c r="Y105" s="44">
        <f t="shared" si="43"/>
        <v>5253.1100000000006</v>
      </c>
      <c r="Z105" s="44">
        <f t="shared" si="44"/>
        <v>1225.8900593418639</v>
      </c>
      <c r="AA105" s="50">
        <f t="shared" si="45"/>
        <v>9251.1824711655772</v>
      </c>
      <c r="AB105" s="51">
        <f t="shared" si="46"/>
        <v>1146.0129562885518</v>
      </c>
      <c r="AC105" s="44">
        <f t="shared" si="47"/>
        <v>8648.3897084842265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5.307609257840129</v>
      </c>
      <c r="AP105" s="47">
        <f t="shared" si="56"/>
        <v>0.77365244855677529</v>
      </c>
      <c r="AQ105">
        <v>2021</v>
      </c>
    </row>
    <row r="106" spans="2:43">
      <c r="B106" s="97" t="s">
        <v>15</v>
      </c>
      <c r="C106" s="61"/>
      <c r="D106" s="61"/>
      <c r="E106" s="38" t="s">
        <v>826</v>
      </c>
      <c r="F106" s="39" t="s">
        <v>827</v>
      </c>
      <c r="G106" s="39">
        <v>20</v>
      </c>
      <c r="H106" s="39"/>
      <c r="I106" s="40" t="s">
        <v>269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1.8011884228276324E-2</v>
      </c>
      <c r="V106" s="48">
        <f t="shared" si="40"/>
        <v>200</v>
      </c>
      <c r="W106" s="49">
        <f t="shared" si="41"/>
        <v>9.0059421141381614E-4</v>
      </c>
      <c r="X106" s="44">
        <f t="shared" si="42"/>
        <v>279.46693808501419</v>
      </c>
      <c r="Y106" s="44">
        <f t="shared" si="43"/>
        <v>1087.29</v>
      </c>
      <c r="Z106" s="44">
        <f t="shared" si="44"/>
        <v>1729.6484428001954</v>
      </c>
      <c r="AA106" s="50">
        <f t="shared" si="45"/>
        <v>2279.4669380850141</v>
      </c>
      <c r="AB106" s="51">
        <f t="shared" si="46"/>
        <v>1616.9472214641444</v>
      </c>
      <c r="AC106" s="44">
        <f t="shared" si="47"/>
        <v>2130.9403927129233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2.6780287996808658</v>
      </c>
      <c r="AP106" s="47">
        <f t="shared" si="56"/>
        <v>2.2352827726191236</v>
      </c>
      <c r="AQ106">
        <v>2021</v>
      </c>
    </row>
    <row r="107" spans="2:43">
      <c r="B107" s="97" t="s">
        <v>15</v>
      </c>
      <c r="C107" s="61"/>
      <c r="D107" s="61"/>
      <c r="E107" s="38" t="s">
        <v>828</v>
      </c>
      <c r="F107" s="39" t="s">
        <v>829</v>
      </c>
      <c r="G107" s="39">
        <v>20</v>
      </c>
      <c r="H107" s="39"/>
      <c r="I107" s="40" t="s">
        <v>269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  <c r="AQ107">
        <v>2021</v>
      </c>
    </row>
    <row r="108" spans="2:43">
      <c r="B108" s="97" t="s">
        <v>15</v>
      </c>
      <c r="C108" s="61"/>
      <c r="D108" s="61"/>
      <c r="E108" s="38" t="s">
        <v>830</v>
      </c>
      <c r="F108" s="39" t="s">
        <v>829</v>
      </c>
      <c r="G108" s="39">
        <v>20</v>
      </c>
      <c r="H108" s="39"/>
      <c r="I108" s="40" t="s">
        <v>269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  <c r="AQ108">
        <v>2021</v>
      </c>
    </row>
    <row r="109" spans="2:43">
      <c r="B109" s="97" t="s">
        <v>15</v>
      </c>
      <c r="C109" s="61"/>
      <c r="D109" s="61"/>
      <c r="E109" s="38" t="s">
        <v>831</v>
      </c>
      <c r="F109" s="39" t="s">
        <v>832</v>
      </c>
      <c r="G109" s="39">
        <v>45</v>
      </c>
      <c r="H109" s="39"/>
      <c r="I109" s="40" t="s">
        <v>269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0.48780302726658259</v>
      </c>
      <c r="V109" s="48">
        <f t="shared" si="40"/>
        <v>0.12000000000000001</v>
      </c>
      <c r="W109" s="49">
        <f t="shared" si="41"/>
        <v>1.0840067272590724E-2</v>
      </c>
      <c r="X109" s="44">
        <f t="shared" si="42"/>
        <v>3363.8239852226811</v>
      </c>
      <c r="Y109" s="44">
        <f t="shared" si="43"/>
        <v>23130.499999999996</v>
      </c>
      <c r="Z109" s="44">
        <f t="shared" si="44"/>
        <v>20819.038408487675</v>
      </c>
      <c r="AA109" s="50">
        <f t="shared" si="45"/>
        <v>43582.02398522268</v>
      </c>
      <c r="AB109" s="51">
        <f t="shared" si="46"/>
        <v>19462.502017843948</v>
      </c>
      <c r="AC109" s="44">
        <f t="shared" si="47"/>
        <v>40742.286608603041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5.312276900034222</v>
      </c>
      <c r="AP109" s="47">
        <f t="shared" si="56"/>
        <v>2.7914294788470033</v>
      </c>
      <c r="AQ109">
        <v>2021</v>
      </c>
    </row>
    <row r="110" spans="2:43">
      <c r="B110" s="97" t="s">
        <v>15</v>
      </c>
      <c r="C110" s="61"/>
      <c r="D110" s="61"/>
      <c r="E110" s="38" t="s">
        <v>833</v>
      </c>
      <c r="F110" s="39" t="s">
        <v>834</v>
      </c>
      <c r="G110" s="39">
        <v>45</v>
      </c>
      <c r="H110" s="39"/>
      <c r="I110" s="40" t="s">
        <v>269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1.3914288378898694E-2</v>
      </c>
      <c r="V110" s="48">
        <f t="shared" si="40"/>
        <v>0</v>
      </c>
      <c r="W110" s="49">
        <f t="shared" si="41"/>
        <v>3.0920640841997099E-4</v>
      </c>
      <c r="X110" s="44">
        <f t="shared" si="42"/>
        <v>95.95105887005036</v>
      </c>
      <c r="Y110" s="44">
        <f t="shared" si="43"/>
        <v>215.36</v>
      </c>
      <c r="Z110" s="44">
        <f t="shared" si="44"/>
        <v>593.85056671400162</v>
      </c>
      <c r="AA110" s="50">
        <f t="shared" si="45"/>
        <v>1243.1510588700503</v>
      </c>
      <c r="AB110" s="51">
        <f t="shared" si="46"/>
        <v>555.15618090492808</v>
      </c>
      <c r="AC110" s="44">
        <f t="shared" si="47"/>
        <v>1162.1492557446481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5.3122769000342211</v>
      </c>
      <c r="AP110" s="47">
        <f t="shared" si="56"/>
        <v>2.7914294788470033</v>
      </c>
      <c r="AQ110">
        <v>2021</v>
      </c>
    </row>
    <row r="111" spans="2:43">
      <c r="B111" s="97" t="s">
        <v>15</v>
      </c>
      <c r="C111" s="61"/>
      <c r="D111" s="61"/>
      <c r="E111" s="38" t="s">
        <v>835</v>
      </c>
      <c r="F111" s="39" t="s">
        <v>836</v>
      </c>
      <c r="G111" s="39">
        <v>45</v>
      </c>
      <c r="H111" s="39"/>
      <c r="I111" s="40" t="s">
        <v>269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  <c r="AQ111">
        <v>2021</v>
      </c>
    </row>
    <row r="112" spans="2:43">
      <c r="B112" s="97" t="s">
        <v>15</v>
      </c>
      <c r="C112" s="61"/>
      <c r="D112" s="61"/>
      <c r="E112" s="38" t="s">
        <v>837</v>
      </c>
      <c r="F112" s="39" t="s">
        <v>838</v>
      </c>
      <c r="G112" s="39">
        <v>45</v>
      </c>
      <c r="H112" s="39"/>
      <c r="I112" s="40" t="s">
        <v>269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  <c r="AQ112">
        <v>2021</v>
      </c>
    </row>
    <row r="113" spans="2:43">
      <c r="B113" s="97" t="s">
        <v>15</v>
      </c>
      <c r="C113" s="61"/>
      <c r="D113" s="61"/>
      <c r="E113" s="38" t="s">
        <v>839</v>
      </c>
      <c r="F113" s="39" t="s">
        <v>840</v>
      </c>
      <c r="G113" s="39">
        <v>45</v>
      </c>
      <c r="H113" s="39"/>
      <c r="I113" s="40" t="s">
        <v>269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0.82097697530992264</v>
      </c>
      <c r="V113" s="48">
        <f t="shared" si="40"/>
        <v>0.12000000000000001</v>
      </c>
      <c r="W113" s="49">
        <f t="shared" si="41"/>
        <v>1.8243932784664948E-2</v>
      </c>
      <c r="X113" s="44">
        <f t="shared" si="42"/>
        <v>5661.3466635045506</v>
      </c>
      <c r="Y113" s="44">
        <f t="shared" si="43"/>
        <v>40562.410000000003</v>
      </c>
      <c r="Z113" s="44">
        <f t="shared" si="44"/>
        <v>35038.632862195482</v>
      </c>
      <c r="AA113" s="50">
        <f t="shared" si="45"/>
        <v>73348.946663504554</v>
      </c>
      <c r="AB113" s="51">
        <f t="shared" si="46"/>
        <v>32755.569657095893</v>
      </c>
      <c r="AC113" s="44">
        <f t="shared" si="47"/>
        <v>68569.642575960126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5.3122769000342211</v>
      </c>
      <c r="AP113" s="47">
        <f t="shared" si="56"/>
        <v>2.7914294788470024</v>
      </c>
      <c r="AQ113">
        <v>2021</v>
      </c>
    </row>
    <row r="114" spans="2:43">
      <c r="B114" s="97" t="s">
        <v>15</v>
      </c>
      <c r="C114" s="61"/>
      <c r="D114" s="61"/>
      <c r="E114" s="38" t="s">
        <v>841</v>
      </c>
      <c r="F114" s="39" t="s">
        <v>842</v>
      </c>
      <c r="G114" s="39">
        <v>45</v>
      </c>
      <c r="H114" s="39"/>
      <c r="I114" s="40" t="s">
        <v>269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1.6888297715113795E-2</v>
      </c>
      <c r="V114" s="48">
        <f t="shared" si="40"/>
        <v>0</v>
      </c>
      <c r="W114" s="49">
        <f t="shared" si="41"/>
        <v>3.7529550478030652E-4</v>
      </c>
      <c r="X114" s="44">
        <f t="shared" si="42"/>
        <v>116.45942675266573</v>
      </c>
      <c r="Y114" s="44">
        <f t="shared" si="43"/>
        <v>481.20000000000005</v>
      </c>
      <c r="Z114" s="44">
        <f t="shared" si="44"/>
        <v>720.77887821877255</v>
      </c>
      <c r="AA114" s="50">
        <f t="shared" si="45"/>
        <v>1508.8594267526657</v>
      </c>
      <c r="AB114" s="51">
        <f t="shared" si="46"/>
        <v>673.81403965483082</v>
      </c>
      <c r="AC114" s="44">
        <f t="shared" si="47"/>
        <v>1410.5444767249376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5.3122769000342203</v>
      </c>
      <c r="AP114" s="47">
        <f t="shared" si="56"/>
        <v>2.7914294788470024</v>
      </c>
      <c r="AQ114">
        <v>2021</v>
      </c>
    </row>
    <row r="115" spans="2:43">
      <c r="B115" s="97" t="s">
        <v>15</v>
      </c>
      <c r="C115" s="61"/>
      <c r="D115" s="61"/>
      <c r="E115" s="38" t="s">
        <v>843</v>
      </c>
      <c r="F115" s="39" t="s">
        <v>844</v>
      </c>
      <c r="G115" s="39">
        <v>45</v>
      </c>
      <c r="H115" s="39"/>
      <c r="I115" s="40" t="s">
        <v>269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  <c r="AQ115">
        <v>2021</v>
      </c>
    </row>
    <row r="116" spans="2:43">
      <c r="B116" s="97" t="s">
        <v>15</v>
      </c>
      <c r="C116" s="61"/>
      <c r="D116" s="61"/>
      <c r="E116" s="38" t="s">
        <v>845</v>
      </c>
      <c r="F116" s="39" t="s">
        <v>846</v>
      </c>
      <c r="G116" s="39">
        <v>45</v>
      </c>
      <c r="H116" s="39"/>
      <c r="I116" s="40" t="s">
        <v>269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  <c r="AQ116">
        <v>2021</v>
      </c>
    </row>
    <row r="117" spans="2:43">
      <c r="B117" s="97" t="s">
        <v>15</v>
      </c>
      <c r="C117" s="61"/>
      <c r="D117" s="61"/>
      <c r="E117" s="38" t="s">
        <v>847</v>
      </c>
      <c r="F117" s="39" t="s">
        <v>848</v>
      </c>
      <c r="G117" s="39">
        <v>15</v>
      </c>
      <c r="H117" s="39"/>
      <c r="I117" s="40" t="s">
        <v>269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7.3177771867174101E-4</v>
      </c>
      <c r="V117" s="48">
        <f t="shared" si="40"/>
        <v>0.37</v>
      </c>
      <c r="W117" s="49">
        <f t="shared" si="41"/>
        <v>4.8785181244782733E-5</v>
      </c>
      <c r="X117" s="44">
        <f t="shared" si="42"/>
        <v>15.138721805682632</v>
      </c>
      <c r="Y117" s="44">
        <f t="shared" si="43"/>
        <v>610</v>
      </c>
      <c r="Z117" s="44">
        <f t="shared" si="44"/>
        <v>93.695042342428778</v>
      </c>
      <c r="AA117" s="50">
        <f t="shared" si="45"/>
        <v>975.13872180568262</v>
      </c>
      <c r="AB117" s="51">
        <f t="shared" si="46"/>
        <v>87.590018082105985</v>
      </c>
      <c r="AC117" s="44">
        <f t="shared" si="47"/>
        <v>911.60018865633594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2.1413461492223829</v>
      </c>
      <c r="AP117" s="47">
        <f t="shared" si="56"/>
        <v>0.22632356299485087</v>
      </c>
      <c r="AQ117">
        <v>2021</v>
      </c>
    </row>
    <row r="118" spans="2:43">
      <c r="B118" s="97" t="s">
        <v>15</v>
      </c>
      <c r="C118" s="61"/>
      <c r="D118" s="61"/>
      <c r="E118" s="38" t="s">
        <v>849</v>
      </c>
      <c r="F118" s="39" t="s">
        <v>850</v>
      </c>
      <c r="G118" s="39">
        <v>15</v>
      </c>
      <c r="H118" s="39"/>
      <c r="I118" s="40" t="s">
        <v>269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1.9600322542102764E-4</v>
      </c>
      <c r="V118" s="48">
        <f t="shared" si="40"/>
        <v>0.37</v>
      </c>
      <c r="W118" s="49">
        <f t="shared" si="41"/>
        <v>1.3066881694735176E-5</v>
      </c>
      <c r="X118" s="44">
        <f t="shared" si="42"/>
        <v>4.0548355422071491</v>
      </c>
      <c r="Y118" s="44">
        <f t="shared" si="43"/>
        <v>353.1</v>
      </c>
      <c r="Z118" s="44">
        <f t="shared" si="44"/>
        <v>25.095777087077053</v>
      </c>
      <c r="AA118" s="50">
        <f t="shared" si="45"/>
        <v>707.15483554220714</v>
      </c>
      <c r="AB118" s="51">
        <f t="shared" si="46"/>
        <v>23.460575008953025</v>
      </c>
      <c r="AC118" s="44">
        <f t="shared" si="47"/>
        <v>661.07771855866793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1.9517757663914717</v>
      </c>
      <c r="AP118" s="47">
        <f t="shared" si="56"/>
        <v>7.6191888685509024E-2</v>
      </c>
      <c r="AQ118">
        <v>2021</v>
      </c>
    </row>
    <row r="119" spans="2:43">
      <c r="B119" s="97" t="s">
        <v>15</v>
      </c>
      <c r="C119" s="61"/>
      <c r="D119" s="61"/>
      <c r="E119" s="38" t="s">
        <v>851</v>
      </c>
      <c r="F119" s="39" t="s">
        <v>852</v>
      </c>
      <c r="G119" s="39">
        <v>15</v>
      </c>
      <c r="H119" s="39"/>
      <c r="I119" s="40" t="s">
        <v>269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1.1948865496926564E-3</v>
      </c>
      <c r="V119" s="48">
        <f t="shared" si="40"/>
        <v>0.37</v>
      </c>
      <c r="W119" s="49">
        <f t="shared" si="41"/>
        <v>7.9659103312843758E-5</v>
      </c>
      <c r="X119" s="44">
        <f t="shared" si="42"/>
        <v>24.719330205875593</v>
      </c>
      <c r="Y119" s="44">
        <f t="shared" si="43"/>
        <v>261.20000000000005</v>
      </c>
      <c r="Z119" s="44">
        <f t="shared" si="44"/>
        <v>152.99037263810504</v>
      </c>
      <c r="AA119" s="50">
        <f t="shared" si="45"/>
        <v>635.91933020587567</v>
      </c>
      <c r="AB119" s="51">
        <f t="shared" si="46"/>
        <v>143.0217562289474</v>
      </c>
      <c r="AC119" s="44">
        <f t="shared" si="47"/>
        <v>594.48380873691281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2.1337170386949502</v>
      </c>
      <c r="AP119" s="47">
        <f t="shared" si="56"/>
        <v>0.56466593211340954</v>
      </c>
      <c r="AQ119">
        <v>2021</v>
      </c>
    </row>
    <row r="120" spans="2:43">
      <c r="B120" s="97" t="s">
        <v>15</v>
      </c>
      <c r="C120" s="61"/>
      <c r="D120" s="61"/>
      <c r="E120" s="38" t="s">
        <v>853</v>
      </c>
      <c r="F120" s="39" t="s">
        <v>854</v>
      </c>
      <c r="G120" s="39">
        <v>18</v>
      </c>
      <c r="H120" s="39"/>
      <c r="I120" s="40" t="s">
        <v>269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9.3848673082781164E-2</v>
      </c>
      <c r="V120" s="48">
        <f t="shared" si="40"/>
        <v>99</v>
      </c>
      <c r="W120" s="49">
        <f t="shared" si="41"/>
        <v>5.2138151712656199E-3</v>
      </c>
      <c r="X120" s="44">
        <f t="shared" si="42"/>
        <v>1617.919528227209</v>
      </c>
      <c r="Y120" s="44">
        <f t="shared" si="43"/>
        <v>3403.4699999999993</v>
      </c>
      <c r="Z120" s="44">
        <f t="shared" si="44"/>
        <v>10013.463530784211</v>
      </c>
      <c r="AA120" s="50">
        <f t="shared" si="45"/>
        <v>18636.919528227209</v>
      </c>
      <c r="AB120" s="51">
        <f t="shared" si="46"/>
        <v>9361.0017114931379</v>
      </c>
      <c r="AC120" s="44">
        <f t="shared" si="47"/>
        <v>17422.566633848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2.4735855057917973</v>
      </c>
      <c r="AP120" s="47">
        <f t="shared" si="56"/>
        <v>1.4619408554352735</v>
      </c>
      <c r="AQ120">
        <v>2021</v>
      </c>
    </row>
    <row r="121" spans="2:43">
      <c r="B121" s="97" t="s">
        <v>15</v>
      </c>
      <c r="C121" s="61"/>
      <c r="D121" s="61"/>
      <c r="E121" s="38" t="s">
        <v>855</v>
      </c>
      <c r="F121" s="39" t="s">
        <v>856</v>
      </c>
      <c r="G121" s="39">
        <v>18</v>
      </c>
      <c r="H121" s="39"/>
      <c r="I121" s="40" t="s">
        <v>269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  <c r="AQ121">
        <v>2021</v>
      </c>
    </row>
    <row r="122" spans="2:43">
      <c r="B122" s="97" t="s">
        <v>15</v>
      </c>
      <c r="C122" s="61">
        <v>18230627</v>
      </c>
      <c r="D122" s="61" t="s">
        <v>80</v>
      </c>
      <c r="E122" s="38" t="s">
        <v>1954</v>
      </c>
      <c r="F122" s="39" t="s">
        <v>1787</v>
      </c>
      <c r="G122" s="39">
        <v>30</v>
      </c>
      <c r="H122" s="39"/>
      <c r="I122" s="40" t="s">
        <v>269</v>
      </c>
      <c r="J122" s="41">
        <v>2733.69</v>
      </c>
      <c r="K122" s="41">
        <v>15.8</v>
      </c>
      <c r="L122" s="41"/>
      <c r="M122" s="42">
        <v>50</v>
      </c>
      <c r="N122" s="42">
        <v>20.5</v>
      </c>
      <c r="O122" s="43">
        <v>43192.3</v>
      </c>
      <c r="P122" s="44">
        <v>7350</v>
      </c>
      <c r="Q122" s="44">
        <v>56040.639999999999</v>
      </c>
      <c r="R122" s="45">
        <v>0.26</v>
      </c>
      <c r="S122" s="46">
        <v>0</v>
      </c>
      <c r="T122" s="39">
        <f t="shared" si="38"/>
        <v>30</v>
      </c>
      <c r="U122" s="47">
        <f t="shared" si="39"/>
        <v>0.46566722295669161</v>
      </c>
      <c r="V122" s="48">
        <f t="shared" si="40"/>
        <v>-29.5</v>
      </c>
      <c r="W122" s="49">
        <f t="shared" si="41"/>
        <v>1.5522240765223053E-2</v>
      </c>
      <c r="X122" s="44">
        <f t="shared" si="42"/>
        <v>4816.7676894849801</v>
      </c>
      <c r="Y122" s="44">
        <f t="shared" si="43"/>
        <v>48690.64</v>
      </c>
      <c r="Z122" s="44">
        <f t="shared" si="44"/>
        <v>29811.450293678725</v>
      </c>
      <c r="AA122" s="50">
        <f t="shared" si="45"/>
        <v>60857.407689484979</v>
      </c>
      <c r="AB122" s="51">
        <f t="shared" si="46"/>
        <v>27868.982232101265</v>
      </c>
      <c r="AC122" s="44">
        <f t="shared" si="47"/>
        <v>56892.03299007663</v>
      </c>
      <c r="AD122" s="44">
        <f t="shared" si="48"/>
        <v>8846.4878734074937</v>
      </c>
      <c r="AE122" s="44">
        <f t="shared" si="49"/>
        <v>0</v>
      </c>
      <c r="AF122" s="52">
        <f>HLOOKUP(I122,ElecAvoidedCostsWOCC!$A$5:$Q$50,G122+1,FALSE)</f>
        <v>2.3666688857668672</v>
      </c>
      <c r="AG122" s="44">
        <f t="shared" si="50"/>
        <v>102221.87724804603</v>
      </c>
      <c r="AH122" s="52">
        <f>HLOOKUP(I122,ElecAvoidedCostsWOCC!$A$5:$Q$50,T122+1,FALSE)</f>
        <v>2.3666688857668672</v>
      </c>
      <c r="AI122" s="44">
        <f t="shared" si="51"/>
        <v>0</v>
      </c>
      <c r="AJ122" s="44">
        <f t="shared" si="52"/>
        <v>102221.87724804603</v>
      </c>
      <c r="AK122" s="44">
        <f>HLOOKUP(I122,ElecAvoidedCostsWOCC!$A$5:$Q$50,G122+1,FALSE)*J122*L122</f>
        <v>0</v>
      </c>
      <c r="AL122" s="44">
        <f t="shared" si="53"/>
        <v>102221.87724804603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102221.87724804603</v>
      </c>
      <c r="AN122" s="48">
        <f t="shared" si="54"/>
        <v>121290.55284625813</v>
      </c>
      <c r="AO122" s="47">
        <f t="shared" si="55"/>
        <v>3.6679443977075121</v>
      </c>
      <c r="AP122" s="47">
        <f t="shared" si="56"/>
        <v>2.1319426723143149</v>
      </c>
      <c r="AQ122">
        <v>2020</v>
      </c>
    </row>
    <row r="123" spans="2:43">
      <c r="B123" s="97" t="s">
        <v>15</v>
      </c>
      <c r="C123" s="61">
        <v>18230627</v>
      </c>
      <c r="D123" s="61" t="s">
        <v>80</v>
      </c>
      <c r="E123" s="38" t="s">
        <v>1786</v>
      </c>
      <c r="F123" s="39" t="s">
        <v>1787</v>
      </c>
      <c r="G123" s="39">
        <v>45</v>
      </c>
      <c r="H123" s="39"/>
      <c r="I123" s="40" t="s">
        <v>269</v>
      </c>
      <c r="J123" s="41">
        <v>10496.63</v>
      </c>
      <c r="K123" s="41">
        <v>15.8</v>
      </c>
      <c r="L123" s="41"/>
      <c r="M123" s="42">
        <v>50</v>
      </c>
      <c r="N123" s="42">
        <v>20.5</v>
      </c>
      <c r="O123" s="43">
        <v>165846.76</v>
      </c>
      <c r="P123" s="44">
        <v>27100</v>
      </c>
      <c r="Q123" s="44">
        <v>215180.88</v>
      </c>
      <c r="R123" s="45">
        <v>0.26</v>
      </c>
      <c r="S123" s="46">
        <v>0</v>
      </c>
      <c r="T123" s="39">
        <f t="shared" si="38"/>
        <v>45</v>
      </c>
      <c r="U123" s="47">
        <f t="shared" si="39"/>
        <v>2.6820544460088347</v>
      </c>
      <c r="V123" s="48">
        <f t="shared" si="40"/>
        <v>-29.5</v>
      </c>
      <c r="W123" s="49">
        <f t="shared" si="41"/>
        <v>5.9601209911307435E-2</v>
      </c>
      <c r="X123" s="44">
        <f t="shared" si="42"/>
        <v>18495.086276344857</v>
      </c>
      <c r="Y123" s="44">
        <f t="shared" si="43"/>
        <v>188080.88</v>
      </c>
      <c r="Z123" s="44">
        <f t="shared" si="44"/>
        <v>114467.91307959208</v>
      </c>
      <c r="AA123" s="50">
        <f t="shared" si="45"/>
        <v>233675.96627634487</v>
      </c>
      <c r="AB123" s="51">
        <f t="shared" si="46"/>
        <v>107009.36064278963</v>
      </c>
      <c r="AC123" s="44">
        <f t="shared" si="47"/>
        <v>218450.00119318019</v>
      </c>
      <c r="AD123" s="44">
        <f t="shared" si="48"/>
        <v>37267.297084110622</v>
      </c>
      <c r="AE123" s="44">
        <f t="shared" si="49"/>
        <v>0</v>
      </c>
      <c r="AF123" s="52">
        <f>HLOOKUP(I123,ElecAvoidedCostsWOCC!$A$5:$Q$50,G123+1,FALSE)</f>
        <v>3.4276422079642828</v>
      </c>
      <c r="AG123" s="44">
        <f t="shared" si="50"/>
        <v>568463.33406426921</v>
      </c>
      <c r="AH123" s="52">
        <f>HLOOKUP(I123,ElecAvoidedCostsWOCC!$A$5:$Q$50,T123+1,FALSE)</f>
        <v>3.4276422079642828</v>
      </c>
      <c r="AI123" s="44">
        <f t="shared" si="51"/>
        <v>0</v>
      </c>
      <c r="AJ123" s="44">
        <f t="shared" si="52"/>
        <v>568463.33406426921</v>
      </c>
      <c r="AK123" s="44">
        <f>HLOOKUP(I123,ElecAvoidedCostsWOCC!$A$5:$Q$50,G123+1,FALSE)*J123*L123</f>
        <v>0</v>
      </c>
      <c r="AL123" s="44">
        <f t="shared" si="53"/>
        <v>568463.33406426921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568463.33406426921</v>
      </c>
      <c r="AN123" s="48">
        <f t="shared" si="54"/>
        <v>662576.96455480682</v>
      </c>
      <c r="AO123" s="47">
        <f t="shared" si="55"/>
        <v>5.3122767078467978</v>
      </c>
      <c r="AP123" s="47">
        <f t="shared" si="56"/>
        <v>3.0330829065497475</v>
      </c>
      <c r="AQ123">
        <v>2020</v>
      </c>
    </row>
    <row r="124" spans="2:43">
      <c r="B124" s="97" t="s">
        <v>15</v>
      </c>
      <c r="C124" s="61">
        <v>18230627</v>
      </c>
      <c r="D124" s="61" t="s">
        <v>80</v>
      </c>
      <c r="E124" s="38" t="s">
        <v>1955</v>
      </c>
      <c r="F124" s="39" t="s">
        <v>1790</v>
      </c>
      <c r="G124" s="39">
        <v>30</v>
      </c>
      <c r="H124" s="39"/>
      <c r="I124" s="40" t="s">
        <v>269</v>
      </c>
      <c r="J124" s="41">
        <v>3586.49</v>
      </c>
      <c r="K124" s="41">
        <v>6.99</v>
      </c>
      <c r="L124" s="41"/>
      <c r="M124" s="42">
        <v>50</v>
      </c>
      <c r="N124" s="42">
        <v>20.5</v>
      </c>
      <c r="O124" s="43">
        <v>25069.58</v>
      </c>
      <c r="P124" s="44">
        <v>8900</v>
      </c>
      <c r="Q124" s="44">
        <v>73523.06</v>
      </c>
      <c r="R124" s="45">
        <v>0.1</v>
      </c>
      <c r="S124" s="46">
        <v>0</v>
      </c>
      <c r="T124" s="39">
        <f t="shared" si="38"/>
        <v>30</v>
      </c>
      <c r="U124" s="47">
        <f t="shared" si="39"/>
        <v>0.27028154785206199</v>
      </c>
      <c r="V124" s="48">
        <f t="shared" si="40"/>
        <v>-29.5</v>
      </c>
      <c r="W124" s="49">
        <f t="shared" si="41"/>
        <v>9.0093849284020658E-3</v>
      </c>
      <c r="X124" s="44">
        <f t="shared" si="42"/>
        <v>2795.7377341090623</v>
      </c>
      <c r="Y124" s="44">
        <f t="shared" si="43"/>
        <v>64623.06</v>
      </c>
      <c r="Z124" s="44">
        <f t="shared" si="44"/>
        <v>17303.096571689912</v>
      </c>
      <c r="AA124" s="50">
        <f t="shared" si="45"/>
        <v>76318.797734109059</v>
      </c>
      <c r="AB124" s="51">
        <f t="shared" si="46"/>
        <v>16175.653521258213</v>
      </c>
      <c r="AC124" s="44">
        <f t="shared" si="47"/>
        <v>71345.982737317987</v>
      </c>
      <c r="AD124" s="44">
        <f t="shared" si="48"/>
        <v>4463.9353757540521</v>
      </c>
      <c r="AE124" s="44">
        <f t="shared" si="49"/>
        <v>0</v>
      </c>
      <c r="AF124" s="52">
        <f>HLOOKUP(I124,ElecAvoidedCostsWOCC!$A$5:$Q$50,G124+1,FALSE)</f>
        <v>2.3666688857668672</v>
      </c>
      <c r="AG124" s="44">
        <f t="shared" si="50"/>
        <v>59331.359701876936</v>
      </c>
      <c r="AH124" s="52">
        <f>HLOOKUP(I124,ElecAvoidedCostsWOCC!$A$5:$Q$50,T124+1,FALSE)</f>
        <v>2.3666688857668672</v>
      </c>
      <c r="AI124" s="44">
        <f t="shared" si="51"/>
        <v>0</v>
      </c>
      <c r="AJ124" s="44">
        <f t="shared" si="52"/>
        <v>59331.359701876936</v>
      </c>
      <c r="AK124" s="44">
        <f>HLOOKUP(I124,ElecAvoidedCostsWOCC!$A$5:$Q$50,G124+1,FALSE)*J124*L124</f>
        <v>0</v>
      </c>
      <c r="AL124" s="44">
        <f t="shared" si="53"/>
        <v>59331.359701876936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59331.359701876936</v>
      </c>
      <c r="AN124" s="48">
        <f t="shared" si="54"/>
        <v>69728.431047818682</v>
      </c>
      <c r="AO124" s="47">
        <f t="shared" si="55"/>
        <v>3.6679420478376992</v>
      </c>
      <c r="AP124" s="47">
        <f t="shared" si="56"/>
        <v>0.97732806210750767</v>
      </c>
      <c r="AQ124">
        <v>2020</v>
      </c>
    </row>
    <row r="125" spans="2:43">
      <c r="B125" s="97" t="s">
        <v>15</v>
      </c>
      <c r="C125" s="61">
        <v>18230627</v>
      </c>
      <c r="D125" s="61" t="s">
        <v>80</v>
      </c>
      <c r="E125" s="38" t="s">
        <v>1789</v>
      </c>
      <c r="F125" s="39" t="s">
        <v>1790</v>
      </c>
      <c r="G125" s="39">
        <v>45</v>
      </c>
      <c r="H125" s="39"/>
      <c r="I125" s="40" t="s">
        <v>269</v>
      </c>
      <c r="J125" s="41">
        <v>14910.91</v>
      </c>
      <c r="K125" s="41">
        <v>6.99</v>
      </c>
      <c r="L125" s="41"/>
      <c r="M125" s="42">
        <v>50</v>
      </c>
      <c r="N125" s="42">
        <v>20.5</v>
      </c>
      <c r="O125" s="43">
        <v>104227.23</v>
      </c>
      <c r="P125" s="44">
        <v>33500</v>
      </c>
      <c r="Q125" s="44">
        <v>305673.63</v>
      </c>
      <c r="R125" s="45">
        <v>0.11</v>
      </c>
      <c r="S125" s="46">
        <v>0</v>
      </c>
      <c r="T125" s="39">
        <f t="shared" si="38"/>
        <v>45</v>
      </c>
      <c r="U125" s="47">
        <f t="shared" si="39"/>
        <v>1.6855505987375659</v>
      </c>
      <c r="V125" s="48">
        <f t="shared" si="40"/>
        <v>-29.5</v>
      </c>
      <c r="W125" s="49">
        <f t="shared" si="41"/>
        <v>3.7456679971945905E-2</v>
      </c>
      <c r="X125" s="44">
        <f t="shared" si="42"/>
        <v>11623.329941413622</v>
      </c>
      <c r="Y125" s="44">
        <f t="shared" si="43"/>
        <v>272173.63</v>
      </c>
      <c r="Z125" s="44">
        <f t="shared" si="44"/>
        <v>71937.93538183473</v>
      </c>
      <c r="AA125" s="50">
        <f t="shared" si="45"/>
        <v>317296.9599414136</v>
      </c>
      <c r="AB125" s="51">
        <f t="shared" si="46"/>
        <v>67250.570610297014</v>
      </c>
      <c r="AC125" s="44">
        <f t="shared" si="47"/>
        <v>296622.3800518029</v>
      </c>
      <c r="AD125" s="44">
        <f t="shared" si="48"/>
        <v>22397.60043281582</v>
      </c>
      <c r="AE125" s="44">
        <f t="shared" si="49"/>
        <v>0</v>
      </c>
      <c r="AF125" s="52">
        <f>HLOOKUP(I125,ElecAvoidedCostsWOCC!$A$5:$Q$50,G125+1,FALSE)</f>
        <v>3.4276422079642828</v>
      </c>
      <c r="AG125" s="44">
        <f t="shared" si="50"/>
        <v>357253.75868134538</v>
      </c>
      <c r="AH125" s="52">
        <f>HLOOKUP(I125,ElecAvoidedCostsWOCC!$A$5:$Q$50,T125+1,FALSE)</f>
        <v>3.4276422079642828</v>
      </c>
      <c r="AI125" s="44">
        <f t="shared" si="51"/>
        <v>0</v>
      </c>
      <c r="AJ125" s="44">
        <f t="shared" si="52"/>
        <v>357253.75868134538</v>
      </c>
      <c r="AK125" s="44">
        <f>HLOOKUP(I125,ElecAvoidedCostsWOCC!$A$5:$Q$50,G125+1,FALSE)*J125*L125</f>
        <v>0</v>
      </c>
      <c r="AL125" s="44">
        <f t="shared" si="53"/>
        <v>357253.75868134538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357253.75868134538</v>
      </c>
      <c r="AN125" s="48">
        <f t="shared" si="54"/>
        <v>415376.73498229578</v>
      </c>
      <c r="AO125" s="47">
        <f t="shared" si="55"/>
        <v>5.3122784749523708</v>
      </c>
      <c r="AP125" s="47">
        <f t="shared" si="56"/>
        <v>1.4003553437530685</v>
      </c>
      <c r="AQ125">
        <v>2020</v>
      </c>
    </row>
    <row r="126" spans="2:43">
      <c r="B126" s="97" t="s">
        <v>15</v>
      </c>
      <c r="C126" s="61">
        <v>18230627</v>
      </c>
      <c r="D126" s="61" t="s">
        <v>80</v>
      </c>
      <c r="E126" s="38" t="s">
        <v>1956</v>
      </c>
      <c r="F126" s="39" t="s">
        <v>1793</v>
      </c>
      <c r="G126" s="39">
        <v>25</v>
      </c>
      <c r="H126" s="39"/>
      <c r="I126" s="40" t="s">
        <v>269</v>
      </c>
      <c r="J126" s="41">
        <v>4290.1400000000003</v>
      </c>
      <c r="K126" s="41">
        <v>8.92</v>
      </c>
      <c r="L126" s="41"/>
      <c r="M126" s="42">
        <v>50</v>
      </c>
      <c r="N126" s="42">
        <v>20.5</v>
      </c>
      <c r="O126" s="43">
        <v>38268.050000000003</v>
      </c>
      <c r="P126" s="44">
        <v>12350</v>
      </c>
      <c r="Q126" s="44">
        <v>87947.86</v>
      </c>
      <c r="R126" s="45">
        <v>0.15</v>
      </c>
      <c r="S126" s="46">
        <v>0</v>
      </c>
      <c r="T126" s="39">
        <f t="shared" si="38"/>
        <v>25</v>
      </c>
      <c r="U126" s="47">
        <f t="shared" si="39"/>
        <v>0.34381468787005676</v>
      </c>
      <c r="V126" s="48">
        <f t="shared" si="40"/>
        <v>-29.5</v>
      </c>
      <c r="W126" s="49">
        <f t="shared" si="41"/>
        <v>1.375258751480227E-2</v>
      </c>
      <c r="X126" s="44">
        <f t="shared" si="42"/>
        <v>4267.6196169130999</v>
      </c>
      <c r="Y126" s="44">
        <f t="shared" si="43"/>
        <v>75597.86</v>
      </c>
      <c r="Z126" s="44">
        <f t="shared" si="44"/>
        <v>26412.718711691949</v>
      </c>
      <c r="AA126" s="50">
        <f t="shared" si="45"/>
        <v>92215.4796169131</v>
      </c>
      <c r="AB126" s="51">
        <f t="shared" si="46"/>
        <v>24691.706751137652</v>
      </c>
      <c r="AC126" s="44">
        <f t="shared" si="47"/>
        <v>86206.861378810034</v>
      </c>
      <c r="AD126" s="44">
        <f t="shared" si="48"/>
        <v>7519.6364786717741</v>
      </c>
      <c r="AE126" s="44">
        <f t="shared" si="49"/>
        <v>0</v>
      </c>
      <c r="AF126" s="52">
        <f>HLOOKUP(I126,ElecAvoidedCostsWOCC!$A$5:$Q$50,G126+1,FALSE)</f>
        <v>2.0508206305871441</v>
      </c>
      <c r="AG126" s="44">
        <f t="shared" si="50"/>
        <v>78480.903971355612</v>
      </c>
      <c r="AH126" s="52">
        <f>HLOOKUP(I126,ElecAvoidedCostsWOCC!$A$5:$Q$50,T126+1,FALSE)</f>
        <v>2.0508206305871441</v>
      </c>
      <c r="AI126" s="44">
        <f t="shared" si="51"/>
        <v>0</v>
      </c>
      <c r="AJ126" s="44">
        <f t="shared" si="52"/>
        <v>78480.903971355612</v>
      </c>
      <c r="AK126" s="44">
        <f>HLOOKUP(I126,ElecAvoidedCostsWOCC!$A$5:$Q$50,G126+1,FALSE)*J126*L126</f>
        <v>0</v>
      </c>
      <c r="AL126" s="44">
        <f t="shared" si="53"/>
        <v>78480.903971355612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78480.903971355612</v>
      </c>
      <c r="AN126" s="48">
        <f t="shared" si="54"/>
        <v>93848.63084716296</v>
      </c>
      <c r="AO126" s="47">
        <f t="shared" si="55"/>
        <v>3.1784317205103556</v>
      </c>
      <c r="AP126" s="47">
        <f t="shared" si="56"/>
        <v>1.0886445620003897</v>
      </c>
      <c r="AQ126">
        <v>2020</v>
      </c>
    </row>
    <row r="127" spans="2:43">
      <c r="B127" s="97" t="s">
        <v>15</v>
      </c>
      <c r="C127" s="61">
        <v>18230627</v>
      </c>
      <c r="D127" s="61" t="s">
        <v>80</v>
      </c>
      <c r="E127" s="38" t="s">
        <v>1792</v>
      </c>
      <c r="F127" s="39" t="s">
        <v>1793</v>
      </c>
      <c r="G127" s="39">
        <v>45</v>
      </c>
      <c r="H127" s="39"/>
      <c r="I127" s="40" t="s">
        <v>269</v>
      </c>
      <c r="J127" s="41">
        <v>15813.51</v>
      </c>
      <c r="K127" s="41">
        <v>8.92</v>
      </c>
      <c r="L127" s="41"/>
      <c r="M127" s="42">
        <v>50</v>
      </c>
      <c r="N127" s="42">
        <v>20.5</v>
      </c>
      <c r="O127" s="43">
        <v>141056.42000000001</v>
      </c>
      <c r="P127" s="44">
        <v>44900</v>
      </c>
      <c r="Q127" s="44">
        <v>324176.96999999997</v>
      </c>
      <c r="R127" s="45">
        <v>0.15</v>
      </c>
      <c r="S127" s="46">
        <v>0</v>
      </c>
      <c r="T127" s="39">
        <f t="shared" si="38"/>
        <v>45</v>
      </c>
      <c r="U127" s="47">
        <f t="shared" si="39"/>
        <v>2.2811479609194021</v>
      </c>
      <c r="V127" s="48">
        <f t="shared" si="40"/>
        <v>-29.5</v>
      </c>
      <c r="W127" s="49">
        <f t="shared" si="41"/>
        <v>5.0692176909320048E-2</v>
      </c>
      <c r="X127" s="44">
        <f t="shared" si="42"/>
        <v>15730.489143908124</v>
      </c>
      <c r="Y127" s="44">
        <f t="shared" si="43"/>
        <v>279276.96999999997</v>
      </c>
      <c r="Z127" s="44">
        <f t="shared" si="44"/>
        <v>97357.548762957042</v>
      </c>
      <c r="AA127" s="50">
        <f t="shared" si="45"/>
        <v>339907.45914390811</v>
      </c>
      <c r="AB127" s="51">
        <f t="shared" si="46"/>
        <v>91013.881240494564</v>
      </c>
      <c r="AC127" s="44">
        <f t="shared" si="47"/>
        <v>317759.61404497345</v>
      </c>
      <c r="AD127" s="44">
        <f t="shared" si="48"/>
        <v>32390.988003872568</v>
      </c>
      <c r="AE127" s="44">
        <f t="shared" si="49"/>
        <v>0</v>
      </c>
      <c r="AF127" s="52">
        <f>HLOOKUP(I127,ElecAvoidedCostsWOCC!$A$5:$Q$50,G127+1,FALSE)</f>
        <v>3.4276422079642828</v>
      </c>
      <c r="AG127" s="44">
        <f t="shared" si="50"/>
        <v>483491.24464202218</v>
      </c>
      <c r="AH127" s="52">
        <f>HLOOKUP(I127,ElecAvoidedCostsWOCC!$A$5:$Q$50,T127+1,FALSE)</f>
        <v>3.4276422079642828</v>
      </c>
      <c r="AI127" s="44">
        <f t="shared" si="51"/>
        <v>0</v>
      </c>
      <c r="AJ127" s="44">
        <f t="shared" si="52"/>
        <v>483491.24464202218</v>
      </c>
      <c r="AK127" s="44">
        <f>HLOOKUP(I127,ElecAvoidedCostsWOCC!$A$5:$Q$50,G127+1,FALSE)*J127*L127</f>
        <v>0</v>
      </c>
      <c r="AL127" s="44">
        <f t="shared" si="53"/>
        <v>483491.24464202218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483491.24464202212</v>
      </c>
      <c r="AN127" s="48">
        <f t="shared" si="54"/>
        <v>564231.35711009696</v>
      </c>
      <c r="AO127" s="47">
        <f t="shared" si="55"/>
        <v>5.3122802593644769</v>
      </c>
      <c r="AP127" s="47">
        <f t="shared" si="56"/>
        <v>1.7756547156122855</v>
      </c>
      <c r="AQ127">
        <v>2020</v>
      </c>
    </row>
    <row r="128" spans="2:43">
      <c r="B128" s="97" t="s">
        <v>15</v>
      </c>
      <c r="C128" s="61">
        <v>18230627</v>
      </c>
      <c r="D128" s="61" t="s">
        <v>80</v>
      </c>
      <c r="E128" s="38" t="s">
        <v>1957</v>
      </c>
      <c r="F128" s="39" t="s">
        <v>1958</v>
      </c>
      <c r="G128" s="39">
        <v>25</v>
      </c>
      <c r="H128" s="39"/>
      <c r="I128" s="40" t="s">
        <v>269</v>
      </c>
      <c r="J128" s="41">
        <v>2110.2800000000002</v>
      </c>
      <c r="K128" s="41">
        <v>9.98</v>
      </c>
      <c r="L128" s="41"/>
      <c r="M128" s="42">
        <v>200</v>
      </c>
      <c r="N128" s="42">
        <v>17.809999999999999</v>
      </c>
      <c r="O128" s="43">
        <v>21060.6</v>
      </c>
      <c r="P128" s="44">
        <v>29903.61</v>
      </c>
      <c r="Q128" s="44">
        <v>37584.080000000002</v>
      </c>
      <c r="R128" s="45">
        <v>0.08</v>
      </c>
      <c r="S128" s="46">
        <v>0</v>
      </c>
      <c r="T128" s="39">
        <f t="shared" si="38"/>
        <v>25</v>
      </c>
      <c r="U128" s="47">
        <f t="shared" si="39"/>
        <v>0.18921642506885289</v>
      </c>
      <c r="V128" s="48">
        <f t="shared" si="40"/>
        <v>-182.19</v>
      </c>
      <c r="W128" s="49">
        <f t="shared" si="41"/>
        <v>7.5686570027541158E-3</v>
      </c>
      <c r="X128" s="44">
        <f t="shared" si="42"/>
        <v>2348.6597750332203</v>
      </c>
      <c r="Y128" s="44">
        <f t="shared" si="43"/>
        <v>7680.4700000000012</v>
      </c>
      <c r="Z128" s="44">
        <f t="shared" si="44"/>
        <v>14536.086989001513</v>
      </c>
      <c r="AA128" s="50">
        <f t="shared" si="45"/>
        <v>39932.739775033224</v>
      </c>
      <c r="AB128" s="51">
        <f t="shared" si="46"/>
        <v>13588.938009723764</v>
      </c>
      <c r="AC128" s="44">
        <f t="shared" si="47"/>
        <v>37330.784121747427</v>
      </c>
      <c r="AD128" s="44">
        <f t="shared" si="48"/>
        <v>1972.7142975239622</v>
      </c>
      <c r="AE128" s="44">
        <f t="shared" si="49"/>
        <v>0</v>
      </c>
      <c r="AF128" s="52">
        <f>HLOOKUP(I128,ElecAvoidedCostsWOCC!$A$5:$Q$50,G128+1,FALSE)</f>
        <v>2.0508206305871441</v>
      </c>
      <c r="AG128" s="44">
        <f t="shared" si="50"/>
        <v>43191.501487948088</v>
      </c>
      <c r="AH128" s="52">
        <f>HLOOKUP(I128,ElecAvoidedCostsWOCC!$A$5:$Q$50,T128+1,FALSE)</f>
        <v>2.0508206305871441</v>
      </c>
      <c r="AI128" s="44">
        <f t="shared" si="51"/>
        <v>0</v>
      </c>
      <c r="AJ128" s="44">
        <f t="shared" si="52"/>
        <v>43191.501487948088</v>
      </c>
      <c r="AK128" s="44">
        <f>HLOOKUP(I128,ElecAvoidedCostsWOCC!$A$5:$Q$50,G128+1,FALSE)*J128*L128</f>
        <v>0</v>
      </c>
      <c r="AL128" s="44">
        <f t="shared" si="53"/>
        <v>43191.501487948088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43191.501487948088</v>
      </c>
      <c r="AN128" s="48">
        <f t="shared" si="54"/>
        <v>49483.365934266862</v>
      </c>
      <c r="AO128" s="47">
        <f t="shared" si="55"/>
        <v>3.1784309750358544</v>
      </c>
      <c r="AP128" s="47">
        <f t="shared" si="56"/>
        <v>1.3255378127843778</v>
      </c>
      <c r="AQ128">
        <v>2020</v>
      </c>
    </row>
    <row r="129" spans="2:43">
      <c r="B129" s="97" t="s">
        <v>15</v>
      </c>
      <c r="C129" s="61">
        <v>18230627</v>
      </c>
      <c r="D129" s="61" t="s">
        <v>80</v>
      </c>
      <c r="E129" s="38" t="s">
        <v>1795</v>
      </c>
      <c r="F129" s="39" t="s">
        <v>1796</v>
      </c>
      <c r="G129" s="39">
        <v>25</v>
      </c>
      <c r="H129" s="39"/>
      <c r="I129" s="40" t="s">
        <v>269</v>
      </c>
      <c r="J129" s="41">
        <v>7365.26</v>
      </c>
      <c r="K129" s="41">
        <v>9.98</v>
      </c>
      <c r="L129" s="41"/>
      <c r="M129" s="42">
        <v>200</v>
      </c>
      <c r="N129" s="42">
        <v>17.809999999999999</v>
      </c>
      <c r="O129" s="43">
        <v>73505.259999999995</v>
      </c>
      <c r="P129" s="44">
        <v>103633.36</v>
      </c>
      <c r="Q129" s="44">
        <v>131175.25</v>
      </c>
      <c r="R129" s="45">
        <v>0.08</v>
      </c>
      <c r="S129" s="46">
        <v>0</v>
      </c>
      <c r="T129" s="39">
        <f t="shared" si="38"/>
        <v>25</v>
      </c>
      <c r="U129" s="47">
        <f t="shared" si="39"/>
        <v>0.66039915866388188</v>
      </c>
      <c r="V129" s="48">
        <f t="shared" si="40"/>
        <v>-182.19</v>
      </c>
      <c r="W129" s="49">
        <f t="shared" si="41"/>
        <v>2.6415966346555273E-2</v>
      </c>
      <c r="X129" s="44">
        <f t="shared" si="42"/>
        <v>8197.2425959069715</v>
      </c>
      <c r="Y129" s="44">
        <f t="shared" si="43"/>
        <v>27541.89</v>
      </c>
      <c r="Z129" s="44">
        <f t="shared" si="44"/>
        <v>50733.542895699713</v>
      </c>
      <c r="AA129" s="50">
        <f t="shared" si="45"/>
        <v>139372.49259590698</v>
      </c>
      <c r="AB129" s="51">
        <f t="shared" si="46"/>
        <v>47427.823591380489</v>
      </c>
      <c r="AC129" s="44">
        <f t="shared" si="47"/>
        <v>130291.19621941382</v>
      </c>
      <c r="AD129" s="44">
        <f t="shared" si="48"/>
        <v>6885.1307442525813</v>
      </c>
      <c r="AE129" s="44">
        <f t="shared" si="49"/>
        <v>0</v>
      </c>
      <c r="AF129" s="52">
        <f>HLOOKUP(I129,ElecAvoidedCostsWOCC!$A$5:$Q$50,G129+1,FALSE)</f>
        <v>2.0508206305871441</v>
      </c>
      <c r="AG129" s="44">
        <f t="shared" si="50"/>
        <v>150746.17503322996</v>
      </c>
      <c r="AH129" s="52">
        <f>HLOOKUP(I129,ElecAvoidedCostsWOCC!$A$5:$Q$50,T129+1,FALSE)</f>
        <v>2.0508206305871441</v>
      </c>
      <c r="AI129" s="44">
        <f t="shared" si="51"/>
        <v>0</v>
      </c>
      <c r="AJ129" s="44">
        <f t="shared" si="52"/>
        <v>150746.17503322996</v>
      </c>
      <c r="AK129" s="44">
        <f>HLOOKUP(I129,ElecAvoidedCostsWOCC!$A$5:$Q$50,G129+1,FALSE)*J129*L129</f>
        <v>0</v>
      </c>
      <c r="AL129" s="44">
        <f t="shared" si="53"/>
        <v>150746.17503322996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150746.17503322996</v>
      </c>
      <c r="AN129" s="48">
        <f t="shared" si="54"/>
        <v>172705.92328080555</v>
      </c>
      <c r="AO129" s="47">
        <f t="shared" si="55"/>
        <v>3.1784333249613104</v>
      </c>
      <c r="AP129" s="47">
        <f t="shared" si="56"/>
        <v>1.3255379357325434</v>
      </c>
      <c r="AQ129">
        <v>2020</v>
      </c>
    </row>
    <row r="130" spans="2:43">
      <c r="B130" s="97" t="s">
        <v>15</v>
      </c>
      <c r="C130" s="61">
        <v>18230627</v>
      </c>
      <c r="D130" s="61" t="s">
        <v>80</v>
      </c>
      <c r="E130" s="38" t="s">
        <v>1960</v>
      </c>
      <c r="F130" s="39" t="s">
        <v>1961</v>
      </c>
      <c r="G130" s="39">
        <v>15</v>
      </c>
      <c r="H130" s="39"/>
      <c r="I130" s="40" t="s">
        <v>269</v>
      </c>
      <c r="J130" s="41">
        <v>940</v>
      </c>
      <c r="K130" s="41">
        <v>0.44</v>
      </c>
      <c r="L130" s="41"/>
      <c r="M130" s="42">
        <v>0.66</v>
      </c>
      <c r="N130" s="42">
        <v>0.66</v>
      </c>
      <c r="O130" s="43">
        <v>413.6</v>
      </c>
      <c r="P130" s="44">
        <v>350</v>
      </c>
      <c r="Q130" s="44">
        <v>620.4</v>
      </c>
      <c r="R130" s="45">
        <v>0.01</v>
      </c>
      <c r="S130" s="46">
        <v>0</v>
      </c>
      <c r="T130" s="39">
        <f t="shared" si="38"/>
        <v>15</v>
      </c>
      <c r="U130" s="47">
        <f t="shared" si="39"/>
        <v>2.2295636423029989E-3</v>
      </c>
      <c r="V130" s="48">
        <f t="shared" si="40"/>
        <v>0</v>
      </c>
      <c r="W130" s="49">
        <f t="shared" si="41"/>
        <v>1.4863757615353327E-4</v>
      </c>
      <c r="X130" s="44">
        <f t="shared" si="42"/>
        <v>46.124311888252947</v>
      </c>
      <c r="Y130" s="44">
        <f t="shared" si="43"/>
        <v>270.39999999999998</v>
      </c>
      <c r="Z130" s="44">
        <f t="shared" si="44"/>
        <v>285.4679153799525</v>
      </c>
      <c r="AA130" s="50">
        <f t="shared" si="45"/>
        <v>666.5243118882529</v>
      </c>
      <c r="AB130" s="51">
        <f t="shared" si="46"/>
        <v>266.86726687851967</v>
      </c>
      <c r="AC130" s="44">
        <f t="shared" si="47"/>
        <v>623.09461707792173</v>
      </c>
      <c r="AD130" s="44">
        <f t="shared" si="48"/>
        <v>85.776854406270232</v>
      </c>
      <c r="AE130" s="44">
        <f t="shared" si="49"/>
        <v>0</v>
      </c>
      <c r="AF130" s="52">
        <f>HLOOKUP(I130,ElecAvoidedCostsWOCC!$A$5:$Q$50,G130+1,FALSE)</f>
        <v>1.3893373920773078</v>
      </c>
      <c r="AG130" s="44">
        <f t="shared" si="50"/>
        <v>574.62994536317456</v>
      </c>
      <c r="AH130" s="52">
        <f>HLOOKUP(I130,ElecAvoidedCostsWOCC!$A$5:$Q$50,T130+1,FALSE)</f>
        <v>1.3893373920773078</v>
      </c>
      <c r="AI130" s="44">
        <f t="shared" si="51"/>
        <v>0</v>
      </c>
      <c r="AJ130" s="44">
        <f t="shared" si="52"/>
        <v>574.62994536317456</v>
      </c>
      <c r="AK130" s="44">
        <f>HLOOKUP(I130,ElecAvoidedCostsWOCC!$A$5:$Q$50,G130+1,FALSE)*J130*L130</f>
        <v>0</v>
      </c>
      <c r="AL130" s="44">
        <f t="shared" si="53"/>
        <v>574.62994536317456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574.62994536317456</v>
      </c>
      <c r="AN130" s="48">
        <f t="shared" si="54"/>
        <v>717.8697943057623</v>
      </c>
      <c r="AO130" s="47">
        <f t="shared" si="55"/>
        <v>2.1532425167180627</v>
      </c>
      <c r="AP130" s="47">
        <f t="shared" si="56"/>
        <v>1.1521039897155594</v>
      </c>
      <c r="AQ130">
        <v>2020</v>
      </c>
    </row>
    <row r="131" spans="2:43">
      <c r="B131" s="97" t="s">
        <v>15</v>
      </c>
      <c r="C131" s="61">
        <v>18230627</v>
      </c>
      <c r="D131" s="61" t="s">
        <v>80</v>
      </c>
      <c r="E131" s="38" t="s">
        <v>1962</v>
      </c>
      <c r="F131" s="39" t="s">
        <v>1799</v>
      </c>
      <c r="G131" s="39">
        <v>30</v>
      </c>
      <c r="H131" s="39"/>
      <c r="I131" s="40" t="s">
        <v>269</v>
      </c>
      <c r="J131" s="41">
        <v>6802</v>
      </c>
      <c r="K131" s="41">
        <v>2.35</v>
      </c>
      <c r="L131" s="41"/>
      <c r="M131" s="42">
        <v>0.33</v>
      </c>
      <c r="N131" s="42">
        <v>1.24</v>
      </c>
      <c r="O131" s="43">
        <v>15984.7</v>
      </c>
      <c r="P131" s="44">
        <v>3400.7</v>
      </c>
      <c r="Q131" s="44">
        <v>8434.48</v>
      </c>
      <c r="R131" s="45">
        <v>0.04</v>
      </c>
      <c r="S131" s="46">
        <v>0</v>
      </c>
      <c r="T131" s="39">
        <f t="shared" si="38"/>
        <v>30</v>
      </c>
      <c r="U131" s="47">
        <f t="shared" si="39"/>
        <v>0.17233513516982954</v>
      </c>
      <c r="V131" s="48">
        <f t="shared" si="40"/>
        <v>0.90999999999999992</v>
      </c>
      <c r="W131" s="49">
        <f t="shared" si="41"/>
        <v>5.7445045056609845E-3</v>
      </c>
      <c r="X131" s="44">
        <f t="shared" si="42"/>
        <v>1782.5998264994121</v>
      </c>
      <c r="Y131" s="44">
        <f t="shared" si="43"/>
        <v>5033.78</v>
      </c>
      <c r="Z131" s="44">
        <f t="shared" si="44"/>
        <v>11032.686138718391</v>
      </c>
      <c r="AA131" s="50">
        <f t="shared" si="45"/>
        <v>10217.079826499412</v>
      </c>
      <c r="AB131" s="51">
        <f t="shared" si="46"/>
        <v>10313.81334833915</v>
      </c>
      <c r="AC131" s="44">
        <f t="shared" si="47"/>
        <v>9551.350683836039</v>
      </c>
      <c r="AD131" s="44">
        <f t="shared" si="48"/>
        <v>3386.4517593389705</v>
      </c>
      <c r="AE131" s="44">
        <f t="shared" si="49"/>
        <v>0</v>
      </c>
      <c r="AF131" s="52">
        <f>HLOOKUP(I131,ElecAvoidedCostsWOCC!$A$5:$Q$50,G131+1,FALSE)</f>
        <v>2.3666688857668672</v>
      </c>
      <c r="AG131" s="44">
        <f t="shared" si="50"/>
        <v>37830.492138317641</v>
      </c>
      <c r="AH131" s="52">
        <f>HLOOKUP(I131,ElecAvoidedCostsWOCC!$A$5:$Q$50,T131+1,FALSE)</f>
        <v>2.3666688857668672</v>
      </c>
      <c r="AI131" s="44">
        <f t="shared" si="51"/>
        <v>0</v>
      </c>
      <c r="AJ131" s="44">
        <f t="shared" si="52"/>
        <v>37830.492138317641</v>
      </c>
      <c r="AK131" s="44">
        <f>HLOOKUP(I131,ElecAvoidedCostsWOCC!$A$5:$Q$50,G131+1,FALSE)*J131*L131</f>
        <v>0</v>
      </c>
      <c r="AL131" s="44">
        <f t="shared" si="53"/>
        <v>37830.492138317641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37830.492138317648</v>
      </c>
      <c r="AN131" s="48">
        <f t="shared" si="54"/>
        <v>44999.993111488388</v>
      </c>
      <c r="AO131" s="47">
        <f t="shared" si="55"/>
        <v>3.6679442278650072</v>
      </c>
      <c r="AP131" s="47">
        <f t="shared" si="56"/>
        <v>4.7113748202799073</v>
      </c>
      <c r="AQ131">
        <v>2020</v>
      </c>
    </row>
    <row r="132" spans="2:43">
      <c r="B132" s="97" t="s">
        <v>15</v>
      </c>
      <c r="C132" s="61">
        <v>18230627</v>
      </c>
      <c r="D132" s="61" t="s">
        <v>80</v>
      </c>
      <c r="E132" s="38" t="s">
        <v>1798</v>
      </c>
      <c r="F132" s="39" t="s">
        <v>1799</v>
      </c>
      <c r="G132" s="39">
        <v>45</v>
      </c>
      <c r="H132" s="39"/>
      <c r="I132" s="40" t="s">
        <v>269</v>
      </c>
      <c r="J132" s="41">
        <v>20285</v>
      </c>
      <c r="K132" s="41">
        <v>2.35</v>
      </c>
      <c r="L132" s="41"/>
      <c r="M132" s="42">
        <v>0.5</v>
      </c>
      <c r="N132" s="42">
        <v>1.24</v>
      </c>
      <c r="O132" s="43">
        <v>47669.75</v>
      </c>
      <c r="P132" s="44">
        <v>8400</v>
      </c>
      <c r="Q132" s="44">
        <v>25153.4</v>
      </c>
      <c r="R132" s="45">
        <v>0.04</v>
      </c>
      <c r="S132" s="46">
        <v>0</v>
      </c>
      <c r="T132" s="39">
        <f t="shared" ref="T132:T195" si="57">G132+H132</f>
        <v>45</v>
      </c>
      <c r="U132" s="47">
        <f t="shared" ref="U132:U195" si="58">(O132/$A$10)*T132</f>
        <v>0.77090963325198292</v>
      </c>
      <c r="V132" s="48">
        <f t="shared" ref="V132:V195" si="59">N132-M132</f>
        <v>0.74</v>
      </c>
      <c r="W132" s="49">
        <f t="shared" ref="W132:W195" si="60">(O132/A$10)</f>
        <v>1.7131325183377399E-2</v>
      </c>
      <c r="X132" s="44">
        <f t="shared" ref="X132:X195" si="61">W132*A$8</f>
        <v>5316.089015075062</v>
      </c>
      <c r="Y132" s="44">
        <f t="shared" ref="Y132:Y195" si="62">Q132-P132</f>
        <v>16753.400000000001</v>
      </c>
      <c r="Z132" s="44">
        <f t="shared" ref="Z132:Z195" si="63">X132+(A$6*W132)</f>
        <v>32901.799224331451</v>
      </c>
      <c r="AA132" s="50">
        <f t="shared" ref="AA132:AA195" si="64">Q132+X132</f>
        <v>30469.489015075065</v>
      </c>
      <c r="AB132" s="51">
        <f t="shared" ref="AB132:AB195" si="65">Z132/(1+ElecDiscountRate)^1</f>
        <v>30757.968799038466</v>
      </c>
      <c r="AC132" s="44">
        <f t="shared" ref="AC132:AC195" si="66">AA132/(1+ElecDiscountRate)^1</f>
        <v>28484.144166658934</v>
      </c>
      <c r="AD132" s="44">
        <f t="shared" ref="AD132:AD195" si="67">-PV(ElecDiscountRate,T132,R132)*J132</f>
        <v>11079.997490054267</v>
      </c>
      <c r="AE132" s="44">
        <f t="shared" ref="AE132:AE195" si="68">-PV(ElecDiscountRate,T132,S132)*J132</f>
        <v>0</v>
      </c>
      <c r="AF132" s="52">
        <f>HLOOKUP(I132,ElecAvoidedCostsWOCC!$A$5:$Q$50,G132+1,FALSE)</f>
        <v>3.4276422079642828</v>
      </c>
      <c r="AG132" s="44">
        <f t="shared" ref="AG132:AG195" si="69">AF132*J132*K132</f>
        <v>163394.84714310538</v>
      </c>
      <c r="AH132" s="52">
        <f>HLOOKUP(I132,ElecAvoidedCostsWOCC!$A$5:$Q$50,T132+1,FALSE)</f>
        <v>3.4276422079642828</v>
      </c>
      <c r="AI132" s="44">
        <f t="shared" ref="AI132:AI195" si="70">AH132*J132*L132</f>
        <v>0</v>
      </c>
      <c r="AJ132" s="44">
        <f t="shared" ref="AJ132:AJ195" si="71">AG132+AI132</f>
        <v>163394.84714310538</v>
      </c>
      <c r="AK132" s="44">
        <f>HLOOKUP(I132,ElecAvoidedCostsWOCC!$A$5:$Q$50,G132+1,FALSE)*J132*L132</f>
        <v>0</v>
      </c>
      <c r="AL132" s="44">
        <f t="shared" ref="AL132:AL195" si="72">AG132+AI132-AK132</f>
        <v>163394.84714310538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163394.84714310538</v>
      </c>
      <c r="AN132" s="48">
        <f t="shared" ref="AN132:AN195" si="73">AM132*1.1+AD132+AE132</f>
        <v>190814.32934747019</v>
      </c>
      <c r="AO132" s="47">
        <f t="shared" ref="AO132:AO195" si="74">IFERROR(AM132/AB132,0)</f>
        <v>5.312276900034222</v>
      </c>
      <c r="AP132" s="47">
        <f t="shared" ref="AP132:AP195" si="75">AN132/AC132</f>
        <v>6.6989665629771977</v>
      </c>
      <c r="AQ132">
        <v>2020</v>
      </c>
    </row>
    <row r="133" spans="2:43">
      <c r="B133" s="97" t="s">
        <v>15</v>
      </c>
      <c r="C133" s="61">
        <v>18230627</v>
      </c>
      <c r="D133" s="61" t="s">
        <v>80</v>
      </c>
      <c r="E133" s="38" t="s">
        <v>1964</v>
      </c>
      <c r="F133" s="39" t="s">
        <v>695</v>
      </c>
      <c r="G133" s="39">
        <v>30</v>
      </c>
      <c r="H133" s="39"/>
      <c r="I133" s="40" t="s">
        <v>269</v>
      </c>
      <c r="J133" s="41">
        <v>6017</v>
      </c>
      <c r="K133" s="41">
        <v>1.33</v>
      </c>
      <c r="L133" s="41"/>
      <c r="M133" s="42">
        <v>0.33</v>
      </c>
      <c r="N133" s="42">
        <v>1.24</v>
      </c>
      <c r="O133" s="43">
        <v>8002.61</v>
      </c>
      <c r="P133" s="44">
        <v>2400</v>
      </c>
      <c r="Q133" s="44">
        <v>7461.08</v>
      </c>
      <c r="R133" s="45">
        <v>0.02</v>
      </c>
      <c r="S133" s="46">
        <v>0</v>
      </c>
      <c r="T133" s="39">
        <f t="shared" si="57"/>
        <v>30</v>
      </c>
      <c r="U133" s="47">
        <f t="shared" si="58"/>
        <v>8.627818326658801E-2</v>
      </c>
      <c r="V133" s="48">
        <f t="shared" si="59"/>
        <v>0.90999999999999992</v>
      </c>
      <c r="W133" s="49">
        <f t="shared" si="60"/>
        <v>2.8759394422196004E-3</v>
      </c>
      <c r="X133" s="44">
        <f t="shared" si="61"/>
        <v>892.44409951656644</v>
      </c>
      <c r="Y133" s="44">
        <f t="shared" si="62"/>
        <v>5061.08</v>
      </c>
      <c r="Z133" s="44">
        <f t="shared" si="63"/>
        <v>5523.4245510124783</v>
      </c>
      <c r="AA133" s="50">
        <f t="shared" si="64"/>
        <v>8353.5240995165659</v>
      </c>
      <c r="AB133" s="51">
        <f t="shared" si="65"/>
        <v>5163.5267374146752</v>
      </c>
      <c r="AC133" s="44">
        <f t="shared" si="66"/>
        <v>7809.2213700257689</v>
      </c>
      <c r="AD133" s="44">
        <f t="shared" si="67"/>
        <v>1497.8153657705516</v>
      </c>
      <c r="AE133" s="44">
        <f t="shared" si="68"/>
        <v>0</v>
      </c>
      <c r="AF133" s="52">
        <f>HLOOKUP(I133,ElecAvoidedCostsWOCC!$A$5:$Q$50,G133+1,FALSE)</f>
        <v>2.3666688857668672</v>
      </c>
      <c r="AG133" s="44">
        <f t="shared" si="69"/>
        <v>18939.52809192679</v>
      </c>
      <c r="AH133" s="52">
        <f>HLOOKUP(I133,ElecAvoidedCostsWOCC!$A$5:$Q$50,T133+1,FALSE)</f>
        <v>2.3666688857668672</v>
      </c>
      <c r="AI133" s="44">
        <f t="shared" si="70"/>
        <v>0</v>
      </c>
      <c r="AJ133" s="44">
        <f t="shared" si="71"/>
        <v>18939.52809192679</v>
      </c>
      <c r="AK133" s="44">
        <f>HLOOKUP(I133,ElecAvoidedCostsWOCC!$A$5:$Q$50,G133+1,FALSE)*J133*L133</f>
        <v>0</v>
      </c>
      <c r="AL133" s="44">
        <f t="shared" si="72"/>
        <v>18939.52809192679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18939.52809192679</v>
      </c>
      <c r="AN133" s="48">
        <f t="shared" si="73"/>
        <v>22331.296266890022</v>
      </c>
      <c r="AO133" s="47">
        <f t="shared" si="74"/>
        <v>3.6679442278650072</v>
      </c>
      <c r="AP133" s="47">
        <f t="shared" si="75"/>
        <v>2.8596059976740462</v>
      </c>
      <c r="AQ133">
        <v>2020</v>
      </c>
    </row>
    <row r="134" spans="2:43">
      <c r="B134" s="97" t="s">
        <v>15</v>
      </c>
      <c r="C134" s="61">
        <v>18230627</v>
      </c>
      <c r="D134" s="61" t="s">
        <v>80</v>
      </c>
      <c r="E134" s="38" t="s">
        <v>1801</v>
      </c>
      <c r="F134" s="39" t="s">
        <v>695</v>
      </c>
      <c r="G134" s="39">
        <v>45</v>
      </c>
      <c r="H134" s="39"/>
      <c r="I134" s="40" t="s">
        <v>269</v>
      </c>
      <c r="J134" s="41">
        <v>15793</v>
      </c>
      <c r="K134" s="41">
        <v>1.33</v>
      </c>
      <c r="L134" s="41"/>
      <c r="M134" s="42">
        <v>0.5</v>
      </c>
      <c r="N134" s="42">
        <v>1.24</v>
      </c>
      <c r="O134" s="43">
        <v>21004.69</v>
      </c>
      <c r="P134" s="44">
        <v>7800</v>
      </c>
      <c r="Q134" s="44">
        <v>19583.32</v>
      </c>
      <c r="R134" s="45">
        <v>0.02</v>
      </c>
      <c r="S134" s="46">
        <v>0</v>
      </c>
      <c r="T134" s="39">
        <f t="shared" si="57"/>
        <v>45</v>
      </c>
      <c r="U134" s="47">
        <f t="shared" si="58"/>
        <v>0.33968539512943935</v>
      </c>
      <c r="V134" s="48">
        <f t="shared" si="59"/>
        <v>0.74</v>
      </c>
      <c r="W134" s="49">
        <f t="shared" si="60"/>
        <v>7.5485643362097638E-3</v>
      </c>
      <c r="X134" s="44">
        <f t="shared" si="61"/>
        <v>2342.4247405127362</v>
      </c>
      <c r="Y134" s="44">
        <f t="shared" si="62"/>
        <v>11783.32</v>
      </c>
      <c r="Z134" s="44">
        <f t="shared" si="63"/>
        <v>14497.497745411347</v>
      </c>
      <c r="AA134" s="50">
        <f t="shared" si="64"/>
        <v>21925.744740512735</v>
      </c>
      <c r="AB134" s="51">
        <f t="shared" si="65"/>
        <v>13552.863181650318</v>
      </c>
      <c r="AC134" s="44">
        <f t="shared" si="66"/>
        <v>20497.097074425292</v>
      </c>
      <c r="AD134" s="44">
        <f t="shared" si="67"/>
        <v>4313.1969524384285</v>
      </c>
      <c r="AE134" s="44">
        <f t="shared" si="68"/>
        <v>0</v>
      </c>
      <c r="AF134" s="52">
        <f>HLOOKUP(I134,ElecAvoidedCostsWOCC!$A$5:$Q$50,G134+1,FALSE)</f>
        <v>3.4276422079642828</v>
      </c>
      <c r="AG134" s="44">
        <f t="shared" si="69"/>
        <v>71996.5620092053</v>
      </c>
      <c r="AH134" s="52">
        <f>HLOOKUP(I134,ElecAvoidedCostsWOCC!$A$5:$Q$50,T134+1,FALSE)</f>
        <v>3.4276422079642828</v>
      </c>
      <c r="AI134" s="44">
        <f t="shared" si="70"/>
        <v>0</v>
      </c>
      <c r="AJ134" s="44">
        <f t="shared" si="71"/>
        <v>71996.5620092053</v>
      </c>
      <c r="AK134" s="44">
        <f>HLOOKUP(I134,ElecAvoidedCostsWOCC!$A$5:$Q$50,G134+1,FALSE)*J134*L134</f>
        <v>0</v>
      </c>
      <c r="AL134" s="44">
        <f t="shared" si="72"/>
        <v>71996.5620092053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71996.5620092053</v>
      </c>
      <c r="AN134" s="48">
        <f t="shared" si="73"/>
        <v>83509.41516256427</v>
      </c>
      <c r="AO134" s="47">
        <f t="shared" si="74"/>
        <v>5.312276900034222</v>
      </c>
      <c r="AP134" s="47">
        <f t="shared" si="75"/>
        <v>4.0742069405896952</v>
      </c>
      <c r="AQ134">
        <v>2020</v>
      </c>
    </row>
    <row r="135" spans="2:43">
      <c r="B135" s="97" t="s">
        <v>15</v>
      </c>
      <c r="C135" s="61">
        <v>18230627</v>
      </c>
      <c r="D135" s="61" t="s">
        <v>80</v>
      </c>
      <c r="E135" s="38" t="s">
        <v>1965</v>
      </c>
      <c r="F135" s="39" t="s">
        <v>697</v>
      </c>
      <c r="G135" s="39">
        <v>30</v>
      </c>
      <c r="H135" s="39"/>
      <c r="I135" s="40" t="s">
        <v>269</v>
      </c>
      <c r="J135" s="41">
        <v>11691</v>
      </c>
      <c r="K135" s="41">
        <v>2.16</v>
      </c>
      <c r="L135" s="41"/>
      <c r="M135" s="42">
        <v>0.33</v>
      </c>
      <c r="N135" s="42">
        <v>1.24</v>
      </c>
      <c r="O135" s="43">
        <v>25252.560000000001</v>
      </c>
      <c r="P135" s="44">
        <v>6600</v>
      </c>
      <c r="Q135" s="44">
        <v>14496.84</v>
      </c>
      <c r="R135" s="45">
        <v>0.04</v>
      </c>
      <c r="S135" s="46">
        <v>0</v>
      </c>
      <c r="T135" s="39">
        <f t="shared" si="57"/>
        <v>30</v>
      </c>
      <c r="U135" s="47">
        <f t="shared" si="58"/>
        <v>0.27225430198779021</v>
      </c>
      <c r="V135" s="48">
        <f t="shared" si="59"/>
        <v>0.90999999999999992</v>
      </c>
      <c r="W135" s="49">
        <f t="shared" si="60"/>
        <v>9.075143399593007E-3</v>
      </c>
      <c r="X135" s="44">
        <f t="shared" si="61"/>
        <v>2816.1435043926999</v>
      </c>
      <c r="Y135" s="44">
        <f t="shared" si="62"/>
        <v>7896.84</v>
      </c>
      <c r="Z135" s="44">
        <f t="shared" si="63"/>
        <v>17429.389896535715</v>
      </c>
      <c r="AA135" s="50">
        <f t="shared" si="64"/>
        <v>17312.983504392701</v>
      </c>
      <c r="AB135" s="51">
        <f t="shared" si="65"/>
        <v>16293.717768099199</v>
      </c>
      <c r="AC135" s="44">
        <f t="shared" si="66"/>
        <v>16184.896236695055</v>
      </c>
      <c r="AD135" s="44">
        <f t="shared" si="67"/>
        <v>5820.4950776877249</v>
      </c>
      <c r="AE135" s="44">
        <f t="shared" si="68"/>
        <v>0</v>
      </c>
      <c r="AF135" s="52">
        <f>HLOOKUP(I135,ElecAvoidedCostsWOCC!$A$5:$Q$50,G135+1,FALSE)</f>
        <v>2.3666688857668672</v>
      </c>
      <c r="AG135" s="44">
        <f t="shared" si="69"/>
        <v>59764.448037960967</v>
      </c>
      <c r="AH135" s="52">
        <f>HLOOKUP(I135,ElecAvoidedCostsWOCC!$A$5:$Q$50,T135+1,FALSE)</f>
        <v>2.3666688857668672</v>
      </c>
      <c r="AI135" s="44">
        <f t="shared" si="70"/>
        <v>0</v>
      </c>
      <c r="AJ135" s="44">
        <f t="shared" si="71"/>
        <v>59764.448037960967</v>
      </c>
      <c r="AK135" s="44">
        <f>HLOOKUP(I135,ElecAvoidedCostsWOCC!$A$5:$Q$50,G135+1,FALSE)*J135*L135</f>
        <v>0</v>
      </c>
      <c r="AL135" s="44">
        <f t="shared" si="72"/>
        <v>59764.448037960967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59764.448037960967</v>
      </c>
      <c r="AN135" s="48">
        <f t="shared" si="73"/>
        <v>71561.387919444795</v>
      </c>
      <c r="AO135" s="47">
        <f t="shared" si="74"/>
        <v>3.6679442278650072</v>
      </c>
      <c r="AP135" s="47">
        <f t="shared" si="75"/>
        <v>4.421491918940939</v>
      </c>
      <c r="AQ135">
        <v>2020</v>
      </c>
    </row>
    <row r="136" spans="2:43">
      <c r="B136" s="97" t="s">
        <v>15</v>
      </c>
      <c r="C136" s="61">
        <v>18230627</v>
      </c>
      <c r="D136" s="61" t="s">
        <v>80</v>
      </c>
      <c r="E136" s="38" t="s">
        <v>696</v>
      </c>
      <c r="F136" s="39" t="s">
        <v>697</v>
      </c>
      <c r="G136" s="39">
        <v>45</v>
      </c>
      <c r="H136" s="39"/>
      <c r="I136" s="40" t="s">
        <v>269</v>
      </c>
      <c r="J136" s="41">
        <v>21546</v>
      </c>
      <c r="K136" s="41">
        <v>2.16</v>
      </c>
      <c r="L136" s="41"/>
      <c r="M136" s="42">
        <v>0.5</v>
      </c>
      <c r="N136" s="42">
        <v>1.24</v>
      </c>
      <c r="O136" s="43">
        <v>46539.360000000001</v>
      </c>
      <c r="P136" s="44">
        <v>13200</v>
      </c>
      <c r="Q136" s="44">
        <v>26717.040000000001</v>
      </c>
      <c r="R136" s="45">
        <v>0.04</v>
      </c>
      <c r="S136" s="46">
        <v>0</v>
      </c>
      <c r="T136" s="39">
        <f t="shared" si="57"/>
        <v>45</v>
      </c>
      <c r="U136" s="47">
        <f t="shared" si="58"/>
        <v>0.75262909810481504</v>
      </c>
      <c r="V136" s="48">
        <f t="shared" si="59"/>
        <v>0.74</v>
      </c>
      <c r="W136" s="49">
        <f t="shared" si="60"/>
        <v>1.672509106899589E-2</v>
      </c>
      <c r="X136" s="44">
        <f t="shared" si="61"/>
        <v>5190.0289064789258</v>
      </c>
      <c r="Y136" s="44">
        <f t="shared" si="62"/>
        <v>13517.04</v>
      </c>
      <c r="Z136" s="44">
        <f t="shared" si="63"/>
        <v>32121.600779296768</v>
      </c>
      <c r="AA136" s="50">
        <f t="shared" si="64"/>
        <v>31907.068906478926</v>
      </c>
      <c r="AB136" s="51">
        <f t="shared" si="65"/>
        <v>30028.606879776355</v>
      </c>
      <c r="AC136" s="44">
        <f t="shared" si="66"/>
        <v>29828.053572477256</v>
      </c>
      <c r="AD136" s="44">
        <f t="shared" si="67"/>
        <v>11768.776234691115</v>
      </c>
      <c r="AE136" s="44">
        <f t="shared" si="68"/>
        <v>0</v>
      </c>
      <c r="AF136" s="52">
        <f>HLOOKUP(I136,ElecAvoidedCostsWOCC!$A$5:$Q$50,G136+1,FALSE)</f>
        <v>3.4276422079642828</v>
      </c>
      <c r="AG136" s="44">
        <f t="shared" si="69"/>
        <v>159520.27466764461</v>
      </c>
      <c r="AH136" s="52">
        <f>HLOOKUP(I136,ElecAvoidedCostsWOCC!$A$5:$Q$50,T136+1,FALSE)</f>
        <v>3.4276422079642828</v>
      </c>
      <c r="AI136" s="44">
        <f t="shared" si="70"/>
        <v>0</v>
      </c>
      <c r="AJ136" s="44">
        <f t="shared" si="71"/>
        <v>159520.27466764461</v>
      </c>
      <c r="AK136" s="44">
        <f>HLOOKUP(I136,ElecAvoidedCostsWOCC!$A$5:$Q$50,G136+1,FALSE)*J136*L136</f>
        <v>0</v>
      </c>
      <c r="AL136" s="44">
        <f t="shared" si="72"/>
        <v>159520.27466764461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159520.27466764464</v>
      </c>
      <c r="AN136" s="48">
        <f t="shared" si="73"/>
        <v>187241.07836910023</v>
      </c>
      <c r="AO136" s="47">
        <f t="shared" si="74"/>
        <v>5.312276900034222</v>
      </c>
      <c r="AP136" s="47">
        <f t="shared" si="75"/>
        <v>6.2773481988737636</v>
      </c>
      <c r="AQ136">
        <v>2020</v>
      </c>
    </row>
    <row r="137" spans="2:43">
      <c r="B137" s="97" t="s">
        <v>15</v>
      </c>
      <c r="C137" s="61">
        <v>18230627</v>
      </c>
      <c r="D137" s="61" t="s">
        <v>80</v>
      </c>
      <c r="E137" s="38" t="s">
        <v>1966</v>
      </c>
      <c r="F137" s="39" t="s">
        <v>700</v>
      </c>
      <c r="G137" s="39">
        <v>30</v>
      </c>
      <c r="H137" s="39"/>
      <c r="I137" s="40" t="s">
        <v>269</v>
      </c>
      <c r="J137" s="41">
        <v>4024</v>
      </c>
      <c r="K137" s="41">
        <v>0.62</v>
      </c>
      <c r="L137" s="41"/>
      <c r="M137" s="42">
        <v>0.33</v>
      </c>
      <c r="N137" s="42">
        <v>1.0900000000000001</v>
      </c>
      <c r="O137" s="43">
        <v>2494.88</v>
      </c>
      <c r="P137" s="44">
        <v>1800</v>
      </c>
      <c r="Q137" s="44">
        <v>4386.16</v>
      </c>
      <c r="R137" s="45">
        <v>0.01</v>
      </c>
      <c r="S137" s="46">
        <v>0</v>
      </c>
      <c r="T137" s="39">
        <f t="shared" si="57"/>
        <v>30</v>
      </c>
      <c r="U137" s="47">
        <f t="shared" si="58"/>
        <v>2.6897938780990841E-2</v>
      </c>
      <c r="V137" s="48">
        <f t="shared" si="59"/>
        <v>0.76</v>
      </c>
      <c r="W137" s="49">
        <f t="shared" si="60"/>
        <v>8.9659795936636137E-4</v>
      </c>
      <c r="X137" s="44">
        <f t="shared" si="61"/>
        <v>278.22684536693544</v>
      </c>
      <c r="Y137" s="44">
        <f t="shared" si="62"/>
        <v>2586.16</v>
      </c>
      <c r="Z137" s="44">
        <f t="shared" si="63"/>
        <v>1721.9733866613533</v>
      </c>
      <c r="AA137" s="50">
        <f t="shared" si="64"/>
        <v>4664.3868453669356</v>
      </c>
      <c r="AB137" s="51">
        <f t="shared" si="65"/>
        <v>1609.772260130273</v>
      </c>
      <c r="AC137" s="44">
        <f t="shared" si="66"/>
        <v>4360.4626020070446</v>
      </c>
      <c r="AD137" s="44">
        <f t="shared" si="67"/>
        <v>500.84834899955956</v>
      </c>
      <c r="AE137" s="44">
        <f t="shared" si="68"/>
        <v>0</v>
      </c>
      <c r="AF137" s="52">
        <f>HLOOKUP(I137,ElecAvoidedCostsWOCC!$A$5:$Q$50,G137+1,FALSE)</f>
        <v>2.3666688857668672</v>
      </c>
      <c r="AG137" s="44">
        <f t="shared" si="69"/>
        <v>5904.554869722042</v>
      </c>
      <c r="AH137" s="52">
        <f>HLOOKUP(I137,ElecAvoidedCostsWOCC!$A$5:$Q$50,T137+1,FALSE)</f>
        <v>2.3666688857668672</v>
      </c>
      <c r="AI137" s="44">
        <f t="shared" si="70"/>
        <v>0</v>
      </c>
      <c r="AJ137" s="44">
        <f t="shared" si="71"/>
        <v>5904.554869722042</v>
      </c>
      <c r="AK137" s="44">
        <f>HLOOKUP(I137,ElecAvoidedCostsWOCC!$A$5:$Q$50,G137+1,FALSE)*J137*L137</f>
        <v>0</v>
      </c>
      <c r="AL137" s="44">
        <f t="shared" si="72"/>
        <v>5904.554869722042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5904.5548697220411</v>
      </c>
      <c r="AN137" s="48">
        <f t="shared" si="73"/>
        <v>6995.8587056938049</v>
      </c>
      <c r="AO137" s="47">
        <f t="shared" si="74"/>
        <v>3.6679442278650067</v>
      </c>
      <c r="AP137" s="47">
        <f t="shared" si="75"/>
        <v>1.6043845216041375</v>
      </c>
      <c r="AQ137">
        <v>2020</v>
      </c>
    </row>
    <row r="138" spans="2:43">
      <c r="B138" s="97" t="s">
        <v>15</v>
      </c>
      <c r="C138" s="61">
        <v>18230627</v>
      </c>
      <c r="D138" s="61" t="s">
        <v>80</v>
      </c>
      <c r="E138" s="38" t="s">
        <v>699</v>
      </c>
      <c r="F138" s="39" t="s">
        <v>700</v>
      </c>
      <c r="G138" s="39">
        <v>45</v>
      </c>
      <c r="H138" s="39"/>
      <c r="I138" s="40" t="s">
        <v>269</v>
      </c>
      <c r="J138" s="41">
        <v>49099</v>
      </c>
      <c r="K138" s="41">
        <v>0.62</v>
      </c>
      <c r="L138" s="41"/>
      <c r="M138" s="42">
        <v>0.5</v>
      </c>
      <c r="N138" s="42">
        <v>1.0900000000000001</v>
      </c>
      <c r="O138" s="43">
        <v>30441.38</v>
      </c>
      <c r="P138" s="44">
        <v>26105.919999999998</v>
      </c>
      <c r="Q138" s="44">
        <v>53517.91</v>
      </c>
      <c r="R138" s="45">
        <v>0.01</v>
      </c>
      <c r="S138" s="46">
        <v>0</v>
      </c>
      <c r="T138" s="39">
        <f t="shared" si="57"/>
        <v>45</v>
      </c>
      <c r="U138" s="47">
        <f t="shared" si="58"/>
        <v>0.49229444441148212</v>
      </c>
      <c r="V138" s="48">
        <f t="shared" si="59"/>
        <v>0.59000000000000008</v>
      </c>
      <c r="W138" s="49">
        <f t="shared" si="60"/>
        <v>1.093987654247738E-2</v>
      </c>
      <c r="X138" s="44">
        <f t="shared" si="61"/>
        <v>3394.7961930097326</v>
      </c>
      <c r="Y138" s="44">
        <f t="shared" si="62"/>
        <v>27411.990000000005</v>
      </c>
      <c r="Z138" s="44">
        <f t="shared" si="63"/>
        <v>21010.728457178378</v>
      </c>
      <c r="AA138" s="50">
        <f t="shared" si="64"/>
        <v>56912.706193009733</v>
      </c>
      <c r="AB138" s="51">
        <f t="shared" si="65"/>
        <v>19641.70183900007</v>
      </c>
      <c r="AC138" s="44">
        <f t="shared" si="66"/>
        <v>53204.362151079491</v>
      </c>
      <c r="AD138" s="44">
        <f t="shared" si="67"/>
        <v>6704.6684343625157</v>
      </c>
      <c r="AE138" s="44">
        <f t="shared" si="68"/>
        <v>0</v>
      </c>
      <c r="AF138" s="52">
        <f>HLOOKUP(I138,ElecAvoidedCostsWOCC!$A$5:$Q$50,G138+1,FALSE)</f>
        <v>3.4276422079642828</v>
      </c>
      <c r="AG138" s="44">
        <f t="shared" si="69"/>
        <v>104342.15895667975</v>
      </c>
      <c r="AH138" s="52">
        <f>HLOOKUP(I138,ElecAvoidedCostsWOCC!$A$5:$Q$50,T138+1,FALSE)</f>
        <v>3.4276422079642828</v>
      </c>
      <c r="AI138" s="44">
        <f t="shared" si="70"/>
        <v>0</v>
      </c>
      <c r="AJ138" s="44">
        <f t="shared" si="71"/>
        <v>104342.15895667975</v>
      </c>
      <c r="AK138" s="44">
        <f>HLOOKUP(I138,ElecAvoidedCostsWOCC!$A$5:$Q$50,G138+1,FALSE)*J138*L138</f>
        <v>0</v>
      </c>
      <c r="AL138" s="44">
        <f t="shared" si="72"/>
        <v>104342.15895667975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104342.15895667976</v>
      </c>
      <c r="AN138" s="48">
        <f t="shared" si="73"/>
        <v>121481.04328671026</v>
      </c>
      <c r="AO138" s="47">
        <f t="shared" si="74"/>
        <v>5.3122769000342211</v>
      </c>
      <c r="AP138" s="47">
        <f t="shared" si="75"/>
        <v>2.2832910380872873</v>
      </c>
      <c r="AQ138">
        <v>2020</v>
      </c>
    </row>
    <row r="139" spans="2:43">
      <c r="B139" s="97" t="s">
        <v>15</v>
      </c>
      <c r="C139" s="61">
        <v>18230627</v>
      </c>
      <c r="D139" s="61" t="s">
        <v>80</v>
      </c>
      <c r="E139" s="38" t="s">
        <v>1968</v>
      </c>
      <c r="F139" s="39" t="s">
        <v>706</v>
      </c>
      <c r="G139" s="39">
        <v>30</v>
      </c>
      <c r="H139" s="39"/>
      <c r="I139" s="40" t="s">
        <v>269</v>
      </c>
      <c r="J139" s="41">
        <v>6723</v>
      </c>
      <c r="K139" s="41">
        <v>0.26</v>
      </c>
      <c r="L139" s="41"/>
      <c r="M139" s="42">
        <v>0.33</v>
      </c>
      <c r="N139" s="42">
        <v>1.0900000000000001</v>
      </c>
      <c r="O139" s="43">
        <v>1747.98</v>
      </c>
      <c r="P139" s="44">
        <v>3298.25</v>
      </c>
      <c r="Q139" s="44">
        <v>7328.07</v>
      </c>
      <c r="R139" s="45">
        <v>0.02</v>
      </c>
      <c r="S139" s="46">
        <v>0</v>
      </c>
      <c r="T139" s="39">
        <f t="shared" si="57"/>
        <v>30</v>
      </c>
      <c r="U139" s="47">
        <f t="shared" si="58"/>
        <v>1.8845419030332669E-2</v>
      </c>
      <c r="V139" s="48">
        <f t="shared" si="59"/>
        <v>0.76</v>
      </c>
      <c r="W139" s="49">
        <f t="shared" si="60"/>
        <v>6.2818063434442225E-4</v>
      </c>
      <c r="X139" s="44">
        <f t="shared" si="61"/>
        <v>194.93320767511696</v>
      </c>
      <c r="Y139" s="44">
        <f t="shared" si="62"/>
        <v>4029.8199999999997</v>
      </c>
      <c r="Z139" s="44">
        <f t="shared" si="63"/>
        <v>1206.4608479831945</v>
      </c>
      <c r="AA139" s="50">
        <f t="shared" si="64"/>
        <v>7523.0032076751168</v>
      </c>
      <c r="AB139" s="51">
        <f t="shared" si="65"/>
        <v>1127.8497223363509</v>
      </c>
      <c r="AC139" s="44">
        <f t="shared" si="66"/>
        <v>7032.815936874933</v>
      </c>
      <c r="AD139" s="44">
        <f t="shared" si="67"/>
        <v>1673.5603629841148</v>
      </c>
      <c r="AE139" s="44">
        <f t="shared" si="68"/>
        <v>0</v>
      </c>
      <c r="AF139" s="52">
        <f>HLOOKUP(I139,ElecAvoidedCostsWOCC!$A$5:$Q$50,G139+1,FALSE)</f>
        <v>2.3666688857668672</v>
      </c>
      <c r="AG139" s="44">
        <f t="shared" si="69"/>
        <v>4136.8898789427685</v>
      </c>
      <c r="AH139" s="52">
        <f>HLOOKUP(I139,ElecAvoidedCostsWOCC!$A$5:$Q$50,T139+1,FALSE)</f>
        <v>2.3666688857668672</v>
      </c>
      <c r="AI139" s="44">
        <f t="shared" si="70"/>
        <v>0</v>
      </c>
      <c r="AJ139" s="44">
        <f t="shared" si="71"/>
        <v>4136.8898789427685</v>
      </c>
      <c r="AK139" s="44">
        <f>HLOOKUP(I139,ElecAvoidedCostsWOCC!$A$5:$Q$50,G139+1,FALSE)*J139*L139</f>
        <v>0</v>
      </c>
      <c r="AL139" s="44">
        <f t="shared" si="72"/>
        <v>4136.8898789427685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4136.8898789427685</v>
      </c>
      <c r="AN139" s="48">
        <f t="shared" si="73"/>
        <v>6224.1392298211613</v>
      </c>
      <c r="AO139" s="47">
        <f t="shared" si="74"/>
        <v>3.6679442278650067</v>
      </c>
      <c r="AP139" s="47">
        <f t="shared" si="75"/>
        <v>0.88501381035529969</v>
      </c>
      <c r="AQ139">
        <v>2020</v>
      </c>
    </row>
    <row r="140" spans="2:43">
      <c r="B140" s="97" t="s">
        <v>15</v>
      </c>
      <c r="C140" s="61">
        <v>18230627</v>
      </c>
      <c r="D140" s="61" t="s">
        <v>80</v>
      </c>
      <c r="E140" s="38" t="s">
        <v>705</v>
      </c>
      <c r="F140" s="39" t="s">
        <v>706</v>
      </c>
      <c r="G140" s="39">
        <v>45</v>
      </c>
      <c r="H140" s="39"/>
      <c r="I140" s="40" t="s">
        <v>269</v>
      </c>
      <c r="J140" s="41">
        <v>28099</v>
      </c>
      <c r="K140" s="41">
        <v>0.26</v>
      </c>
      <c r="L140" s="41"/>
      <c r="M140" s="42">
        <v>0.5</v>
      </c>
      <c r="N140" s="42">
        <v>1.0900000000000001</v>
      </c>
      <c r="O140" s="43">
        <v>7305.74</v>
      </c>
      <c r="P140" s="44">
        <v>13675.19</v>
      </c>
      <c r="Q140" s="44">
        <v>30627.91</v>
      </c>
      <c r="R140" s="45">
        <v>0.02</v>
      </c>
      <c r="S140" s="46">
        <v>0</v>
      </c>
      <c r="T140" s="39">
        <f t="shared" si="57"/>
        <v>45</v>
      </c>
      <c r="U140" s="47">
        <f t="shared" si="58"/>
        <v>0.11814757459467151</v>
      </c>
      <c r="V140" s="48">
        <f t="shared" si="59"/>
        <v>0.59000000000000008</v>
      </c>
      <c r="W140" s="49">
        <f t="shared" si="60"/>
        <v>2.6255016576593668E-3</v>
      </c>
      <c r="X140" s="44">
        <f t="shared" si="61"/>
        <v>814.72976386480912</v>
      </c>
      <c r="Y140" s="44">
        <f t="shared" si="62"/>
        <v>16952.72</v>
      </c>
      <c r="Z140" s="44">
        <f t="shared" si="63"/>
        <v>5042.4428629302074</v>
      </c>
      <c r="AA140" s="50">
        <f t="shared" si="64"/>
        <v>31442.639763864809</v>
      </c>
      <c r="AB140" s="51">
        <f t="shared" si="65"/>
        <v>4713.885073319816</v>
      </c>
      <c r="AC140" s="44">
        <f t="shared" si="66"/>
        <v>29393.885915550909</v>
      </c>
      <c r="AD140" s="44">
        <f t="shared" si="67"/>
        <v>7674.0657991874505</v>
      </c>
      <c r="AE140" s="44">
        <f t="shared" si="68"/>
        <v>0</v>
      </c>
      <c r="AF140" s="52">
        <f>HLOOKUP(I140,ElecAvoidedCostsWOCC!$A$5:$Q$50,G140+1,FALSE)</f>
        <v>3.4276422079642828</v>
      </c>
      <c r="AG140" s="44">
        <f t="shared" si="69"/>
        <v>25041.462784412979</v>
      </c>
      <c r="AH140" s="52">
        <f>HLOOKUP(I140,ElecAvoidedCostsWOCC!$A$5:$Q$50,T140+1,FALSE)</f>
        <v>3.4276422079642828</v>
      </c>
      <c r="AI140" s="44">
        <f t="shared" si="70"/>
        <v>0</v>
      </c>
      <c r="AJ140" s="44">
        <f t="shared" si="71"/>
        <v>25041.462784412979</v>
      </c>
      <c r="AK140" s="44">
        <f>HLOOKUP(I140,ElecAvoidedCostsWOCC!$A$5:$Q$50,G140+1,FALSE)*J140*L140</f>
        <v>0</v>
      </c>
      <c r="AL140" s="44">
        <f t="shared" si="72"/>
        <v>25041.462784412979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25041.462784412979</v>
      </c>
      <c r="AN140" s="48">
        <f t="shared" si="73"/>
        <v>35219.674862041735</v>
      </c>
      <c r="AO140" s="47">
        <f t="shared" si="74"/>
        <v>5.3122769000342211</v>
      </c>
      <c r="AP140" s="47">
        <f t="shared" si="75"/>
        <v>1.1981973041342138</v>
      </c>
      <c r="AQ140">
        <v>2020</v>
      </c>
    </row>
    <row r="141" spans="2:43">
      <c r="B141" s="97" t="s">
        <v>15</v>
      </c>
      <c r="C141" s="61">
        <v>18230627</v>
      </c>
      <c r="D141" s="61" t="s">
        <v>80</v>
      </c>
      <c r="E141" s="38" t="s">
        <v>1969</v>
      </c>
      <c r="F141" s="39" t="s">
        <v>709</v>
      </c>
      <c r="G141" s="39">
        <v>30</v>
      </c>
      <c r="H141" s="39"/>
      <c r="I141" s="40" t="s">
        <v>269</v>
      </c>
      <c r="J141" s="41">
        <v>5241</v>
      </c>
      <c r="K141" s="41">
        <v>0.44</v>
      </c>
      <c r="L141" s="41"/>
      <c r="M141" s="42">
        <v>0.33</v>
      </c>
      <c r="N141" s="42">
        <v>1.0900000000000001</v>
      </c>
      <c r="O141" s="43">
        <v>2306.04</v>
      </c>
      <c r="P141" s="44">
        <v>3166.94</v>
      </c>
      <c r="Q141" s="44">
        <v>5712.69</v>
      </c>
      <c r="R141" s="45">
        <v>0.01</v>
      </c>
      <c r="S141" s="46">
        <v>0</v>
      </c>
      <c r="T141" s="39">
        <f t="shared" si="57"/>
        <v>30</v>
      </c>
      <c r="U141" s="47">
        <f t="shared" si="58"/>
        <v>2.4862006487893652E-2</v>
      </c>
      <c r="V141" s="48">
        <f t="shared" si="59"/>
        <v>0.76</v>
      </c>
      <c r="W141" s="49">
        <f t="shared" si="60"/>
        <v>8.2873354959645505E-4</v>
      </c>
      <c r="X141" s="44">
        <f t="shared" si="61"/>
        <v>257.16757298546133</v>
      </c>
      <c r="Y141" s="44">
        <f t="shared" si="62"/>
        <v>2545.7499999999995</v>
      </c>
      <c r="Z141" s="44">
        <f t="shared" si="63"/>
        <v>1591.6354728790752</v>
      </c>
      <c r="AA141" s="50">
        <f t="shared" si="64"/>
        <v>5969.857572985461</v>
      </c>
      <c r="AB141" s="51">
        <f t="shared" si="65"/>
        <v>1487.9269635216183</v>
      </c>
      <c r="AC141" s="44">
        <f t="shared" si="66"/>
        <v>5580.8708731284105</v>
      </c>
      <c r="AD141" s="44">
        <f t="shared" si="67"/>
        <v>652.32261359510233</v>
      </c>
      <c r="AE141" s="44">
        <f t="shared" si="68"/>
        <v>0</v>
      </c>
      <c r="AF141" s="52">
        <f>HLOOKUP(I141,ElecAvoidedCostsWOCC!$A$5:$Q$50,G141+1,FALSE)</f>
        <v>2.3666688857668672</v>
      </c>
      <c r="AG141" s="44">
        <f t="shared" si="69"/>
        <v>5457.6331173338267</v>
      </c>
      <c r="AH141" s="52">
        <f>HLOOKUP(I141,ElecAvoidedCostsWOCC!$A$5:$Q$50,T141+1,FALSE)</f>
        <v>2.3666688857668672</v>
      </c>
      <c r="AI141" s="44">
        <f t="shared" si="70"/>
        <v>0</v>
      </c>
      <c r="AJ141" s="44">
        <f t="shared" si="71"/>
        <v>5457.6331173338267</v>
      </c>
      <c r="AK141" s="44">
        <f>HLOOKUP(I141,ElecAvoidedCostsWOCC!$A$5:$Q$50,G141+1,FALSE)*J141*L141</f>
        <v>0</v>
      </c>
      <c r="AL141" s="44">
        <f t="shared" si="72"/>
        <v>5457.6331173338267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5457.6331173338258</v>
      </c>
      <c r="AN141" s="48">
        <f t="shared" si="73"/>
        <v>6655.7190426623119</v>
      </c>
      <c r="AO141" s="47">
        <f t="shared" si="74"/>
        <v>3.6679442278650063</v>
      </c>
      <c r="AP141" s="47">
        <f t="shared" si="75"/>
        <v>1.1925950615896235</v>
      </c>
      <c r="AQ141">
        <v>2020</v>
      </c>
    </row>
    <row r="142" spans="2:43">
      <c r="B142" s="97" t="s">
        <v>15</v>
      </c>
      <c r="C142" s="61">
        <v>18230627</v>
      </c>
      <c r="D142" s="61" t="s">
        <v>80</v>
      </c>
      <c r="E142" s="38" t="s">
        <v>708</v>
      </c>
      <c r="F142" s="39" t="s">
        <v>709</v>
      </c>
      <c r="G142" s="39">
        <v>45</v>
      </c>
      <c r="H142" s="39"/>
      <c r="I142" s="40" t="s">
        <v>269</v>
      </c>
      <c r="J142" s="41">
        <v>32825</v>
      </c>
      <c r="K142" s="41">
        <v>0.44</v>
      </c>
      <c r="L142" s="41"/>
      <c r="M142" s="42">
        <v>0.5</v>
      </c>
      <c r="N142" s="42">
        <v>1.0900000000000001</v>
      </c>
      <c r="O142" s="43">
        <v>14443</v>
      </c>
      <c r="P142" s="44">
        <v>18862.68</v>
      </c>
      <c r="Q142" s="44">
        <v>35779.25</v>
      </c>
      <c r="R142" s="45">
        <v>0.01</v>
      </c>
      <c r="S142" s="46">
        <v>0</v>
      </c>
      <c r="T142" s="39">
        <f t="shared" si="57"/>
        <v>45</v>
      </c>
      <c r="U142" s="47">
        <f t="shared" si="58"/>
        <v>0.23357051029339129</v>
      </c>
      <c r="V142" s="48">
        <f t="shared" si="59"/>
        <v>0.59000000000000008</v>
      </c>
      <c r="W142" s="49">
        <f t="shared" si="60"/>
        <v>5.1904557842975844E-3</v>
      </c>
      <c r="X142" s="44">
        <f t="shared" si="61"/>
        <v>1610.6707848211734</v>
      </c>
      <c r="Y142" s="44">
        <f t="shared" si="62"/>
        <v>16916.57</v>
      </c>
      <c r="Z142" s="44">
        <f t="shared" si="63"/>
        <v>9968.6003429222765</v>
      </c>
      <c r="AA142" s="50">
        <f t="shared" si="64"/>
        <v>37389.920784821174</v>
      </c>
      <c r="AB142" s="51">
        <f t="shared" si="65"/>
        <v>9319.0617396674534</v>
      </c>
      <c r="AC142" s="44">
        <f t="shared" si="66"/>
        <v>34953.651289914153</v>
      </c>
      <c r="AD142" s="44">
        <f t="shared" si="67"/>
        <v>4482.3874489897871</v>
      </c>
      <c r="AE142" s="44">
        <f t="shared" si="68"/>
        <v>0</v>
      </c>
      <c r="AF142" s="52">
        <f>HLOOKUP(I142,ElecAvoidedCostsWOCC!$A$5:$Q$50,G142+1,FALSE)</f>
        <v>3.4276422079642828</v>
      </c>
      <c r="AG142" s="44">
        <f t="shared" si="69"/>
        <v>49505.436409628135</v>
      </c>
      <c r="AH142" s="52">
        <f>HLOOKUP(I142,ElecAvoidedCostsWOCC!$A$5:$Q$50,T142+1,FALSE)</f>
        <v>3.4276422079642828</v>
      </c>
      <c r="AI142" s="44">
        <f t="shared" si="70"/>
        <v>0</v>
      </c>
      <c r="AJ142" s="44">
        <f t="shared" si="71"/>
        <v>49505.436409628135</v>
      </c>
      <c r="AK142" s="44">
        <f>HLOOKUP(I142,ElecAvoidedCostsWOCC!$A$5:$Q$50,G142+1,FALSE)*J142*L142</f>
        <v>0</v>
      </c>
      <c r="AL142" s="44">
        <f t="shared" si="72"/>
        <v>49505.436409628135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49505.436409628135</v>
      </c>
      <c r="AN142" s="48">
        <f t="shared" si="73"/>
        <v>58938.367499580738</v>
      </c>
      <c r="AO142" s="47">
        <f t="shared" si="74"/>
        <v>5.3122769000342211</v>
      </c>
      <c r="AP142" s="47">
        <f t="shared" si="75"/>
        <v>1.6861862873990321</v>
      </c>
      <c r="AQ142">
        <v>2020</v>
      </c>
    </row>
    <row r="143" spans="2:43">
      <c r="B143" s="97" t="s">
        <v>15</v>
      </c>
      <c r="C143" s="61">
        <v>18230627</v>
      </c>
      <c r="D143" s="61" t="s">
        <v>80</v>
      </c>
      <c r="E143" s="38" t="s">
        <v>1971</v>
      </c>
      <c r="F143" s="39" t="s">
        <v>715</v>
      </c>
      <c r="G143" s="39">
        <v>25</v>
      </c>
      <c r="H143" s="39"/>
      <c r="I143" s="40" t="s">
        <v>269</v>
      </c>
      <c r="J143" s="41">
        <v>6818</v>
      </c>
      <c r="K143" s="41">
        <v>0.46</v>
      </c>
      <c r="L143" s="41"/>
      <c r="M143" s="42">
        <v>1.39</v>
      </c>
      <c r="N143" s="42">
        <v>1.39</v>
      </c>
      <c r="O143" s="43">
        <v>3136.28</v>
      </c>
      <c r="P143" s="44">
        <v>7137</v>
      </c>
      <c r="Q143" s="44">
        <v>9477.02</v>
      </c>
      <c r="R143" s="45">
        <v>0</v>
      </c>
      <c r="S143" s="46">
        <v>0</v>
      </c>
      <c r="T143" s="39">
        <f t="shared" si="57"/>
        <v>25</v>
      </c>
      <c r="U143" s="47">
        <f t="shared" si="58"/>
        <v>2.8177530061581437E-2</v>
      </c>
      <c r="V143" s="48">
        <f t="shared" si="59"/>
        <v>0</v>
      </c>
      <c r="W143" s="49">
        <f t="shared" si="60"/>
        <v>1.1271012024632575E-3</v>
      </c>
      <c r="X143" s="44">
        <f t="shared" si="61"/>
        <v>349.75521491511108</v>
      </c>
      <c r="Y143" s="44">
        <f t="shared" si="62"/>
        <v>2340.0200000000004</v>
      </c>
      <c r="Z143" s="44">
        <f t="shared" si="63"/>
        <v>2164.6695204251382</v>
      </c>
      <c r="AA143" s="50">
        <f t="shared" si="64"/>
        <v>9826.7752149151111</v>
      </c>
      <c r="AB143" s="51">
        <f t="shared" si="65"/>
        <v>2023.6229974994278</v>
      </c>
      <c r="AC143" s="44">
        <f t="shared" si="66"/>
        <v>9186.4777179724315</v>
      </c>
      <c r="AD143" s="44">
        <f t="shared" si="67"/>
        <v>0</v>
      </c>
      <c r="AE143" s="44">
        <f t="shared" si="68"/>
        <v>0</v>
      </c>
      <c r="AF143" s="52">
        <f>HLOOKUP(I143,ElecAvoidedCostsWOCC!$A$5:$Q$50,G143+1,FALSE)</f>
        <v>2.0508206305871441</v>
      </c>
      <c r="AG143" s="44">
        <f t="shared" si="69"/>
        <v>6431.9477272978493</v>
      </c>
      <c r="AH143" s="52">
        <f>HLOOKUP(I143,ElecAvoidedCostsWOCC!$A$5:$Q$50,T143+1,FALSE)</f>
        <v>2.0508206305871441</v>
      </c>
      <c r="AI143" s="44">
        <f t="shared" si="70"/>
        <v>0</v>
      </c>
      <c r="AJ143" s="44">
        <f t="shared" si="71"/>
        <v>6431.9477272978493</v>
      </c>
      <c r="AK143" s="44">
        <f>HLOOKUP(I143,ElecAvoidedCostsWOCC!$A$5:$Q$50,G143+1,FALSE)*J143*L143</f>
        <v>0</v>
      </c>
      <c r="AL143" s="44">
        <f t="shared" si="72"/>
        <v>6431.9477272978493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6431.9477272978484</v>
      </c>
      <c r="AN143" s="48">
        <f t="shared" si="73"/>
        <v>7075.142500027634</v>
      </c>
      <c r="AO143" s="47">
        <f t="shared" si="74"/>
        <v>3.1784318201788309</v>
      </c>
      <c r="AP143" s="47">
        <f t="shared" si="75"/>
        <v>0.77016923321827913</v>
      </c>
      <c r="AQ143">
        <v>2020</v>
      </c>
    </row>
    <row r="144" spans="2:43">
      <c r="B144" s="97" t="s">
        <v>15</v>
      </c>
      <c r="C144" s="61">
        <v>18230627</v>
      </c>
      <c r="D144" s="61" t="s">
        <v>80</v>
      </c>
      <c r="E144" s="38" t="s">
        <v>716</v>
      </c>
      <c r="F144" s="39" t="s">
        <v>717</v>
      </c>
      <c r="G144" s="39">
        <v>25</v>
      </c>
      <c r="H144" s="39"/>
      <c r="I144" s="40" t="s">
        <v>269</v>
      </c>
      <c r="J144" s="41">
        <v>28655</v>
      </c>
      <c r="K144" s="41">
        <v>0.46</v>
      </c>
      <c r="L144" s="41"/>
      <c r="M144" s="42">
        <v>1.39</v>
      </c>
      <c r="N144" s="42">
        <v>1.39</v>
      </c>
      <c r="O144" s="43">
        <v>13181.3</v>
      </c>
      <c r="P144" s="44">
        <v>27600</v>
      </c>
      <c r="Q144" s="44">
        <v>39830.449999999997</v>
      </c>
      <c r="R144" s="45">
        <v>0</v>
      </c>
      <c r="S144" s="46">
        <v>0</v>
      </c>
      <c r="T144" s="39">
        <f t="shared" si="57"/>
        <v>25</v>
      </c>
      <c r="U144" s="47">
        <f t="shared" si="58"/>
        <v>0.11842580286222</v>
      </c>
      <c r="V144" s="48">
        <f t="shared" si="59"/>
        <v>0</v>
      </c>
      <c r="W144" s="49">
        <f t="shared" si="60"/>
        <v>4.7370321144887999E-3</v>
      </c>
      <c r="X144" s="44">
        <f t="shared" si="61"/>
        <v>1469.9670993535503</v>
      </c>
      <c r="Y144" s="44">
        <f t="shared" si="62"/>
        <v>12230.449999999997</v>
      </c>
      <c r="Z144" s="44">
        <f t="shared" si="63"/>
        <v>9097.7713563775797</v>
      </c>
      <c r="AA144" s="50">
        <f t="shared" si="64"/>
        <v>41300.417099353544</v>
      </c>
      <c r="AB144" s="51">
        <f t="shared" si="65"/>
        <v>8504.9746250140961</v>
      </c>
      <c r="AC144" s="44">
        <f t="shared" si="66"/>
        <v>38609.345703798768</v>
      </c>
      <c r="AD144" s="44">
        <f t="shared" si="67"/>
        <v>0</v>
      </c>
      <c r="AE144" s="44">
        <f t="shared" si="68"/>
        <v>0</v>
      </c>
      <c r="AF144" s="52">
        <f>HLOOKUP(I144,ElecAvoidedCostsWOCC!$A$5:$Q$50,G144+1,FALSE)</f>
        <v>2.0508206305871441</v>
      </c>
      <c r="AG144" s="44">
        <f t="shared" si="69"/>
        <v>27032.481977958323</v>
      </c>
      <c r="AH144" s="52">
        <f>HLOOKUP(I144,ElecAvoidedCostsWOCC!$A$5:$Q$50,T144+1,FALSE)</f>
        <v>2.0508206305871441</v>
      </c>
      <c r="AI144" s="44">
        <f t="shared" si="70"/>
        <v>0</v>
      </c>
      <c r="AJ144" s="44">
        <f t="shared" si="71"/>
        <v>27032.481977958323</v>
      </c>
      <c r="AK144" s="44">
        <f>HLOOKUP(I144,ElecAvoidedCostsWOCC!$A$5:$Q$50,G144+1,FALSE)*J144*L144</f>
        <v>0</v>
      </c>
      <c r="AL144" s="44">
        <f t="shared" si="72"/>
        <v>27032.481977958323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27032.481977958323</v>
      </c>
      <c r="AN144" s="48">
        <f t="shared" si="73"/>
        <v>29735.730175754157</v>
      </c>
      <c r="AO144" s="47">
        <f t="shared" si="74"/>
        <v>3.1784318201788309</v>
      </c>
      <c r="AP144" s="47">
        <f t="shared" si="75"/>
        <v>0.77016923321827913</v>
      </c>
      <c r="AQ144">
        <v>2020</v>
      </c>
    </row>
    <row r="145" spans="2:43">
      <c r="B145" s="97" t="s">
        <v>15</v>
      </c>
      <c r="C145" s="61">
        <v>18230627</v>
      </c>
      <c r="D145" s="61" t="s">
        <v>80</v>
      </c>
      <c r="E145" s="38" t="s">
        <v>1973</v>
      </c>
      <c r="F145" s="39" t="s">
        <v>722</v>
      </c>
      <c r="G145" s="39">
        <v>30</v>
      </c>
      <c r="H145" s="39"/>
      <c r="I145" s="40" t="s">
        <v>269</v>
      </c>
      <c r="J145" s="41">
        <v>21571</v>
      </c>
      <c r="K145" s="41">
        <v>1</v>
      </c>
      <c r="L145" s="41"/>
      <c r="M145" s="42">
        <v>0.11</v>
      </c>
      <c r="N145" s="42">
        <v>1.46</v>
      </c>
      <c r="O145" s="43">
        <v>21571</v>
      </c>
      <c r="P145" s="44">
        <v>4000</v>
      </c>
      <c r="Q145" s="44">
        <v>31493.66</v>
      </c>
      <c r="R145" s="45">
        <v>0.02</v>
      </c>
      <c r="S145" s="46">
        <v>0</v>
      </c>
      <c r="T145" s="39">
        <f t="shared" si="57"/>
        <v>30</v>
      </c>
      <c r="U145" s="47">
        <f t="shared" si="58"/>
        <v>0.2325624629019245</v>
      </c>
      <c r="V145" s="48">
        <f t="shared" si="59"/>
        <v>1.3499999999999999</v>
      </c>
      <c r="W145" s="49">
        <f t="shared" si="60"/>
        <v>7.7520820967308165E-3</v>
      </c>
      <c r="X145" s="44">
        <f t="shared" si="61"/>
        <v>2405.5791386400006</v>
      </c>
      <c r="Y145" s="44">
        <f t="shared" si="62"/>
        <v>27493.66</v>
      </c>
      <c r="Z145" s="44">
        <f t="shared" si="63"/>
        <v>14888.366544151242</v>
      </c>
      <c r="AA145" s="50">
        <f t="shared" si="64"/>
        <v>33899.239138639998</v>
      </c>
      <c r="AB145" s="51">
        <f t="shared" si="65"/>
        <v>13918.263573105769</v>
      </c>
      <c r="AC145" s="44">
        <f t="shared" si="66"/>
        <v>31690.41706893521</v>
      </c>
      <c r="AD145" s="44">
        <f t="shared" si="67"/>
        <v>5369.6817774699302</v>
      </c>
      <c r="AE145" s="44">
        <f t="shared" si="68"/>
        <v>0</v>
      </c>
      <c r="AF145" s="52">
        <f>HLOOKUP(I145,ElecAvoidedCostsWOCC!$A$5:$Q$50,G145+1,FALSE)</f>
        <v>2.3666688857668672</v>
      </c>
      <c r="AG145" s="44">
        <f t="shared" si="69"/>
        <v>51051.414534877091</v>
      </c>
      <c r="AH145" s="52">
        <f>HLOOKUP(I145,ElecAvoidedCostsWOCC!$A$5:$Q$50,T145+1,FALSE)</f>
        <v>2.3666688857668672</v>
      </c>
      <c r="AI145" s="44">
        <f t="shared" si="70"/>
        <v>0</v>
      </c>
      <c r="AJ145" s="44">
        <f t="shared" si="71"/>
        <v>51051.414534877091</v>
      </c>
      <c r="AK145" s="44">
        <f>HLOOKUP(I145,ElecAvoidedCostsWOCC!$A$5:$Q$50,G145+1,FALSE)*J145*L145</f>
        <v>0</v>
      </c>
      <c r="AL145" s="44">
        <f t="shared" si="72"/>
        <v>51051.414534877091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51051.414534877091</v>
      </c>
      <c r="AN145" s="48">
        <f t="shared" si="73"/>
        <v>61526.237765834732</v>
      </c>
      <c r="AO145" s="47">
        <f t="shared" si="74"/>
        <v>3.6679442278650067</v>
      </c>
      <c r="AP145" s="47">
        <f t="shared" si="75"/>
        <v>1.9414776912528025</v>
      </c>
      <c r="AQ145">
        <v>2020</v>
      </c>
    </row>
    <row r="146" spans="2:43">
      <c r="B146" s="97" t="s">
        <v>15</v>
      </c>
      <c r="C146" s="61">
        <v>18230627</v>
      </c>
      <c r="D146" s="61" t="s">
        <v>80</v>
      </c>
      <c r="E146" s="38" t="s">
        <v>721</v>
      </c>
      <c r="F146" s="39" t="s">
        <v>722</v>
      </c>
      <c r="G146" s="39">
        <v>45</v>
      </c>
      <c r="H146" s="39"/>
      <c r="I146" s="40" t="s">
        <v>269</v>
      </c>
      <c r="J146" s="41">
        <v>88134</v>
      </c>
      <c r="K146" s="41">
        <v>1</v>
      </c>
      <c r="L146" s="41"/>
      <c r="M146" s="42">
        <v>0.25</v>
      </c>
      <c r="N146" s="42">
        <v>1.46</v>
      </c>
      <c r="O146" s="43">
        <v>88134</v>
      </c>
      <c r="P146" s="44">
        <v>15400</v>
      </c>
      <c r="Q146" s="44">
        <v>128675.64</v>
      </c>
      <c r="R146" s="45">
        <v>0.02</v>
      </c>
      <c r="S146" s="46">
        <v>0</v>
      </c>
      <c r="T146" s="39">
        <f t="shared" si="57"/>
        <v>45</v>
      </c>
      <c r="U146" s="47">
        <f t="shared" si="58"/>
        <v>1.4252927614898392</v>
      </c>
      <c r="V146" s="48">
        <f t="shared" si="59"/>
        <v>1.21</v>
      </c>
      <c r="W146" s="49">
        <f t="shared" si="60"/>
        <v>3.1673172477551984E-2</v>
      </c>
      <c r="X146" s="44">
        <f t="shared" si="61"/>
        <v>9828.6269438087165</v>
      </c>
      <c r="Y146" s="44">
        <f t="shared" si="62"/>
        <v>113275.64</v>
      </c>
      <c r="Z146" s="44">
        <f t="shared" si="63"/>
        <v>60830.341523444702</v>
      </c>
      <c r="AA146" s="50">
        <f t="shared" si="64"/>
        <v>138504.2669438087</v>
      </c>
      <c r="AB146" s="51">
        <f t="shared" si="65"/>
        <v>56866.730413615682</v>
      </c>
      <c r="AC146" s="44">
        <f t="shared" si="66"/>
        <v>129479.54280995484</v>
      </c>
      <c r="AD146" s="44">
        <f t="shared" si="67"/>
        <v>24070.113354410718</v>
      </c>
      <c r="AE146" s="44">
        <f t="shared" si="68"/>
        <v>0</v>
      </c>
      <c r="AF146" s="52">
        <f>HLOOKUP(I146,ElecAvoidedCostsWOCC!$A$5:$Q$50,G146+1,FALSE)</f>
        <v>3.4276422079642828</v>
      </c>
      <c r="AG146" s="44">
        <f t="shared" si="69"/>
        <v>302091.81835672411</v>
      </c>
      <c r="AH146" s="52">
        <f>HLOOKUP(I146,ElecAvoidedCostsWOCC!$A$5:$Q$50,T146+1,FALSE)</f>
        <v>3.4276422079642828</v>
      </c>
      <c r="AI146" s="44">
        <f t="shared" si="70"/>
        <v>0</v>
      </c>
      <c r="AJ146" s="44">
        <f t="shared" si="71"/>
        <v>302091.81835672411</v>
      </c>
      <c r="AK146" s="44">
        <f>HLOOKUP(I146,ElecAvoidedCostsWOCC!$A$5:$Q$50,G146+1,FALSE)*J146*L146</f>
        <v>0</v>
      </c>
      <c r="AL146" s="44">
        <f t="shared" si="72"/>
        <v>302091.81835672411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302091.81835672411</v>
      </c>
      <c r="AN146" s="48">
        <f t="shared" si="73"/>
        <v>356371.11354680726</v>
      </c>
      <c r="AO146" s="47">
        <f t="shared" si="74"/>
        <v>5.312276900034222</v>
      </c>
      <c r="AP146" s="47">
        <f t="shared" si="75"/>
        <v>2.7523352787078901</v>
      </c>
      <c r="AQ146">
        <v>2020</v>
      </c>
    </row>
    <row r="147" spans="2:43">
      <c r="B147" s="97" t="s">
        <v>15</v>
      </c>
      <c r="C147" s="61">
        <v>18230627</v>
      </c>
      <c r="D147" s="61" t="s">
        <v>80</v>
      </c>
      <c r="E147" s="38" t="s">
        <v>1975</v>
      </c>
      <c r="F147" s="39" t="s">
        <v>728</v>
      </c>
      <c r="G147" s="39">
        <v>30</v>
      </c>
      <c r="H147" s="39"/>
      <c r="I147" s="40" t="s">
        <v>269</v>
      </c>
      <c r="J147" s="41">
        <v>8992</v>
      </c>
      <c r="K147" s="41">
        <v>0.18</v>
      </c>
      <c r="L147" s="41"/>
      <c r="M147" s="42">
        <v>0.11</v>
      </c>
      <c r="N147" s="42">
        <v>1.46</v>
      </c>
      <c r="O147" s="43">
        <v>1618.56</v>
      </c>
      <c r="P147" s="44">
        <v>1400</v>
      </c>
      <c r="Q147" s="44">
        <v>13128.32</v>
      </c>
      <c r="R147" s="45">
        <v>0</v>
      </c>
      <c r="S147" s="46">
        <v>0</v>
      </c>
      <c r="T147" s="39">
        <f t="shared" si="57"/>
        <v>30</v>
      </c>
      <c r="U147" s="47">
        <f t="shared" si="58"/>
        <v>1.7450108940454265E-2</v>
      </c>
      <c r="V147" s="48">
        <f t="shared" si="59"/>
        <v>1.3499999999999999</v>
      </c>
      <c r="W147" s="49">
        <f t="shared" si="60"/>
        <v>5.8167029801514214E-4</v>
      </c>
      <c r="X147" s="44">
        <f t="shared" si="61"/>
        <v>180.50040195805289</v>
      </c>
      <c r="Y147" s="44">
        <f t="shared" si="62"/>
        <v>11728.32</v>
      </c>
      <c r="Z147" s="44">
        <f t="shared" si="63"/>
        <v>1117.1347899356283</v>
      </c>
      <c r="AA147" s="50">
        <f t="shared" si="64"/>
        <v>13308.820401958053</v>
      </c>
      <c r="AB147" s="51">
        <f t="shared" si="65"/>
        <v>1044.344012279731</v>
      </c>
      <c r="AC147" s="44">
        <f t="shared" si="66"/>
        <v>12441.638218152802</v>
      </c>
      <c r="AD147" s="44">
        <f t="shared" si="67"/>
        <v>0</v>
      </c>
      <c r="AE147" s="44">
        <f t="shared" si="68"/>
        <v>0</v>
      </c>
      <c r="AF147" s="52">
        <f>HLOOKUP(I147,ElecAvoidedCostsWOCC!$A$5:$Q$50,G147+1,FALSE)</f>
        <v>2.3666688857668672</v>
      </c>
      <c r="AG147" s="44">
        <f t="shared" si="69"/>
        <v>3830.5955917468204</v>
      </c>
      <c r="AH147" s="52">
        <f>HLOOKUP(I147,ElecAvoidedCostsWOCC!$A$5:$Q$50,T147+1,FALSE)</f>
        <v>2.3666688857668672</v>
      </c>
      <c r="AI147" s="44">
        <f t="shared" si="70"/>
        <v>0</v>
      </c>
      <c r="AJ147" s="44">
        <f t="shared" si="71"/>
        <v>3830.5955917468204</v>
      </c>
      <c r="AK147" s="44">
        <f>HLOOKUP(I147,ElecAvoidedCostsWOCC!$A$5:$Q$50,G147+1,FALSE)*J147*L147</f>
        <v>0</v>
      </c>
      <c r="AL147" s="44">
        <f t="shared" si="72"/>
        <v>3830.5955917468204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3830.5955917468204</v>
      </c>
      <c r="AN147" s="48">
        <f t="shared" si="73"/>
        <v>4213.6551509215033</v>
      </c>
      <c r="AO147" s="47">
        <f t="shared" si="74"/>
        <v>3.6679442278650058</v>
      </c>
      <c r="AP147" s="47">
        <f t="shared" si="75"/>
        <v>0.33867365993439891</v>
      </c>
      <c r="AQ147">
        <v>2020</v>
      </c>
    </row>
    <row r="148" spans="2:43">
      <c r="B148" s="97" t="s">
        <v>15</v>
      </c>
      <c r="C148" s="61">
        <v>18230627</v>
      </c>
      <c r="D148" s="61" t="s">
        <v>80</v>
      </c>
      <c r="E148" s="38" t="s">
        <v>727</v>
      </c>
      <c r="F148" s="39" t="s">
        <v>728</v>
      </c>
      <c r="G148" s="39">
        <v>45</v>
      </c>
      <c r="H148" s="39"/>
      <c r="I148" s="40" t="s">
        <v>269</v>
      </c>
      <c r="J148" s="41">
        <v>69935</v>
      </c>
      <c r="K148" s="41">
        <v>0.18</v>
      </c>
      <c r="L148" s="41"/>
      <c r="M148" s="42">
        <v>0.25</v>
      </c>
      <c r="N148" s="42">
        <v>1.46</v>
      </c>
      <c r="O148" s="43">
        <v>12588.3</v>
      </c>
      <c r="P148" s="44">
        <v>10600</v>
      </c>
      <c r="Q148" s="44">
        <v>102105.1</v>
      </c>
      <c r="R148" s="45">
        <v>0</v>
      </c>
      <c r="S148" s="46">
        <v>0</v>
      </c>
      <c r="T148" s="39">
        <f t="shared" si="57"/>
        <v>45</v>
      </c>
      <c r="U148" s="47">
        <f t="shared" si="58"/>
        <v>0.20357651836365695</v>
      </c>
      <c r="V148" s="48">
        <f t="shared" si="59"/>
        <v>1.21</v>
      </c>
      <c r="W148" s="49">
        <f t="shared" si="60"/>
        <v>4.5239226303034879E-3</v>
      </c>
      <c r="X148" s="44">
        <f t="shared" si="61"/>
        <v>1403.8362556646384</v>
      </c>
      <c r="Y148" s="44">
        <f t="shared" si="62"/>
        <v>91505.1</v>
      </c>
      <c r="Z148" s="44">
        <f t="shared" si="63"/>
        <v>8688.4810424986827</v>
      </c>
      <c r="AA148" s="50">
        <f t="shared" si="64"/>
        <v>103508.93625566464</v>
      </c>
      <c r="AB148" s="51">
        <f t="shared" si="65"/>
        <v>8122.3530358966827</v>
      </c>
      <c r="AC148" s="44">
        <f t="shared" si="66"/>
        <v>96764.453824123237</v>
      </c>
      <c r="AD148" s="44">
        <f t="shared" si="67"/>
        <v>0</v>
      </c>
      <c r="AE148" s="44">
        <f t="shared" si="68"/>
        <v>0</v>
      </c>
      <c r="AF148" s="52">
        <f>HLOOKUP(I148,ElecAvoidedCostsWOCC!$A$5:$Q$50,G148+1,FALSE)</f>
        <v>3.4276422079642828</v>
      </c>
      <c r="AG148" s="44">
        <f t="shared" si="69"/>
        <v>43148.188406516776</v>
      </c>
      <c r="AH148" s="52">
        <f>HLOOKUP(I148,ElecAvoidedCostsWOCC!$A$5:$Q$50,T148+1,FALSE)</f>
        <v>3.4276422079642828</v>
      </c>
      <c r="AI148" s="44">
        <f t="shared" si="70"/>
        <v>0</v>
      </c>
      <c r="AJ148" s="44">
        <f t="shared" si="71"/>
        <v>43148.188406516776</v>
      </c>
      <c r="AK148" s="44">
        <f>HLOOKUP(I148,ElecAvoidedCostsWOCC!$A$5:$Q$50,G148+1,FALSE)*J148*L148</f>
        <v>0</v>
      </c>
      <c r="AL148" s="44">
        <f t="shared" si="72"/>
        <v>43148.188406516776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43148.188406516783</v>
      </c>
      <c r="AN148" s="48">
        <f t="shared" si="73"/>
        <v>47463.007247168469</v>
      </c>
      <c r="AO148" s="47">
        <f t="shared" si="74"/>
        <v>5.312276900034222</v>
      </c>
      <c r="AP148" s="47">
        <f t="shared" si="75"/>
        <v>0.49050044072419507</v>
      </c>
      <c r="AQ148">
        <v>2020</v>
      </c>
    </row>
    <row r="149" spans="2:43">
      <c r="B149" s="97" t="s">
        <v>15</v>
      </c>
      <c r="C149" s="61">
        <v>18230627</v>
      </c>
      <c r="D149" s="61" t="s">
        <v>80</v>
      </c>
      <c r="E149" s="38" t="s">
        <v>1976</v>
      </c>
      <c r="F149" s="39" t="s">
        <v>731</v>
      </c>
      <c r="G149" s="39">
        <v>30</v>
      </c>
      <c r="H149" s="39"/>
      <c r="I149" s="40" t="s">
        <v>269</v>
      </c>
      <c r="J149" s="41">
        <v>16921</v>
      </c>
      <c r="K149" s="41">
        <v>1.03</v>
      </c>
      <c r="L149" s="41"/>
      <c r="M149" s="42">
        <v>0.11</v>
      </c>
      <c r="N149" s="42">
        <v>1.46</v>
      </c>
      <c r="O149" s="43">
        <v>17428.63</v>
      </c>
      <c r="P149" s="44">
        <v>3200</v>
      </c>
      <c r="Q149" s="44">
        <v>24704.66</v>
      </c>
      <c r="R149" s="45">
        <v>0.02</v>
      </c>
      <c r="S149" s="46">
        <v>0</v>
      </c>
      <c r="T149" s="39">
        <f t="shared" si="57"/>
        <v>30</v>
      </c>
      <c r="U149" s="47">
        <f t="shared" si="58"/>
        <v>0.18790251345817852</v>
      </c>
      <c r="V149" s="48">
        <f t="shared" si="59"/>
        <v>1.3499999999999999</v>
      </c>
      <c r="W149" s="49">
        <f t="shared" si="60"/>
        <v>6.2634171152726173E-3</v>
      </c>
      <c r="X149" s="44">
        <f t="shared" si="61"/>
        <v>1943.6256429036796</v>
      </c>
      <c r="Y149" s="44">
        <f t="shared" si="62"/>
        <v>21504.66</v>
      </c>
      <c r="Z149" s="44">
        <f t="shared" si="63"/>
        <v>12029.29079794125</v>
      </c>
      <c r="AA149" s="50">
        <f t="shared" si="64"/>
        <v>26648.28564290368</v>
      </c>
      <c r="AB149" s="51">
        <f t="shared" si="65"/>
        <v>11245.480787081658</v>
      </c>
      <c r="AC149" s="44">
        <f t="shared" si="66"/>
        <v>24911.924504911356</v>
      </c>
      <c r="AD149" s="44">
        <f t="shared" si="67"/>
        <v>4212.1545295335727</v>
      </c>
      <c r="AE149" s="44">
        <f t="shared" si="68"/>
        <v>0</v>
      </c>
      <c r="AF149" s="52">
        <f>HLOOKUP(I149,ElecAvoidedCostsWOCC!$A$5:$Q$50,G149+1,FALSE)</f>
        <v>2.3666688857668672</v>
      </c>
      <c r="AG149" s="44">
        <f t="shared" si="69"/>
        <v>41247.796342542992</v>
      </c>
      <c r="AH149" s="52">
        <f>HLOOKUP(I149,ElecAvoidedCostsWOCC!$A$5:$Q$50,T149+1,FALSE)</f>
        <v>2.3666688857668672</v>
      </c>
      <c r="AI149" s="44">
        <f t="shared" si="70"/>
        <v>0</v>
      </c>
      <c r="AJ149" s="44">
        <f t="shared" si="71"/>
        <v>41247.796342542992</v>
      </c>
      <c r="AK149" s="44">
        <f>HLOOKUP(I149,ElecAvoidedCostsWOCC!$A$5:$Q$50,G149+1,FALSE)*J149*L149</f>
        <v>0</v>
      </c>
      <c r="AL149" s="44">
        <f t="shared" si="72"/>
        <v>41247.796342542992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41247.796342542992</v>
      </c>
      <c r="AN149" s="48">
        <f t="shared" si="73"/>
        <v>49584.730506330867</v>
      </c>
      <c r="AO149" s="47">
        <f t="shared" si="74"/>
        <v>3.6679442278650058</v>
      </c>
      <c r="AP149" s="47">
        <f t="shared" si="75"/>
        <v>1.9904014439573023</v>
      </c>
      <c r="AQ149">
        <v>2020</v>
      </c>
    </row>
    <row r="150" spans="2:43">
      <c r="B150" s="97" t="s">
        <v>15</v>
      </c>
      <c r="C150" s="61">
        <v>18230627</v>
      </c>
      <c r="D150" s="61" t="s">
        <v>80</v>
      </c>
      <c r="E150" s="38" t="s">
        <v>730</v>
      </c>
      <c r="F150" s="39" t="s">
        <v>731</v>
      </c>
      <c r="G150" s="39">
        <v>45</v>
      </c>
      <c r="H150" s="39"/>
      <c r="I150" s="40" t="s">
        <v>269</v>
      </c>
      <c r="J150" s="41">
        <v>56044</v>
      </c>
      <c r="K150" s="41">
        <v>1.03</v>
      </c>
      <c r="L150" s="41"/>
      <c r="M150" s="42">
        <v>0.25</v>
      </c>
      <c r="N150" s="42">
        <v>1.46</v>
      </c>
      <c r="O150" s="43">
        <v>57725.32</v>
      </c>
      <c r="P150" s="44">
        <v>11400</v>
      </c>
      <c r="Q150" s="44">
        <v>81824.240000000005</v>
      </c>
      <c r="R150" s="45">
        <v>0.02</v>
      </c>
      <c r="S150" s="46">
        <v>0</v>
      </c>
      <c r="T150" s="39">
        <f t="shared" si="57"/>
        <v>45</v>
      </c>
      <c r="U150" s="47">
        <f t="shared" si="58"/>
        <v>0.93352713766179507</v>
      </c>
      <c r="V150" s="48">
        <f t="shared" si="59"/>
        <v>1.21</v>
      </c>
      <c r="W150" s="49">
        <f t="shared" si="60"/>
        <v>2.0745047503595446E-2</v>
      </c>
      <c r="X150" s="44">
        <f t="shared" si="61"/>
        <v>6437.4774263278659</v>
      </c>
      <c r="Y150" s="44">
        <f t="shared" si="62"/>
        <v>70424.240000000005</v>
      </c>
      <c r="Z150" s="44">
        <f t="shared" si="63"/>
        <v>39842.182700775331</v>
      </c>
      <c r="AA150" s="50">
        <f t="shared" si="64"/>
        <v>88261.717426327872</v>
      </c>
      <c r="AB150" s="51">
        <f t="shared" si="65"/>
        <v>37246.127606595612</v>
      </c>
      <c r="AC150" s="44">
        <f t="shared" si="66"/>
        <v>82510.720226538149</v>
      </c>
      <c r="AD150" s="44">
        <f t="shared" si="67"/>
        <v>15306.072943864958</v>
      </c>
      <c r="AE150" s="44">
        <f t="shared" si="68"/>
        <v>0</v>
      </c>
      <c r="AF150" s="52">
        <f>HLOOKUP(I150,ElecAvoidedCostsWOCC!$A$5:$Q$50,G150+1,FALSE)</f>
        <v>3.4276422079642828</v>
      </c>
      <c r="AG150" s="44">
        <f t="shared" si="69"/>
        <v>197861.74330024477</v>
      </c>
      <c r="AH150" s="52">
        <f>HLOOKUP(I150,ElecAvoidedCostsWOCC!$A$5:$Q$50,T150+1,FALSE)</f>
        <v>3.4276422079642828</v>
      </c>
      <c r="AI150" s="44">
        <f t="shared" si="70"/>
        <v>0</v>
      </c>
      <c r="AJ150" s="44">
        <f t="shared" si="71"/>
        <v>197861.74330024477</v>
      </c>
      <c r="AK150" s="44">
        <f>HLOOKUP(I150,ElecAvoidedCostsWOCC!$A$5:$Q$50,G150+1,FALSE)*J150*L150</f>
        <v>0</v>
      </c>
      <c r="AL150" s="44">
        <f t="shared" si="72"/>
        <v>197861.74330024477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197861.74330024477</v>
      </c>
      <c r="AN150" s="48">
        <f t="shared" si="73"/>
        <v>232953.99057413422</v>
      </c>
      <c r="AO150" s="47">
        <f t="shared" si="74"/>
        <v>5.3122769000342211</v>
      </c>
      <c r="AP150" s="47">
        <f t="shared" si="75"/>
        <v>2.8233178662668927</v>
      </c>
      <c r="AQ150">
        <v>2020</v>
      </c>
    </row>
    <row r="151" spans="2:43">
      <c r="B151" s="97" t="s">
        <v>15</v>
      </c>
      <c r="C151" s="61">
        <v>18230627</v>
      </c>
      <c r="D151" s="61" t="s">
        <v>80</v>
      </c>
      <c r="E151" s="38" t="s">
        <v>1977</v>
      </c>
      <c r="F151" s="39" t="s">
        <v>1978</v>
      </c>
      <c r="G151" s="39">
        <v>30</v>
      </c>
      <c r="H151" s="39"/>
      <c r="I151" s="40" t="s">
        <v>269</v>
      </c>
      <c r="J151" s="41">
        <v>31726</v>
      </c>
      <c r="K151" s="41">
        <v>0.15</v>
      </c>
      <c r="L151" s="41"/>
      <c r="M151" s="42">
        <v>0.09</v>
      </c>
      <c r="N151" s="42">
        <v>0.2</v>
      </c>
      <c r="O151" s="43">
        <v>4758.8999999999996</v>
      </c>
      <c r="P151" s="44">
        <v>2771.42</v>
      </c>
      <c r="Q151" s="44">
        <v>6345.2</v>
      </c>
      <c r="R151" s="45">
        <v>0</v>
      </c>
      <c r="S151" s="46">
        <v>0</v>
      </c>
      <c r="T151" s="39">
        <f t="shared" si="57"/>
        <v>30</v>
      </c>
      <c r="U151" s="47">
        <f t="shared" si="58"/>
        <v>5.1306916911778244E-2</v>
      </c>
      <c r="V151" s="48">
        <f t="shared" si="59"/>
        <v>0.11000000000000001</v>
      </c>
      <c r="W151" s="49">
        <f t="shared" si="60"/>
        <v>1.7102305637259414E-3</v>
      </c>
      <c r="X151" s="44">
        <f t="shared" si="61"/>
        <v>530.70838453821784</v>
      </c>
      <c r="Y151" s="44">
        <f t="shared" si="62"/>
        <v>3573.7799999999997</v>
      </c>
      <c r="Z151" s="44">
        <f t="shared" si="63"/>
        <v>3284.6065340949117</v>
      </c>
      <c r="AA151" s="50">
        <f t="shared" si="64"/>
        <v>6875.9083845382174</v>
      </c>
      <c r="AB151" s="51">
        <f t="shared" si="65"/>
        <v>3070.5866449424243</v>
      </c>
      <c r="AC151" s="44">
        <f t="shared" si="66"/>
        <v>6427.8848130674178</v>
      </c>
      <c r="AD151" s="44">
        <f t="shared" si="67"/>
        <v>0</v>
      </c>
      <c r="AE151" s="44">
        <f t="shared" si="68"/>
        <v>0</v>
      </c>
      <c r="AF151" s="52">
        <f>HLOOKUP(I151,ElecAvoidedCostsWOCC!$A$5:$Q$50,G151+1,FALSE)</f>
        <v>2.3666688857668672</v>
      </c>
      <c r="AG151" s="44">
        <f t="shared" si="69"/>
        <v>11262.740560475942</v>
      </c>
      <c r="AH151" s="52">
        <f>HLOOKUP(I151,ElecAvoidedCostsWOCC!$A$5:$Q$50,T151+1,FALSE)</f>
        <v>2.3666688857668672</v>
      </c>
      <c r="AI151" s="44">
        <f t="shared" si="70"/>
        <v>0</v>
      </c>
      <c r="AJ151" s="44">
        <f t="shared" si="71"/>
        <v>11262.740560475942</v>
      </c>
      <c r="AK151" s="44">
        <f>HLOOKUP(I151,ElecAvoidedCostsWOCC!$A$5:$Q$50,G151+1,FALSE)*J151*L151</f>
        <v>0</v>
      </c>
      <c r="AL151" s="44">
        <f t="shared" si="72"/>
        <v>11262.740560475942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11262.740560475944</v>
      </c>
      <c r="AN151" s="48">
        <f t="shared" si="73"/>
        <v>12389.01461652354</v>
      </c>
      <c r="AO151" s="47">
        <f t="shared" si="74"/>
        <v>3.6679442278650076</v>
      </c>
      <c r="AP151" s="47">
        <f t="shared" si="75"/>
        <v>1.9273859094888544</v>
      </c>
      <c r="AQ151">
        <v>2020</v>
      </c>
    </row>
    <row r="152" spans="2:43">
      <c r="B152" s="97" t="s">
        <v>15</v>
      </c>
      <c r="C152" s="61">
        <v>18230627</v>
      </c>
      <c r="D152" s="61" t="s">
        <v>80</v>
      </c>
      <c r="E152" s="38" t="s">
        <v>1981</v>
      </c>
      <c r="F152" s="39" t="s">
        <v>1982</v>
      </c>
      <c r="G152" s="39">
        <v>30</v>
      </c>
      <c r="H152" s="39"/>
      <c r="I152" s="40" t="s">
        <v>269</v>
      </c>
      <c r="J152" s="41">
        <v>42083</v>
      </c>
      <c r="K152" s="41">
        <v>0.15</v>
      </c>
      <c r="L152" s="41"/>
      <c r="M152" s="42">
        <v>0.09</v>
      </c>
      <c r="N152" s="42">
        <v>0.2</v>
      </c>
      <c r="O152" s="43">
        <v>6312.45</v>
      </c>
      <c r="P152" s="44">
        <v>3538.51</v>
      </c>
      <c r="Q152" s="44">
        <v>8416.6</v>
      </c>
      <c r="R152" s="45">
        <v>0</v>
      </c>
      <c r="S152" s="46">
        <v>0</v>
      </c>
      <c r="T152" s="39">
        <f t="shared" si="57"/>
        <v>30</v>
      </c>
      <c r="U152" s="47">
        <f t="shared" si="58"/>
        <v>6.8056136430636183E-2</v>
      </c>
      <c r="V152" s="48">
        <f t="shared" si="59"/>
        <v>0.11000000000000001</v>
      </c>
      <c r="W152" s="49">
        <f t="shared" si="60"/>
        <v>2.2685378810212062E-3</v>
      </c>
      <c r="X152" s="44">
        <f t="shared" si="61"/>
        <v>703.95892789894162</v>
      </c>
      <c r="Y152" s="44">
        <f t="shared" si="62"/>
        <v>4878.09</v>
      </c>
      <c r="Z152" s="44">
        <f t="shared" si="63"/>
        <v>4356.8712341397013</v>
      </c>
      <c r="AA152" s="50">
        <f t="shared" si="64"/>
        <v>9120.5589278989428</v>
      </c>
      <c r="AB152" s="51">
        <f t="shared" si="65"/>
        <v>4072.984233093111</v>
      </c>
      <c r="AC152" s="44">
        <f t="shared" si="66"/>
        <v>8526.2773935673013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2.3666688857668672</v>
      </c>
      <c r="AG152" s="44">
        <f t="shared" si="69"/>
        <v>14939.47900795906</v>
      </c>
      <c r="AH152" s="52">
        <f>HLOOKUP(I152,ElecAvoidedCostsWOCC!$A$5:$Q$50,T152+1,FALSE)</f>
        <v>2.3666688857668672</v>
      </c>
      <c r="AI152" s="44">
        <f t="shared" si="70"/>
        <v>0</v>
      </c>
      <c r="AJ152" s="44">
        <f t="shared" si="71"/>
        <v>14939.47900795906</v>
      </c>
      <c r="AK152" s="44">
        <f>HLOOKUP(I152,ElecAvoidedCostsWOCC!$A$5:$Q$50,G152+1,FALSE)*J152*L152</f>
        <v>0</v>
      </c>
      <c r="AL152" s="44">
        <f t="shared" si="72"/>
        <v>14939.47900795906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14939.47900795906</v>
      </c>
      <c r="AN152" s="48">
        <f t="shared" si="73"/>
        <v>16433.426908754969</v>
      </c>
      <c r="AO152" s="47">
        <f t="shared" si="74"/>
        <v>3.6679442278650072</v>
      </c>
      <c r="AP152" s="47">
        <f t="shared" si="75"/>
        <v>1.9273859094888541</v>
      </c>
      <c r="AQ152">
        <v>2020</v>
      </c>
    </row>
    <row r="153" spans="2:43">
      <c r="B153" s="97" t="s">
        <v>15</v>
      </c>
      <c r="C153" s="61">
        <v>18230627</v>
      </c>
      <c r="D153" s="61" t="s">
        <v>80</v>
      </c>
      <c r="E153" s="38" t="s">
        <v>1987</v>
      </c>
      <c r="F153" s="39" t="s">
        <v>1988</v>
      </c>
      <c r="G153" s="39">
        <v>18</v>
      </c>
      <c r="H153" s="39"/>
      <c r="I153" s="40" t="s">
        <v>269</v>
      </c>
      <c r="J153" s="41">
        <v>4</v>
      </c>
      <c r="K153" s="41">
        <v>973</v>
      </c>
      <c r="L153" s="41"/>
      <c r="M153" s="42">
        <v>450</v>
      </c>
      <c r="N153" s="42">
        <v>462.66</v>
      </c>
      <c r="O153" s="43">
        <v>3892</v>
      </c>
      <c r="P153" s="44">
        <v>1800</v>
      </c>
      <c r="Q153" s="44">
        <v>1850.64</v>
      </c>
      <c r="R153" s="45">
        <v>0</v>
      </c>
      <c r="S153" s="46">
        <v>0</v>
      </c>
      <c r="T153" s="39">
        <f t="shared" si="57"/>
        <v>18</v>
      </c>
      <c r="U153" s="47">
        <f t="shared" si="58"/>
        <v>2.5176387898965005E-2</v>
      </c>
      <c r="V153" s="48">
        <f t="shared" si="59"/>
        <v>12.660000000000025</v>
      </c>
      <c r="W153" s="49">
        <f t="shared" si="60"/>
        <v>1.3986882166091669E-3</v>
      </c>
      <c r="X153" s="44">
        <f t="shared" si="61"/>
        <v>434.03245132756393</v>
      </c>
      <c r="Y153" s="44">
        <f t="shared" si="62"/>
        <v>50.6400000000001</v>
      </c>
      <c r="Z153" s="44">
        <f t="shared" si="63"/>
        <v>2686.2696485947172</v>
      </c>
      <c r="AA153" s="50">
        <f t="shared" si="64"/>
        <v>2284.672451327564</v>
      </c>
      <c r="AB153" s="51">
        <f t="shared" si="65"/>
        <v>2511.2364668549285</v>
      </c>
      <c r="AC153" s="44">
        <f t="shared" si="66"/>
        <v>2135.8067227517658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1.5960324064820535</v>
      </c>
      <c r="AG153" s="44">
        <f t="shared" si="69"/>
        <v>6211.7581260281522</v>
      </c>
      <c r="AH153" s="52">
        <f>HLOOKUP(I153,ElecAvoidedCostsWOCC!$A$5:$Q$50,T153+1,FALSE)</f>
        <v>1.5960324064820535</v>
      </c>
      <c r="AI153" s="44">
        <f t="shared" si="70"/>
        <v>0</v>
      </c>
      <c r="AJ153" s="44">
        <f t="shared" si="71"/>
        <v>6211.7581260281522</v>
      </c>
      <c r="AK153" s="44">
        <f>HLOOKUP(I153,ElecAvoidedCostsWOCC!$A$5:$Q$50,G153+1,FALSE)*J153*L153</f>
        <v>0</v>
      </c>
      <c r="AL153" s="44">
        <f t="shared" si="72"/>
        <v>6211.7581260281522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6211.7581260281522</v>
      </c>
      <c r="AN153" s="48">
        <f t="shared" si="73"/>
        <v>6832.9339386309684</v>
      </c>
      <c r="AO153" s="47">
        <f t="shared" si="74"/>
        <v>2.4735855057917964</v>
      </c>
      <c r="AP153" s="47">
        <f t="shared" si="75"/>
        <v>3.1992285939747585</v>
      </c>
      <c r="AQ153">
        <v>2020</v>
      </c>
    </row>
    <row r="154" spans="2:43">
      <c r="B154" s="97" t="s">
        <v>15</v>
      </c>
      <c r="C154" s="61">
        <v>18230627</v>
      </c>
      <c r="D154" s="61" t="s">
        <v>80</v>
      </c>
      <c r="E154" s="38" t="s">
        <v>1989</v>
      </c>
      <c r="F154" s="39" t="s">
        <v>1990</v>
      </c>
      <c r="G154" s="39">
        <v>18</v>
      </c>
      <c r="H154" s="39"/>
      <c r="I154" s="40" t="s">
        <v>269</v>
      </c>
      <c r="J154" s="41">
        <v>2</v>
      </c>
      <c r="K154" s="41">
        <v>973</v>
      </c>
      <c r="L154" s="41"/>
      <c r="M154" s="42">
        <v>300</v>
      </c>
      <c r="N154" s="42">
        <v>462.66</v>
      </c>
      <c r="O154" s="43">
        <v>1946</v>
      </c>
      <c r="P154" s="44">
        <v>600</v>
      </c>
      <c r="Q154" s="44">
        <v>925.32</v>
      </c>
      <c r="R154" s="45">
        <v>0</v>
      </c>
      <c r="S154" s="46">
        <v>0</v>
      </c>
      <c r="T154" s="39">
        <f t="shared" si="57"/>
        <v>18</v>
      </c>
      <c r="U154" s="47">
        <f t="shared" si="58"/>
        <v>1.2588193949482502E-2</v>
      </c>
      <c r="V154" s="48">
        <f t="shared" si="59"/>
        <v>162.66000000000003</v>
      </c>
      <c r="W154" s="49">
        <f t="shared" si="60"/>
        <v>6.9934410830458347E-4</v>
      </c>
      <c r="X154" s="44">
        <f t="shared" si="61"/>
        <v>217.01622566378197</v>
      </c>
      <c r="Y154" s="44">
        <f t="shared" si="62"/>
        <v>325.32000000000005</v>
      </c>
      <c r="Z154" s="44">
        <f t="shared" si="63"/>
        <v>1343.1348242973586</v>
      </c>
      <c r="AA154" s="50">
        <f t="shared" si="64"/>
        <v>1142.336225663782</v>
      </c>
      <c r="AB154" s="51">
        <f t="shared" si="65"/>
        <v>1255.6182334274642</v>
      </c>
      <c r="AC154" s="44">
        <f t="shared" si="66"/>
        <v>1067.9033613758829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1.5960324064820535</v>
      </c>
      <c r="AG154" s="44">
        <f t="shared" si="69"/>
        <v>3105.8790630140761</v>
      </c>
      <c r="AH154" s="52">
        <f>HLOOKUP(I154,ElecAvoidedCostsWOCC!$A$5:$Q$50,T154+1,FALSE)</f>
        <v>1.5960324064820535</v>
      </c>
      <c r="AI154" s="44">
        <f t="shared" si="70"/>
        <v>0</v>
      </c>
      <c r="AJ154" s="44">
        <f t="shared" si="71"/>
        <v>3105.8790630140761</v>
      </c>
      <c r="AK154" s="44">
        <f>HLOOKUP(I154,ElecAvoidedCostsWOCC!$A$5:$Q$50,G154+1,FALSE)*J154*L154</f>
        <v>0</v>
      </c>
      <c r="AL154" s="44">
        <f t="shared" si="72"/>
        <v>3105.8790630140761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3105.8790630140761</v>
      </c>
      <c r="AN154" s="48">
        <f t="shared" si="73"/>
        <v>3416.4669693154842</v>
      </c>
      <c r="AO154" s="47">
        <f t="shared" si="74"/>
        <v>2.4735855057917964</v>
      </c>
      <c r="AP154" s="47">
        <f t="shared" si="75"/>
        <v>3.1992285939747585</v>
      </c>
      <c r="AQ154">
        <v>2020</v>
      </c>
    </row>
    <row r="155" spans="2:43">
      <c r="B155" s="97" t="s">
        <v>15</v>
      </c>
      <c r="C155" s="61">
        <v>18230627</v>
      </c>
      <c r="D155" s="61" t="s">
        <v>80</v>
      </c>
      <c r="E155" s="38" t="s">
        <v>1991</v>
      </c>
      <c r="F155" s="39" t="s">
        <v>734</v>
      </c>
      <c r="G155" s="39">
        <v>20</v>
      </c>
      <c r="H155" s="39"/>
      <c r="I155" s="40" t="s">
        <v>269</v>
      </c>
      <c r="J155" s="41">
        <v>18</v>
      </c>
      <c r="K155" s="41">
        <v>1859</v>
      </c>
      <c r="L155" s="41"/>
      <c r="M155" s="42">
        <v>400</v>
      </c>
      <c r="N155" s="42">
        <v>1000</v>
      </c>
      <c r="O155" s="43">
        <v>33462</v>
      </c>
      <c r="P155" s="44">
        <v>6601.85</v>
      </c>
      <c r="Q155" s="44">
        <v>18000</v>
      </c>
      <c r="R155" s="45">
        <v>0</v>
      </c>
      <c r="S155" s="46">
        <v>0</v>
      </c>
      <c r="T155" s="39">
        <f t="shared" si="57"/>
        <v>20</v>
      </c>
      <c r="U155" s="47">
        <f t="shared" si="58"/>
        <v>0.24050824822289796</v>
      </c>
      <c r="V155" s="48">
        <f t="shared" si="59"/>
        <v>600</v>
      </c>
      <c r="W155" s="49">
        <f t="shared" si="60"/>
        <v>1.2025412411144899E-2</v>
      </c>
      <c r="X155" s="44">
        <f t="shared" si="61"/>
        <v>3731.6531054272727</v>
      </c>
      <c r="Y155" s="44">
        <f t="shared" si="62"/>
        <v>11398.15</v>
      </c>
      <c r="Z155" s="44">
        <f t="shared" si="63"/>
        <v>23095.569111324876</v>
      </c>
      <c r="AA155" s="50">
        <f t="shared" si="64"/>
        <v>21731.653105427271</v>
      </c>
      <c r="AB155" s="51">
        <f t="shared" si="65"/>
        <v>21590.697495863209</v>
      </c>
      <c r="AC155" s="44">
        <f t="shared" si="66"/>
        <v>20315.652150534981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1.727945421646023</v>
      </c>
      <c r="AG155" s="44">
        <f t="shared" si="69"/>
        <v>57820.509699119226</v>
      </c>
      <c r="AH155" s="52">
        <f>HLOOKUP(I155,ElecAvoidedCostsWOCC!$A$5:$Q$50,T155+1,FALSE)</f>
        <v>1.727945421646023</v>
      </c>
      <c r="AI155" s="44">
        <f t="shared" si="70"/>
        <v>0</v>
      </c>
      <c r="AJ155" s="44">
        <f t="shared" si="71"/>
        <v>57820.509699119226</v>
      </c>
      <c r="AK155" s="44">
        <f>HLOOKUP(I155,ElecAvoidedCostsWOCC!$A$5:$Q$50,G155+1,FALSE)*J155*L155</f>
        <v>0</v>
      </c>
      <c r="AL155" s="44">
        <f t="shared" si="72"/>
        <v>57820.509699119226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57820.509699119226</v>
      </c>
      <c r="AN155" s="48">
        <f t="shared" si="73"/>
        <v>63602.560669031154</v>
      </c>
      <c r="AO155" s="47">
        <f t="shared" si="74"/>
        <v>2.6780287996808658</v>
      </c>
      <c r="AP155" s="47">
        <f t="shared" si="75"/>
        <v>3.1307171533430829</v>
      </c>
      <c r="AQ155">
        <v>2020</v>
      </c>
    </row>
    <row r="156" spans="2:43">
      <c r="B156" s="97" t="s">
        <v>15</v>
      </c>
      <c r="C156" s="61">
        <v>18230627</v>
      </c>
      <c r="D156" s="61" t="s">
        <v>80</v>
      </c>
      <c r="E156" s="38" t="s">
        <v>733</v>
      </c>
      <c r="F156" s="39" t="s">
        <v>734</v>
      </c>
      <c r="G156" s="39">
        <v>20</v>
      </c>
      <c r="H156" s="39"/>
      <c r="I156" s="40" t="s">
        <v>269</v>
      </c>
      <c r="J156" s="41">
        <v>98</v>
      </c>
      <c r="K156" s="41">
        <v>1253</v>
      </c>
      <c r="L156" s="41"/>
      <c r="M156" s="42">
        <v>400</v>
      </c>
      <c r="N156" s="42">
        <v>1000</v>
      </c>
      <c r="O156" s="43">
        <v>122794</v>
      </c>
      <c r="P156" s="44">
        <v>37158.199999999997</v>
      </c>
      <c r="Q156" s="44">
        <v>98000</v>
      </c>
      <c r="R156" s="45">
        <v>0</v>
      </c>
      <c r="S156" s="46">
        <v>0</v>
      </c>
      <c r="T156" s="39">
        <f t="shared" si="57"/>
        <v>20</v>
      </c>
      <c r="U156" s="47">
        <f t="shared" si="58"/>
        <v>0.88258232718553975</v>
      </c>
      <c r="V156" s="48">
        <f t="shared" si="59"/>
        <v>600</v>
      </c>
      <c r="W156" s="49">
        <f t="shared" si="60"/>
        <v>4.4129116359276986E-2</v>
      </c>
      <c r="X156" s="44">
        <f t="shared" si="61"/>
        <v>13693.879966165694</v>
      </c>
      <c r="Y156" s="44">
        <f t="shared" si="62"/>
        <v>60841.8</v>
      </c>
      <c r="Z156" s="44">
        <f t="shared" si="63"/>
        <v>84752.773697209574</v>
      </c>
      <c r="AA156" s="50">
        <f t="shared" si="64"/>
        <v>111693.8799661657</v>
      </c>
      <c r="AB156" s="51">
        <f t="shared" si="65"/>
        <v>79230.413851743069</v>
      </c>
      <c r="AC156" s="44">
        <f t="shared" si="66"/>
        <v>104416.07924293324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1.727945421646023</v>
      </c>
      <c r="AG156" s="44">
        <f t="shared" si="69"/>
        <v>212181.33010560175</v>
      </c>
      <c r="AH156" s="52">
        <f>HLOOKUP(I156,ElecAvoidedCostsWOCC!$A$5:$Q$50,T156+1,FALSE)</f>
        <v>1.727945421646023</v>
      </c>
      <c r="AI156" s="44">
        <f t="shared" si="70"/>
        <v>0</v>
      </c>
      <c r="AJ156" s="44">
        <f t="shared" si="71"/>
        <v>212181.33010560175</v>
      </c>
      <c r="AK156" s="44">
        <f>HLOOKUP(I156,ElecAvoidedCostsWOCC!$A$5:$Q$50,G156+1,FALSE)*J156*L156</f>
        <v>0</v>
      </c>
      <c r="AL156" s="44">
        <f t="shared" si="72"/>
        <v>212181.33010560175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212181.33010560175</v>
      </c>
      <c r="AN156" s="48">
        <f t="shared" si="73"/>
        <v>233399.46311616193</v>
      </c>
      <c r="AO156" s="47">
        <f t="shared" si="74"/>
        <v>2.6780287996808658</v>
      </c>
      <c r="AP156" s="47">
        <f t="shared" si="75"/>
        <v>2.2352827726191236</v>
      </c>
      <c r="AQ156">
        <v>2020</v>
      </c>
    </row>
    <row r="157" spans="2:43">
      <c r="B157" s="97" t="s">
        <v>15</v>
      </c>
      <c r="C157" s="61">
        <v>18230627</v>
      </c>
      <c r="D157" s="61" t="s">
        <v>80</v>
      </c>
      <c r="E157" s="38" t="s">
        <v>1993</v>
      </c>
      <c r="F157" s="39" t="s">
        <v>740</v>
      </c>
      <c r="G157" s="39">
        <v>20</v>
      </c>
      <c r="H157" s="39"/>
      <c r="I157" s="40" t="s">
        <v>269</v>
      </c>
      <c r="J157" s="41">
        <v>2</v>
      </c>
      <c r="K157" s="41">
        <v>1049</v>
      </c>
      <c r="L157" s="41"/>
      <c r="M157" s="42">
        <v>300</v>
      </c>
      <c r="N157" s="42">
        <v>550</v>
      </c>
      <c r="O157" s="43">
        <v>2098</v>
      </c>
      <c r="P157" s="44">
        <v>600</v>
      </c>
      <c r="Q157" s="44">
        <v>1100</v>
      </c>
      <c r="R157" s="45">
        <v>0</v>
      </c>
      <c r="S157" s="46">
        <v>0</v>
      </c>
      <c r="T157" s="39">
        <f t="shared" si="57"/>
        <v>20</v>
      </c>
      <c r="U157" s="47">
        <f t="shared" si="58"/>
        <v>1.5079382725827503E-2</v>
      </c>
      <c r="V157" s="48">
        <f t="shared" si="59"/>
        <v>250</v>
      </c>
      <c r="W157" s="49">
        <f t="shared" si="60"/>
        <v>7.5396913629137516E-4</v>
      </c>
      <c r="X157" s="44">
        <f t="shared" si="61"/>
        <v>233.96713332097357</v>
      </c>
      <c r="Y157" s="44">
        <f t="shared" si="62"/>
        <v>500</v>
      </c>
      <c r="Z157" s="44">
        <f t="shared" si="63"/>
        <v>1448.0456636052713</v>
      </c>
      <c r="AA157" s="50">
        <f t="shared" si="64"/>
        <v>1333.9671333209735</v>
      </c>
      <c r="AB157" s="51">
        <f t="shared" si="65"/>
        <v>1353.6932444659915</v>
      </c>
      <c r="AC157" s="44">
        <f t="shared" si="66"/>
        <v>1247.0478950369013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1.727945421646023</v>
      </c>
      <c r="AG157" s="44">
        <f t="shared" si="69"/>
        <v>3625.2294946133566</v>
      </c>
      <c r="AH157" s="52">
        <f>HLOOKUP(I157,ElecAvoidedCostsWOCC!$A$5:$Q$50,T157+1,FALSE)</f>
        <v>1.727945421646023</v>
      </c>
      <c r="AI157" s="44">
        <f t="shared" si="70"/>
        <v>0</v>
      </c>
      <c r="AJ157" s="44">
        <f t="shared" si="71"/>
        <v>3625.2294946133566</v>
      </c>
      <c r="AK157" s="44">
        <f>HLOOKUP(I157,ElecAvoidedCostsWOCC!$A$5:$Q$50,G157+1,FALSE)*J157*L157</f>
        <v>0</v>
      </c>
      <c r="AL157" s="44">
        <f t="shared" si="72"/>
        <v>3625.2294946133566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3625.2294946133566</v>
      </c>
      <c r="AN157" s="48">
        <f t="shared" si="73"/>
        <v>3987.7524440746924</v>
      </c>
      <c r="AO157" s="47">
        <f t="shared" si="74"/>
        <v>2.6780287996808663</v>
      </c>
      <c r="AP157" s="47">
        <f t="shared" si="75"/>
        <v>3.1977540397168878</v>
      </c>
      <c r="AQ157">
        <v>2020</v>
      </c>
    </row>
    <row r="158" spans="2:43">
      <c r="B158" s="97" t="s">
        <v>15</v>
      </c>
      <c r="C158" s="61">
        <v>18230627</v>
      </c>
      <c r="D158" s="61" t="s">
        <v>80</v>
      </c>
      <c r="E158" s="38" t="s">
        <v>739</v>
      </c>
      <c r="F158" s="39" t="s">
        <v>740</v>
      </c>
      <c r="G158" s="39">
        <v>20</v>
      </c>
      <c r="H158" s="39"/>
      <c r="I158" s="40" t="s">
        <v>269</v>
      </c>
      <c r="J158" s="41">
        <v>7</v>
      </c>
      <c r="K158" s="41">
        <v>1254</v>
      </c>
      <c r="L158" s="41"/>
      <c r="M158" s="42">
        <v>300</v>
      </c>
      <c r="N158" s="42">
        <v>631.58000000000004</v>
      </c>
      <c r="O158" s="43">
        <v>8778</v>
      </c>
      <c r="P158" s="44">
        <v>2099.5500000000002</v>
      </c>
      <c r="Q158" s="44">
        <v>4421.0600000000004</v>
      </c>
      <c r="R158" s="45">
        <v>0</v>
      </c>
      <c r="S158" s="46">
        <v>0</v>
      </c>
      <c r="T158" s="39">
        <f t="shared" si="57"/>
        <v>20</v>
      </c>
      <c r="U158" s="47">
        <f t="shared" si="58"/>
        <v>6.3091907324744428E-2</v>
      </c>
      <c r="V158" s="48">
        <f t="shared" si="59"/>
        <v>331.58000000000004</v>
      </c>
      <c r="W158" s="49">
        <f t="shared" si="60"/>
        <v>3.1545953662372216E-3</v>
      </c>
      <c r="X158" s="44">
        <f t="shared" si="61"/>
        <v>978.91491720281499</v>
      </c>
      <c r="Y158" s="44">
        <f t="shared" si="62"/>
        <v>2321.5100000000002</v>
      </c>
      <c r="Z158" s="44">
        <f t="shared" si="63"/>
        <v>6058.6009700319682</v>
      </c>
      <c r="AA158" s="50">
        <f t="shared" si="64"/>
        <v>5399.974917202815</v>
      </c>
      <c r="AB158" s="51">
        <f t="shared" si="65"/>
        <v>5663.831887474963</v>
      </c>
      <c r="AC158" s="44">
        <f t="shared" si="66"/>
        <v>5048.1208910935911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1.727945421646023</v>
      </c>
      <c r="AG158" s="44">
        <f t="shared" si="69"/>
        <v>15167.904911208791</v>
      </c>
      <c r="AH158" s="52">
        <f>HLOOKUP(I158,ElecAvoidedCostsWOCC!$A$5:$Q$50,T158+1,FALSE)</f>
        <v>1.727945421646023</v>
      </c>
      <c r="AI158" s="44">
        <f t="shared" si="70"/>
        <v>0</v>
      </c>
      <c r="AJ158" s="44">
        <f t="shared" si="71"/>
        <v>15167.904911208791</v>
      </c>
      <c r="AK158" s="44">
        <f>HLOOKUP(I158,ElecAvoidedCostsWOCC!$A$5:$Q$50,G158+1,FALSE)*J158*L158</f>
        <v>0</v>
      </c>
      <c r="AL158" s="44">
        <f t="shared" si="72"/>
        <v>15167.904911208791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15167.904911208792</v>
      </c>
      <c r="AN158" s="48">
        <f t="shared" si="73"/>
        <v>16684.695402329671</v>
      </c>
      <c r="AO158" s="47">
        <f t="shared" si="74"/>
        <v>2.6780287996808667</v>
      </c>
      <c r="AP158" s="47">
        <f t="shared" si="75"/>
        <v>3.3051299210695428</v>
      </c>
      <c r="AQ158">
        <v>2020</v>
      </c>
    </row>
    <row r="159" spans="2:43">
      <c r="B159" s="97" t="s">
        <v>15</v>
      </c>
      <c r="C159" s="61">
        <v>18230627</v>
      </c>
      <c r="D159" s="61" t="s">
        <v>80</v>
      </c>
      <c r="E159" s="38" t="s">
        <v>1995</v>
      </c>
      <c r="F159" s="39" t="s">
        <v>744</v>
      </c>
      <c r="G159" s="39">
        <v>20</v>
      </c>
      <c r="H159" s="39"/>
      <c r="I159" s="40" t="s">
        <v>269</v>
      </c>
      <c r="J159" s="41">
        <v>1</v>
      </c>
      <c r="K159" s="41">
        <v>752</v>
      </c>
      <c r="L159" s="41"/>
      <c r="M159" s="42">
        <v>300</v>
      </c>
      <c r="N159" s="42">
        <v>608.58000000000004</v>
      </c>
      <c r="O159" s="43">
        <v>752</v>
      </c>
      <c r="P159" s="44">
        <v>300</v>
      </c>
      <c r="Q159" s="44">
        <v>608.58000000000004</v>
      </c>
      <c r="R159" s="45">
        <v>0</v>
      </c>
      <c r="S159" s="46">
        <v>0</v>
      </c>
      <c r="T159" s="39">
        <f t="shared" si="57"/>
        <v>20</v>
      </c>
      <c r="U159" s="47">
        <f t="shared" si="58"/>
        <v>5.4050027692193912E-3</v>
      </c>
      <c r="V159" s="48">
        <f t="shared" si="59"/>
        <v>308.58000000000004</v>
      </c>
      <c r="W159" s="49">
        <f t="shared" si="60"/>
        <v>2.7025013846096956E-4</v>
      </c>
      <c r="X159" s="44">
        <f t="shared" si="61"/>
        <v>83.862385251368991</v>
      </c>
      <c r="Y159" s="44">
        <f t="shared" si="62"/>
        <v>308.58000000000004</v>
      </c>
      <c r="Z159" s="44">
        <f t="shared" si="63"/>
        <v>519.03257341809535</v>
      </c>
      <c r="AA159" s="50">
        <f t="shared" si="64"/>
        <v>692.44238525136905</v>
      </c>
      <c r="AB159" s="51">
        <f t="shared" si="65"/>
        <v>485.21321250639926</v>
      </c>
      <c r="AC159" s="44">
        <f t="shared" si="66"/>
        <v>647.3239088074871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1.727945421646023</v>
      </c>
      <c r="AG159" s="44">
        <f t="shared" si="69"/>
        <v>1299.4149570778093</v>
      </c>
      <c r="AH159" s="52">
        <f>HLOOKUP(I159,ElecAvoidedCostsWOCC!$A$5:$Q$50,T159+1,FALSE)</f>
        <v>1.727945421646023</v>
      </c>
      <c r="AI159" s="44">
        <f t="shared" si="70"/>
        <v>0</v>
      </c>
      <c r="AJ159" s="44">
        <f t="shared" si="71"/>
        <v>1299.4149570778093</v>
      </c>
      <c r="AK159" s="44">
        <f>HLOOKUP(I159,ElecAvoidedCostsWOCC!$A$5:$Q$50,G159+1,FALSE)*J159*L159</f>
        <v>0</v>
      </c>
      <c r="AL159" s="44">
        <f t="shared" si="72"/>
        <v>1299.4149570778093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1299.4149570778093</v>
      </c>
      <c r="AN159" s="48">
        <f t="shared" si="73"/>
        <v>1429.3564527855904</v>
      </c>
      <c r="AO159" s="47">
        <f t="shared" si="74"/>
        <v>2.6780287996808658</v>
      </c>
      <c r="AP159" s="47">
        <f t="shared" si="75"/>
        <v>2.2081008183658457</v>
      </c>
      <c r="AQ159">
        <v>2020</v>
      </c>
    </row>
    <row r="160" spans="2:43">
      <c r="B160" s="97" t="s">
        <v>15</v>
      </c>
      <c r="C160" s="61">
        <v>18230627</v>
      </c>
      <c r="D160" s="61" t="s">
        <v>80</v>
      </c>
      <c r="E160" s="38" t="s">
        <v>743</v>
      </c>
      <c r="F160" s="39" t="s">
        <v>744</v>
      </c>
      <c r="G160" s="39">
        <v>20</v>
      </c>
      <c r="H160" s="39"/>
      <c r="I160" s="40" t="s">
        <v>269</v>
      </c>
      <c r="J160" s="41">
        <v>4</v>
      </c>
      <c r="K160" s="41">
        <v>848</v>
      </c>
      <c r="L160" s="41"/>
      <c r="M160" s="42">
        <v>300</v>
      </c>
      <c r="N160" s="42">
        <v>631.58000000000004</v>
      </c>
      <c r="O160" s="43">
        <v>3392</v>
      </c>
      <c r="P160" s="44">
        <v>1117.25</v>
      </c>
      <c r="Q160" s="44">
        <v>2526.3200000000002</v>
      </c>
      <c r="R160" s="45">
        <v>0</v>
      </c>
      <c r="S160" s="46">
        <v>0</v>
      </c>
      <c r="T160" s="39">
        <f t="shared" si="57"/>
        <v>20</v>
      </c>
      <c r="U160" s="47">
        <f t="shared" si="58"/>
        <v>2.4380012490947039E-2</v>
      </c>
      <c r="V160" s="48">
        <f t="shared" si="59"/>
        <v>331.58000000000004</v>
      </c>
      <c r="W160" s="49">
        <f t="shared" si="60"/>
        <v>1.219000624547352E-3</v>
      </c>
      <c r="X160" s="44">
        <f t="shared" si="61"/>
        <v>378.27288666574947</v>
      </c>
      <c r="Y160" s="44">
        <f t="shared" si="62"/>
        <v>1409.0700000000002</v>
      </c>
      <c r="Z160" s="44">
        <f t="shared" si="63"/>
        <v>2341.168203502898</v>
      </c>
      <c r="AA160" s="50">
        <f t="shared" si="64"/>
        <v>2904.5928866657496</v>
      </c>
      <c r="AB160" s="51">
        <f t="shared" si="65"/>
        <v>2188.6212989650348</v>
      </c>
      <c r="AC160" s="44">
        <f t="shared" si="66"/>
        <v>2715.3340999025422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1.727945421646023</v>
      </c>
      <c r="AG160" s="44">
        <f t="shared" si="69"/>
        <v>5861.1908702233104</v>
      </c>
      <c r="AH160" s="52">
        <f>HLOOKUP(I160,ElecAvoidedCostsWOCC!$A$5:$Q$50,T160+1,FALSE)</f>
        <v>1.727945421646023</v>
      </c>
      <c r="AI160" s="44">
        <f t="shared" si="70"/>
        <v>0</v>
      </c>
      <c r="AJ160" s="44">
        <f t="shared" si="71"/>
        <v>5861.1908702233104</v>
      </c>
      <c r="AK160" s="44">
        <f>HLOOKUP(I160,ElecAvoidedCostsWOCC!$A$5:$Q$50,G160+1,FALSE)*J160*L160</f>
        <v>0</v>
      </c>
      <c r="AL160" s="44">
        <f t="shared" si="72"/>
        <v>5861.1908702233104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5861.1908702233104</v>
      </c>
      <c r="AN160" s="48">
        <f t="shared" si="73"/>
        <v>6447.3099572456422</v>
      </c>
      <c r="AO160" s="47">
        <f t="shared" si="74"/>
        <v>2.6780287996808663</v>
      </c>
      <c r="AP160" s="47">
        <f t="shared" si="75"/>
        <v>2.3744076124838731</v>
      </c>
      <c r="AQ160">
        <v>2020</v>
      </c>
    </row>
    <row r="161" spans="2:43">
      <c r="B161" s="97" t="s">
        <v>15</v>
      </c>
      <c r="C161" s="61">
        <v>18230627</v>
      </c>
      <c r="D161" s="61" t="s">
        <v>80</v>
      </c>
      <c r="E161" s="38" t="s">
        <v>1996</v>
      </c>
      <c r="F161" s="39" t="s">
        <v>746</v>
      </c>
      <c r="G161" s="39">
        <v>30</v>
      </c>
      <c r="H161" s="39"/>
      <c r="I161" s="40" t="s">
        <v>269</v>
      </c>
      <c r="J161" s="41">
        <v>1371</v>
      </c>
      <c r="K161" s="41">
        <v>2.23</v>
      </c>
      <c r="L161" s="41"/>
      <c r="M161" s="42">
        <v>0.22</v>
      </c>
      <c r="N161" s="42">
        <v>1.54</v>
      </c>
      <c r="O161" s="43">
        <v>3057.33</v>
      </c>
      <c r="P161" s="44">
        <v>400</v>
      </c>
      <c r="Q161" s="44">
        <v>2111.34</v>
      </c>
      <c r="R161" s="45">
        <v>0.04</v>
      </c>
      <c r="S161" s="46">
        <v>0</v>
      </c>
      <c r="T161" s="39">
        <f t="shared" si="57"/>
        <v>30</v>
      </c>
      <c r="U161" s="47">
        <f t="shared" si="58"/>
        <v>3.2961855950300906E-2</v>
      </c>
      <c r="V161" s="48">
        <f t="shared" si="59"/>
        <v>1.32</v>
      </c>
      <c r="W161" s="49">
        <f t="shared" si="60"/>
        <v>1.0987285316766968E-3</v>
      </c>
      <c r="X161" s="44">
        <f t="shared" si="61"/>
        <v>340.95077965501054</v>
      </c>
      <c r="Y161" s="44">
        <f t="shared" si="62"/>
        <v>1711.3400000000001</v>
      </c>
      <c r="Z161" s="44">
        <f t="shared" si="63"/>
        <v>2110.1780022451399</v>
      </c>
      <c r="AA161" s="50">
        <f t="shared" si="64"/>
        <v>2452.2907796550107</v>
      </c>
      <c r="AB161" s="51">
        <f t="shared" si="65"/>
        <v>1972.6820624896136</v>
      </c>
      <c r="AC161" s="44">
        <f t="shared" si="66"/>
        <v>2292.5032996681412</v>
      </c>
      <c r="AD161" s="44">
        <f t="shared" si="67"/>
        <v>682.56768039602002</v>
      </c>
      <c r="AE161" s="44">
        <f t="shared" si="68"/>
        <v>0</v>
      </c>
      <c r="AF161" s="52">
        <f>HLOOKUP(I161,ElecAvoidedCostsWOCC!$A$5:$Q$50,G161+1,FALSE)</f>
        <v>2.3666688857668672</v>
      </c>
      <c r="AG161" s="44">
        <f t="shared" si="69"/>
        <v>7235.6877845216159</v>
      </c>
      <c r="AH161" s="52">
        <f>HLOOKUP(I161,ElecAvoidedCostsWOCC!$A$5:$Q$50,T161+1,FALSE)</f>
        <v>2.3666688857668672</v>
      </c>
      <c r="AI161" s="44">
        <f t="shared" si="70"/>
        <v>0</v>
      </c>
      <c r="AJ161" s="44">
        <f t="shared" si="71"/>
        <v>7235.6877845216159</v>
      </c>
      <c r="AK161" s="44">
        <f>HLOOKUP(I161,ElecAvoidedCostsWOCC!$A$5:$Q$50,G161+1,FALSE)*J161*L161</f>
        <v>0</v>
      </c>
      <c r="AL161" s="44">
        <f t="shared" si="72"/>
        <v>7235.6877845216159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7235.6877845216159</v>
      </c>
      <c r="AN161" s="48">
        <f t="shared" si="73"/>
        <v>8641.8242433697978</v>
      </c>
      <c r="AO161" s="47">
        <f t="shared" si="74"/>
        <v>3.6679442278650072</v>
      </c>
      <c r="AP161" s="47">
        <f t="shared" si="75"/>
        <v>3.7696016597318631</v>
      </c>
      <c r="AQ161">
        <v>2020</v>
      </c>
    </row>
    <row r="162" spans="2:43">
      <c r="B162" s="97" t="s">
        <v>15</v>
      </c>
      <c r="C162" s="61">
        <v>18230627</v>
      </c>
      <c r="D162" s="61" t="s">
        <v>80</v>
      </c>
      <c r="E162" s="38" t="s">
        <v>745</v>
      </c>
      <c r="F162" s="39" t="s">
        <v>746</v>
      </c>
      <c r="G162" s="39">
        <v>45</v>
      </c>
      <c r="H162" s="39"/>
      <c r="I162" s="40" t="s">
        <v>269</v>
      </c>
      <c r="J162" s="41">
        <v>7517</v>
      </c>
      <c r="K162" s="41">
        <v>2.23</v>
      </c>
      <c r="L162" s="41"/>
      <c r="M162" s="42">
        <v>0.75</v>
      </c>
      <c r="N162" s="42">
        <v>1.54</v>
      </c>
      <c r="O162" s="43">
        <v>16762.91</v>
      </c>
      <c r="P162" s="44">
        <v>2965</v>
      </c>
      <c r="Q162" s="44">
        <v>11576.18</v>
      </c>
      <c r="R162" s="45">
        <v>0.04</v>
      </c>
      <c r="S162" s="46">
        <v>0</v>
      </c>
      <c r="T162" s="39">
        <f t="shared" si="57"/>
        <v>45</v>
      </c>
      <c r="U162" s="47">
        <f t="shared" si="58"/>
        <v>0.27108782404640253</v>
      </c>
      <c r="V162" s="48">
        <f t="shared" si="59"/>
        <v>0.79</v>
      </c>
      <c r="W162" s="49">
        <f t="shared" si="60"/>
        <v>6.0241738676978336E-3</v>
      </c>
      <c r="X162" s="44">
        <f t="shared" si="61"/>
        <v>1869.3851281303532</v>
      </c>
      <c r="Y162" s="44">
        <f t="shared" si="62"/>
        <v>8611.18</v>
      </c>
      <c r="Z162" s="44">
        <f t="shared" si="63"/>
        <v>11569.808929888197</v>
      </c>
      <c r="AA162" s="50">
        <f t="shared" si="64"/>
        <v>13445.565128130354</v>
      </c>
      <c r="AB162" s="51">
        <f t="shared" si="65"/>
        <v>10815.938047946336</v>
      </c>
      <c r="AC162" s="44">
        <f t="shared" si="66"/>
        <v>12569.472869150559</v>
      </c>
      <c r="AD162" s="44">
        <f t="shared" si="67"/>
        <v>4105.9078694965701</v>
      </c>
      <c r="AE162" s="44">
        <f t="shared" si="68"/>
        <v>0</v>
      </c>
      <c r="AF162" s="52">
        <f>HLOOKUP(I162,ElecAvoidedCostsWOCC!$A$5:$Q$50,G162+1,FALSE)</f>
        <v>3.4276422079642828</v>
      </c>
      <c r="AG162" s="44">
        <f t="shared" si="69"/>
        <v>57457.25784430655</v>
      </c>
      <c r="AH162" s="52">
        <f>HLOOKUP(I162,ElecAvoidedCostsWOCC!$A$5:$Q$50,T162+1,FALSE)</f>
        <v>3.4276422079642828</v>
      </c>
      <c r="AI162" s="44">
        <f t="shared" si="70"/>
        <v>0</v>
      </c>
      <c r="AJ162" s="44">
        <f t="shared" si="71"/>
        <v>57457.25784430655</v>
      </c>
      <c r="AK162" s="44">
        <f>HLOOKUP(I162,ElecAvoidedCostsWOCC!$A$5:$Q$50,G162+1,FALSE)*J162*L162</f>
        <v>0</v>
      </c>
      <c r="AL162" s="44">
        <f t="shared" si="72"/>
        <v>57457.25784430655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57457.25784430655</v>
      </c>
      <c r="AN162" s="48">
        <f t="shared" si="73"/>
        <v>67308.891498233774</v>
      </c>
      <c r="AO162" s="47">
        <f t="shared" si="74"/>
        <v>5.3122769000342211</v>
      </c>
      <c r="AP162" s="47">
        <f t="shared" si="75"/>
        <v>5.3549494238084536</v>
      </c>
      <c r="AQ162">
        <v>2020</v>
      </c>
    </row>
    <row r="163" spans="2:43">
      <c r="B163" s="97" t="s">
        <v>15</v>
      </c>
      <c r="C163" s="61">
        <v>18230627</v>
      </c>
      <c r="D163" s="61" t="s">
        <v>80</v>
      </c>
      <c r="E163" s="38" t="s">
        <v>1998</v>
      </c>
      <c r="F163" s="39" t="s">
        <v>752</v>
      </c>
      <c r="G163" s="39">
        <v>30</v>
      </c>
      <c r="H163" s="39"/>
      <c r="I163" s="40" t="s">
        <v>269</v>
      </c>
      <c r="J163" s="41">
        <v>1200</v>
      </c>
      <c r="K163" s="41">
        <v>0.96</v>
      </c>
      <c r="L163" s="41"/>
      <c r="M163" s="42">
        <v>0.22</v>
      </c>
      <c r="N163" s="42">
        <v>1.54</v>
      </c>
      <c r="O163" s="43">
        <v>1152</v>
      </c>
      <c r="P163" s="44">
        <v>400</v>
      </c>
      <c r="Q163" s="44">
        <v>1848</v>
      </c>
      <c r="R163" s="45">
        <v>0.02</v>
      </c>
      <c r="S163" s="46">
        <v>0</v>
      </c>
      <c r="T163" s="39">
        <f t="shared" si="57"/>
        <v>30</v>
      </c>
      <c r="U163" s="47">
        <f t="shared" si="58"/>
        <v>1.2420006363312643E-2</v>
      </c>
      <c r="V163" s="48">
        <f t="shared" si="59"/>
        <v>1.32</v>
      </c>
      <c r="W163" s="49">
        <f t="shared" si="60"/>
        <v>4.1400021211042144E-4</v>
      </c>
      <c r="X163" s="44">
        <f t="shared" si="61"/>
        <v>128.47003698082057</v>
      </c>
      <c r="Y163" s="44">
        <f t="shared" si="62"/>
        <v>1448</v>
      </c>
      <c r="Z163" s="44">
        <f t="shared" si="63"/>
        <v>795.1137294915502</v>
      </c>
      <c r="AA163" s="50">
        <f t="shared" si="64"/>
        <v>1976.4700369808206</v>
      </c>
      <c r="AB163" s="51">
        <f t="shared" si="65"/>
        <v>743.30534681831364</v>
      </c>
      <c r="AC163" s="44">
        <f t="shared" si="66"/>
        <v>1847.6863017489206</v>
      </c>
      <c r="AD163" s="44">
        <f t="shared" si="67"/>
        <v>298.71670914486657</v>
      </c>
      <c r="AE163" s="44">
        <f t="shared" si="68"/>
        <v>0</v>
      </c>
      <c r="AF163" s="52">
        <f>HLOOKUP(I163,ElecAvoidedCostsWOCC!$A$5:$Q$50,G163+1,FALSE)</f>
        <v>2.3666688857668672</v>
      </c>
      <c r="AG163" s="44">
        <f t="shared" si="69"/>
        <v>2726.4025564034309</v>
      </c>
      <c r="AH163" s="52">
        <f>HLOOKUP(I163,ElecAvoidedCostsWOCC!$A$5:$Q$50,T163+1,FALSE)</f>
        <v>2.3666688857668672</v>
      </c>
      <c r="AI163" s="44">
        <f t="shared" si="70"/>
        <v>0</v>
      </c>
      <c r="AJ163" s="44">
        <f t="shared" si="71"/>
        <v>2726.4025564034309</v>
      </c>
      <c r="AK163" s="44">
        <f>HLOOKUP(I163,ElecAvoidedCostsWOCC!$A$5:$Q$50,G163+1,FALSE)*J163*L163</f>
        <v>0</v>
      </c>
      <c r="AL163" s="44">
        <f t="shared" si="72"/>
        <v>2726.4025564034309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2726.4025564034309</v>
      </c>
      <c r="AN163" s="48">
        <f t="shared" si="73"/>
        <v>3297.7595211886405</v>
      </c>
      <c r="AO163" s="47">
        <f t="shared" si="74"/>
        <v>3.6679442278650072</v>
      </c>
      <c r="AP163" s="47">
        <f t="shared" si="75"/>
        <v>1.7848048762753497</v>
      </c>
      <c r="AQ163">
        <v>2020</v>
      </c>
    </row>
    <row r="164" spans="2:43">
      <c r="B164" s="97" t="s">
        <v>15</v>
      </c>
      <c r="C164" s="61">
        <v>18230627</v>
      </c>
      <c r="D164" s="61" t="s">
        <v>80</v>
      </c>
      <c r="E164" s="38" t="s">
        <v>751</v>
      </c>
      <c r="F164" s="39" t="s">
        <v>752</v>
      </c>
      <c r="G164" s="39">
        <v>45</v>
      </c>
      <c r="H164" s="39"/>
      <c r="I164" s="40" t="s">
        <v>269</v>
      </c>
      <c r="J164" s="41">
        <v>7606</v>
      </c>
      <c r="K164" s="41">
        <v>0.96</v>
      </c>
      <c r="L164" s="41"/>
      <c r="M164" s="42">
        <v>0.75</v>
      </c>
      <c r="N164" s="42">
        <v>1.54</v>
      </c>
      <c r="O164" s="43">
        <v>7301.76</v>
      </c>
      <c r="P164" s="44">
        <v>2400</v>
      </c>
      <c r="Q164" s="44">
        <v>11713.24</v>
      </c>
      <c r="R164" s="45">
        <v>0.02</v>
      </c>
      <c r="S164" s="46">
        <v>0</v>
      </c>
      <c r="T164" s="39">
        <f t="shared" si="57"/>
        <v>45</v>
      </c>
      <c r="U164" s="47">
        <f t="shared" si="58"/>
        <v>0.11808321049919496</v>
      </c>
      <c r="V164" s="48">
        <f t="shared" si="59"/>
        <v>0.79</v>
      </c>
      <c r="W164" s="49">
        <f t="shared" si="60"/>
        <v>2.6240713444265545E-3</v>
      </c>
      <c r="X164" s="44">
        <f t="shared" si="61"/>
        <v>814.285917730101</v>
      </c>
      <c r="Y164" s="44">
        <f t="shared" si="62"/>
        <v>9313.24</v>
      </c>
      <c r="Z164" s="44">
        <f t="shared" si="63"/>
        <v>5039.695855427276</v>
      </c>
      <c r="AA164" s="50">
        <f t="shared" si="64"/>
        <v>12527.525917730101</v>
      </c>
      <c r="AB164" s="51">
        <f t="shared" si="65"/>
        <v>4711.3170565834116</v>
      </c>
      <c r="AC164" s="44">
        <f t="shared" si="66"/>
        <v>11711.251675918575</v>
      </c>
      <c r="AD164" s="44">
        <f t="shared" si="67"/>
        <v>2077.2605597572779</v>
      </c>
      <c r="AE164" s="44">
        <f t="shared" si="68"/>
        <v>0</v>
      </c>
      <c r="AF164" s="52">
        <f>HLOOKUP(I164,ElecAvoidedCostsWOCC!$A$5:$Q$50,G164+1,FALSE)</f>
        <v>3.4276422079642828</v>
      </c>
      <c r="AG164" s="44">
        <f t="shared" si="69"/>
        <v>25027.820768425281</v>
      </c>
      <c r="AH164" s="52">
        <f>HLOOKUP(I164,ElecAvoidedCostsWOCC!$A$5:$Q$50,T164+1,FALSE)</f>
        <v>3.4276422079642828</v>
      </c>
      <c r="AI164" s="44">
        <f t="shared" si="70"/>
        <v>0</v>
      </c>
      <c r="AJ164" s="44">
        <f t="shared" si="71"/>
        <v>25027.820768425281</v>
      </c>
      <c r="AK164" s="44">
        <f>HLOOKUP(I164,ElecAvoidedCostsWOCC!$A$5:$Q$50,G164+1,FALSE)*J164*L164</f>
        <v>0</v>
      </c>
      <c r="AL164" s="44">
        <f t="shared" si="72"/>
        <v>25027.820768425281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25027.820768425281</v>
      </c>
      <c r="AN164" s="48">
        <f t="shared" si="73"/>
        <v>29607.863405025088</v>
      </c>
      <c r="AO164" s="47">
        <f t="shared" si="74"/>
        <v>5.312276900034222</v>
      </c>
      <c r="AP164" s="47">
        <f t="shared" si="75"/>
        <v>2.5281553350874248</v>
      </c>
      <c r="AQ164">
        <v>2020</v>
      </c>
    </row>
    <row r="165" spans="2:43">
      <c r="B165" s="97" t="s">
        <v>15</v>
      </c>
      <c r="C165" s="61">
        <v>18230627</v>
      </c>
      <c r="D165" s="61" t="s">
        <v>80</v>
      </c>
      <c r="E165" s="38" t="s">
        <v>1999</v>
      </c>
      <c r="F165" s="39" t="s">
        <v>755</v>
      </c>
      <c r="G165" s="39">
        <v>30</v>
      </c>
      <c r="H165" s="39"/>
      <c r="I165" s="40" t="s">
        <v>269</v>
      </c>
      <c r="J165" s="41">
        <v>3391</v>
      </c>
      <c r="K165" s="41">
        <v>1.53</v>
      </c>
      <c r="L165" s="41"/>
      <c r="M165" s="42">
        <v>0.22</v>
      </c>
      <c r="N165" s="42">
        <v>1.39</v>
      </c>
      <c r="O165" s="43">
        <v>5188.2299999999996</v>
      </c>
      <c r="P165" s="44">
        <v>2231.77</v>
      </c>
      <c r="Q165" s="44">
        <v>4713.49</v>
      </c>
      <c r="R165" s="45">
        <v>0.03</v>
      </c>
      <c r="S165" s="46">
        <v>0</v>
      </c>
      <c r="T165" s="39">
        <f t="shared" si="57"/>
        <v>30</v>
      </c>
      <c r="U165" s="47">
        <f t="shared" si="58"/>
        <v>5.5935633345772173E-2</v>
      </c>
      <c r="V165" s="48">
        <f t="shared" si="59"/>
        <v>1.17</v>
      </c>
      <c r="W165" s="49">
        <f t="shared" si="60"/>
        <v>1.8645211115257392E-3</v>
      </c>
      <c r="X165" s="44">
        <f t="shared" si="61"/>
        <v>578.58689233073142</v>
      </c>
      <c r="Y165" s="44">
        <f t="shared" si="62"/>
        <v>2481.7199999999998</v>
      </c>
      <c r="Z165" s="44">
        <f t="shared" si="63"/>
        <v>3580.9313409374527</v>
      </c>
      <c r="AA165" s="50">
        <f t="shared" si="64"/>
        <v>5292.0768923307314</v>
      </c>
      <c r="AB165" s="51">
        <f t="shared" si="65"/>
        <v>3347.6033850027598</v>
      </c>
      <c r="AC165" s="44">
        <f t="shared" si="66"/>
        <v>4947.2533348889701</v>
      </c>
      <c r="AD165" s="44">
        <f t="shared" si="67"/>
        <v>1266.185450887803</v>
      </c>
      <c r="AE165" s="44">
        <f t="shared" si="68"/>
        <v>0</v>
      </c>
      <c r="AF165" s="52">
        <f>HLOOKUP(I165,ElecAvoidedCostsWOCC!$A$5:$Q$50,G165+1,FALSE)</f>
        <v>2.3666688857668672</v>
      </c>
      <c r="AG165" s="44">
        <f t="shared" si="69"/>
        <v>12278.822513202233</v>
      </c>
      <c r="AH165" s="52">
        <f>HLOOKUP(I165,ElecAvoidedCostsWOCC!$A$5:$Q$50,T165+1,FALSE)</f>
        <v>2.3666688857668672</v>
      </c>
      <c r="AI165" s="44">
        <f t="shared" si="70"/>
        <v>0</v>
      </c>
      <c r="AJ165" s="44">
        <f t="shared" si="71"/>
        <v>12278.822513202233</v>
      </c>
      <c r="AK165" s="44">
        <f>HLOOKUP(I165,ElecAvoidedCostsWOCC!$A$5:$Q$50,G165+1,FALSE)*J165*L165</f>
        <v>0</v>
      </c>
      <c r="AL165" s="44">
        <f t="shared" si="72"/>
        <v>12278.822513202233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12278.822513202234</v>
      </c>
      <c r="AN165" s="48">
        <f t="shared" si="73"/>
        <v>14772.890215410262</v>
      </c>
      <c r="AO165" s="47">
        <f t="shared" si="74"/>
        <v>3.6679442278650081</v>
      </c>
      <c r="AP165" s="47">
        <f t="shared" si="75"/>
        <v>2.9860791868548624</v>
      </c>
      <c r="AQ165">
        <v>2020</v>
      </c>
    </row>
    <row r="166" spans="2:43">
      <c r="B166" s="97" t="s">
        <v>15</v>
      </c>
      <c r="C166" s="61">
        <v>18230627</v>
      </c>
      <c r="D166" s="61" t="s">
        <v>80</v>
      </c>
      <c r="E166" s="38" t="s">
        <v>754</v>
      </c>
      <c r="F166" s="39" t="s">
        <v>755</v>
      </c>
      <c r="G166" s="39">
        <v>45</v>
      </c>
      <c r="H166" s="39"/>
      <c r="I166" s="40" t="s">
        <v>269</v>
      </c>
      <c r="J166" s="41">
        <v>12960</v>
      </c>
      <c r="K166" s="41">
        <v>1.53</v>
      </c>
      <c r="L166" s="41"/>
      <c r="M166" s="42">
        <v>0.75</v>
      </c>
      <c r="N166" s="42">
        <v>1.39</v>
      </c>
      <c r="O166" s="43">
        <v>19828.8</v>
      </c>
      <c r="P166" s="44">
        <v>5578.04</v>
      </c>
      <c r="Q166" s="44">
        <v>18014.400000000001</v>
      </c>
      <c r="R166" s="45">
        <v>0.03</v>
      </c>
      <c r="S166" s="46">
        <v>0</v>
      </c>
      <c r="T166" s="39">
        <f t="shared" si="57"/>
        <v>45</v>
      </c>
      <c r="U166" s="47">
        <f t="shared" si="58"/>
        <v>0.32066903929277829</v>
      </c>
      <c r="V166" s="48">
        <f t="shared" si="59"/>
        <v>0.6399999999999999</v>
      </c>
      <c r="W166" s="49">
        <f t="shared" si="60"/>
        <v>7.1259786509506292E-3</v>
      </c>
      <c r="X166" s="44">
        <f t="shared" si="61"/>
        <v>2211.2905115323742</v>
      </c>
      <c r="Y166" s="44">
        <f t="shared" si="62"/>
        <v>12436.36</v>
      </c>
      <c r="Z166" s="44">
        <f t="shared" si="63"/>
        <v>13685.895068873309</v>
      </c>
      <c r="AA166" s="50">
        <f t="shared" si="64"/>
        <v>20225.690511532375</v>
      </c>
      <c r="AB166" s="51">
        <f t="shared" si="65"/>
        <v>12794.143282110226</v>
      </c>
      <c r="AC166" s="44">
        <f t="shared" si="66"/>
        <v>18907.81575351255</v>
      </c>
      <c r="AD166" s="44">
        <f t="shared" si="67"/>
        <v>5309.2223615147877</v>
      </c>
      <c r="AE166" s="44">
        <f t="shared" si="68"/>
        <v>0</v>
      </c>
      <c r="AF166" s="52">
        <f>HLOOKUP(I166,ElecAvoidedCostsWOCC!$A$5:$Q$50,G166+1,FALSE)</f>
        <v>3.4276422079642828</v>
      </c>
      <c r="AG166" s="44">
        <f t="shared" si="69"/>
        <v>67966.03181328217</v>
      </c>
      <c r="AH166" s="52">
        <f>HLOOKUP(I166,ElecAvoidedCostsWOCC!$A$5:$Q$50,T166+1,FALSE)</f>
        <v>3.4276422079642828</v>
      </c>
      <c r="AI166" s="44">
        <f t="shared" si="70"/>
        <v>0</v>
      </c>
      <c r="AJ166" s="44">
        <f t="shared" si="71"/>
        <v>67966.03181328217</v>
      </c>
      <c r="AK166" s="44">
        <f>HLOOKUP(I166,ElecAvoidedCostsWOCC!$A$5:$Q$50,G166+1,FALSE)*J166*L166</f>
        <v>0</v>
      </c>
      <c r="AL166" s="44">
        <f t="shared" si="72"/>
        <v>67966.03181328217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67966.03181328217</v>
      </c>
      <c r="AN166" s="48">
        <f t="shared" si="73"/>
        <v>80071.857356125169</v>
      </c>
      <c r="AO166" s="47">
        <f t="shared" si="74"/>
        <v>5.3122769000342211</v>
      </c>
      <c r="AP166" s="47">
        <f t="shared" si="75"/>
        <v>4.2348549615653006</v>
      </c>
      <c r="AQ166">
        <v>2020</v>
      </c>
    </row>
    <row r="167" spans="2:43">
      <c r="B167" s="97" t="s">
        <v>15</v>
      </c>
      <c r="C167" s="61">
        <v>18230627</v>
      </c>
      <c r="D167" s="61" t="s">
        <v>80</v>
      </c>
      <c r="E167" s="38" t="s">
        <v>1860</v>
      </c>
      <c r="F167" s="39" t="s">
        <v>1861</v>
      </c>
      <c r="G167" s="39">
        <v>12</v>
      </c>
      <c r="H167" s="39"/>
      <c r="I167" s="40" t="s">
        <v>248</v>
      </c>
      <c r="J167" s="41">
        <v>1232</v>
      </c>
      <c r="K167" s="41">
        <v>11.32</v>
      </c>
      <c r="L167" s="41"/>
      <c r="M167" s="42">
        <v>2</v>
      </c>
      <c r="N167" s="42">
        <v>2</v>
      </c>
      <c r="O167" s="43">
        <v>13946.2399999999</v>
      </c>
      <c r="P167" s="44">
        <v>4644.6399999999803</v>
      </c>
      <c r="Q167" s="44">
        <v>2464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6.0143190813987522E-2</v>
      </c>
      <c r="V167" s="48">
        <f t="shared" si="59"/>
        <v>0</v>
      </c>
      <c r="W167" s="49">
        <f t="shared" si="60"/>
        <v>5.0119325678322935E-3</v>
      </c>
      <c r="X167" s="44">
        <f t="shared" si="61"/>
        <v>1555.2725421383559</v>
      </c>
      <c r="Y167" s="44">
        <f t="shared" si="62"/>
        <v>-2180.6399999999803</v>
      </c>
      <c r="Z167" s="44">
        <f t="shared" si="63"/>
        <v>9625.7351551945812</v>
      </c>
      <c r="AA167" s="50">
        <f t="shared" si="64"/>
        <v>4019.2725421383557</v>
      </c>
      <c r="AB167" s="51">
        <f t="shared" si="65"/>
        <v>8998.5371180654201</v>
      </c>
      <c r="AC167" s="44">
        <f t="shared" si="66"/>
        <v>3757.3829504892542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0.91115730059915656</v>
      </c>
      <c r="AG167" s="44">
        <f t="shared" si="69"/>
        <v>12707.218391907982</v>
      </c>
      <c r="AH167" s="52">
        <f>HLOOKUP(I167,ElecAvoidedCostsWOCC!$A$5:$Q$50,T167+1,FALSE)</f>
        <v>0.91115730059915656</v>
      </c>
      <c r="AI167" s="44">
        <f t="shared" si="70"/>
        <v>0</v>
      </c>
      <c r="AJ167" s="44">
        <f t="shared" si="71"/>
        <v>12707.218391907982</v>
      </c>
      <c r="AK167" s="44">
        <f>HLOOKUP(I167,ElecAvoidedCostsWOCC!$A$5:$Q$50,G167+1,FALSE)*J167*L167</f>
        <v>0</v>
      </c>
      <c r="AL167" s="44">
        <f t="shared" si="72"/>
        <v>12707.218391907982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12707.218391907982</v>
      </c>
      <c r="AN167" s="48">
        <f t="shared" si="73"/>
        <v>13977.940231098781</v>
      </c>
      <c r="AO167" s="47">
        <f t="shared" si="74"/>
        <v>1.4121426877705523</v>
      </c>
      <c r="AP167" s="47">
        <f t="shared" si="75"/>
        <v>3.7201265921746658</v>
      </c>
      <c r="AQ167">
        <v>2020</v>
      </c>
    </row>
    <row r="168" spans="2:43">
      <c r="B168" s="97" t="s">
        <v>15</v>
      </c>
      <c r="C168" s="61">
        <v>18230627</v>
      </c>
      <c r="D168" s="61" t="s">
        <v>80</v>
      </c>
      <c r="E168" s="38" t="s">
        <v>1873</v>
      </c>
      <c r="F168" s="39" t="s">
        <v>1874</v>
      </c>
      <c r="G168" s="39">
        <v>10</v>
      </c>
      <c r="H168" s="39"/>
      <c r="I168" s="40" t="s">
        <v>265</v>
      </c>
      <c r="J168" s="41">
        <v>750</v>
      </c>
      <c r="K168" s="41">
        <v>10</v>
      </c>
      <c r="L168" s="41"/>
      <c r="M168" s="42">
        <v>1.27</v>
      </c>
      <c r="N168" s="42">
        <v>1.27</v>
      </c>
      <c r="O168" s="43">
        <v>7500</v>
      </c>
      <c r="P168" s="44">
        <v>637.50000000000102</v>
      </c>
      <c r="Q168" s="44">
        <v>952.499999999995</v>
      </c>
      <c r="R168" s="45">
        <v>2.74</v>
      </c>
      <c r="S168" s="46">
        <v>0</v>
      </c>
      <c r="T168" s="39">
        <f t="shared" si="57"/>
        <v>10</v>
      </c>
      <c r="U168" s="47">
        <f t="shared" si="58"/>
        <v>2.6953138809272231E-2</v>
      </c>
      <c r="V168" s="48">
        <f t="shared" si="59"/>
        <v>0</v>
      </c>
      <c r="W168" s="49">
        <f t="shared" si="60"/>
        <v>2.6953138809272231E-3</v>
      </c>
      <c r="X168" s="44">
        <f t="shared" si="61"/>
        <v>836.39346992721732</v>
      </c>
      <c r="Y168" s="44">
        <f t="shared" si="62"/>
        <v>314.99999999999397</v>
      </c>
      <c r="Z168" s="44">
        <f t="shared" si="63"/>
        <v>5176.5216763772814</v>
      </c>
      <c r="AA168" s="50">
        <f t="shared" si="64"/>
        <v>1788.8934699272122</v>
      </c>
      <c r="AB168" s="51">
        <f t="shared" si="65"/>
        <v>4839.227518348398</v>
      </c>
      <c r="AC168" s="44">
        <f t="shared" si="66"/>
        <v>1672.33193411911</v>
      </c>
      <c r="AD168" s="44">
        <f t="shared" si="67"/>
        <v>14453.496928304272</v>
      </c>
      <c r="AE168" s="44">
        <f t="shared" si="68"/>
        <v>0</v>
      </c>
      <c r="AF168" s="52">
        <f>HLOOKUP(I168,ElecAvoidedCostsWOCC!$A$5:$Q$50,G168+1,FALSE)</f>
        <v>0.74487332198138856</v>
      </c>
      <c r="AG168" s="44">
        <f t="shared" si="69"/>
        <v>5586.5499148604149</v>
      </c>
      <c r="AH168" s="52">
        <f>HLOOKUP(I168,ElecAvoidedCostsWOCC!$A$5:$Q$50,T168+1,FALSE)</f>
        <v>0.74487332198138856</v>
      </c>
      <c r="AI168" s="44">
        <f t="shared" si="70"/>
        <v>0</v>
      </c>
      <c r="AJ168" s="44">
        <f t="shared" si="71"/>
        <v>5586.5499148604149</v>
      </c>
      <c r="AK168" s="44">
        <f>HLOOKUP(I168,ElecAvoidedCostsWOCC!$A$5:$Q$50,G168+1,FALSE)*J168*L168</f>
        <v>0</v>
      </c>
      <c r="AL168" s="44">
        <f t="shared" si="72"/>
        <v>5586.5499148604149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5586.549914860414</v>
      </c>
      <c r="AN168" s="48">
        <f t="shared" si="73"/>
        <v>20598.701834650728</v>
      </c>
      <c r="AO168" s="47">
        <f t="shared" si="74"/>
        <v>1.1544301014321958</v>
      </c>
      <c r="AP168" s="47">
        <f t="shared" si="75"/>
        <v>12.317352443252219</v>
      </c>
      <c r="AQ168">
        <v>2020</v>
      </c>
    </row>
    <row r="169" spans="2:43">
      <c r="B169" s="97" t="s">
        <v>15</v>
      </c>
      <c r="C169" s="61">
        <v>18230627</v>
      </c>
      <c r="D169" s="61" t="s">
        <v>80</v>
      </c>
      <c r="E169" s="38" t="s">
        <v>1875</v>
      </c>
      <c r="F169" s="39" t="s">
        <v>1876</v>
      </c>
      <c r="G169" s="39">
        <v>10</v>
      </c>
      <c r="H169" s="39"/>
      <c r="I169" s="40" t="s">
        <v>265</v>
      </c>
      <c r="J169" s="41">
        <v>482</v>
      </c>
      <c r="K169" s="41">
        <v>12</v>
      </c>
      <c r="L169" s="41"/>
      <c r="M169" s="42">
        <v>1.81</v>
      </c>
      <c r="N169" s="42">
        <v>1.81</v>
      </c>
      <c r="O169" s="43">
        <v>5784</v>
      </c>
      <c r="P169" s="44">
        <v>482</v>
      </c>
      <c r="Q169" s="44">
        <v>872.42000000000098</v>
      </c>
      <c r="R169" s="45">
        <v>2.74</v>
      </c>
      <c r="S169" s="46">
        <v>0</v>
      </c>
      <c r="T169" s="39">
        <f t="shared" si="57"/>
        <v>10</v>
      </c>
      <c r="U169" s="47">
        <f t="shared" si="58"/>
        <v>2.0786260649710741E-2</v>
      </c>
      <c r="V169" s="48">
        <f t="shared" si="59"/>
        <v>0</v>
      </c>
      <c r="W169" s="49">
        <f t="shared" si="60"/>
        <v>2.0786260649710742E-3</v>
      </c>
      <c r="X169" s="44">
        <f t="shared" si="61"/>
        <v>645.02664400786989</v>
      </c>
      <c r="Y169" s="44">
        <f t="shared" si="62"/>
        <v>390.42000000000098</v>
      </c>
      <c r="Z169" s="44">
        <f t="shared" si="63"/>
        <v>3992.1335168221585</v>
      </c>
      <c r="AA169" s="50">
        <f t="shared" si="64"/>
        <v>1517.4466440078709</v>
      </c>
      <c r="AB169" s="51">
        <f t="shared" si="65"/>
        <v>3732.0122621502833</v>
      </c>
      <c r="AC169" s="44">
        <f t="shared" si="66"/>
        <v>1418.5721641655332</v>
      </c>
      <c r="AD169" s="44">
        <f t="shared" si="67"/>
        <v>9288.7806925902114</v>
      </c>
      <c r="AE169" s="44">
        <f t="shared" si="68"/>
        <v>0</v>
      </c>
      <c r="AF169" s="52">
        <f>HLOOKUP(I169,ElecAvoidedCostsWOCC!$A$5:$Q$50,G169+1,FALSE)</f>
        <v>0.74487332198138856</v>
      </c>
      <c r="AG169" s="44">
        <f t="shared" si="69"/>
        <v>4308.3472943403513</v>
      </c>
      <c r="AH169" s="52">
        <f>HLOOKUP(I169,ElecAvoidedCostsWOCC!$A$5:$Q$50,T169+1,FALSE)</f>
        <v>0.74487332198138856</v>
      </c>
      <c r="AI169" s="44">
        <f t="shared" si="70"/>
        <v>0</v>
      </c>
      <c r="AJ169" s="44">
        <f t="shared" si="71"/>
        <v>4308.3472943403513</v>
      </c>
      <c r="AK169" s="44">
        <f>HLOOKUP(I169,ElecAvoidedCostsWOCC!$A$5:$Q$50,G169+1,FALSE)*J169*L169</f>
        <v>0</v>
      </c>
      <c r="AL169" s="44">
        <f t="shared" si="72"/>
        <v>4308.3472943403513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4308.3472943403522</v>
      </c>
      <c r="AN169" s="48">
        <f t="shared" si="73"/>
        <v>14027.9627163646</v>
      </c>
      <c r="AO169" s="47">
        <f t="shared" si="74"/>
        <v>1.1544301014321963</v>
      </c>
      <c r="AP169" s="47">
        <f t="shared" si="75"/>
        <v>9.8887903419537828</v>
      </c>
      <c r="AQ169">
        <v>2020</v>
      </c>
    </row>
    <row r="170" spans="2:43">
      <c r="B170" s="97" t="s">
        <v>15</v>
      </c>
      <c r="C170" s="61">
        <v>18230627</v>
      </c>
      <c r="D170" s="61" t="s">
        <v>80</v>
      </c>
      <c r="E170" s="38" t="s">
        <v>2000</v>
      </c>
      <c r="F170" s="39" t="s">
        <v>2001</v>
      </c>
      <c r="G170" s="39">
        <v>25</v>
      </c>
      <c r="H170" s="39"/>
      <c r="I170" s="40" t="s">
        <v>269</v>
      </c>
      <c r="J170" s="41">
        <v>768</v>
      </c>
      <c r="K170" s="41">
        <v>0.63</v>
      </c>
      <c r="L170" s="41"/>
      <c r="M170" s="42">
        <v>0.86</v>
      </c>
      <c r="N170" s="42">
        <v>0.86</v>
      </c>
      <c r="O170" s="43">
        <v>483.84</v>
      </c>
      <c r="P170" s="44">
        <v>1200</v>
      </c>
      <c r="Q170" s="44">
        <v>660.48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4.3470022271594249E-3</v>
      </c>
      <c r="V170" s="48">
        <f t="shared" si="59"/>
        <v>0</v>
      </c>
      <c r="W170" s="49">
        <f t="shared" si="60"/>
        <v>1.7388008908637701E-4</v>
      </c>
      <c r="X170" s="44">
        <f t="shared" si="61"/>
        <v>53.95741553194464</v>
      </c>
      <c r="Y170" s="44">
        <f t="shared" si="62"/>
        <v>-539.52</v>
      </c>
      <c r="Z170" s="44">
        <f t="shared" si="63"/>
        <v>333.94776638645118</v>
      </c>
      <c r="AA170" s="50">
        <f t="shared" si="64"/>
        <v>714.43741553194468</v>
      </c>
      <c r="AB170" s="51">
        <f t="shared" si="65"/>
        <v>312.18824566369182</v>
      </c>
      <c r="AC170" s="44">
        <f t="shared" si="66"/>
        <v>667.88577688318651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2.0508206305871441</v>
      </c>
      <c r="AG170" s="44">
        <f t="shared" si="69"/>
        <v>992.26905390328386</v>
      </c>
      <c r="AH170" s="52">
        <f>HLOOKUP(I170,ElecAvoidedCostsWOCC!$A$5:$Q$50,T170+1,FALSE)</f>
        <v>2.0508206305871441</v>
      </c>
      <c r="AI170" s="44">
        <f t="shared" si="70"/>
        <v>0</v>
      </c>
      <c r="AJ170" s="44">
        <f t="shared" si="71"/>
        <v>992.26905390328386</v>
      </c>
      <c r="AK170" s="44">
        <f>HLOOKUP(I170,ElecAvoidedCostsWOCC!$A$5:$Q$50,G170+1,FALSE)*J170*L170</f>
        <v>0</v>
      </c>
      <c r="AL170" s="44">
        <f t="shared" si="72"/>
        <v>992.26905390328386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992.26905390328375</v>
      </c>
      <c r="AN170" s="48">
        <f t="shared" si="73"/>
        <v>1091.4959592936123</v>
      </c>
      <c r="AO170" s="47">
        <f t="shared" si="74"/>
        <v>3.17843182017883</v>
      </c>
      <c r="AP170" s="47">
        <f t="shared" si="75"/>
        <v>1.634255432698809</v>
      </c>
      <c r="AQ170">
        <v>2020</v>
      </c>
    </row>
    <row r="171" spans="2:43">
      <c r="B171" s="97" t="s">
        <v>15</v>
      </c>
      <c r="C171" s="61">
        <v>18230627</v>
      </c>
      <c r="D171" s="61" t="s">
        <v>80</v>
      </c>
      <c r="E171" s="38" t="s">
        <v>2004</v>
      </c>
      <c r="F171" s="39" t="s">
        <v>2005</v>
      </c>
      <c r="G171" s="39">
        <v>25</v>
      </c>
      <c r="H171" s="39"/>
      <c r="I171" s="40" t="s">
        <v>269</v>
      </c>
      <c r="J171" s="41">
        <v>1600</v>
      </c>
      <c r="K171" s="41">
        <v>0.33</v>
      </c>
      <c r="L171" s="41"/>
      <c r="M171" s="42">
        <v>0.97</v>
      </c>
      <c r="N171" s="42">
        <v>0.97</v>
      </c>
      <c r="O171" s="43">
        <v>528</v>
      </c>
      <c r="P171" s="44">
        <v>1139.25</v>
      </c>
      <c r="Q171" s="44">
        <v>1552</v>
      </c>
      <c r="R171" s="45">
        <v>0</v>
      </c>
      <c r="S171" s="46">
        <v>0</v>
      </c>
      <c r="T171" s="39">
        <f t="shared" si="57"/>
        <v>25</v>
      </c>
      <c r="U171" s="47">
        <f t="shared" si="58"/>
        <v>4.7437524304319127E-3</v>
      </c>
      <c r="V171" s="48">
        <f t="shared" si="59"/>
        <v>0</v>
      </c>
      <c r="W171" s="49">
        <f t="shared" si="60"/>
        <v>1.897500972172765E-4</v>
      </c>
      <c r="X171" s="44">
        <f t="shared" si="61"/>
        <v>58.882100282876095</v>
      </c>
      <c r="Y171" s="44">
        <f t="shared" si="62"/>
        <v>412.75</v>
      </c>
      <c r="Z171" s="44">
        <f t="shared" si="63"/>
        <v>364.42712601696053</v>
      </c>
      <c r="AA171" s="50">
        <f t="shared" si="64"/>
        <v>1610.8821002828761</v>
      </c>
      <c r="AB171" s="51">
        <f t="shared" si="65"/>
        <v>340.68161729172709</v>
      </c>
      <c r="AC171" s="44">
        <f t="shared" si="66"/>
        <v>1505.9195104074749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2.0508206305871441</v>
      </c>
      <c r="AG171" s="44">
        <f t="shared" si="69"/>
        <v>1082.8332929500123</v>
      </c>
      <c r="AH171" s="52">
        <f>HLOOKUP(I171,ElecAvoidedCostsWOCC!$A$5:$Q$50,T171+1,FALSE)</f>
        <v>2.0508206305871441</v>
      </c>
      <c r="AI171" s="44">
        <f t="shared" si="70"/>
        <v>0</v>
      </c>
      <c r="AJ171" s="44">
        <f t="shared" si="71"/>
        <v>1082.8332929500123</v>
      </c>
      <c r="AK171" s="44">
        <f>HLOOKUP(I171,ElecAvoidedCostsWOCC!$A$5:$Q$50,G171+1,FALSE)*J171*L171</f>
        <v>0</v>
      </c>
      <c r="AL171" s="44">
        <f t="shared" si="72"/>
        <v>1082.8332929500123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1082.833292950012</v>
      </c>
      <c r="AN171" s="48">
        <f t="shared" si="73"/>
        <v>1191.1166222450133</v>
      </c>
      <c r="AO171" s="47">
        <f t="shared" si="74"/>
        <v>3.1784318201788309</v>
      </c>
      <c r="AP171" s="47">
        <f t="shared" si="75"/>
        <v>0.79095636520621104</v>
      </c>
      <c r="AQ171">
        <v>2020</v>
      </c>
    </row>
    <row r="172" spans="2:43">
      <c r="B172" s="97" t="s">
        <v>15</v>
      </c>
      <c r="C172" s="61">
        <v>18230627</v>
      </c>
      <c r="D172" s="61" t="s">
        <v>80</v>
      </c>
      <c r="E172" s="38" t="s">
        <v>759</v>
      </c>
      <c r="F172" s="39" t="s">
        <v>760</v>
      </c>
      <c r="G172" s="39">
        <v>25</v>
      </c>
      <c r="H172" s="39"/>
      <c r="I172" s="40" t="s">
        <v>269</v>
      </c>
      <c r="J172" s="41">
        <v>5924.72</v>
      </c>
      <c r="K172" s="41">
        <v>3.95</v>
      </c>
      <c r="L172" s="41"/>
      <c r="M172" s="42">
        <v>200</v>
      </c>
      <c r="N172" s="42">
        <v>17.809999999999999</v>
      </c>
      <c r="O172" s="43">
        <v>23402.63</v>
      </c>
      <c r="P172" s="44">
        <v>75074.820000000007</v>
      </c>
      <c r="Q172" s="44">
        <v>105519.3</v>
      </c>
      <c r="R172" s="45">
        <v>0.03</v>
      </c>
      <c r="S172" s="46">
        <v>0</v>
      </c>
      <c r="T172" s="39">
        <f t="shared" si="57"/>
        <v>25</v>
      </c>
      <c r="U172" s="47">
        <f t="shared" si="58"/>
        <v>0.21025811163067953</v>
      </c>
      <c r="V172" s="48">
        <f t="shared" si="59"/>
        <v>-182.19</v>
      </c>
      <c r="W172" s="49">
        <f t="shared" si="60"/>
        <v>8.4103244652271817E-3</v>
      </c>
      <c r="X172" s="44">
        <f t="shared" si="61"/>
        <v>2609.8409214830394</v>
      </c>
      <c r="Y172" s="44">
        <f t="shared" si="62"/>
        <v>30444.479999999996</v>
      </c>
      <c r="Z172" s="44">
        <f t="shared" si="63"/>
        <v>16152.5628638983</v>
      </c>
      <c r="AA172" s="50">
        <f t="shared" si="64"/>
        <v>108129.14092148305</v>
      </c>
      <c r="AB172" s="51">
        <f t="shared" si="65"/>
        <v>15100.086813030101</v>
      </c>
      <c r="AC172" s="44">
        <f t="shared" si="66"/>
        <v>101083.61308916802</v>
      </c>
      <c r="AD172" s="44">
        <f t="shared" si="67"/>
        <v>2076.9364467320988</v>
      </c>
      <c r="AE172" s="44">
        <f t="shared" si="68"/>
        <v>0</v>
      </c>
      <c r="AF172" s="52">
        <f>HLOOKUP(I172,ElecAvoidedCostsWOCC!$A$5:$Q$50,G172+1,FALSE)</f>
        <v>2.0508206305871441</v>
      </c>
      <c r="AG172" s="44">
        <f t="shared" si="69"/>
        <v>47994.625125486447</v>
      </c>
      <c r="AH172" s="52">
        <f>HLOOKUP(I172,ElecAvoidedCostsWOCC!$A$5:$Q$50,T172+1,FALSE)</f>
        <v>2.0508206305871441</v>
      </c>
      <c r="AI172" s="44">
        <f t="shared" si="70"/>
        <v>0</v>
      </c>
      <c r="AJ172" s="44">
        <f t="shared" si="71"/>
        <v>47994.625125486447</v>
      </c>
      <c r="AK172" s="44">
        <f>HLOOKUP(I172,ElecAvoidedCostsWOCC!$A$5:$Q$50,G172+1,FALSE)*J172*L172</f>
        <v>0</v>
      </c>
      <c r="AL172" s="44">
        <f t="shared" si="72"/>
        <v>47994.625125486447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47994.625125486447</v>
      </c>
      <c r="AN172" s="48">
        <f t="shared" si="73"/>
        <v>54871.024084767196</v>
      </c>
      <c r="AO172" s="47">
        <f t="shared" si="74"/>
        <v>3.1784337215910003</v>
      </c>
      <c r="AP172" s="47">
        <f t="shared" si="75"/>
        <v>0.54282808467050236</v>
      </c>
      <c r="AQ172">
        <v>2020</v>
      </c>
    </row>
    <row r="173" spans="2:43">
      <c r="B173" s="97" t="s">
        <v>15</v>
      </c>
      <c r="C173" s="61">
        <v>18230627</v>
      </c>
      <c r="D173" s="61" t="s">
        <v>80</v>
      </c>
      <c r="E173" s="38" t="s">
        <v>762</v>
      </c>
      <c r="F173" s="39" t="s">
        <v>763</v>
      </c>
      <c r="G173" s="39">
        <v>25</v>
      </c>
      <c r="H173" s="39"/>
      <c r="I173" s="40" t="s">
        <v>269</v>
      </c>
      <c r="J173" s="41">
        <v>4380.28</v>
      </c>
      <c r="K173" s="41">
        <v>3.95</v>
      </c>
      <c r="L173" s="41"/>
      <c r="M173" s="42">
        <v>200</v>
      </c>
      <c r="N173" s="42">
        <v>17.809999999999999</v>
      </c>
      <c r="O173" s="43">
        <v>17302.09</v>
      </c>
      <c r="P173" s="44">
        <v>47748</v>
      </c>
      <c r="Q173" s="44">
        <v>78012.789999999994</v>
      </c>
      <c r="R173" s="45">
        <v>0.03</v>
      </c>
      <c r="S173" s="46">
        <v>0</v>
      </c>
      <c r="T173" s="39">
        <f t="shared" si="57"/>
        <v>25</v>
      </c>
      <c r="U173" s="47">
        <f t="shared" si="58"/>
        <v>0.15544854448684031</v>
      </c>
      <c r="V173" s="48">
        <f t="shared" si="59"/>
        <v>-182.19</v>
      </c>
      <c r="W173" s="49">
        <f t="shared" si="60"/>
        <v>6.2179417794736127E-3</v>
      </c>
      <c r="X173" s="44">
        <f t="shared" si="61"/>
        <v>1929.5140122790676</v>
      </c>
      <c r="Y173" s="44">
        <f t="shared" si="62"/>
        <v>30264.789999999994</v>
      </c>
      <c r="Z173" s="44">
        <f t="shared" si="63"/>
        <v>11941.952524217411</v>
      </c>
      <c r="AA173" s="50">
        <f t="shared" si="64"/>
        <v>79942.304012279055</v>
      </c>
      <c r="AB173" s="51">
        <f t="shared" si="65"/>
        <v>11163.833340392082</v>
      </c>
      <c r="AC173" s="44">
        <f t="shared" si="66"/>
        <v>74733.38694239418</v>
      </c>
      <c r="AD173" s="44">
        <f t="shared" si="67"/>
        <v>1535.526266033108</v>
      </c>
      <c r="AE173" s="44">
        <f t="shared" si="68"/>
        <v>0</v>
      </c>
      <c r="AF173" s="52">
        <f>HLOOKUP(I173,ElecAvoidedCostsWOCC!$A$5:$Q$50,G173+1,FALSE)</f>
        <v>2.0508206305871441</v>
      </c>
      <c r="AG173" s="44">
        <f t="shared" si="69"/>
        <v>35483.515937405609</v>
      </c>
      <c r="AH173" s="52">
        <f>HLOOKUP(I173,ElecAvoidedCostsWOCC!$A$5:$Q$50,T173+1,FALSE)</f>
        <v>2.0508206305871441</v>
      </c>
      <c r="AI173" s="44">
        <f t="shared" si="70"/>
        <v>0</v>
      </c>
      <c r="AJ173" s="44">
        <f t="shared" si="71"/>
        <v>35483.515937405609</v>
      </c>
      <c r="AK173" s="44">
        <f>HLOOKUP(I173,ElecAvoidedCostsWOCC!$A$5:$Q$50,G173+1,FALSE)*J173*L173</f>
        <v>0</v>
      </c>
      <c r="AL173" s="44">
        <f t="shared" si="72"/>
        <v>35483.515937405609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35483.515937405609</v>
      </c>
      <c r="AN173" s="48">
        <f t="shared" si="73"/>
        <v>40567.393797179277</v>
      </c>
      <c r="AO173" s="47">
        <f t="shared" si="74"/>
        <v>3.1784347594138662</v>
      </c>
      <c r="AP173" s="47">
        <f t="shared" si="75"/>
        <v>0.54282825196253104</v>
      </c>
      <c r="AQ173">
        <v>2020</v>
      </c>
    </row>
    <row r="174" spans="2:43">
      <c r="B174" s="97" t="s">
        <v>15</v>
      </c>
      <c r="C174" s="61">
        <v>18230627</v>
      </c>
      <c r="D174" s="61" t="s">
        <v>80</v>
      </c>
      <c r="E174" s="38" t="s">
        <v>768</v>
      </c>
      <c r="F174" s="39" t="s">
        <v>769</v>
      </c>
      <c r="G174" s="39"/>
      <c r="H174" s="39"/>
      <c r="I174" s="40" t="s">
        <v>269</v>
      </c>
      <c r="J174" s="41">
        <v>100</v>
      </c>
      <c r="K174" s="41">
        <v>0</v>
      </c>
      <c r="L174" s="41"/>
      <c r="M174" s="42">
        <v>250</v>
      </c>
      <c r="N174" s="42">
        <v>0</v>
      </c>
      <c r="O174" s="43">
        <v>0</v>
      </c>
      <c r="P174" s="44">
        <v>25000</v>
      </c>
      <c r="Q174" s="44">
        <v>0</v>
      </c>
      <c r="R174" s="45">
        <v>0</v>
      </c>
      <c r="S174" s="46">
        <v>0</v>
      </c>
      <c r="T174" s="39">
        <f t="shared" si="57"/>
        <v>0</v>
      </c>
      <c r="U174" s="47">
        <f t="shared" si="58"/>
        <v>0</v>
      </c>
      <c r="V174" s="48">
        <f t="shared" si="59"/>
        <v>-250</v>
      </c>
      <c r="W174" s="49">
        <f t="shared" si="60"/>
        <v>0</v>
      </c>
      <c r="X174" s="44">
        <f t="shared" si="61"/>
        <v>0</v>
      </c>
      <c r="Y174" s="44">
        <f t="shared" si="62"/>
        <v>-25000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str">
        <f>HLOOKUP(I174,ElecAvoidedCostsWOCC!$A$5:$Q$50,G174+1,FALSE)</f>
        <v>SF Space Heat</v>
      </c>
      <c r="AG174" s="44" t="e">
        <f t="shared" si="69"/>
        <v>#VALUE!</v>
      </c>
      <c r="AH174" s="52" t="str">
        <f>HLOOKUP(I174,ElecAvoidedCostsWOCC!$A$5:$Q$50,T174+1,FALSE)</f>
        <v>SF Space Heat</v>
      </c>
      <c r="AI174" s="44" t="e">
        <f t="shared" si="70"/>
        <v>#VALUE!</v>
      </c>
      <c r="AJ174" s="44" t="e">
        <f t="shared" si="71"/>
        <v>#VALUE!</v>
      </c>
      <c r="AK174" s="44" t="e">
        <f>HLOOKUP(I174,ElecAvoidedCostsWOCC!$A$5:$Q$50,G174+1,FALSE)*J174*L174</f>
        <v>#VALUE!</v>
      </c>
      <c r="AL174" s="44" t="e">
        <f t="shared" si="72"/>
        <v>#VALUE!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  <c r="AQ174">
        <v>2020</v>
      </c>
    </row>
    <row r="175" spans="2:43">
      <c r="B175" s="97" t="s">
        <v>15</v>
      </c>
      <c r="C175" s="61">
        <v>18230627</v>
      </c>
      <c r="D175" s="61" t="s">
        <v>80</v>
      </c>
      <c r="E175" s="38" t="s">
        <v>774</v>
      </c>
      <c r="F175" s="39" t="s">
        <v>775</v>
      </c>
      <c r="G175" s="39"/>
      <c r="H175" s="39"/>
      <c r="I175" s="40" t="s">
        <v>269</v>
      </c>
      <c r="J175" s="41">
        <v>10</v>
      </c>
      <c r="K175" s="41">
        <v>0</v>
      </c>
      <c r="L175" s="41"/>
      <c r="M175" s="42">
        <v>400</v>
      </c>
      <c r="N175" s="42">
        <v>0</v>
      </c>
      <c r="O175" s="43">
        <v>0</v>
      </c>
      <c r="P175" s="44">
        <v>4000</v>
      </c>
      <c r="Q175" s="44">
        <v>0</v>
      </c>
      <c r="R175" s="45">
        <v>0</v>
      </c>
      <c r="S175" s="46">
        <v>0</v>
      </c>
      <c r="T175" s="39">
        <f t="shared" si="57"/>
        <v>0</v>
      </c>
      <c r="U175" s="47">
        <f t="shared" si="58"/>
        <v>0</v>
      </c>
      <c r="V175" s="48">
        <f t="shared" si="59"/>
        <v>-400</v>
      </c>
      <c r="W175" s="49">
        <f t="shared" si="60"/>
        <v>0</v>
      </c>
      <c r="X175" s="44">
        <f t="shared" si="61"/>
        <v>0</v>
      </c>
      <c r="Y175" s="44">
        <f t="shared" si="62"/>
        <v>-4000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str">
        <f>HLOOKUP(I175,ElecAvoidedCostsWOCC!$A$5:$Q$50,G175+1,FALSE)</f>
        <v>SF Space Heat</v>
      </c>
      <c r="AG175" s="44" t="e">
        <f t="shared" si="69"/>
        <v>#VALUE!</v>
      </c>
      <c r="AH175" s="52" t="str">
        <f>HLOOKUP(I175,ElecAvoidedCostsWOCC!$A$5:$Q$50,T175+1,FALSE)</f>
        <v>SF Space Heat</v>
      </c>
      <c r="AI175" s="44" t="e">
        <f t="shared" si="70"/>
        <v>#VALUE!</v>
      </c>
      <c r="AJ175" s="44" t="e">
        <f t="shared" si="71"/>
        <v>#VALUE!</v>
      </c>
      <c r="AK175" s="44" t="e">
        <f>HLOOKUP(I175,ElecAvoidedCostsWOCC!$A$5:$Q$50,G175+1,FALSE)*J175*L175</f>
        <v>#VALUE!</v>
      </c>
      <c r="AL175" s="44" t="e">
        <f t="shared" si="72"/>
        <v>#VALUE!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  <c r="AQ175">
        <v>2020</v>
      </c>
    </row>
    <row r="176" spans="2:43">
      <c r="B176" s="97" t="s">
        <v>15</v>
      </c>
      <c r="C176" s="61">
        <v>18230627</v>
      </c>
      <c r="D176" s="61" t="s">
        <v>80</v>
      </c>
      <c r="E176" s="38" t="s">
        <v>780</v>
      </c>
      <c r="F176" s="39" t="s">
        <v>781</v>
      </c>
      <c r="G176" s="39">
        <v>10</v>
      </c>
      <c r="H176" s="39"/>
      <c r="I176" s="40" t="s">
        <v>263</v>
      </c>
      <c r="J176" s="41">
        <v>2</v>
      </c>
      <c r="K176" s="41">
        <v>131</v>
      </c>
      <c r="L176" s="41"/>
      <c r="M176" s="42">
        <v>50</v>
      </c>
      <c r="N176" s="42">
        <v>50</v>
      </c>
      <c r="O176" s="43">
        <v>262</v>
      </c>
      <c r="P176" s="44">
        <v>100</v>
      </c>
      <c r="Q176" s="44">
        <v>100</v>
      </c>
      <c r="R176" s="45">
        <v>0</v>
      </c>
      <c r="S176" s="46">
        <v>0</v>
      </c>
      <c r="T176" s="39">
        <f t="shared" si="57"/>
        <v>10</v>
      </c>
      <c r="U176" s="47">
        <f t="shared" si="58"/>
        <v>9.4156298240390991E-4</v>
      </c>
      <c r="V176" s="48">
        <f t="shared" si="59"/>
        <v>0</v>
      </c>
      <c r="W176" s="49">
        <f t="shared" si="60"/>
        <v>9.4156298240390986E-5</v>
      </c>
      <c r="X176" s="44">
        <f t="shared" si="61"/>
        <v>29.21801188279079</v>
      </c>
      <c r="Y176" s="44">
        <f t="shared" si="62"/>
        <v>0</v>
      </c>
      <c r="Z176" s="44">
        <f t="shared" si="63"/>
        <v>180.83315722811301</v>
      </c>
      <c r="AA176" s="50">
        <f t="shared" si="64"/>
        <v>129.21801188279079</v>
      </c>
      <c r="AB176" s="51">
        <f t="shared" si="65"/>
        <v>169.050347974304</v>
      </c>
      <c r="AC176" s="44">
        <f t="shared" si="66"/>
        <v>120.79836578740841</v>
      </c>
      <c r="AD176" s="44">
        <f t="shared" si="67"/>
        <v>0</v>
      </c>
      <c r="AE176" s="44">
        <f t="shared" si="68"/>
        <v>0</v>
      </c>
      <c r="AF176" s="52">
        <f>HLOOKUP(I176,ElecAvoidedCostsWOCC!$A$5:$Q$50,G176+1,FALSE)</f>
        <v>0.73512510012695687</v>
      </c>
      <c r="AG176" s="44">
        <f t="shared" si="69"/>
        <v>192.60277623326269</v>
      </c>
      <c r="AH176" s="52">
        <f>HLOOKUP(I176,ElecAvoidedCostsWOCC!$A$5:$Q$50,T176+1,FALSE)</f>
        <v>0.73512510012695687</v>
      </c>
      <c r="AI176" s="44">
        <f t="shared" si="70"/>
        <v>0</v>
      </c>
      <c r="AJ176" s="44">
        <f t="shared" si="71"/>
        <v>192.60277623326269</v>
      </c>
      <c r="AK176" s="44">
        <f>HLOOKUP(I176,ElecAvoidedCostsWOCC!$A$5:$Q$50,G176+1,FALSE)*J176*L176</f>
        <v>0</v>
      </c>
      <c r="AL176" s="44">
        <f t="shared" si="72"/>
        <v>192.60277623326269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192.60277623326269</v>
      </c>
      <c r="AN176" s="48">
        <f t="shared" si="73"/>
        <v>211.86305385658898</v>
      </c>
      <c r="AO176" s="47">
        <f t="shared" si="74"/>
        <v>1.1393219744365075</v>
      </c>
      <c r="AP176" s="47">
        <f t="shared" si="75"/>
        <v>1.7538569539048583</v>
      </c>
      <c r="AQ176">
        <v>2020</v>
      </c>
    </row>
    <row r="177" spans="2:43">
      <c r="B177" s="97" t="s">
        <v>15</v>
      </c>
      <c r="C177" s="61">
        <v>18230627</v>
      </c>
      <c r="D177" s="61" t="s">
        <v>80</v>
      </c>
      <c r="E177" s="38" t="s">
        <v>785</v>
      </c>
      <c r="F177" s="39" t="s">
        <v>786</v>
      </c>
      <c r="G177" s="39">
        <v>45</v>
      </c>
      <c r="H177" s="39"/>
      <c r="I177" s="40" t="s">
        <v>269</v>
      </c>
      <c r="J177" s="41">
        <v>1010</v>
      </c>
      <c r="K177" s="41">
        <v>1.33</v>
      </c>
      <c r="L177" s="41"/>
      <c r="M177" s="42">
        <v>1</v>
      </c>
      <c r="N177" s="42">
        <v>1.24</v>
      </c>
      <c r="O177" s="43">
        <v>1343.3</v>
      </c>
      <c r="P177" s="44">
        <v>1069.43</v>
      </c>
      <c r="Q177" s="44">
        <v>1252.4000000000001</v>
      </c>
      <c r="R177" s="45">
        <v>0.02</v>
      </c>
      <c r="S177" s="46">
        <v>0</v>
      </c>
      <c r="T177" s="39">
        <f t="shared" si="57"/>
        <v>45</v>
      </c>
      <c r="U177" s="47">
        <f t="shared" si="58"/>
        <v>2.1723690817497233E-2</v>
      </c>
      <c r="V177" s="48">
        <f t="shared" si="59"/>
        <v>0.24</v>
      </c>
      <c r="W177" s="49">
        <f t="shared" si="60"/>
        <v>4.8274868483327182E-4</v>
      </c>
      <c r="X177" s="44">
        <f t="shared" si="61"/>
        <v>149.80364642043079</v>
      </c>
      <c r="Y177" s="44">
        <f t="shared" si="62"/>
        <v>182.97000000000003</v>
      </c>
      <c r="Z177" s="44">
        <f t="shared" si="63"/>
        <v>927.14954238368023</v>
      </c>
      <c r="AA177" s="50">
        <f t="shared" si="64"/>
        <v>1402.2036464204309</v>
      </c>
      <c r="AB177" s="51">
        <f t="shared" si="65"/>
        <v>866.73791005298699</v>
      </c>
      <c r="AC177" s="44">
        <f t="shared" si="66"/>
        <v>1310.8382223244189</v>
      </c>
      <c r="AD177" s="44">
        <f t="shared" si="67"/>
        <v>275.83922763014073</v>
      </c>
      <c r="AE177" s="44">
        <f t="shared" si="68"/>
        <v>0</v>
      </c>
      <c r="AF177" s="52">
        <f>HLOOKUP(I177,ElecAvoidedCostsWOCC!$A$5:$Q$50,G177+1,FALSE)</f>
        <v>3.4276422079642828</v>
      </c>
      <c r="AG177" s="44">
        <f t="shared" si="69"/>
        <v>4604.3517779584208</v>
      </c>
      <c r="AH177" s="52">
        <f>HLOOKUP(I177,ElecAvoidedCostsWOCC!$A$5:$Q$50,T177+1,FALSE)</f>
        <v>3.4276422079642828</v>
      </c>
      <c r="AI177" s="44">
        <f t="shared" si="70"/>
        <v>0</v>
      </c>
      <c r="AJ177" s="44">
        <f t="shared" si="71"/>
        <v>4604.3517779584208</v>
      </c>
      <c r="AK177" s="44">
        <f>HLOOKUP(I177,ElecAvoidedCostsWOCC!$A$5:$Q$50,G177+1,FALSE)*J177*L177</f>
        <v>0</v>
      </c>
      <c r="AL177" s="44">
        <f t="shared" si="72"/>
        <v>4604.3517779584208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4604.3517779584217</v>
      </c>
      <c r="AN177" s="48">
        <f t="shared" si="73"/>
        <v>5340.6261833844055</v>
      </c>
      <c r="AO177" s="47">
        <f t="shared" si="74"/>
        <v>5.312276900034222</v>
      </c>
      <c r="AP177" s="47">
        <f t="shared" si="75"/>
        <v>4.0742069405896952</v>
      </c>
      <c r="AQ177">
        <v>2020</v>
      </c>
    </row>
    <row r="178" spans="2:43">
      <c r="B178" s="97" t="s">
        <v>15</v>
      </c>
      <c r="C178" s="61">
        <v>18230627</v>
      </c>
      <c r="D178" s="61" t="s">
        <v>80</v>
      </c>
      <c r="E178" s="38" t="s">
        <v>802</v>
      </c>
      <c r="F178" s="39" t="s">
        <v>803</v>
      </c>
      <c r="G178" s="39">
        <v>45</v>
      </c>
      <c r="H178" s="39"/>
      <c r="I178" s="40" t="s">
        <v>269</v>
      </c>
      <c r="J178" s="41">
        <v>1010</v>
      </c>
      <c r="K178" s="41">
        <v>0.18</v>
      </c>
      <c r="L178" s="41"/>
      <c r="M178" s="42">
        <v>0.5</v>
      </c>
      <c r="N178" s="42">
        <v>1.46</v>
      </c>
      <c r="O178" s="43">
        <v>181.8</v>
      </c>
      <c r="P178" s="44">
        <v>400</v>
      </c>
      <c r="Q178" s="44">
        <v>1474.6</v>
      </c>
      <c r="R178" s="45">
        <v>0</v>
      </c>
      <c r="S178" s="46">
        <v>0</v>
      </c>
      <c r="T178" s="39">
        <f t="shared" si="57"/>
        <v>45</v>
      </c>
      <c r="U178" s="47">
        <f t="shared" si="58"/>
        <v>2.9400483813154148E-3</v>
      </c>
      <c r="V178" s="48">
        <f t="shared" si="59"/>
        <v>0.96</v>
      </c>
      <c r="W178" s="49">
        <f t="shared" si="60"/>
        <v>6.5334408473675885E-5</v>
      </c>
      <c r="X178" s="44">
        <f t="shared" si="61"/>
        <v>20.274177711035748</v>
      </c>
      <c r="Y178" s="44">
        <f t="shared" si="62"/>
        <v>1074.5999999999999</v>
      </c>
      <c r="Z178" s="44">
        <f t="shared" si="63"/>
        <v>125.47888543538528</v>
      </c>
      <c r="AA178" s="50">
        <f t="shared" si="64"/>
        <v>1494.8741777110356</v>
      </c>
      <c r="AB178" s="51">
        <f t="shared" si="65"/>
        <v>117.30287504476514</v>
      </c>
      <c r="AC178" s="44">
        <f t="shared" si="66"/>
        <v>1397.4704849126256</v>
      </c>
      <c r="AD178" s="44">
        <f t="shared" si="67"/>
        <v>0</v>
      </c>
      <c r="AE178" s="44">
        <f t="shared" si="68"/>
        <v>0</v>
      </c>
      <c r="AF178" s="52">
        <f>HLOOKUP(I178,ElecAvoidedCostsWOCC!$A$5:$Q$50,G178+1,FALSE)</f>
        <v>3.4276422079642828</v>
      </c>
      <c r="AG178" s="44">
        <f t="shared" si="69"/>
        <v>623.14535340790655</v>
      </c>
      <c r="AH178" s="52">
        <f>HLOOKUP(I178,ElecAvoidedCostsWOCC!$A$5:$Q$50,T178+1,FALSE)</f>
        <v>3.4276422079642828</v>
      </c>
      <c r="AI178" s="44">
        <f t="shared" si="70"/>
        <v>0</v>
      </c>
      <c r="AJ178" s="44">
        <f t="shared" si="71"/>
        <v>623.14535340790655</v>
      </c>
      <c r="AK178" s="44">
        <f>HLOOKUP(I178,ElecAvoidedCostsWOCC!$A$5:$Q$50,G178+1,FALSE)*J178*L178</f>
        <v>0</v>
      </c>
      <c r="AL178" s="44">
        <f t="shared" si="72"/>
        <v>623.14535340790655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623.14535340790655</v>
      </c>
      <c r="AN178" s="48">
        <f t="shared" si="73"/>
        <v>685.45988874869727</v>
      </c>
      <c r="AO178" s="47">
        <f t="shared" si="74"/>
        <v>5.3122769000342211</v>
      </c>
      <c r="AP178" s="47">
        <f t="shared" si="75"/>
        <v>0.49050044072419496</v>
      </c>
      <c r="AQ178">
        <v>2020</v>
      </c>
    </row>
    <row r="179" spans="2:43">
      <c r="B179" s="97" t="s">
        <v>15</v>
      </c>
      <c r="C179" s="61">
        <v>18230627</v>
      </c>
      <c r="D179" s="61" t="s">
        <v>80</v>
      </c>
      <c r="E179" s="38" t="s">
        <v>817</v>
      </c>
      <c r="F179" s="39" t="s">
        <v>818</v>
      </c>
      <c r="G179" s="39">
        <v>25</v>
      </c>
      <c r="H179" s="39"/>
      <c r="I179" s="40" t="s">
        <v>269</v>
      </c>
      <c r="J179" s="41">
        <v>2690.53</v>
      </c>
      <c r="K179" s="41">
        <v>9.98</v>
      </c>
      <c r="L179" s="41"/>
      <c r="M179" s="42">
        <v>200</v>
      </c>
      <c r="N179" s="42">
        <v>17.809999999999999</v>
      </c>
      <c r="O179" s="43">
        <v>26851.48</v>
      </c>
      <c r="P179" s="44">
        <v>30246</v>
      </c>
      <c r="Q179" s="44">
        <v>47918.33</v>
      </c>
      <c r="R179" s="45">
        <v>0.08</v>
      </c>
      <c r="S179" s="46">
        <v>0</v>
      </c>
      <c r="T179" s="39">
        <f t="shared" si="57"/>
        <v>25</v>
      </c>
      <c r="U179" s="47">
        <f t="shared" si="58"/>
        <v>0.241243889224799</v>
      </c>
      <c r="V179" s="48">
        <f t="shared" si="59"/>
        <v>-182.19</v>
      </c>
      <c r="W179" s="49">
        <f t="shared" si="60"/>
        <v>9.6497555689919606E-3</v>
      </c>
      <c r="X179" s="44">
        <f t="shared" si="61"/>
        <v>2994.4536706508366</v>
      </c>
      <c r="Y179" s="44">
        <f t="shared" si="62"/>
        <v>17672.330000000002</v>
      </c>
      <c r="Z179" s="44">
        <f t="shared" si="63"/>
        <v>18532.969101708135</v>
      </c>
      <c r="AA179" s="50">
        <f t="shared" si="64"/>
        <v>50912.783670650839</v>
      </c>
      <c r="AB179" s="51">
        <f t="shared" si="65"/>
        <v>17325.389456584213</v>
      </c>
      <c r="AC179" s="44">
        <f t="shared" si="66"/>
        <v>47595.385314247767</v>
      </c>
      <c r="AD179" s="44">
        <f t="shared" si="67"/>
        <v>2515.1387488471414</v>
      </c>
      <c r="AE179" s="44">
        <f t="shared" si="68"/>
        <v>0</v>
      </c>
      <c r="AF179" s="52">
        <f>HLOOKUP(I179,ElecAvoidedCostsWOCC!$A$5:$Q$50,G179+1,FALSE)</f>
        <v>2.0508206305871441</v>
      </c>
      <c r="AG179" s="44">
        <f t="shared" si="69"/>
        <v>55067.588423512025</v>
      </c>
      <c r="AH179" s="52">
        <f>HLOOKUP(I179,ElecAvoidedCostsWOCC!$A$5:$Q$50,T179+1,FALSE)</f>
        <v>2.0508206305871441</v>
      </c>
      <c r="AI179" s="44">
        <f t="shared" si="70"/>
        <v>0</v>
      </c>
      <c r="AJ179" s="44">
        <f t="shared" si="71"/>
        <v>55067.588423512025</v>
      </c>
      <c r="AK179" s="44">
        <f>HLOOKUP(I179,ElecAvoidedCostsWOCC!$A$5:$Q$50,G179+1,FALSE)*J179*L179</f>
        <v>0</v>
      </c>
      <c r="AL179" s="44">
        <f t="shared" si="72"/>
        <v>55067.588423512025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55067.588423512025</v>
      </c>
      <c r="AN179" s="48">
        <f t="shared" si="73"/>
        <v>63089.486014710375</v>
      </c>
      <c r="AO179" s="47">
        <f t="shared" si="74"/>
        <v>3.1784329328645797</v>
      </c>
      <c r="AP179" s="47">
        <f t="shared" si="75"/>
        <v>1.3255378772156807</v>
      </c>
      <c r="AQ179">
        <v>2020</v>
      </c>
    </row>
    <row r="180" spans="2:43">
      <c r="B180" s="97" t="s">
        <v>15</v>
      </c>
      <c r="C180" s="61">
        <v>18230627</v>
      </c>
      <c r="D180" s="61" t="s">
        <v>80</v>
      </c>
      <c r="E180" s="38" t="s">
        <v>820</v>
      </c>
      <c r="F180" s="39" t="s">
        <v>821</v>
      </c>
      <c r="G180" s="39">
        <v>45</v>
      </c>
      <c r="H180" s="39"/>
      <c r="I180" s="40" t="s">
        <v>269</v>
      </c>
      <c r="J180" s="41">
        <v>111.04</v>
      </c>
      <c r="K180" s="41">
        <v>6.99</v>
      </c>
      <c r="L180" s="41"/>
      <c r="M180" s="42">
        <v>200</v>
      </c>
      <c r="N180" s="42">
        <v>20.5</v>
      </c>
      <c r="O180" s="43">
        <v>776.17</v>
      </c>
      <c r="P180" s="44">
        <v>1800</v>
      </c>
      <c r="Q180" s="44">
        <v>2276.3200000000002</v>
      </c>
      <c r="R180" s="45">
        <v>0.11</v>
      </c>
      <c r="S180" s="46">
        <v>0</v>
      </c>
      <c r="T180" s="39">
        <f t="shared" si="57"/>
        <v>45</v>
      </c>
      <c r="U180" s="47">
        <f t="shared" si="58"/>
        <v>1.2552130649755695E-2</v>
      </c>
      <c r="V180" s="48">
        <f t="shared" si="59"/>
        <v>-179.5</v>
      </c>
      <c r="W180" s="49">
        <f t="shared" si="60"/>
        <v>2.7893623666123767E-4</v>
      </c>
      <c r="X180" s="44">
        <f t="shared" si="61"/>
        <v>86.55780260712109</v>
      </c>
      <c r="Y180" s="44">
        <f t="shared" si="62"/>
        <v>476.32000000000016</v>
      </c>
      <c r="Z180" s="44">
        <f t="shared" si="63"/>
        <v>535.71477727383387</v>
      </c>
      <c r="AA180" s="50">
        <f t="shared" si="64"/>
        <v>2362.8778026071213</v>
      </c>
      <c r="AB180" s="51">
        <f t="shared" si="65"/>
        <v>500.80842972219671</v>
      </c>
      <c r="AC180" s="44">
        <f t="shared" si="66"/>
        <v>2208.9163341190251</v>
      </c>
      <c r="AD180" s="44">
        <f t="shared" si="67"/>
        <v>166.79260702799954</v>
      </c>
      <c r="AE180" s="44">
        <f t="shared" si="68"/>
        <v>0</v>
      </c>
      <c r="AF180" s="52">
        <f>HLOOKUP(I180,ElecAvoidedCostsWOCC!$A$5:$Q$50,G180+1,FALSE)</f>
        <v>3.4276422079642828</v>
      </c>
      <c r="AG180" s="44">
        <f t="shared" si="69"/>
        <v>2660.4316814987546</v>
      </c>
      <c r="AH180" s="52">
        <f>HLOOKUP(I180,ElecAvoidedCostsWOCC!$A$5:$Q$50,T180+1,FALSE)</f>
        <v>3.4276422079642828</v>
      </c>
      <c r="AI180" s="44">
        <f t="shared" si="70"/>
        <v>0</v>
      </c>
      <c r="AJ180" s="44">
        <f t="shared" si="71"/>
        <v>2660.4316814987546</v>
      </c>
      <c r="AK180" s="44">
        <f>HLOOKUP(I180,ElecAvoidedCostsWOCC!$A$5:$Q$50,G180+1,FALSE)*J180*L180</f>
        <v>0</v>
      </c>
      <c r="AL180" s="44">
        <f t="shared" si="72"/>
        <v>2660.4316814987546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2660.4316814987542</v>
      </c>
      <c r="AN180" s="48">
        <f t="shared" si="73"/>
        <v>3093.2674566766295</v>
      </c>
      <c r="AO180" s="47">
        <f t="shared" si="74"/>
        <v>5.3122741623469105</v>
      </c>
      <c r="AP180" s="47">
        <f t="shared" si="75"/>
        <v>1.4003551917733938</v>
      </c>
      <c r="AQ180">
        <v>2020</v>
      </c>
    </row>
    <row r="181" spans="2:43">
      <c r="B181" s="97" t="s">
        <v>15</v>
      </c>
      <c r="C181" s="61">
        <v>18230627</v>
      </c>
      <c r="D181" s="61" t="s">
        <v>80</v>
      </c>
      <c r="E181" s="38" t="s">
        <v>823</v>
      </c>
      <c r="F181" s="39" t="s">
        <v>824</v>
      </c>
      <c r="G181" s="39">
        <v>45</v>
      </c>
      <c r="H181" s="39"/>
      <c r="I181" s="40" t="s">
        <v>269</v>
      </c>
      <c r="J181" s="41">
        <v>119.28</v>
      </c>
      <c r="K181" s="41">
        <v>8.92</v>
      </c>
      <c r="L181" s="41"/>
      <c r="M181" s="42">
        <v>200</v>
      </c>
      <c r="N181" s="42">
        <v>20.5</v>
      </c>
      <c r="O181" s="43">
        <v>1063.98</v>
      </c>
      <c r="P181" s="44">
        <v>1400</v>
      </c>
      <c r="Q181" s="44">
        <v>2445.2399999999998</v>
      </c>
      <c r="R181" s="45">
        <v>0.15</v>
      </c>
      <c r="S181" s="46">
        <v>0</v>
      </c>
      <c r="T181" s="39">
        <f t="shared" si="57"/>
        <v>45</v>
      </c>
      <c r="U181" s="47">
        <f t="shared" si="58"/>
        <v>1.7206560378173679E-2</v>
      </c>
      <c r="V181" s="48">
        <f t="shared" si="59"/>
        <v>-179.5</v>
      </c>
      <c r="W181" s="49">
        <f t="shared" si="60"/>
        <v>3.8236800840385954E-4</v>
      </c>
      <c r="X181" s="44">
        <f t="shared" si="61"/>
        <v>118.65412321775474</v>
      </c>
      <c r="Y181" s="44">
        <f t="shared" si="62"/>
        <v>1045.2399999999998</v>
      </c>
      <c r="Z181" s="44">
        <f t="shared" si="63"/>
        <v>734.36207109758652</v>
      </c>
      <c r="AA181" s="50">
        <f t="shared" si="64"/>
        <v>2563.8941232177544</v>
      </c>
      <c r="AB181" s="51">
        <f t="shared" si="65"/>
        <v>686.51217266297692</v>
      </c>
      <c r="AC181" s="44">
        <f t="shared" si="66"/>
        <v>2396.8347417198788</v>
      </c>
      <c r="AD181" s="44">
        <f t="shared" si="67"/>
        <v>244.32254756230083</v>
      </c>
      <c r="AE181" s="44">
        <f t="shared" si="68"/>
        <v>0</v>
      </c>
      <c r="AF181" s="52">
        <f>HLOOKUP(I181,ElecAvoidedCostsWOCC!$A$5:$Q$50,G181+1,FALSE)</f>
        <v>3.4276422079642828</v>
      </c>
      <c r="AG181" s="44">
        <f t="shared" si="69"/>
        <v>3646.9345300885384</v>
      </c>
      <c r="AH181" s="52">
        <f>HLOOKUP(I181,ElecAvoidedCostsWOCC!$A$5:$Q$50,T181+1,FALSE)</f>
        <v>3.4276422079642828</v>
      </c>
      <c r="AI181" s="44">
        <f t="shared" si="70"/>
        <v>0</v>
      </c>
      <c r="AJ181" s="44">
        <f t="shared" si="71"/>
        <v>3646.9345300885384</v>
      </c>
      <c r="AK181" s="44">
        <f>HLOOKUP(I181,ElecAvoidedCostsWOCC!$A$5:$Q$50,G181+1,FALSE)*J181*L181</f>
        <v>0</v>
      </c>
      <c r="AL181" s="44">
        <f t="shared" si="72"/>
        <v>3646.9345300885384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3646.9345300885384</v>
      </c>
      <c r="AN181" s="48">
        <f t="shared" si="73"/>
        <v>4255.9505306596939</v>
      </c>
      <c r="AO181" s="47">
        <f t="shared" si="74"/>
        <v>5.3122649172295073</v>
      </c>
      <c r="AP181" s="47">
        <f t="shared" si="75"/>
        <v>1.7756545566448954</v>
      </c>
      <c r="AQ181">
        <v>2020</v>
      </c>
    </row>
    <row r="182" spans="2:43">
      <c r="B182" s="97" t="s">
        <v>15</v>
      </c>
      <c r="C182" s="61">
        <v>18230627</v>
      </c>
      <c r="D182" s="61" t="s">
        <v>80</v>
      </c>
      <c r="E182" s="38" t="s">
        <v>831</v>
      </c>
      <c r="F182" s="39" t="s">
        <v>832</v>
      </c>
      <c r="G182" s="39">
        <v>45</v>
      </c>
      <c r="H182" s="39"/>
      <c r="I182" s="40" t="s">
        <v>269</v>
      </c>
      <c r="J182" s="41">
        <v>148357</v>
      </c>
      <c r="K182" s="41">
        <v>0.15</v>
      </c>
      <c r="L182" s="41"/>
      <c r="M182" s="42">
        <v>0.08</v>
      </c>
      <c r="N182" s="42">
        <v>0.2</v>
      </c>
      <c r="O182" s="43">
        <v>22253.55</v>
      </c>
      <c r="P182" s="44">
        <v>12712.41</v>
      </c>
      <c r="Q182" s="44">
        <v>29671.4</v>
      </c>
      <c r="R182" s="45">
        <v>0</v>
      </c>
      <c r="S182" s="46">
        <v>0</v>
      </c>
      <c r="T182" s="39">
        <f t="shared" si="57"/>
        <v>45</v>
      </c>
      <c r="U182" s="47">
        <f t="shared" si="58"/>
        <v>0.35988181328944796</v>
      </c>
      <c r="V182" s="48">
        <f t="shared" si="59"/>
        <v>0.12000000000000001</v>
      </c>
      <c r="W182" s="49">
        <f t="shared" si="60"/>
        <v>7.9973736286543997E-3</v>
      </c>
      <c r="X182" s="44">
        <f t="shared" si="61"/>
        <v>2481.6965203598434</v>
      </c>
      <c r="Y182" s="44">
        <f t="shared" si="62"/>
        <v>16958.990000000002</v>
      </c>
      <c r="Z182" s="44">
        <f t="shared" si="63"/>
        <v>15359.464526846083</v>
      </c>
      <c r="AA182" s="50">
        <f t="shared" si="64"/>
        <v>32153.096520359846</v>
      </c>
      <c r="AB182" s="51">
        <f t="shared" si="65"/>
        <v>14358.66553879226</v>
      </c>
      <c r="AC182" s="44">
        <f t="shared" si="66"/>
        <v>30058.050406992468</v>
      </c>
      <c r="AD182" s="44">
        <f t="shared" si="67"/>
        <v>0</v>
      </c>
      <c r="AE182" s="44">
        <f t="shared" si="68"/>
        <v>0</v>
      </c>
      <c r="AF182" s="52">
        <f>HLOOKUP(I182,ElecAvoidedCostsWOCC!$A$5:$Q$50,G182+1,FALSE)</f>
        <v>3.4276422079642828</v>
      </c>
      <c r="AG182" s="44">
        <f t="shared" si="69"/>
        <v>76277.207257043556</v>
      </c>
      <c r="AH182" s="52">
        <f>HLOOKUP(I182,ElecAvoidedCostsWOCC!$A$5:$Q$50,T182+1,FALSE)</f>
        <v>3.4276422079642828</v>
      </c>
      <c r="AI182" s="44">
        <f t="shared" si="70"/>
        <v>0</v>
      </c>
      <c r="AJ182" s="44">
        <f t="shared" si="71"/>
        <v>76277.207257043556</v>
      </c>
      <c r="AK182" s="44">
        <f>HLOOKUP(I182,ElecAvoidedCostsWOCC!$A$5:$Q$50,G182+1,FALSE)*J182*L182</f>
        <v>0</v>
      </c>
      <c r="AL182" s="44">
        <f t="shared" si="72"/>
        <v>76277.207257043556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76277.207257043556</v>
      </c>
      <c r="AN182" s="48">
        <f t="shared" si="73"/>
        <v>83904.927982747919</v>
      </c>
      <c r="AO182" s="47">
        <f t="shared" si="74"/>
        <v>5.312276900034222</v>
      </c>
      <c r="AP182" s="47">
        <f t="shared" si="75"/>
        <v>2.7914294788470024</v>
      </c>
      <c r="AQ182">
        <v>2020</v>
      </c>
    </row>
    <row r="183" spans="2:43">
      <c r="B183" s="97" t="s">
        <v>15</v>
      </c>
      <c r="C183" s="61">
        <v>18230627</v>
      </c>
      <c r="D183" s="61" t="s">
        <v>80</v>
      </c>
      <c r="E183" s="38" t="s">
        <v>833</v>
      </c>
      <c r="F183" s="39" t="s">
        <v>834</v>
      </c>
      <c r="G183" s="39">
        <v>45</v>
      </c>
      <c r="H183" s="39"/>
      <c r="I183" s="40" t="s">
        <v>269</v>
      </c>
      <c r="J183" s="41">
        <v>1010</v>
      </c>
      <c r="K183" s="41">
        <v>0.15</v>
      </c>
      <c r="L183" s="41"/>
      <c r="M183" s="42">
        <v>0.2</v>
      </c>
      <c r="N183" s="42">
        <v>0.2</v>
      </c>
      <c r="O183" s="43">
        <v>151.5</v>
      </c>
      <c r="P183" s="44">
        <v>162.9</v>
      </c>
      <c r="Q183" s="44">
        <v>202</v>
      </c>
      <c r="R183" s="45">
        <v>0</v>
      </c>
      <c r="S183" s="46">
        <v>0</v>
      </c>
      <c r="T183" s="39">
        <f t="shared" si="57"/>
        <v>45</v>
      </c>
      <c r="U183" s="47">
        <f t="shared" si="58"/>
        <v>2.4500403177628457E-3</v>
      </c>
      <c r="V183" s="48">
        <f t="shared" si="59"/>
        <v>0</v>
      </c>
      <c r="W183" s="49">
        <f t="shared" si="60"/>
        <v>5.4445340394729904E-5</v>
      </c>
      <c r="X183" s="44">
        <f t="shared" si="61"/>
        <v>16.895148092529787</v>
      </c>
      <c r="Y183" s="44">
        <f t="shared" si="62"/>
        <v>39.099999999999994</v>
      </c>
      <c r="Z183" s="44">
        <f t="shared" si="63"/>
        <v>104.56573786282107</v>
      </c>
      <c r="AA183" s="50">
        <f t="shared" si="64"/>
        <v>218.89514809252978</v>
      </c>
      <c r="AB183" s="51">
        <f t="shared" si="65"/>
        <v>97.752395870637613</v>
      </c>
      <c r="AC183" s="44">
        <f t="shared" si="66"/>
        <v>204.63227829534426</v>
      </c>
      <c r="AD183" s="44">
        <f t="shared" si="67"/>
        <v>0</v>
      </c>
      <c r="AE183" s="44">
        <f t="shared" si="68"/>
        <v>0</v>
      </c>
      <c r="AF183" s="52">
        <f>HLOOKUP(I183,ElecAvoidedCostsWOCC!$A$5:$Q$50,G183+1,FALSE)</f>
        <v>3.4276422079642828</v>
      </c>
      <c r="AG183" s="44">
        <f t="shared" si="69"/>
        <v>519.28779450658885</v>
      </c>
      <c r="AH183" s="52">
        <f>HLOOKUP(I183,ElecAvoidedCostsWOCC!$A$5:$Q$50,T183+1,FALSE)</f>
        <v>3.4276422079642828</v>
      </c>
      <c r="AI183" s="44">
        <f t="shared" si="70"/>
        <v>0</v>
      </c>
      <c r="AJ183" s="44">
        <f t="shared" si="71"/>
        <v>519.28779450658885</v>
      </c>
      <c r="AK183" s="44">
        <f>HLOOKUP(I183,ElecAvoidedCostsWOCC!$A$5:$Q$50,G183+1,FALSE)*J183*L183</f>
        <v>0</v>
      </c>
      <c r="AL183" s="44">
        <f t="shared" si="72"/>
        <v>519.28779450658885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519.28779450658874</v>
      </c>
      <c r="AN183" s="48">
        <f t="shared" si="73"/>
        <v>571.21657395724765</v>
      </c>
      <c r="AO183" s="47">
        <f t="shared" si="74"/>
        <v>5.3122769000342211</v>
      </c>
      <c r="AP183" s="47">
        <f t="shared" si="75"/>
        <v>2.7914294788470024</v>
      </c>
      <c r="AQ183">
        <v>2020</v>
      </c>
    </row>
    <row r="184" spans="2:43">
      <c r="B184" s="97" t="s">
        <v>15</v>
      </c>
      <c r="C184" s="61">
        <v>18230627</v>
      </c>
      <c r="D184" s="61" t="s">
        <v>80</v>
      </c>
      <c r="E184" s="38" t="s">
        <v>839</v>
      </c>
      <c r="F184" s="39" t="s">
        <v>840</v>
      </c>
      <c r="G184" s="39">
        <v>45</v>
      </c>
      <c r="H184" s="39"/>
      <c r="I184" s="40" t="s">
        <v>269</v>
      </c>
      <c r="J184" s="41">
        <v>218480</v>
      </c>
      <c r="K184" s="41">
        <v>0.15</v>
      </c>
      <c r="L184" s="41"/>
      <c r="M184" s="42">
        <v>0.08</v>
      </c>
      <c r="N184" s="42">
        <v>0.2</v>
      </c>
      <c r="O184" s="43">
        <v>32772</v>
      </c>
      <c r="P184" s="44">
        <v>17995</v>
      </c>
      <c r="Q184" s="44">
        <v>43696</v>
      </c>
      <c r="R184" s="45">
        <v>0</v>
      </c>
      <c r="S184" s="46">
        <v>0</v>
      </c>
      <c r="T184" s="39">
        <f t="shared" si="57"/>
        <v>45</v>
      </c>
      <c r="U184" s="47">
        <f t="shared" si="58"/>
        <v>0.52998495903448173</v>
      </c>
      <c r="V184" s="48">
        <f t="shared" si="59"/>
        <v>0.12000000000000001</v>
      </c>
      <c r="W184" s="49">
        <f t="shared" si="60"/>
        <v>1.1777443534099593E-2</v>
      </c>
      <c r="X184" s="44">
        <f t="shared" si="61"/>
        <v>3654.7049061939683</v>
      </c>
      <c r="Y184" s="44">
        <f t="shared" si="62"/>
        <v>25701</v>
      </c>
      <c r="Z184" s="44">
        <f t="shared" si="63"/>
        <v>22619.329117098165</v>
      </c>
      <c r="AA184" s="50">
        <f t="shared" si="64"/>
        <v>47350.704906193969</v>
      </c>
      <c r="AB184" s="51">
        <f t="shared" si="65"/>
        <v>21145.488564175153</v>
      </c>
      <c r="AC184" s="44">
        <f t="shared" si="66"/>
        <v>44265.406100957247</v>
      </c>
      <c r="AD184" s="44">
        <f t="shared" si="67"/>
        <v>0</v>
      </c>
      <c r="AE184" s="44">
        <f t="shared" si="68"/>
        <v>0</v>
      </c>
      <c r="AF184" s="52">
        <f>HLOOKUP(I184,ElecAvoidedCostsWOCC!$A$5:$Q$50,G184+1,FALSE)</f>
        <v>3.4276422079642828</v>
      </c>
      <c r="AG184" s="44">
        <f t="shared" si="69"/>
        <v>112330.69043940547</v>
      </c>
      <c r="AH184" s="52">
        <f>HLOOKUP(I184,ElecAvoidedCostsWOCC!$A$5:$Q$50,T184+1,FALSE)</f>
        <v>3.4276422079642828</v>
      </c>
      <c r="AI184" s="44">
        <f t="shared" si="70"/>
        <v>0</v>
      </c>
      <c r="AJ184" s="44">
        <f t="shared" si="71"/>
        <v>112330.69043940547</v>
      </c>
      <c r="AK184" s="44">
        <f>HLOOKUP(I184,ElecAvoidedCostsWOCC!$A$5:$Q$50,G184+1,FALSE)*J184*L184</f>
        <v>0</v>
      </c>
      <c r="AL184" s="44">
        <f t="shared" si="72"/>
        <v>112330.69043940547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112330.69043940546</v>
      </c>
      <c r="AN184" s="48">
        <f t="shared" si="73"/>
        <v>123563.75948334602</v>
      </c>
      <c r="AO184" s="47">
        <f t="shared" si="74"/>
        <v>5.3122769000342211</v>
      </c>
      <c r="AP184" s="47">
        <f t="shared" si="75"/>
        <v>2.7914294788470024</v>
      </c>
      <c r="AQ184">
        <v>2020</v>
      </c>
    </row>
    <row r="185" spans="2:43">
      <c r="B185" s="97" t="s">
        <v>15</v>
      </c>
      <c r="C185" s="61">
        <v>18230627</v>
      </c>
      <c r="D185" s="61" t="s">
        <v>80</v>
      </c>
      <c r="E185" s="38" t="s">
        <v>841</v>
      </c>
      <c r="F185" s="39" t="s">
        <v>842</v>
      </c>
      <c r="G185" s="39">
        <v>45</v>
      </c>
      <c r="H185" s="39"/>
      <c r="I185" s="40" t="s">
        <v>269</v>
      </c>
      <c r="J185" s="41">
        <v>1010</v>
      </c>
      <c r="K185" s="41">
        <v>0.15</v>
      </c>
      <c r="L185" s="41"/>
      <c r="M185" s="42">
        <v>0.2</v>
      </c>
      <c r="N185" s="42">
        <v>0.2</v>
      </c>
      <c r="O185" s="43">
        <v>151.5</v>
      </c>
      <c r="P185" s="44">
        <v>162.9</v>
      </c>
      <c r="Q185" s="44">
        <v>202</v>
      </c>
      <c r="R185" s="45">
        <v>0</v>
      </c>
      <c r="S185" s="46">
        <v>0</v>
      </c>
      <c r="T185" s="39">
        <f t="shared" si="57"/>
        <v>45</v>
      </c>
      <c r="U185" s="47">
        <f t="shared" si="58"/>
        <v>2.4500403177628457E-3</v>
      </c>
      <c r="V185" s="48">
        <f t="shared" si="59"/>
        <v>0</v>
      </c>
      <c r="W185" s="49">
        <f t="shared" si="60"/>
        <v>5.4445340394729904E-5</v>
      </c>
      <c r="X185" s="44">
        <f t="shared" si="61"/>
        <v>16.895148092529787</v>
      </c>
      <c r="Y185" s="44">
        <f t="shared" si="62"/>
        <v>39.099999999999994</v>
      </c>
      <c r="Z185" s="44">
        <f t="shared" si="63"/>
        <v>104.56573786282107</v>
      </c>
      <c r="AA185" s="50">
        <f t="shared" si="64"/>
        <v>218.89514809252978</v>
      </c>
      <c r="AB185" s="51">
        <f t="shared" si="65"/>
        <v>97.752395870637613</v>
      </c>
      <c r="AC185" s="44">
        <f t="shared" si="66"/>
        <v>204.63227829534426</v>
      </c>
      <c r="AD185" s="44">
        <f t="shared" si="67"/>
        <v>0</v>
      </c>
      <c r="AE185" s="44">
        <f t="shared" si="68"/>
        <v>0</v>
      </c>
      <c r="AF185" s="52">
        <f>HLOOKUP(I185,ElecAvoidedCostsWOCC!$A$5:$Q$50,G185+1,FALSE)</f>
        <v>3.4276422079642828</v>
      </c>
      <c r="AG185" s="44">
        <f t="shared" si="69"/>
        <v>519.28779450658885</v>
      </c>
      <c r="AH185" s="52">
        <f>HLOOKUP(I185,ElecAvoidedCostsWOCC!$A$5:$Q$50,T185+1,FALSE)</f>
        <v>3.4276422079642828</v>
      </c>
      <c r="AI185" s="44">
        <f t="shared" si="70"/>
        <v>0</v>
      </c>
      <c r="AJ185" s="44">
        <f t="shared" si="71"/>
        <v>519.28779450658885</v>
      </c>
      <c r="AK185" s="44">
        <f>HLOOKUP(I185,ElecAvoidedCostsWOCC!$A$5:$Q$50,G185+1,FALSE)*J185*L185</f>
        <v>0</v>
      </c>
      <c r="AL185" s="44">
        <f t="shared" si="72"/>
        <v>519.28779450658885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519.28779450658874</v>
      </c>
      <c r="AN185" s="48">
        <f t="shared" si="73"/>
        <v>571.21657395724765</v>
      </c>
      <c r="AO185" s="47">
        <f t="shared" si="74"/>
        <v>5.3122769000342211</v>
      </c>
      <c r="AP185" s="47">
        <f t="shared" si="75"/>
        <v>2.7914294788470024</v>
      </c>
      <c r="AQ185">
        <v>2020</v>
      </c>
    </row>
    <row r="186" spans="2:43">
      <c r="B186" s="97" t="s">
        <v>15</v>
      </c>
      <c r="C186" s="61">
        <v>18230627</v>
      </c>
      <c r="D186" s="61" t="s">
        <v>80</v>
      </c>
      <c r="E186" s="38" t="s">
        <v>2007</v>
      </c>
      <c r="F186" s="39" t="s">
        <v>848</v>
      </c>
      <c r="G186" s="39">
        <v>15</v>
      </c>
      <c r="H186" s="39"/>
      <c r="I186" s="40" t="s">
        <v>269</v>
      </c>
      <c r="J186" s="41">
        <v>575</v>
      </c>
      <c r="K186" s="41">
        <v>0.54</v>
      </c>
      <c r="L186" s="41"/>
      <c r="M186" s="42">
        <v>0.27</v>
      </c>
      <c r="N186" s="42">
        <v>0.73</v>
      </c>
      <c r="O186" s="43">
        <v>310.5</v>
      </c>
      <c r="P186" s="44">
        <v>350</v>
      </c>
      <c r="Q186" s="44">
        <v>419.75</v>
      </c>
      <c r="R186" s="45">
        <v>0.01</v>
      </c>
      <c r="S186" s="46">
        <v>0</v>
      </c>
      <c r="T186" s="39">
        <f t="shared" si="57"/>
        <v>15</v>
      </c>
      <c r="U186" s="47">
        <f t="shared" si="58"/>
        <v>1.6737899200558054E-3</v>
      </c>
      <c r="V186" s="48">
        <f t="shared" si="59"/>
        <v>0.45999999999999996</v>
      </c>
      <c r="W186" s="49">
        <f t="shared" si="60"/>
        <v>1.1158599467038703E-4</v>
      </c>
      <c r="X186" s="44">
        <f t="shared" si="61"/>
        <v>34.626689654986791</v>
      </c>
      <c r="Y186" s="44">
        <f t="shared" si="62"/>
        <v>69.75</v>
      </c>
      <c r="Z186" s="44">
        <f t="shared" si="63"/>
        <v>214.3079974020194</v>
      </c>
      <c r="AA186" s="50">
        <f t="shared" si="64"/>
        <v>454.37668965498676</v>
      </c>
      <c r="AB186" s="51">
        <f t="shared" si="65"/>
        <v>200.34401925962362</v>
      </c>
      <c r="AC186" s="44">
        <f t="shared" si="66"/>
        <v>424.77020627744855</v>
      </c>
      <c r="AD186" s="44">
        <f t="shared" si="67"/>
        <v>52.469884344261047</v>
      </c>
      <c r="AE186" s="44">
        <f t="shared" si="68"/>
        <v>0</v>
      </c>
      <c r="AF186" s="52">
        <f>HLOOKUP(I186,ElecAvoidedCostsWOCC!$A$5:$Q$50,G186+1,FALSE)</f>
        <v>1.3893373920773078</v>
      </c>
      <c r="AG186" s="44">
        <f t="shared" si="69"/>
        <v>431.38926024000409</v>
      </c>
      <c r="AH186" s="52">
        <f>HLOOKUP(I186,ElecAvoidedCostsWOCC!$A$5:$Q$50,T186+1,FALSE)</f>
        <v>1.3893373920773078</v>
      </c>
      <c r="AI186" s="44">
        <f t="shared" si="70"/>
        <v>0</v>
      </c>
      <c r="AJ186" s="44">
        <f t="shared" si="71"/>
        <v>431.38926024000409</v>
      </c>
      <c r="AK186" s="44">
        <f>HLOOKUP(I186,ElecAvoidedCostsWOCC!$A$5:$Q$50,G186+1,FALSE)*J186*L186</f>
        <v>0</v>
      </c>
      <c r="AL186" s="44">
        <f t="shared" si="72"/>
        <v>431.38926024000409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431.38926024000409</v>
      </c>
      <c r="AN186" s="48">
        <f t="shared" si="73"/>
        <v>526.99807060826561</v>
      </c>
      <c r="AO186" s="47">
        <f t="shared" si="74"/>
        <v>2.1532425167180631</v>
      </c>
      <c r="AP186" s="47">
        <f t="shared" si="75"/>
        <v>1.2406662774837944</v>
      </c>
      <c r="AQ186">
        <v>2020</v>
      </c>
    </row>
    <row r="187" spans="2:43">
      <c r="B187" s="97" t="s">
        <v>15</v>
      </c>
      <c r="C187" s="61">
        <v>18230627</v>
      </c>
      <c r="D187" s="61" t="s">
        <v>80</v>
      </c>
      <c r="E187" s="38" t="s">
        <v>2008</v>
      </c>
      <c r="F187" s="39" t="s">
        <v>850</v>
      </c>
      <c r="G187" s="39">
        <v>15</v>
      </c>
      <c r="H187" s="39"/>
      <c r="I187" s="40" t="s">
        <v>269</v>
      </c>
      <c r="J187" s="41">
        <v>1200</v>
      </c>
      <c r="K187" s="41">
        <v>0.24</v>
      </c>
      <c r="L187" s="41"/>
      <c r="M187" s="42">
        <v>0.27</v>
      </c>
      <c r="N187" s="42">
        <v>0.73</v>
      </c>
      <c r="O187" s="43">
        <v>288</v>
      </c>
      <c r="P187" s="44">
        <v>350</v>
      </c>
      <c r="Q187" s="44">
        <v>876</v>
      </c>
      <c r="R187" s="45">
        <v>0</v>
      </c>
      <c r="S187" s="46">
        <v>0</v>
      </c>
      <c r="T187" s="39">
        <f t="shared" si="57"/>
        <v>15</v>
      </c>
      <c r="U187" s="47">
        <f t="shared" si="58"/>
        <v>1.5525007954140804E-3</v>
      </c>
      <c r="V187" s="48">
        <f t="shared" si="59"/>
        <v>0.45999999999999996</v>
      </c>
      <c r="W187" s="49">
        <f t="shared" si="60"/>
        <v>1.0350005302760536E-4</v>
      </c>
      <c r="X187" s="44">
        <f t="shared" si="61"/>
        <v>32.117509245205142</v>
      </c>
      <c r="Y187" s="44">
        <f t="shared" si="62"/>
        <v>526</v>
      </c>
      <c r="Z187" s="44">
        <f t="shared" si="63"/>
        <v>198.77843237288755</v>
      </c>
      <c r="AA187" s="50">
        <f t="shared" si="64"/>
        <v>908.11750924520516</v>
      </c>
      <c r="AB187" s="51">
        <f t="shared" si="65"/>
        <v>185.82633670457841</v>
      </c>
      <c r="AC187" s="44">
        <f t="shared" si="66"/>
        <v>848.94597480153789</v>
      </c>
      <c r="AD187" s="44">
        <f t="shared" si="67"/>
        <v>0</v>
      </c>
      <c r="AE187" s="44">
        <f t="shared" si="68"/>
        <v>0</v>
      </c>
      <c r="AF187" s="52">
        <f>HLOOKUP(I187,ElecAvoidedCostsWOCC!$A$5:$Q$50,G187+1,FALSE)</f>
        <v>1.3893373920773078</v>
      </c>
      <c r="AG187" s="44">
        <f t="shared" si="69"/>
        <v>400.12916891826461</v>
      </c>
      <c r="AH187" s="52">
        <f>HLOOKUP(I187,ElecAvoidedCostsWOCC!$A$5:$Q$50,T187+1,FALSE)</f>
        <v>1.3893373920773078</v>
      </c>
      <c r="AI187" s="44">
        <f t="shared" si="70"/>
        <v>0</v>
      </c>
      <c r="AJ187" s="44">
        <f t="shared" si="71"/>
        <v>400.12916891826461</v>
      </c>
      <c r="AK187" s="44">
        <f>HLOOKUP(I187,ElecAvoidedCostsWOCC!$A$5:$Q$50,G187+1,FALSE)*J187*L187</f>
        <v>0</v>
      </c>
      <c r="AL187" s="44">
        <f t="shared" si="72"/>
        <v>400.12916891826461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400.12916891826461</v>
      </c>
      <c r="AN187" s="48">
        <f t="shared" si="73"/>
        <v>440.14208581009109</v>
      </c>
      <c r="AO187" s="47">
        <f t="shared" si="74"/>
        <v>2.1532425167180631</v>
      </c>
      <c r="AP187" s="47">
        <f t="shared" si="75"/>
        <v>0.51845712079968953</v>
      </c>
      <c r="AQ187">
        <v>2020</v>
      </c>
    </row>
    <row r="188" spans="2:43">
      <c r="B188" s="97" t="s">
        <v>15</v>
      </c>
      <c r="C188" s="61">
        <v>18230627</v>
      </c>
      <c r="D188" s="61" t="s">
        <v>80</v>
      </c>
      <c r="E188" s="38" t="s">
        <v>853</v>
      </c>
      <c r="F188" s="39" t="s">
        <v>854</v>
      </c>
      <c r="G188" s="39">
        <v>18</v>
      </c>
      <c r="H188" s="39"/>
      <c r="I188" s="40" t="s">
        <v>269</v>
      </c>
      <c r="J188" s="41">
        <v>13</v>
      </c>
      <c r="K188" s="41">
        <v>468</v>
      </c>
      <c r="L188" s="41"/>
      <c r="M188" s="42">
        <v>450</v>
      </c>
      <c r="N188" s="42">
        <v>549</v>
      </c>
      <c r="O188" s="43">
        <v>6084</v>
      </c>
      <c r="P188" s="44">
        <v>5850</v>
      </c>
      <c r="Q188" s="44">
        <v>7137</v>
      </c>
      <c r="R188" s="45">
        <v>0</v>
      </c>
      <c r="S188" s="46">
        <v>0</v>
      </c>
      <c r="T188" s="39">
        <f t="shared" si="57"/>
        <v>18</v>
      </c>
      <c r="U188" s="47">
        <f t="shared" si="58"/>
        <v>3.9355895163746935E-2</v>
      </c>
      <c r="V188" s="48">
        <f t="shared" si="59"/>
        <v>99</v>
      </c>
      <c r="W188" s="49">
        <f t="shared" si="60"/>
        <v>2.1864386202081632E-3</v>
      </c>
      <c r="X188" s="44">
        <f t="shared" si="61"/>
        <v>678.48238280495866</v>
      </c>
      <c r="Y188" s="44">
        <f t="shared" si="62"/>
        <v>1287</v>
      </c>
      <c r="Z188" s="44">
        <f t="shared" si="63"/>
        <v>4199.1943838772504</v>
      </c>
      <c r="AA188" s="50">
        <f t="shared" si="64"/>
        <v>7815.4823828049584</v>
      </c>
      <c r="AB188" s="51">
        <f t="shared" si="65"/>
        <v>3925.5813628842197</v>
      </c>
      <c r="AC188" s="44">
        <f t="shared" si="66"/>
        <v>7306.2376206459357</v>
      </c>
      <c r="AD188" s="44">
        <f t="shared" si="67"/>
        <v>0</v>
      </c>
      <c r="AE188" s="44">
        <f t="shared" si="68"/>
        <v>0</v>
      </c>
      <c r="AF188" s="52">
        <f>HLOOKUP(I188,ElecAvoidedCostsWOCC!$A$5:$Q$50,G188+1,FALSE)</f>
        <v>1.5960324064820535</v>
      </c>
      <c r="AG188" s="44">
        <f t="shared" si="69"/>
        <v>9710.2611610368131</v>
      </c>
      <c r="AH188" s="52">
        <f>HLOOKUP(I188,ElecAvoidedCostsWOCC!$A$5:$Q$50,T188+1,FALSE)</f>
        <v>1.5960324064820535</v>
      </c>
      <c r="AI188" s="44">
        <f t="shared" si="70"/>
        <v>0</v>
      </c>
      <c r="AJ188" s="44">
        <f t="shared" si="71"/>
        <v>9710.2611610368131</v>
      </c>
      <c r="AK188" s="44">
        <f>HLOOKUP(I188,ElecAvoidedCostsWOCC!$A$5:$Q$50,G188+1,FALSE)*J188*L188</f>
        <v>0</v>
      </c>
      <c r="AL188" s="44">
        <f t="shared" si="72"/>
        <v>9710.2611610368131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9710.2611610368131</v>
      </c>
      <c r="AN188" s="48">
        <f t="shared" si="73"/>
        <v>10681.287277140495</v>
      </c>
      <c r="AO188" s="47">
        <f t="shared" si="74"/>
        <v>2.4735855057917968</v>
      </c>
      <c r="AP188" s="47">
        <f t="shared" si="75"/>
        <v>1.4619408554352733</v>
      </c>
      <c r="AQ188">
        <v>2020</v>
      </c>
    </row>
    <row r="189" spans="2:43">
      <c r="B189" s="97" t="s">
        <v>15</v>
      </c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3">
      <c r="B190" s="97" t="s">
        <v>15</v>
      </c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3">
      <c r="B191" s="97" t="s">
        <v>15</v>
      </c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3">
      <c r="B192" s="97" t="s">
        <v>15</v>
      </c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 t="s">
        <v>15</v>
      </c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 t="s">
        <v>15</v>
      </c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 t="s">
        <v>15</v>
      </c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 t="s">
        <v>15</v>
      </c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97" t="s">
        <v>15</v>
      </c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97" t="s">
        <v>15</v>
      </c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97" t="s">
        <v>15</v>
      </c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97" t="s">
        <v>15</v>
      </c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97" t="s">
        <v>15</v>
      </c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97" t="s">
        <v>15</v>
      </c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97" t="s">
        <v>15</v>
      </c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97" t="s">
        <v>15</v>
      </c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97" t="s">
        <v>15</v>
      </c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97" t="s">
        <v>15</v>
      </c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97" t="s">
        <v>15</v>
      </c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97" t="s">
        <v>15</v>
      </c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97" t="s">
        <v>15</v>
      </c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97" t="s">
        <v>15</v>
      </c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97" t="s">
        <v>15</v>
      </c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97" t="s">
        <v>15</v>
      </c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97" t="s">
        <v>15</v>
      </c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97" t="s">
        <v>15</v>
      </c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97" t="s">
        <v>15</v>
      </c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97" t="s">
        <v>15</v>
      </c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97" t="s">
        <v>15</v>
      </c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97" t="s">
        <v>15</v>
      </c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97" t="s">
        <v>15</v>
      </c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97" t="s">
        <v>15</v>
      </c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97" t="s">
        <v>15</v>
      </c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97" t="s">
        <v>15</v>
      </c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97" t="s">
        <v>15</v>
      </c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97" t="s">
        <v>15</v>
      </c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97" t="s">
        <v>15</v>
      </c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97" t="s">
        <v>15</v>
      </c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97" t="s">
        <v>15</v>
      </c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97" t="s">
        <v>15</v>
      </c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97" t="s">
        <v>15</v>
      </c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15 R5:S515">
    <cfRule type="expression" dxfId="287" priority="2">
      <formula>ISTEXT(M5)</formula>
    </cfRule>
  </conditionalFormatting>
  <conditionalFormatting sqref="M5:N515 R5:S515">
    <cfRule type="notContainsBlanks" dxfId="286" priority="3">
      <formula>LEN(TRIM(M5))&gt;0</formula>
    </cfRule>
  </conditionalFormatting>
  <conditionalFormatting sqref="R5:S515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857</v>
      </c>
      <c r="F5" s="39" t="s">
        <v>858</v>
      </c>
      <c r="G5" s="39">
        <v>2</v>
      </c>
      <c r="H5" s="39"/>
      <c r="I5" s="40" t="s">
        <v>248</v>
      </c>
      <c r="J5" s="41">
        <v>251991</v>
      </c>
      <c r="K5" s="496">
        <f>O5/J5</f>
        <v>-9.2047017552214161</v>
      </c>
      <c r="L5" s="41"/>
      <c r="M5" s="42">
        <v>2.34</v>
      </c>
      <c r="N5" s="42">
        <v>2.34</v>
      </c>
      <c r="O5" s="43">
        <v>-2319502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-9.9585989690894716E-2</v>
      </c>
      <c r="V5" s="48">
        <f t="shared" ref="V5:V24" si="2">N5-M5</f>
        <v>0</v>
      </c>
      <c r="W5" s="49">
        <f t="shared" ref="W5:W24" si="3">(O5/A$10)</f>
        <v>-4.9792994845447358E-2</v>
      </c>
      <c r="X5" s="44">
        <f t="shared" ref="X5:X24" si="4">W5*A$8</f>
        <v>-78223.387752163471</v>
      </c>
      <c r="Y5" s="44">
        <f t="shared" ref="Y5:Y24" si="5">Q5-P5</f>
        <v>0</v>
      </c>
      <c r="Z5" s="44">
        <f t="shared" ref="Z5:Z24" si="6">X5+(A$6*W5)</f>
        <v>-143406.81622008877</v>
      </c>
      <c r="AA5" s="50">
        <f t="shared" ref="AA5:AA24" si="7">Q5+X5</f>
        <v>511435.55224783649</v>
      </c>
      <c r="AB5" s="51">
        <f t="shared" ref="AB5:AC20" si="8">Z5/(1+ElecDiscountRate)^1</f>
        <v>-134062.64954668484</v>
      </c>
      <c r="AC5" s="44">
        <f t="shared" si="8"/>
        <v>478111.20150307228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-386476.62828519708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-386476.62828519708</v>
      </c>
      <c r="AK5" s="44">
        <f>HLOOKUP(I5,ElecAvoidedCostsWOCC!$A$5:$Q$50,G5+1,FALSE)*J5*L5</f>
        <v>0</v>
      </c>
      <c r="AL5" s="44">
        <f>AG5+AI5-AK5</f>
        <v>-386476.62828519708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-386476.62828519708</v>
      </c>
      <c r="AN5" s="48">
        <f>AM5*1.1+AD5+AE5</f>
        <v>-425124.29111371684</v>
      </c>
      <c r="AO5" s="47">
        <f>IFERROR(AM5/AB5,0)</f>
        <v>2.8828061327447787</v>
      </c>
      <c r="AP5" s="47">
        <f>AN5/AC5</f>
        <v>-0.88917450538122367</v>
      </c>
      <c r="AQ5">
        <v>2021</v>
      </c>
    </row>
    <row r="6" spans="1:43" ht="13.5" customHeight="1">
      <c r="A6" s="53">
        <f>SUMIF('Program Costs'!D:D,C2,'Program Costs'!L:L)</f>
        <v>1309088.33</v>
      </c>
      <c r="B6" s="97" t="s">
        <v>15</v>
      </c>
      <c r="C6" s="61">
        <v>18230461</v>
      </c>
      <c r="D6" s="61" t="s">
        <v>54</v>
      </c>
      <c r="E6" s="38" t="s">
        <v>2009</v>
      </c>
      <c r="F6" s="39" t="s">
        <v>2010</v>
      </c>
      <c r="G6" s="39">
        <v>2</v>
      </c>
      <c r="H6" s="39"/>
      <c r="I6" s="40" t="s">
        <v>248</v>
      </c>
      <c r="J6" s="41">
        <v>280000</v>
      </c>
      <c r="K6" s="41">
        <v>167.41571428571427</v>
      </c>
      <c r="L6" s="41"/>
      <c r="M6" s="42">
        <v>2.34</v>
      </c>
      <c r="N6" s="42">
        <v>2.34</v>
      </c>
      <c r="O6" s="43">
        <v>48902400</v>
      </c>
      <c r="P6" s="44">
        <v>655200</v>
      </c>
      <c r="Q6" s="44">
        <v>655200</v>
      </c>
      <c r="R6" s="45">
        <v>0</v>
      </c>
      <c r="S6" s="46">
        <v>0</v>
      </c>
      <c r="T6" s="39">
        <f t="shared" si="0"/>
        <v>2</v>
      </c>
      <c r="U6" s="47">
        <f t="shared" si="1"/>
        <v>2.0995859896908948</v>
      </c>
      <c r="V6" s="48">
        <f t="shared" si="2"/>
        <v>0</v>
      </c>
      <c r="W6" s="49">
        <f t="shared" si="3"/>
        <v>1.0497929948454474</v>
      </c>
      <c r="X6" s="44">
        <f t="shared" si="4"/>
        <v>1649195.1277521637</v>
      </c>
      <c r="Y6" s="44">
        <f t="shared" si="5"/>
        <v>0</v>
      </c>
      <c r="Z6" s="44">
        <f t="shared" si="6"/>
        <v>3023466.8862200892</v>
      </c>
      <c r="AA6" s="50">
        <f t="shared" si="7"/>
        <v>2304395.1277521634</v>
      </c>
      <c r="AB6" s="51">
        <f t="shared" si="8"/>
        <v>2826462.4532299605</v>
      </c>
      <c r="AC6" s="44">
        <f t="shared" si="8"/>
        <v>2154244.3000394162</v>
      </c>
      <c r="AD6" s="44">
        <f t="shared" si="9"/>
        <v>0</v>
      </c>
      <c r="AE6" s="44">
        <v>0</v>
      </c>
      <c r="AF6" s="52">
        <f>HLOOKUP(I6,ElecAvoidedCostsWOCC!$A$5:$Q$50,G6+1,FALSE)</f>
        <v>0.1666205195275525</v>
      </c>
      <c r="AG6" s="44">
        <f t="shared" si="10"/>
        <v>7810570.1215813607</v>
      </c>
      <c r="AH6" s="52">
        <f>HLOOKUP(I6,ElecAvoidedCostsWOCC!$A$5:$Q$50,T6+1,FALSE)</f>
        <v>0.1666205195275525</v>
      </c>
      <c r="AI6" s="44">
        <f t="shared" si="11"/>
        <v>0</v>
      </c>
      <c r="AJ6" s="44">
        <f t="shared" ref="AJ6:AJ24" si="12">AG6+AI6</f>
        <v>7810570.1215813607</v>
      </c>
      <c r="AK6" s="44">
        <f>HLOOKUP(I6,ElecAvoidedCostsWOCC!$A$5:$Q$50,G6+1,FALSE)*J6*L6</f>
        <v>0</v>
      </c>
      <c r="AL6" s="44">
        <f t="shared" ref="AL6:AL24" si="13">AG6+AI6-AK6</f>
        <v>7810570.1215813607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7810570.1215813616</v>
      </c>
      <c r="AN6" s="48">
        <f t="shared" ref="AN6:AN24" si="14">AM6*1.1+AD6+AE6</f>
        <v>8591627.1337394994</v>
      </c>
      <c r="AO6" s="47">
        <f t="shared" ref="AO6:AO24" si="15">IFERROR(AM6/AB6,0)</f>
        <v>2.76337303283678</v>
      </c>
      <c r="AP6" s="47">
        <f t="shared" ref="AP6:AP24" si="16">AN6/AC6</f>
        <v>3.9882325015701787</v>
      </c>
      <c r="AQ6">
        <v>2020</v>
      </c>
    </row>
    <row r="7" spans="1:43" ht="13.5" customHeight="1">
      <c r="A7" s="36" t="s">
        <v>249</v>
      </c>
      <c r="B7" s="37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/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1570971.7400000002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46582898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1244858.94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2880060.0700000003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2815830.68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2.7574261011086851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3.102355604264103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72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3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18230625</v>
      </c>
      <c r="D5" s="61" t="s">
        <v>78</v>
      </c>
      <c r="E5" s="38" t="s">
        <v>2334</v>
      </c>
      <c r="F5" s="39" t="s">
        <v>2335</v>
      </c>
      <c r="G5" s="39">
        <v>12</v>
      </c>
      <c r="H5" s="39"/>
      <c r="I5" s="40" t="s">
        <v>248</v>
      </c>
      <c r="J5" s="41">
        <v>845</v>
      </c>
      <c r="K5" s="496">
        <v>20.67</v>
      </c>
      <c r="L5" s="41"/>
      <c r="M5" s="42">
        <v>2.69</v>
      </c>
      <c r="N5" s="42">
        <v>2.69</v>
      </c>
      <c r="O5" s="43">
        <v>17466.150000000001</v>
      </c>
      <c r="P5" s="44">
        <v>2061.8000000000002</v>
      </c>
      <c r="Q5" s="44">
        <v>2273.0500000000002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0.21008851222682123</v>
      </c>
      <c r="V5" s="48">
        <f t="shared" ref="V5:V24" si="2">N5-M5</f>
        <v>0</v>
      </c>
      <c r="W5" s="49">
        <f t="shared" ref="W5:W24" si="3">(O5/A$10)</f>
        <v>1.7507376018901771E-2</v>
      </c>
      <c r="X5" s="44">
        <f t="shared" ref="X5:X24" si="4">W5*A$8</f>
        <v>4705.8049740142023</v>
      </c>
      <c r="Y5" s="44">
        <f t="shared" ref="Y5:Y24" si="5">Q5-P5</f>
        <v>211.25</v>
      </c>
      <c r="Z5" s="44">
        <f t="shared" ref="Z5:Z24" si="6">X5+(A$6*W5)</f>
        <v>10498.497438747301</v>
      </c>
      <c r="AA5" s="50">
        <f t="shared" ref="AA5:AA24" si="7">Q5+X5</f>
        <v>6978.8549740142025</v>
      </c>
      <c r="AB5" s="51">
        <f t="shared" ref="AB5:AC20" si="8">Z5/(1+ElecDiscountRate)^1</f>
        <v>9814.4315590794613</v>
      </c>
      <c r="AC5" s="44">
        <f t="shared" si="8"/>
        <v>6524.1235617595603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0.91115730059915656</v>
      </c>
      <c r="AG5" s="44">
        <f t="shared" ref="AG5:AG24" si="10">AF5*J5*K5</f>
        <v>15914.41008585996</v>
      </c>
      <c r="AH5" s="52">
        <f>HLOOKUP(I5,ElecAvoidedCostsWOCC!$A$5:$Q$50,T5+1,FALSE)</f>
        <v>0.91115730059915656</v>
      </c>
      <c r="AI5" s="44">
        <f t="shared" ref="AI5:AI24" si="11">AH5*J5*L5</f>
        <v>0</v>
      </c>
      <c r="AJ5" s="44">
        <f>AG5+AI5</f>
        <v>15914.41008585996</v>
      </c>
      <c r="AK5" s="44">
        <f>HLOOKUP(I5,ElecAvoidedCostsWOCC!$A$5:$Q$50,G5+1,FALSE)*J5*L5</f>
        <v>0</v>
      </c>
      <c r="AL5" s="44">
        <f>AG5+AI5-AK5</f>
        <v>15914.41008585996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15914.410085859961</v>
      </c>
      <c r="AN5" s="48">
        <f>AM5*1.1+AD5+AE5</f>
        <v>17505.851094445959</v>
      </c>
      <c r="AO5" s="47">
        <f>IFERROR(AM5/AB5,0)</f>
        <v>1.6215315161210053</v>
      </c>
      <c r="AP5" s="47">
        <f>AN5/AC5</f>
        <v>2.6832494707878616</v>
      </c>
      <c r="AQ5">
        <v>2020</v>
      </c>
    </row>
    <row r="6" spans="1:43" ht="13.5" customHeight="1">
      <c r="A6" s="53">
        <f>SUMIF('Program Costs'!D:D,C2,'Program Costs'!L:L)</f>
        <v>330871.53999999998</v>
      </c>
      <c r="B6" s="97" t="s">
        <v>15</v>
      </c>
      <c r="C6" s="61">
        <v>18230625</v>
      </c>
      <c r="D6" s="61" t="s">
        <v>78</v>
      </c>
      <c r="E6" s="38" t="s">
        <v>2336</v>
      </c>
      <c r="F6" s="39" t="s">
        <v>2337</v>
      </c>
      <c r="G6" s="39">
        <v>12</v>
      </c>
      <c r="H6" s="39"/>
      <c r="I6" s="40" t="s">
        <v>248</v>
      </c>
      <c r="J6" s="41">
        <v>1870</v>
      </c>
      <c r="K6" s="41">
        <v>18.09</v>
      </c>
      <c r="L6" s="41"/>
      <c r="M6" s="42">
        <v>3.19</v>
      </c>
      <c r="N6" s="42">
        <v>3.19</v>
      </c>
      <c r="O6" s="43">
        <v>33828.300000000097</v>
      </c>
      <c r="P6" s="44">
        <v>5422.99999999999</v>
      </c>
      <c r="Q6" s="44">
        <v>5965.3000000000102</v>
      </c>
      <c r="R6" s="45">
        <v>0</v>
      </c>
      <c r="S6" s="46">
        <v>0</v>
      </c>
      <c r="T6" s="39">
        <f t="shared" si="0"/>
        <v>12</v>
      </c>
      <c r="U6" s="47">
        <f t="shared" si="1"/>
        <v>0.40689775469480094</v>
      </c>
      <c r="V6" s="48">
        <f t="shared" si="2"/>
        <v>0</v>
      </c>
      <c r="W6" s="49">
        <f t="shared" si="3"/>
        <v>3.3908146224566747E-2</v>
      </c>
      <c r="X6" s="44">
        <f t="shared" si="4"/>
        <v>9114.165537479359</v>
      </c>
      <c r="Y6" s="44">
        <f t="shared" si="5"/>
        <v>542.30000000002019</v>
      </c>
      <c r="Z6" s="44">
        <f t="shared" si="6"/>
        <v>20333.406097346946</v>
      </c>
      <c r="AA6" s="50">
        <f t="shared" si="7"/>
        <v>15079.465537479369</v>
      </c>
      <c r="AB6" s="51">
        <f t="shared" si="8"/>
        <v>19008.512758106892</v>
      </c>
      <c r="AC6" s="44">
        <f t="shared" si="8"/>
        <v>14096.910851153938</v>
      </c>
      <c r="AD6" s="44">
        <f t="shared" si="9"/>
        <v>0</v>
      </c>
      <c r="AE6" s="44">
        <v>0</v>
      </c>
      <c r="AF6" s="52">
        <f>HLOOKUP(I6,ElecAvoidedCostsWOCC!$A$5:$Q$50,G6+1,FALSE)</f>
        <v>0.91115730059915656</v>
      </c>
      <c r="AG6" s="44">
        <f t="shared" si="10"/>
        <v>30822.902511858447</v>
      </c>
      <c r="AH6" s="52">
        <f>HLOOKUP(I6,ElecAvoidedCostsWOCC!$A$5:$Q$50,T6+1,FALSE)</f>
        <v>0.91115730059915656</v>
      </c>
      <c r="AI6" s="44">
        <f t="shared" si="11"/>
        <v>0</v>
      </c>
      <c r="AJ6" s="44">
        <f t="shared" ref="AJ6:AJ24" si="12">AG6+AI6</f>
        <v>30822.902511858447</v>
      </c>
      <c r="AK6" s="44">
        <f>HLOOKUP(I6,ElecAvoidedCostsWOCC!$A$5:$Q$50,G6+1,FALSE)*J6*L6</f>
        <v>0</v>
      </c>
      <c r="AL6" s="44">
        <f t="shared" ref="AL6:AL24" si="13">AG6+AI6-AK6</f>
        <v>30822.902511858447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30822.902511858447</v>
      </c>
      <c r="AN6" s="48">
        <f t="shared" ref="AN6:AN24" si="14">AM6*1.1+AD6+AE6</f>
        <v>33905.192763044295</v>
      </c>
      <c r="AO6" s="47">
        <f t="shared" ref="AO6:AO24" si="15">IFERROR(AM6/AB6,0)</f>
        <v>1.6215315161210004</v>
      </c>
      <c r="AP6" s="47">
        <f t="shared" ref="AP6:AP24" si="16">AN6/AC6</f>
        <v>2.4051505412101619</v>
      </c>
      <c r="AQ6">
        <v>2020</v>
      </c>
    </row>
    <row r="7" spans="1:43" ht="13.5" customHeight="1">
      <c r="A7" s="36" t="s">
        <v>249</v>
      </c>
      <c r="B7" s="97" t="s">
        <v>15</v>
      </c>
      <c r="C7" s="100">
        <v>18230625</v>
      </c>
      <c r="D7" s="100" t="s">
        <v>78</v>
      </c>
      <c r="E7" s="38" t="s">
        <v>2338</v>
      </c>
      <c r="F7" s="39" t="s">
        <v>2339</v>
      </c>
      <c r="G7" s="39">
        <v>12</v>
      </c>
      <c r="H7" s="39"/>
      <c r="I7" s="40" t="s">
        <v>248</v>
      </c>
      <c r="J7" s="41">
        <v>152</v>
      </c>
      <c r="K7" s="41">
        <v>18.09</v>
      </c>
      <c r="L7" s="41"/>
      <c r="M7" s="42">
        <v>3.19</v>
      </c>
      <c r="N7" s="42">
        <v>3.19</v>
      </c>
      <c r="O7" s="43">
        <v>2749.68</v>
      </c>
      <c r="P7" s="44">
        <v>440.8</v>
      </c>
      <c r="Q7" s="44">
        <v>484.88</v>
      </c>
      <c r="R7" s="45">
        <v>0</v>
      </c>
      <c r="S7" s="46">
        <v>0</v>
      </c>
      <c r="T7" s="39">
        <f t="shared" si="0"/>
        <v>12</v>
      </c>
      <c r="U7" s="47">
        <f t="shared" si="1"/>
        <v>3.3074042092839331E-2</v>
      </c>
      <c r="V7" s="48">
        <f t="shared" si="2"/>
        <v>0</v>
      </c>
      <c r="W7" s="49">
        <f t="shared" si="3"/>
        <v>2.7561701744032779E-3</v>
      </c>
      <c r="X7" s="44">
        <f t="shared" si="4"/>
        <v>740.83056775233069</v>
      </c>
      <c r="Y7" s="44">
        <f t="shared" si="5"/>
        <v>44.079999999999984</v>
      </c>
      <c r="Z7" s="44">
        <f t="shared" si="6"/>
        <v>1652.7688378592118</v>
      </c>
      <c r="AA7" s="50">
        <f t="shared" si="7"/>
        <v>1225.7105677523307</v>
      </c>
      <c r="AB7" s="51">
        <f t="shared" si="8"/>
        <v>1545.0769728514645</v>
      </c>
      <c r="AC7" s="44">
        <f t="shared" si="8"/>
        <v>1145.8451600937931</v>
      </c>
      <c r="AD7" s="44">
        <f t="shared" si="9"/>
        <v>0</v>
      </c>
      <c r="AE7" s="44">
        <v>0</v>
      </c>
      <c r="AF7" s="52">
        <f>HLOOKUP(I7,ElecAvoidedCostsWOCC!$A$5:$Q$50,G7+1,FALSE)</f>
        <v>0.91115730059915656</v>
      </c>
      <c r="AG7" s="44">
        <f t="shared" si="10"/>
        <v>2505.391006311489</v>
      </c>
      <c r="AH7" s="52">
        <f>HLOOKUP(I7,ElecAvoidedCostsWOCC!$A$5:$Q$50,T7+1,FALSE)</f>
        <v>0.91115730059915656</v>
      </c>
      <c r="AI7" s="44">
        <f t="shared" si="11"/>
        <v>0</v>
      </c>
      <c r="AJ7" s="44">
        <f t="shared" si="12"/>
        <v>2505.391006311489</v>
      </c>
      <c r="AK7" s="44">
        <f>HLOOKUP(I7,ElecAvoidedCostsWOCC!$A$5:$Q$50,G7+1,FALSE)*J7*L7</f>
        <v>0</v>
      </c>
      <c r="AL7" s="44">
        <f t="shared" si="13"/>
        <v>2505.391006311489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2505.3910063114886</v>
      </c>
      <c r="AN7" s="48">
        <f t="shared" si="14"/>
        <v>2755.9301069426378</v>
      </c>
      <c r="AO7" s="47">
        <f t="shared" si="15"/>
        <v>1.6215315161210053</v>
      </c>
      <c r="AP7" s="47">
        <f t="shared" si="16"/>
        <v>2.4051505412101677</v>
      </c>
      <c r="AQ7">
        <v>2020</v>
      </c>
    </row>
    <row r="8" spans="1:43" ht="13.5" customHeight="1">
      <c r="A8" s="53">
        <f>SUMIF('Program Costs'!D:D,C2,'Program Costs'!O:O)</f>
        <v>268789.84999999992</v>
      </c>
      <c r="B8" s="97" t="s">
        <v>15</v>
      </c>
      <c r="C8" s="100">
        <v>18230625</v>
      </c>
      <c r="D8" s="100" t="s">
        <v>78</v>
      </c>
      <c r="E8" s="38" t="s">
        <v>2340</v>
      </c>
      <c r="F8" s="39" t="s">
        <v>2341</v>
      </c>
      <c r="G8" s="39">
        <v>12</v>
      </c>
      <c r="H8" s="39"/>
      <c r="I8" s="40" t="s">
        <v>248</v>
      </c>
      <c r="J8" s="41">
        <v>5331</v>
      </c>
      <c r="K8" s="41">
        <v>20.67</v>
      </c>
      <c r="L8" s="41"/>
      <c r="M8" s="42">
        <v>2.69</v>
      </c>
      <c r="N8" s="42">
        <v>2.69</v>
      </c>
      <c r="O8" s="43">
        <v>110191.77</v>
      </c>
      <c r="P8" s="44">
        <v>13007.64</v>
      </c>
      <c r="Q8" s="44">
        <v>14340.39</v>
      </c>
      <c r="R8" s="45">
        <v>0</v>
      </c>
      <c r="S8" s="46">
        <v>0</v>
      </c>
      <c r="T8" s="39">
        <f t="shared" si="0"/>
        <v>12</v>
      </c>
      <c r="U8" s="47">
        <f t="shared" si="1"/>
        <v>1.3254223179658982</v>
      </c>
      <c r="V8" s="48">
        <f t="shared" si="2"/>
        <v>0</v>
      </c>
      <c r="W8" s="49">
        <f t="shared" si="3"/>
        <v>0.11045185983049152</v>
      </c>
      <c r="X8" s="44">
        <f t="shared" si="4"/>
        <v>29688.338836058832</v>
      </c>
      <c r="Y8" s="44">
        <f t="shared" si="5"/>
        <v>1332.75</v>
      </c>
      <c r="Z8" s="44">
        <f t="shared" si="6"/>
        <v>66233.715794037693</v>
      </c>
      <c r="AA8" s="50">
        <f t="shared" si="7"/>
        <v>44028.728836058828</v>
      </c>
      <c r="AB8" s="51">
        <f t="shared" si="8"/>
        <v>61918.029161482365</v>
      </c>
      <c r="AC8" s="44">
        <f t="shared" si="8"/>
        <v>41159.884861231025</v>
      </c>
      <c r="AD8" s="44">
        <f t="shared" si="9"/>
        <v>0</v>
      </c>
      <c r="AE8" s="44">
        <v>0</v>
      </c>
      <c r="AF8" s="52">
        <f>HLOOKUP(I8,ElecAvoidedCostsWOCC!$A$5:$Q$50,G8+1,FALSE)</f>
        <v>0.91115730059915656</v>
      </c>
      <c r="AG8" s="44">
        <f t="shared" si="10"/>
        <v>100402.03570144314</v>
      </c>
      <c r="AH8" s="52">
        <f>HLOOKUP(I8,ElecAvoidedCostsWOCC!$A$5:$Q$50,T8+1,FALSE)</f>
        <v>0.91115730059915656</v>
      </c>
      <c r="AI8" s="44">
        <f t="shared" si="11"/>
        <v>0</v>
      </c>
      <c r="AJ8" s="44">
        <f t="shared" si="12"/>
        <v>100402.03570144314</v>
      </c>
      <c r="AK8" s="44">
        <f>HLOOKUP(I8,ElecAvoidedCostsWOCC!$A$5:$Q$50,G8+1,FALSE)*J8*L8</f>
        <v>0</v>
      </c>
      <c r="AL8" s="44">
        <f t="shared" si="13"/>
        <v>100402.03570144314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100402.03570144314</v>
      </c>
      <c r="AN8" s="48">
        <f t="shared" si="14"/>
        <v>110442.23927158746</v>
      </c>
      <c r="AO8" s="47">
        <f t="shared" si="15"/>
        <v>1.6215315161210055</v>
      </c>
      <c r="AP8" s="47">
        <f t="shared" si="16"/>
        <v>2.6832494707878616</v>
      </c>
      <c r="AQ8">
        <v>2020</v>
      </c>
    </row>
    <row r="9" spans="1:43" ht="13.5" customHeight="1">
      <c r="A9" s="36" t="s">
        <v>250</v>
      </c>
      <c r="B9" s="97" t="s">
        <v>15</v>
      </c>
      <c r="C9" s="100">
        <v>18230625</v>
      </c>
      <c r="D9" s="100" t="s">
        <v>78</v>
      </c>
      <c r="E9" s="38" t="s">
        <v>2352</v>
      </c>
      <c r="F9" s="39" t="s">
        <v>2353</v>
      </c>
      <c r="G9" s="39">
        <v>12</v>
      </c>
      <c r="H9" s="39"/>
      <c r="I9" s="40" t="s">
        <v>248</v>
      </c>
      <c r="J9" s="41">
        <v>3605</v>
      </c>
      <c r="K9" s="41">
        <v>39.409999999999997</v>
      </c>
      <c r="L9" s="41"/>
      <c r="M9" s="42">
        <v>3.6</v>
      </c>
      <c r="N9" s="42">
        <v>3.6</v>
      </c>
      <c r="O9" s="43">
        <v>142073.05000000101</v>
      </c>
      <c r="P9" s="44">
        <v>11788.3500000001</v>
      </c>
      <c r="Q9" s="44">
        <v>12978</v>
      </c>
      <c r="R9" s="45">
        <v>0</v>
      </c>
      <c r="S9" s="46">
        <v>0</v>
      </c>
      <c r="T9" s="39">
        <f t="shared" si="0"/>
        <v>12</v>
      </c>
      <c r="U9" s="47">
        <f t="shared" si="1"/>
        <v>1.7089006851554003</v>
      </c>
      <c r="V9" s="48">
        <f t="shared" si="2"/>
        <v>0</v>
      </c>
      <c r="W9" s="49">
        <f t="shared" si="3"/>
        <v>0.1424083904296167</v>
      </c>
      <c r="X9" s="44">
        <f t="shared" si="4"/>
        <v>38277.929902318094</v>
      </c>
      <c r="Y9" s="44">
        <f t="shared" si="5"/>
        <v>1189.6499999998996</v>
      </c>
      <c r="Z9" s="44">
        <f t="shared" si="6"/>
        <v>85396.81335268663</v>
      </c>
      <c r="AA9" s="50">
        <f t="shared" si="7"/>
        <v>51255.929902318094</v>
      </c>
      <c r="AB9" s="51">
        <f t="shared" si="8"/>
        <v>79832.488877897194</v>
      </c>
      <c r="AC9" s="44">
        <f t="shared" si="8"/>
        <v>47916.172667400286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129450.89672588899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129450.89672588899</v>
      </c>
      <c r="AK9" s="44">
        <f>HLOOKUP(I9,ElecAvoidedCostsWOCC!$A$5:$Q$50,G9+1,FALSE)*J9*L9</f>
        <v>0</v>
      </c>
      <c r="AL9" s="44">
        <f t="shared" si="13"/>
        <v>129450.89672588899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129450.89672588899</v>
      </c>
      <c r="AN9" s="48">
        <f t="shared" si="14"/>
        <v>142395.98639847789</v>
      </c>
      <c r="AO9" s="47">
        <f t="shared" si="15"/>
        <v>1.6215315161209936</v>
      </c>
      <c r="AP9" s="47">
        <f t="shared" si="16"/>
        <v>2.9717729624794686</v>
      </c>
      <c r="AQ9">
        <v>2020</v>
      </c>
    </row>
    <row r="10" spans="1:43" ht="13.5" customHeight="1">
      <c r="A10" s="54">
        <f>SUM(O5:O999)</f>
        <v>997645.22000000114</v>
      </c>
      <c r="B10" s="97" t="s">
        <v>15</v>
      </c>
      <c r="C10" s="100">
        <v>18230625</v>
      </c>
      <c r="D10" s="100" t="s">
        <v>78</v>
      </c>
      <c r="E10" s="38" t="s">
        <v>2354</v>
      </c>
      <c r="F10" s="39" t="s">
        <v>2355</v>
      </c>
      <c r="G10" s="39">
        <v>12</v>
      </c>
      <c r="H10" s="39"/>
      <c r="I10" s="40" t="s">
        <v>248</v>
      </c>
      <c r="J10" s="41">
        <v>66</v>
      </c>
      <c r="K10" s="41">
        <v>39.409999999999997</v>
      </c>
      <c r="L10" s="41"/>
      <c r="M10" s="42">
        <v>3.6</v>
      </c>
      <c r="N10" s="42">
        <v>3.6</v>
      </c>
      <c r="O10" s="43">
        <v>2601.06</v>
      </c>
      <c r="P10" s="44">
        <v>215.82</v>
      </c>
      <c r="Q10" s="44">
        <v>237.6</v>
      </c>
      <c r="R10" s="45">
        <v>0</v>
      </c>
      <c r="S10" s="46">
        <v>0</v>
      </c>
      <c r="T10" s="39">
        <f t="shared" si="0"/>
        <v>12</v>
      </c>
      <c r="U10" s="47">
        <f t="shared" si="1"/>
        <v>3.1286392571499476E-2</v>
      </c>
      <c r="V10" s="48">
        <f t="shared" si="2"/>
        <v>0</v>
      </c>
      <c r="W10" s="49">
        <f t="shared" si="3"/>
        <v>2.6071993809582898E-3</v>
      </c>
      <c r="X10" s="44">
        <f t="shared" si="4"/>
        <v>700.78873052787139</v>
      </c>
      <c r="Y10" s="44">
        <f t="shared" si="5"/>
        <v>21.78</v>
      </c>
      <c r="Z10" s="44">
        <f t="shared" si="6"/>
        <v>1563.4368047925873</v>
      </c>
      <c r="AA10" s="50">
        <f t="shared" si="7"/>
        <v>938.38873052787142</v>
      </c>
      <c r="AB10" s="51">
        <f t="shared" si="8"/>
        <v>1461.5656770988007</v>
      </c>
      <c r="AC10" s="44">
        <f t="shared" si="8"/>
        <v>877.24477005503536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2369.974808296442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2369.974808296442</v>
      </c>
      <c r="AK10" s="44">
        <f>HLOOKUP(I10,ElecAvoidedCostsWOCC!$A$5:$Q$50,G10+1,FALSE)*J10*L10</f>
        <v>0</v>
      </c>
      <c r="AL10" s="44">
        <f t="shared" si="13"/>
        <v>2369.974808296442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2369.974808296442</v>
      </c>
      <c r="AN10" s="48">
        <f t="shared" si="14"/>
        <v>2606.9722891260863</v>
      </c>
      <c r="AO10" s="47">
        <f t="shared" si="15"/>
        <v>1.6215315161210053</v>
      </c>
      <c r="AP10" s="47">
        <f t="shared" si="16"/>
        <v>2.9717729624794842</v>
      </c>
      <c r="AQ10">
        <v>2020</v>
      </c>
    </row>
    <row r="11" spans="1:43" ht="13.5" customHeight="1">
      <c r="A11" s="36" t="s">
        <v>251</v>
      </c>
      <c r="B11" s="97" t="s">
        <v>15</v>
      </c>
      <c r="C11" s="100">
        <v>18230625</v>
      </c>
      <c r="D11" s="100" t="s">
        <v>78</v>
      </c>
      <c r="E11" s="38" t="s">
        <v>2356</v>
      </c>
      <c r="F11" s="39" t="s">
        <v>2357</v>
      </c>
      <c r="G11" s="39">
        <v>10</v>
      </c>
      <c r="H11" s="39"/>
      <c r="I11" s="40" t="s">
        <v>265</v>
      </c>
      <c r="J11" s="41">
        <v>424</v>
      </c>
      <c r="K11" s="41">
        <v>22.08</v>
      </c>
      <c r="L11" s="41"/>
      <c r="M11" s="42">
        <v>0.49</v>
      </c>
      <c r="N11" s="42">
        <v>0.49</v>
      </c>
      <c r="O11" s="43">
        <v>9361.9199999999801</v>
      </c>
      <c r="P11" s="44">
        <v>186.55999999999901</v>
      </c>
      <c r="Q11" s="44">
        <v>207.759999999999</v>
      </c>
      <c r="R11" s="45">
        <v>2.74</v>
      </c>
      <c r="S11" s="46">
        <v>0</v>
      </c>
      <c r="T11" s="39">
        <f t="shared" si="0"/>
        <v>10</v>
      </c>
      <c r="U11" s="47">
        <f t="shared" si="1"/>
        <v>9.3840172962488311E-2</v>
      </c>
      <c r="V11" s="48">
        <f t="shared" si="2"/>
        <v>0</v>
      </c>
      <c r="W11" s="49">
        <f t="shared" si="3"/>
        <v>9.3840172962488307E-3</v>
      </c>
      <c r="X11" s="44">
        <f t="shared" si="4"/>
        <v>2522.3286014561281</v>
      </c>
      <c r="Y11" s="44">
        <f t="shared" si="5"/>
        <v>21.199999999999989</v>
      </c>
      <c r="Z11" s="44">
        <f t="shared" si="6"/>
        <v>5627.2328556526154</v>
      </c>
      <c r="AA11" s="50">
        <f t="shared" si="7"/>
        <v>2730.088601456127</v>
      </c>
      <c r="AB11" s="51">
        <f t="shared" si="8"/>
        <v>5260.5710532416706</v>
      </c>
      <c r="AC11" s="44">
        <f t="shared" si="8"/>
        <v>2552.2002444200493</v>
      </c>
      <c r="AD11" s="44">
        <f t="shared" si="9"/>
        <v>8171.043596801348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6973.4444505239999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6973.4444505239999</v>
      </c>
      <c r="AK11" s="44">
        <f>HLOOKUP(I11,ElecAvoidedCostsWOCC!$A$5:$Q$50,G11+1,FALSE)*J11*L11</f>
        <v>0</v>
      </c>
      <c r="AL11" s="44">
        <f t="shared" si="13"/>
        <v>6973.4444505239999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6973.4444505240017</v>
      </c>
      <c r="AN11" s="48">
        <f t="shared" si="14"/>
        <v>15841.832492377751</v>
      </c>
      <c r="AO11" s="47">
        <f t="shared" si="15"/>
        <v>1.3256059807854557</v>
      </c>
      <c r="AP11" s="47">
        <f t="shared" si="16"/>
        <v>6.2071275665039281</v>
      </c>
      <c r="AQ11">
        <v>2020</v>
      </c>
    </row>
    <row r="12" spans="1:43" ht="13.5" customHeight="1">
      <c r="A12" s="55">
        <f>SUM(P5:P1000)</f>
        <v>318602.3000000001</v>
      </c>
      <c r="B12" s="97" t="s">
        <v>15</v>
      </c>
      <c r="C12" s="100">
        <v>18230625</v>
      </c>
      <c r="D12" s="100" t="s">
        <v>78</v>
      </c>
      <c r="E12" s="38" t="s">
        <v>2358</v>
      </c>
      <c r="F12" s="39" t="s">
        <v>2357</v>
      </c>
      <c r="G12" s="39">
        <v>10</v>
      </c>
      <c r="H12" s="39"/>
      <c r="I12" s="40" t="s">
        <v>265</v>
      </c>
      <c r="J12" s="41">
        <v>244</v>
      </c>
      <c r="K12" s="41">
        <v>34.78</v>
      </c>
      <c r="L12" s="41"/>
      <c r="M12" s="42">
        <v>0.45</v>
      </c>
      <c r="N12" s="42">
        <v>0.45</v>
      </c>
      <c r="O12" s="43">
        <v>8486.3200000000106</v>
      </c>
      <c r="P12" s="44">
        <v>109.8</v>
      </c>
      <c r="Q12" s="44">
        <v>109.8</v>
      </c>
      <c r="R12" s="45">
        <v>4.3099999999999996</v>
      </c>
      <c r="S12" s="46">
        <v>0</v>
      </c>
      <c r="T12" s="39">
        <f t="shared" si="0"/>
        <v>10</v>
      </c>
      <c r="U12" s="47">
        <f t="shared" si="1"/>
        <v>8.5063505842287307E-2</v>
      </c>
      <c r="V12" s="48">
        <f t="shared" si="2"/>
        <v>0</v>
      </c>
      <c r="W12" s="49">
        <f t="shared" si="3"/>
        <v>8.5063505842287307E-3</v>
      </c>
      <c r="X12" s="44">
        <f t="shared" si="4"/>
        <v>2286.4206975822522</v>
      </c>
      <c r="Y12" s="44">
        <f t="shared" si="5"/>
        <v>0</v>
      </c>
      <c r="Z12" s="44">
        <f t="shared" si="6"/>
        <v>5100.9300151659118</v>
      </c>
      <c r="AA12" s="50">
        <f t="shared" si="7"/>
        <v>2396.2206975822523</v>
      </c>
      <c r="AB12" s="51">
        <f t="shared" si="8"/>
        <v>4768.561293040957</v>
      </c>
      <c r="AC12" s="44">
        <f t="shared" si="8"/>
        <v>2240.0866575509508</v>
      </c>
      <c r="AD12" s="44">
        <f t="shared" si="9"/>
        <v>7396.5330947357179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6321.233369797098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6321.233369797098</v>
      </c>
      <c r="AK12" s="44">
        <f>HLOOKUP(I12,ElecAvoidedCostsWOCC!$A$5:$Q$50,G12+1,FALSE)*J12*L12</f>
        <v>0</v>
      </c>
      <c r="AL12" s="44">
        <f t="shared" si="13"/>
        <v>6321.233369797098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6321.2333697970971</v>
      </c>
      <c r="AN12" s="48">
        <f t="shared" si="14"/>
        <v>14349.889801512525</v>
      </c>
      <c r="AO12" s="47">
        <f t="shared" si="15"/>
        <v>1.3256059807854512</v>
      </c>
      <c r="AP12" s="47">
        <f t="shared" si="16"/>
        <v>6.4059529809445044</v>
      </c>
      <c r="AQ12">
        <v>2020</v>
      </c>
    </row>
    <row r="13" spans="1:43" ht="13.5" customHeight="1">
      <c r="A13" s="56" t="s">
        <v>252</v>
      </c>
      <c r="B13" s="97" t="s">
        <v>15</v>
      </c>
      <c r="C13" s="100">
        <v>18230625</v>
      </c>
      <c r="D13" s="100" t="s">
        <v>78</v>
      </c>
      <c r="E13" s="38" t="s">
        <v>2359</v>
      </c>
      <c r="F13" s="39" t="s">
        <v>2360</v>
      </c>
      <c r="G13" s="39">
        <v>10</v>
      </c>
      <c r="H13" s="39"/>
      <c r="I13" s="40" t="s">
        <v>265</v>
      </c>
      <c r="J13" s="41">
        <v>164</v>
      </c>
      <c r="K13" s="41">
        <v>36.840000000000003</v>
      </c>
      <c r="L13" s="41"/>
      <c r="M13" s="42">
        <v>1.26</v>
      </c>
      <c r="N13" s="42">
        <v>1.26</v>
      </c>
      <c r="O13" s="43">
        <v>6041.7600000000102</v>
      </c>
      <c r="P13" s="44">
        <v>186.96</v>
      </c>
      <c r="Q13" s="44">
        <v>206.64</v>
      </c>
      <c r="R13" s="45">
        <v>3.8</v>
      </c>
      <c r="S13" s="46">
        <v>0</v>
      </c>
      <c r="T13" s="39">
        <f t="shared" si="0"/>
        <v>10</v>
      </c>
      <c r="U13" s="47">
        <f t="shared" si="1"/>
        <v>6.0560205961794754E-2</v>
      </c>
      <c r="V13" s="48">
        <f t="shared" si="2"/>
        <v>0</v>
      </c>
      <c r="W13" s="49">
        <f t="shared" si="3"/>
        <v>6.0560205961794752E-3</v>
      </c>
      <c r="X13" s="44">
        <f t="shared" si="4"/>
        <v>1627.7968676439912</v>
      </c>
      <c r="Y13" s="44">
        <f t="shared" si="5"/>
        <v>19.679999999999978</v>
      </c>
      <c r="Z13" s="44">
        <f t="shared" si="6"/>
        <v>3631.5617285736121</v>
      </c>
      <c r="AA13" s="50">
        <f t="shared" si="7"/>
        <v>1834.4368676439913</v>
      </c>
      <c r="AB13" s="51">
        <f t="shared" si="8"/>
        <v>3394.934774772003</v>
      </c>
      <c r="AC13" s="44">
        <f t="shared" si="8"/>
        <v>1714.9077943759848</v>
      </c>
      <c r="AD13" s="44">
        <f t="shared" si="9"/>
        <v>4383.1724018098394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4500.3458418142745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4500.3458418142745</v>
      </c>
      <c r="AK13" s="44">
        <f>HLOOKUP(I13,ElecAvoidedCostsWOCC!$A$5:$Q$50,G13+1,FALSE)*J13*L13</f>
        <v>0</v>
      </c>
      <c r="AL13" s="44">
        <f t="shared" si="13"/>
        <v>4500.3458418142745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4500.3458418142745</v>
      </c>
      <c r="AN13" s="48">
        <f t="shared" si="14"/>
        <v>9333.5528278055426</v>
      </c>
      <c r="AO13" s="47">
        <f t="shared" si="15"/>
        <v>1.3256059807854508</v>
      </c>
      <c r="AP13" s="47">
        <f t="shared" si="16"/>
        <v>5.4425974728290312</v>
      </c>
      <c r="AQ13">
        <v>2020</v>
      </c>
    </row>
    <row r="14" spans="1:43" ht="13.5" customHeight="1">
      <c r="A14" s="55">
        <f>SUM(Y5:Y1000)</f>
        <v>108547.40999999992</v>
      </c>
      <c r="B14" s="97" t="s">
        <v>15</v>
      </c>
      <c r="C14" s="100">
        <v>18230625</v>
      </c>
      <c r="D14" s="100" t="s">
        <v>78</v>
      </c>
      <c r="E14" s="38" t="s">
        <v>2361</v>
      </c>
      <c r="F14" s="39" t="s">
        <v>2360</v>
      </c>
      <c r="G14" s="39">
        <v>10</v>
      </c>
      <c r="H14" s="39"/>
      <c r="I14" s="40" t="s">
        <v>265</v>
      </c>
      <c r="J14" s="41">
        <v>89</v>
      </c>
      <c r="K14" s="41">
        <v>58.03</v>
      </c>
      <c r="L14" s="41"/>
      <c r="M14" s="42">
        <v>1.17</v>
      </c>
      <c r="N14" s="42">
        <v>1.17</v>
      </c>
      <c r="O14" s="43">
        <v>5164.67</v>
      </c>
      <c r="P14" s="44">
        <v>104.13</v>
      </c>
      <c r="Q14" s="44">
        <v>104.13</v>
      </c>
      <c r="R14" s="45">
        <v>5.98</v>
      </c>
      <c r="S14" s="46">
        <v>0</v>
      </c>
      <c r="T14" s="39">
        <f t="shared" si="0"/>
        <v>10</v>
      </c>
      <c r="U14" s="47">
        <f t="shared" si="1"/>
        <v>5.1768603672556E-2</v>
      </c>
      <c r="V14" s="48">
        <f t="shared" si="2"/>
        <v>0</v>
      </c>
      <c r="W14" s="49">
        <f t="shared" si="3"/>
        <v>5.1768603672556002E-3</v>
      </c>
      <c r="X14" s="44">
        <f t="shared" si="4"/>
        <v>1391.4875215855773</v>
      </c>
      <c r="Y14" s="44">
        <f t="shared" si="5"/>
        <v>0</v>
      </c>
      <c r="Z14" s="44">
        <f t="shared" si="6"/>
        <v>3104.3632836644028</v>
      </c>
      <c r="AA14" s="50">
        <f t="shared" si="7"/>
        <v>1495.6175215855774</v>
      </c>
      <c r="AB14" s="51">
        <f t="shared" si="8"/>
        <v>2902.08776634982</v>
      </c>
      <c r="AC14" s="44">
        <f t="shared" si="8"/>
        <v>1398.1653936482912</v>
      </c>
      <c r="AD14" s="44">
        <f t="shared" si="9"/>
        <v>3743.2798711348414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3847.0248998376182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3847.0248998376182</v>
      </c>
      <c r="AK14" s="44">
        <f>HLOOKUP(I14,ElecAvoidedCostsWOCC!$A$5:$Q$50,G14+1,FALSE)*J14*L14</f>
        <v>0</v>
      </c>
      <c r="AL14" s="44">
        <f t="shared" si="13"/>
        <v>3847.0248998376182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3847.0248998376182</v>
      </c>
      <c r="AN14" s="48">
        <f t="shared" si="14"/>
        <v>7975.0072609562221</v>
      </c>
      <c r="AO14" s="47">
        <f t="shared" si="15"/>
        <v>1.3256059807854532</v>
      </c>
      <c r="AP14" s="47">
        <f t="shared" si="16"/>
        <v>5.7039083481723889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18230625</v>
      </c>
      <c r="D15" s="100" t="s">
        <v>78</v>
      </c>
      <c r="E15" s="38" t="s">
        <v>2362</v>
      </c>
      <c r="F15" s="39" t="s">
        <v>2363</v>
      </c>
      <c r="G15" s="39">
        <v>3</v>
      </c>
      <c r="H15" s="39">
        <v>7</v>
      </c>
      <c r="I15" s="40" t="s">
        <v>265</v>
      </c>
      <c r="J15" s="41">
        <v>157</v>
      </c>
      <c r="K15" s="41">
        <v>166</v>
      </c>
      <c r="L15" s="41">
        <v>92</v>
      </c>
      <c r="M15" s="42">
        <v>3.51</v>
      </c>
      <c r="N15" s="42">
        <v>3.51</v>
      </c>
      <c r="O15" s="43">
        <v>26062</v>
      </c>
      <c r="P15" s="44">
        <v>500.83</v>
      </c>
      <c r="Q15" s="44">
        <v>551.06999999999903</v>
      </c>
      <c r="R15" s="45">
        <v>13.62</v>
      </c>
      <c r="S15" s="46">
        <v>0</v>
      </c>
      <c r="T15" s="39">
        <f t="shared" si="0"/>
        <v>10</v>
      </c>
      <c r="U15" s="47">
        <f t="shared" si="1"/>
        <v>0.26123515130960051</v>
      </c>
      <c r="V15" s="48">
        <f t="shared" si="2"/>
        <v>0</v>
      </c>
      <c r="W15" s="49">
        <f t="shared" si="3"/>
        <v>2.6123515130960052E-2</v>
      </c>
      <c r="X15" s="44">
        <f t="shared" si="4"/>
        <v>7021.7357135234806</v>
      </c>
      <c r="Y15" s="44">
        <f t="shared" si="5"/>
        <v>50.239999999999043</v>
      </c>
      <c r="Z15" s="44">
        <f t="shared" si="6"/>
        <v>15665.263395117534</v>
      </c>
      <c r="AA15" s="50">
        <f t="shared" si="7"/>
        <v>7572.8057135234794</v>
      </c>
      <c r="AB15" s="51">
        <f t="shared" si="8"/>
        <v>14644.539025070144</v>
      </c>
      <c r="AC15" s="44">
        <f t="shared" si="8"/>
        <v>7079.3733883551267</v>
      </c>
      <c r="AD15" s="44">
        <f t="shared" si="9"/>
        <v>15039.654803732432</v>
      </c>
      <c r="AE15" s="44">
        <f t="shared" si="17"/>
        <v>0</v>
      </c>
      <c r="AF15" s="52">
        <f>HLOOKUP(I15,ElecAvoidedCostsWOCC!$A$5:$Q$50,G15+1,FALSE)</f>
        <v>0.2337612554483032</v>
      </c>
      <c r="AG15" s="44">
        <f t="shared" si="10"/>
        <v>6092.2858394936784</v>
      </c>
      <c r="AH15" s="52">
        <f>HLOOKUP(I15,ElecAvoidedCostsWOCC!$A$5:$Q$50,T15+1,FALSE)</f>
        <v>0.74487332198138856</v>
      </c>
      <c r="AI15" s="44">
        <f t="shared" si="11"/>
        <v>10758.950262699176</v>
      </c>
      <c r="AJ15" s="44">
        <f t="shared" si="12"/>
        <v>16851.236102192855</v>
      </c>
      <c r="AK15" s="44">
        <f>HLOOKUP(I15,ElecAvoidedCostsWOCC!$A$5:$Q$50,G15+1,FALSE)*J15*L15</f>
        <v>3376.4475736952913</v>
      </c>
      <c r="AL15" s="44">
        <f t="shared" si="13"/>
        <v>13474.788528497564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13474.788528497564</v>
      </c>
      <c r="AN15" s="48">
        <f t="shared" si="14"/>
        <v>29861.922185079755</v>
      </c>
      <c r="AO15" s="47">
        <f t="shared" si="15"/>
        <v>0.92012377483715457</v>
      </c>
      <c r="AP15" s="47">
        <f t="shared" si="16"/>
        <v>4.2181589452817505</v>
      </c>
      <c r="AQ15">
        <v>2020</v>
      </c>
    </row>
    <row r="16" spans="1:43" ht="13.5" customHeight="1">
      <c r="A16" s="54">
        <f>SUM(U5:U999)</f>
        <v>11.43537248642358</v>
      </c>
      <c r="B16" s="97" t="s">
        <v>15</v>
      </c>
      <c r="C16" s="100">
        <v>18230625</v>
      </c>
      <c r="D16" s="100" t="s">
        <v>78</v>
      </c>
      <c r="E16" s="38" t="s">
        <v>2364</v>
      </c>
      <c r="F16" s="39" t="s">
        <v>2365</v>
      </c>
      <c r="G16" s="39">
        <v>3</v>
      </c>
      <c r="H16" s="39">
        <v>7</v>
      </c>
      <c r="I16" s="40" t="s">
        <v>265</v>
      </c>
      <c r="J16" s="41">
        <v>181</v>
      </c>
      <c r="K16" s="41">
        <v>166</v>
      </c>
      <c r="L16" s="41">
        <v>92</v>
      </c>
      <c r="M16" s="42">
        <v>8</v>
      </c>
      <c r="N16" s="42">
        <v>8</v>
      </c>
      <c r="O16" s="43">
        <v>30046</v>
      </c>
      <c r="P16" s="44">
        <v>1315.87</v>
      </c>
      <c r="Q16" s="44">
        <v>1448</v>
      </c>
      <c r="R16" s="45">
        <v>13.62</v>
      </c>
      <c r="S16" s="46">
        <v>0</v>
      </c>
      <c r="T16" s="39">
        <f t="shared" si="0"/>
        <v>10</v>
      </c>
      <c r="U16" s="47">
        <f t="shared" si="1"/>
        <v>0.30116918717858404</v>
      </c>
      <c r="V16" s="48">
        <f t="shared" si="2"/>
        <v>0</v>
      </c>
      <c r="W16" s="49">
        <f t="shared" si="3"/>
        <v>3.0116918717858404E-2</v>
      </c>
      <c r="X16" s="44">
        <f t="shared" si="4"/>
        <v>8095.1220646353504</v>
      </c>
      <c r="Y16" s="44">
        <f t="shared" si="5"/>
        <v>132.13000000000011</v>
      </c>
      <c r="Z16" s="44">
        <f t="shared" si="6"/>
        <v>18059.953340867985</v>
      </c>
      <c r="AA16" s="50">
        <f t="shared" si="7"/>
        <v>9543.1220646353504</v>
      </c>
      <c r="AB16" s="51">
        <f t="shared" si="8"/>
        <v>16883.194672214624</v>
      </c>
      <c r="AC16" s="44">
        <f t="shared" si="8"/>
        <v>8921.3069689028234</v>
      </c>
      <c r="AD16" s="44">
        <f t="shared" si="9"/>
        <v>17338.710315131022</v>
      </c>
      <c r="AE16" s="44">
        <f t="shared" si="17"/>
        <v>0</v>
      </c>
      <c r="AF16" s="52">
        <f>HLOOKUP(I16,ElecAvoidedCostsWOCC!$A$5:$Q$50,G16+1,FALSE)</f>
        <v>0.2337612554483032</v>
      </c>
      <c r="AG16" s="44">
        <f t="shared" si="10"/>
        <v>7023.5906811997183</v>
      </c>
      <c r="AH16" s="52">
        <f>HLOOKUP(I16,ElecAvoidedCostsWOCC!$A$5:$Q$50,T16+1,FALSE)</f>
        <v>0.74487332198138856</v>
      </c>
      <c r="AI16" s="44">
        <f t="shared" si="11"/>
        <v>12403.630557634084</v>
      </c>
      <c r="AJ16" s="44">
        <f t="shared" si="12"/>
        <v>19427.221238833801</v>
      </c>
      <c r="AK16" s="44">
        <f>HLOOKUP(I16,ElecAvoidedCostsWOCC!$A$5:$Q$50,G16+1,FALSE)*J16*L16</f>
        <v>3892.5924257251449</v>
      </c>
      <c r="AL16" s="44">
        <f t="shared" si="13"/>
        <v>15534.628813108657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15534.628813108657</v>
      </c>
      <c r="AN16" s="48">
        <f t="shared" si="14"/>
        <v>34426.802009550549</v>
      </c>
      <c r="AO16" s="47">
        <f t="shared" si="15"/>
        <v>0.92012377483715457</v>
      </c>
      <c r="AP16" s="47">
        <f t="shared" si="16"/>
        <v>3.8589415350859166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18230625</v>
      </c>
      <c r="D17" s="100" t="s">
        <v>78</v>
      </c>
      <c r="E17" s="38" t="s">
        <v>2383</v>
      </c>
      <c r="F17" s="39" t="s">
        <v>2384</v>
      </c>
      <c r="G17" s="39">
        <v>3</v>
      </c>
      <c r="H17" s="39">
        <v>7</v>
      </c>
      <c r="I17" s="40" t="s">
        <v>265</v>
      </c>
      <c r="J17" s="41">
        <v>581</v>
      </c>
      <c r="K17" s="41">
        <v>4.72</v>
      </c>
      <c r="L17" s="41">
        <v>2.64</v>
      </c>
      <c r="M17" s="42">
        <v>0</v>
      </c>
      <c r="N17" s="42">
        <v>0</v>
      </c>
      <c r="O17" s="43">
        <v>2742.32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10</v>
      </c>
      <c r="U17" s="47">
        <f t="shared" si="1"/>
        <v>2.7487928023150324E-2</v>
      </c>
      <c r="V17" s="48">
        <f t="shared" si="2"/>
        <v>0</v>
      </c>
      <c r="W17" s="49">
        <f t="shared" si="3"/>
        <v>2.7487928023150325E-3</v>
      </c>
      <c r="X17" s="44">
        <f t="shared" si="4"/>
        <v>738.84760501533697</v>
      </c>
      <c r="Y17" s="44">
        <f t="shared" si="5"/>
        <v>0</v>
      </c>
      <c r="Z17" s="44">
        <f t="shared" si="6"/>
        <v>1648.3449126582273</v>
      </c>
      <c r="AA17" s="50">
        <f t="shared" si="7"/>
        <v>738.84760501533697</v>
      </c>
      <c r="AB17" s="51">
        <f t="shared" si="8"/>
        <v>1540.9413037844508</v>
      </c>
      <c r="AC17" s="44">
        <f t="shared" si="8"/>
        <v>690.705436117918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0.2337612554483032</v>
      </c>
      <c r="AG17" s="44">
        <f t="shared" si="10"/>
        <v>641.04816604099074</v>
      </c>
      <c r="AH17" s="52">
        <f>HLOOKUP(I17,ElecAvoidedCostsWOCC!$A$5:$Q$50,T17+1,FALSE)</f>
        <v>0.74487332198138856</v>
      </c>
      <c r="AI17" s="44">
        <f t="shared" si="11"/>
        <v>1142.5164961879332</v>
      </c>
      <c r="AJ17" s="44">
        <f t="shared" si="12"/>
        <v>1783.5646622289239</v>
      </c>
      <c r="AK17" s="44">
        <f>HLOOKUP(I17,ElecAvoidedCostsWOCC!$A$5:$Q$50,G17+1,FALSE)*J17*L17</f>
        <v>358.55236405682535</v>
      </c>
      <c r="AL17" s="44">
        <f t="shared" si="13"/>
        <v>1425.0122981720986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1425.0122981720986</v>
      </c>
      <c r="AN17" s="48">
        <f t="shared" si="14"/>
        <v>1567.5135279893086</v>
      </c>
      <c r="AO17" s="47">
        <f t="shared" si="15"/>
        <v>0.92476740981136774</v>
      </c>
      <c r="AP17" s="47">
        <f t="shared" si="16"/>
        <v>2.2694385276587008</v>
      </c>
      <c r="AQ17">
        <v>2020</v>
      </c>
    </row>
    <row r="18" spans="1:43" ht="13.5" customHeight="1">
      <c r="A18" s="59">
        <f>A6+A8</f>
        <v>599661.3899999999</v>
      </c>
      <c r="B18" s="97" t="s">
        <v>15</v>
      </c>
      <c r="C18" s="100">
        <v>18230625</v>
      </c>
      <c r="D18" s="100" t="s">
        <v>78</v>
      </c>
      <c r="E18" s="38" t="s">
        <v>2385</v>
      </c>
      <c r="F18" s="39" t="s">
        <v>2386</v>
      </c>
      <c r="G18" s="39">
        <v>12</v>
      </c>
      <c r="H18" s="39"/>
      <c r="I18" s="40" t="s">
        <v>248</v>
      </c>
      <c r="J18" s="41">
        <v>1671</v>
      </c>
      <c r="K18" s="41">
        <v>18.54</v>
      </c>
      <c r="L18" s="41"/>
      <c r="M18" s="42">
        <v>3.65</v>
      </c>
      <c r="N18" s="42">
        <v>3.65</v>
      </c>
      <c r="O18" s="43">
        <v>30980.34</v>
      </c>
      <c r="P18" s="44">
        <v>5531.01</v>
      </c>
      <c r="Q18" s="44">
        <v>6099.1499999999896</v>
      </c>
      <c r="R18" s="45">
        <v>0</v>
      </c>
      <c r="S18" s="46">
        <v>0</v>
      </c>
      <c r="T18" s="39">
        <f t="shared" si="0"/>
        <v>12</v>
      </c>
      <c r="U18" s="47">
        <f t="shared" si="1"/>
        <v>0.37264156891364608</v>
      </c>
      <c r="V18" s="48">
        <f t="shared" si="2"/>
        <v>0</v>
      </c>
      <c r="W18" s="49">
        <f t="shared" si="3"/>
        <v>3.1053464076137172E-2</v>
      </c>
      <c r="X18" s="44">
        <f t="shared" si="4"/>
        <v>8346.8559510052964</v>
      </c>
      <c r="Y18" s="44">
        <f t="shared" si="5"/>
        <v>568.13999999998941</v>
      </c>
      <c r="Z18" s="44">
        <f t="shared" si="6"/>
        <v>18621.563432211478</v>
      </c>
      <c r="AA18" s="50">
        <f t="shared" si="7"/>
        <v>14446.005951005285</v>
      </c>
      <c r="AB18" s="51">
        <f t="shared" si="8"/>
        <v>17408.211117333343</v>
      </c>
      <c r="AC18" s="44">
        <f t="shared" si="8"/>
        <v>13504.72651304598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28227.962966044073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28227.962966044073</v>
      </c>
      <c r="AK18" s="44">
        <f>HLOOKUP(I18,ElecAvoidedCostsWOCC!$A$5:$Q$50,G18+1,FALSE)*J18*L18</f>
        <v>0</v>
      </c>
      <c r="AL18" s="44">
        <f t="shared" si="13"/>
        <v>28227.962966044073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28227.96296604407</v>
      </c>
      <c r="AN18" s="48">
        <f t="shared" si="14"/>
        <v>31050.75926264848</v>
      </c>
      <c r="AO18" s="47">
        <f t="shared" si="15"/>
        <v>1.6215315161210049</v>
      </c>
      <c r="AP18" s="47">
        <f t="shared" si="16"/>
        <v>2.2992512460472629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18230625</v>
      </c>
      <c r="D19" s="100" t="s">
        <v>78</v>
      </c>
      <c r="E19" s="38" t="s">
        <v>2387</v>
      </c>
      <c r="F19" s="39" t="s">
        <v>2388</v>
      </c>
      <c r="G19" s="39">
        <v>12</v>
      </c>
      <c r="H19" s="39"/>
      <c r="I19" s="40" t="s">
        <v>248</v>
      </c>
      <c r="J19" s="41">
        <v>250</v>
      </c>
      <c r="K19" s="41">
        <v>18.54</v>
      </c>
      <c r="L19" s="41"/>
      <c r="M19" s="42">
        <v>3.65</v>
      </c>
      <c r="N19" s="42">
        <v>3.65</v>
      </c>
      <c r="O19" s="43">
        <v>4635</v>
      </c>
      <c r="P19" s="44">
        <v>827.5</v>
      </c>
      <c r="Q19" s="44">
        <v>912.5</v>
      </c>
      <c r="R19" s="45">
        <v>0</v>
      </c>
      <c r="S19" s="46">
        <v>0</v>
      </c>
      <c r="T19" s="39">
        <f t="shared" si="0"/>
        <v>12</v>
      </c>
      <c r="U19" s="47">
        <f t="shared" si="1"/>
        <v>5.575128200383693E-2</v>
      </c>
      <c r="V19" s="48">
        <f t="shared" si="2"/>
        <v>0</v>
      </c>
      <c r="W19" s="49">
        <f t="shared" si="3"/>
        <v>4.6459401669864111E-3</v>
      </c>
      <c r="X19" s="44">
        <f t="shared" si="4"/>
        <v>1248.7815605932519</v>
      </c>
      <c r="Y19" s="44">
        <f t="shared" si="5"/>
        <v>85</v>
      </c>
      <c r="Z19" s="44">
        <f t="shared" si="6"/>
        <v>2785.990938391903</v>
      </c>
      <c r="AA19" s="50">
        <f t="shared" si="7"/>
        <v>2161.2815605932519</v>
      </c>
      <c r="AB19" s="51">
        <f t="shared" si="8"/>
        <v>2604.4600714143244</v>
      </c>
      <c r="AC19" s="44">
        <f t="shared" si="8"/>
        <v>2020.4557918979638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4223.21408827709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4223.21408827709</v>
      </c>
      <c r="AK19" s="44">
        <f>HLOOKUP(I19,ElecAvoidedCostsWOCC!$A$5:$Q$50,G19+1,FALSE)*J19*L19</f>
        <v>0</v>
      </c>
      <c r="AL19" s="44">
        <f t="shared" si="13"/>
        <v>4223.21408827709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4223.21408827709</v>
      </c>
      <c r="AN19" s="48">
        <f t="shared" si="14"/>
        <v>4645.5354971047991</v>
      </c>
      <c r="AO19" s="47">
        <f t="shared" si="15"/>
        <v>1.6215315161210049</v>
      </c>
      <c r="AP19" s="47">
        <f t="shared" si="16"/>
        <v>2.2992512460472612</v>
      </c>
      <c r="AQ19">
        <v>2020</v>
      </c>
    </row>
    <row r="20" spans="1:43" ht="13.5" customHeight="1">
      <c r="A20" s="59">
        <f>A8+SUM(Q5:Q906)</f>
        <v>695939.55999999982</v>
      </c>
      <c r="B20" s="97" t="s">
        <v>15</v>
      </c>
      <c r="C20" s="100">
        <v>18230625</v>
      </c>
      <c r="D20" s="100" t="s">
        <v>78</v>
      </c>
      <c r="E20" s="38" t="s">
        <v>2389</v>
      </c>
      <c r="F20" s="39" t="s">
        <v>2390</v>
      </c>
      <c r="G20" s="39">
        <v>3</v>
      </c>
      <c r="H20" s="39">
        <v>7</v>
      </c>
      <c r="I20" s="40" t="s">
        <v>265</v>
      </c>
      <c r="J20" s="41">
        <v>66</v>
      </c>
      <c r="K20" s="41">
        <v>187</v>
      </c>
      <c r="L20" s="41">
        <v>91</v>
      </c>
      <c r="M20" s="42">
        <v>3.51</v>
      </c>
      <c r="N20" s="42">
        <v>3.51</v>
      </c>
      <c r="O20" s="43">
        <v>12342</v>
      </c>
      <c r="P20" s="44">
        <v>210.54</v>
      </c>
      <c r="Q20" s="44">
        <v>231.66</v>
      </c>
      <c r="R20" s="45">
        <v>14.53</v>
      </c>
      <c r="S20" s="46">
        <v>0</v>
      </c>
      <c r="T20" s="39">
        <f t="shared" si="0"/>
        <v>10</v>
      </c>
      <c r="U20" s="47">
        <f t="shared" si="1"/>
        <v>0.12371131292545046</v>
      </c>
      <c r="V20" s="48">
        <f t="shared" si="2"/>
        <v>0</v>
      </c>
      <c r="W20" s="49">
        <f t="shared" si="3"/>
        <v>1.2371131292545046E-2</v>
      </c>
      <c r="X20" s="44">
        <f t="shared" si="4"/>
        <v>3325.2345244534881</v>
      </c>
      <c r="Y20" s="44">
        <f t="shared" si="5"/>
        <v>21.120000000000005</v>
      </c>
      <c r="Z20" s="44">
        <f t="shared" si="6"/>
        <v>7418.4897867600575</v>
      </c>
      <c r="AA20" s="50">
        <f t="shared" si="7"/>
        <v>3556.894524453488</v>
      </c>
      <c r="AB20" s="51">
        <f t="shared" si="8"/>
        <v>6935.1124490605371</v>
      </c>
      <c r="AC20" s="44">
        <f t="shared" si="8"/>
        <v>3325.1327703594352</v>
      </c>
      <c r="AD20" s="44">
        <f t="shared" si="9"/>
        <v>6744.8245665718869</v>
      </c>
      <c r="AE20" s="44">
        <f t="shared" si="17"/>
        <v>0</v>
      </c>
      <c r="AF20" s="52">
        <f>HLOOKUP(I20,ElecAvoidedCostsWOCC!$A$5:$Q$50,G20+1,FALSE)</f>
        <v>0.2337612554483032</v>
      </c>
      <c r="AG20" s="44">
        <f t="shared" si="10"/>
        <v>2885.0814147429578</v>
      </c>
      <c r="AH20" s="52">
        <f>HLOOKUP(I20,ElecAvoidedCostsWOCC!$A$5:$Q$50,T20+1,FALSE)</f>
        <v>0.74487332198138856</v>
      </c>
      <c r="AI20" s="44">
        <f t="shared" si="11"/>
        <v>4473.7091718202191</v>
      </c>
      <c r="AJ20" s="44">
        <f t="shared" si="12"/>
        <v>7358.7905865631765</v>
      </c>
      <c r="AK20" s="44">
        <f>HLOOKUP(I20,ElecAvoidedCostsWOCC!$A$5:$Q$50,G20+1,FALSE)*J20*L20</f>
        <v>1403.970100222509</v>
      </c>
      <c r="AL20" s="44">
        <f t="shared" si="13"/>
        <v>5954.8204863406672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5954.8204863406681</v>
      </c>
      <c r="AN20" s="48">
        <f t="shared" si="14"/>
        <v>13295.127101546623</v>
      </c>
      <c r="AO20" s="47">
        <f t="shared" si="15"/>
        <v>0.85864800752399284</v>
      </c>
      <c r="AP20" s="47">
        <f t="shared" si="16"/>
        <v>3.9983748077853343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18230625</v>
      </c>
      <c r="D21" s="100" t="s">
        <v>78</v>
      </c>
      <c r="E21" s="38" t="s">
        <v>2391</v>
      </c>
      <c r="F21" s="39" t="s">
        <v>2392</v>
      </c>
      <c r="G21" s="39">
        <v>3</v>
      </c>
      <c r="H21" s="39">
        <v>7</v>
      </c>
      <c r="I21" s="40" t="s">
        <v>265</v>
      </c>
      <c r="J21" s="41">
        <v>97</v>
      </c>
      <c r="K21" s="41">
        <v>187</v>
      </c>
      <c r="L21" s="41">
        <v>91</v>
      </c>
      <c r="M21" s="42">
        <v>8</v>
      </c>
      <c r="N21" s="42">
        <v>8</v>
      </c>
      <c r="O21" s="43">
        <v>18139</v>
      </c>
      <c r="P21" s="44">
        <v>705.18999999999903</v>
      </c>
      <c r="Q21" s="44">
        <v>776</v>
      </c>
      <c r="R21" s="45">
        <v>14.53</v>
      </c>
      <c r="S21" s="46">
        <v>0</v>
      </c>
      <c r="T21" s="39">
        <f t="shared" si="0"/>
        <v>10</v>
      </c>
      <c r="U21" s="47">
        <f t="shared" si="1"/>
        <v>0.18181814172376809</v>
      </c>
      <c r="V21" s="48">
        <f t="shared" si="2"/>
        <v>0</v>
      </c>
      <c r="W21" s="49">
        <f t="shared" si="3"/>
        <v>1.8181814172376808E-2</v>
      </c>
      <c r="X21" s="44">
        <f t="shared" si="4"/>
        <v>4887.0871041210348</v>
      </c>
      <c r="Y21" s="44">
        <f t="shared" si="5"/>
        <v>70.810000000000969</v>
      </c>
      <c r="Z21" s="44">
        <f t="shared" si="6"/>
        <v>10902.931959329175</v>
      </c>
      <c r="AA21" s="50">
        <f t="shared" si="7"/>
        <v>5663.0871041210348</v>
      </c>
      <c r="AB21" s="51">
        <f t="shared" ref="AB21:AC24" si="18">Z21/(1+ElecDiscountRate)^1</f>
        <v>10192.513750892002</v>
      </c>
      <c r="AC21" s="44">
        <f t="shared" si="18"/>
        <v>5294.0890942516917</v>
      </c>
      <c r="AD21" s="44">
        <f t="shared" si="9"/>
        <v>9912.8482266283791</v>
      </c>
      <c r="AE21" s="44">
        <f t="shared" si="17"/>
        <v>0</v>
      </c>
      <c r="AF21" s="52">
        <f>HLOOKUP(I21,ElecAvoidedCostsWOCC!$A$5:$Q$50,G21+1,FALSE)</f>
        <v>0.2337612554483032</v>
      </c>
      <c r="AG21" s="44">
        <f t="shared" si="10"/>
        <v>4240.1954125767725</v>
      </c>
      <c r="AH21" s="52">
        <f>HLOOKUP(I21,ElecAvoidedCostsWOCC!$A$5:$Q$50,T21+1,FALSE)</f>
        <v>0.74487332198138856</v>
      </c>
      <c r="AI21" s="44">
        <f t="shared" si="11"/>
        <v>6574.9968131297173</v>
      </c>
      <c r="AJ21" s="44">
        <f t="shared" si="12"/>
        <v>10815.192225706491</v>
      </c>
      <c r="AK21" s="44">
        <f>HLOOKUP(I21,ElecAvoidedCostsWOCC!$A$5:$Q$50,G21+1,FALSE)*J21*L21</f>
        <v>2063.4106018421726</v>
      </c>
      <c r="AL21" s="44">
        <f t="shared" si="13"/>
        <v>8751.7816238643172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8751.7816238643172</v>
      </c>
      <c r="AN21" s="48">
        <f t="shared" si="14"/>
        <v>19539.808012879126</v>
      </c>
      <c r="AO21" s="47">
        <f t="shared" si="15"/>
        <v>0.85864800752399295</v>
      </c>
      <c r="AP21" s="47">
        <f t="shared" si="16"/>
        <v>3.6908725306673436</v>
      </c>
      <c r="AQ21">
        <v>2020</v>
      </c>
    </row>
    <row r="22" spans="1:43" ht="13.5" customHeight="1">
      <c r="A22" s="60">
        <f>(SUM(AM5:AM1000)/(SUM(AB5:AB1000)))</f>
        <v>1.0510047785925845</v>
      </c>
      <c r="B22" s="97" t="s">
        <v>15</v>
      </c>
      <c r="C22" s="100">
        <v>18230625</v>
      </c>
      <c r="D22" s="100" t="s">
        <v>78</v>
      </c>
      <c r="E22" s="38" t="s">
        <v>2397</v>
      </c>
      <c r="F22" s="39" t="s">
        <v>2398</v>
      </c>
      <c r="G22" s="39">
        <v>11</v>
      </c>
      <c r="H22" s="39"/>
      <c r="I22" s="40" t="s">
        <v>269</v>
      </c>
      <c r="J22" s="41">
        <v>48</v>
      </c>
      <c r="K22" s="41">
        <v>502</v>
      </c>
      <c r="L22" s="41"/>
      <c r="M22" s="42">
        <v>75</v>
      </c>
      <c r="N22" s="42">
        <v>151.83000000000001</v>
      </c>
      <c r="O22" s="43">
        <v>24096</v>
      </c>
      <c r="P22" s="44">
        <v>4080</v>
      </c>
      <c r="Q22" s="44">
        <v>7287.84</v>
      </c>
      <c r="R22" s="45">
        <v>0</v>
      </c>
      <c r="S22" s="46">
        <v>0</v>
      </c>
      <c r="T22" s="39">
        <f t="shared" si="0"/>
        <v>11</v>
      </c>
      <c r="U22" s="47">
        <f t="shared" si="1"/>
        <v>0.26568162176930965</v>
      </c>
      <c r="V22" s="48">
        <f t="shared" si="2"/>
        <v>76.830000000000013</v>
      </c>
      <c r="W22" s="49">
        <f t="shared" si="3"/>
        <v>2.4152874706300877E-2</v>
      </c>
      <c r="X22" s="44">
        <f t="shared" si="4"/>
        <v>6492.0475693754051</v>
      </c>
      <c r="Y22" s="44">
        <f t="shared" si="5"/>
        <v>3207.84</v>
      </c>
      <c r="Z22" s="44">
        <f t="shared" si="6"/>
        <v>14483.546418876223</v>
      </c>
      <c r="AA22" s="50">
        <f t="shared" si="7"/>
        <v>13779.887569375405</v>
      </c>
      <c r="AB22" s="51">
        <f t="shared" si="18"/>
        <v>13539.820902006377</v>
      </c>
      <c r="AC22" s="44">
        <f t="shared" si="18"/>
        <v>12882.011376437697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1.0685556528500126</v>
      </c>
      <c r="AG22" s="44">
        <f t="shared" si="10"/>
        <v>25747.917011073903</v>
      </c>
      <c r="AH22" s="52">
        <f>HLOOKUP(I22,ElecAvoidedCostsWOCC!$A$5:$Q$50,T22+1,FALSE)</f>
        <v>1.0685556528500126</v>
      </c>
      <c r="AI22" s="44">
        <f t="shared" si="11"/>
        <v>0</v>
      </c>
      <c r="AJ22" s="44">
        <f t="shared" si="12"/>
        <v>25747.917011073903</v>
      </c>
      <c r="AK22" s="44">
        <f>HLOOKUP(I22,ElecAvoidedCostsWOCC!$A$5:$Q$50,G22+1,FALSE)*J22*L22</f>
        <v>0</v>
      </c>
      <c r="AL22" s="44">
        <f t="shared" si="13"/>
        <v>25747.917011073903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25747.917011073907</v>
      </c>
      <c r="AN22" s="48">
        <f t="shared" si="14"/>
        <v>28322.708712181298</v>
      </c>
      <c r="AO22" s="47">
        <f t="shared" si="15"/>
        <v>1.9016438398574749</v>
      </c>
      <c r="AP22" s="47">
        <f t="shared" si="16"/>
        <v>2.1986247243955988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18230625</v>
      </c>
      <c r="D23" s="100" t="s">
        <v>78</v>
      </c>
      <c r="E23" s="38" t="s">
        <v>2399</v>
      </c>
      <c r="F23" s="39" t="s">
        <v>2400</v>
      </c>
      <c r="G23" s="39">
        <v>10</v>
      </c>
      <c r="H23" s="39"/>
      <c r="I23" s="40" t="s">
        <v>265</v>
      </c>
      <c r="J23" s="41">
        <v>81</v>
      </c>
      <c r="K23" s="41">
        <v>39.92</v>
      </c>
      <c r="L23" s="41"/>
      <c r="M23" s="42">
        <v>0.45</v>
      </c>
      <c r="N23" s="42">
        <v>0.45</v>
      </c>
      <c r="O23" s="43">
        <v>3233.52</v>
      </c>
      <c r="P23" s="44">
        <v>36.450000000000003</v>
      </c>
      <c r="Q23" s="44">
        <v>36.450000000000003</v>
      </c>
      <c r="R23" s="45">
        <v>4.95</v>
      </c>
      <c r="S23" s="46">
        <v>0</v>
      </c>
      <c r="T23" s="39">
        <f t="shared" si="0"/>
        <v>10</v>
      </c>
      <c r="U23" s="47">
        <f t="shared" si="1"/>
        <v>3.2411522003784034E-2</v>
      </c>
      <c r="V23" s="48">
        <f t="shared" si="2"/>
        <v>0</v>
      </c>
      <c r="W23" s="49">
        <f t="shared" si="3"/>
        <v>3.2411522003784033E-3</v>
      </c>
      <c r="X23" s="44">
        <f t="shared" si="4"/>
        <v>871.18881376688068</v>
      </c>
      <c r="Y23" s="44">
        <f t="shared" si="5"/>
        <v>0</v>
      </c>
      <c r="Z23" s="44">
        <f t="shared" si="6"/>
        <v>1943.5938336804716</v>
      </c>
      <c r="AA23" s="50">
        <f t="shared" si="7"/>
        <v>907.63881376688073</v>
      </c>
      <c r="AB23" s="51">
        <f t="shared" si="18"/>
        <v>1816.9522610829872</v>
      </c>
      <c r="AC23" s="44">
        <f t="shared" si="18"/>
        <v>848.49847038130383</v>
      </c>
      <c r="AD23" s="44">
        <f t="shared" si="9"/>
        <v>2820.0144006830155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2408.5627840932598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2408.5627840932598</v>
      </c>
      <c r="AK23" s="44">
        <f>HLOOKUP(I23,ElecAvoidedCostsWOCC!$A$5:$Q$50,G23+1,FALSE)*J23*L23</f>
        <v>0</v>
      </c>
      <c r="AL23" s="44">
        <f t="shared" si="13"/>
        <v>2408.5627840932598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2408.5627840932598</v>
      </c>
      <c r="AN23" s="48">
        <f t="shared" si="14"/>
        <v>5469.4334631856018</v>
      </c>
      <c r="AO23" s="47">
        <f t="shared" si="15"/>
        <v>1.325605980785453</v>
      </c>
      <c r="AP23" s="47">
        <f t="shared" si="16"/>
        <v>6.4460145234295023</v>
      </c>
      <c r="AQ23">
        <v>2020</v>
      </c>
    </row>
    <row r="24" spans="1:43" ht="13.5" customHeight="1">
      <c r="A24" s="60">
        <f>(SUM(AN5:AN1000)/SUM(AC5:AC1000))</f>
        <v>1.1975147643667337</v>
      </c>
      <c r="B24" s="97" t="s">
        <v>15</v>
      </c>
      <c r="C24" s="61">
        <v>18230625</v>
      </c>
      <c r="D24" s="61" t="s">
        <v>78</v>
      </c>
      <c r="E24" s="38" t="s">
        <v>2403</v>
      </c>
      <c r="F24" s="39" t="s">
        <v>2404</v>
      </c>
      <c r="G24" s="39">
        <v>10</v>
      </c>
      <c r="H24" s="39"/>
      <c r="I24" s="40" t="s">
        <v>265</v>
      </c>
      <c r="J24" s="41">
        <v>30</v>
      </c>
      <c r="K24" s="41">
        <v>59.38</v>
      </c>
      <c r="L24" s="41"/>
      <c r="M24" s="42">
        <v>1.17</v>
      </c>
      <c r="N24" s="42">
        <v>1.17</v>
      </c>
      <c r="O24" s="43">
        <v>1781.4</v>
      </c>
      <c r="P24" s="44">
        <v>35.1</v>
      </c>
      <c r="Q24" s="44">
        <v>35.1</v>
      </c>
      <c r="R24" s="45">
        <v>6.12</v>
      </c>
      <c r="S24" s="46">
        <v>0</v>
      </c>
      <c r="T24" s="39">
        <f t="shared" si="0"/>
        <v>10</v>
      </c>
      <c r="U24" s="47">
        <f t="shared" si="1"/>
        <v>1.785604706250182E-2</v>
      </c>
      <c r="V24" s="48">
        <f t="shared" si="2"/>
        <v>0</v>
      </c>
      <c r="W24" s="49">
        <f t="shared" si="3"/>
        <v>1.7856047062501819E-3</v>
      </c>
      <c r="X24" s="44">
        <f t="shared" si="4"/>
        <v>479.95242115228029</v>
      </c>
      <c r="Y24" s="44">
        <f t="shared" si="5"/>
        <v>0</v>
      </c>
      <c r="Z24" s="44">
        <f t="shared" si="6"/>
        <v>1070.7582001405256</v>
      </c>
      <c r="AA24" s="50">
        <f t="shared" si="7"/>
        <v>515.05242115228032</v>
      </c>
      <c r="AB24" s="51">
        <f t="shared" si="18"/>
        <v>1000.989249453609</v>
      </c>
      <c r="AC24" s="44">
        <f t="shared" si="18"/>
        <v>481.49240081544383</v>
      </c>
      <c r="AD24" s="44">
        <f t="shared" si="9"/>
        <v>1291.3197255652867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1326.9173357776456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1326.9173357776456</v>
      </c>
      <c r="AK24" s="44">
        <f>HLOOKUP(I24,ElecAvoidedCostsWOCC!$A$5:$Q$50,G24+1,FALSE)*J24*L24</f>
        <v>0</v>
      </c>
      <c r="AL24" s="44">
        <f t="shared" si="13"/>
        <v>1326.9173357776456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1326.9173357776458</v>
      </c>
      <c r="AN24" s="48">
        <f t="shared" si="14"/>
        <v>2750.9287949206973</v>
      </c>
      <c r="AO24" s="47">
        <f t="shared" si="15"/>
        <v>1.325605980785453</v>
      </c>
      <c r="AP24" s="47">
        <f t="shared" si="16"/>
        <v>5.713337926542124</v>
      </c>
      <c r="AQ24">
        <v>2020</v>
      </c>
    </row>
    <row r="25" spans="1:43" ht="13.5" customHeight="1">
      <c r="B25" s="97" t="s">
        <v>15</v>
      </c>
      <c r="C25" s="61">
        <v>18230625</v>
      </c>
      <c r="D25" s="61" t="s">
        <v>78</v>
      </c>
      <c r="E25" s="38" t="s">
        <v>2407</v>
      </c>
      <c r="F25" s="39" t="s">
        <v>2408</v>
      </c>
      <c r="G25" s="39">
        <v>15</v>
      </c>
      <c r="H25" s="39"/>
      <c r="I25" s="40" t="s">
        <v>265</v>
      </c>
      <c r="J25" s="41">
        <v>247</v>
      </c>
      <c r="K25" s="41">
        <v>20.68</v>
      </c>
      <c r="L25" s="41"/>
      <c r="M25" s="42">
        <v>1.56</v>
      </c>
      <c r="N25" s="42">
        <v>1.56</v>
      </c>
      <c r="O25" s="43">
        <v>5107.96</v>
      </c>
      <c r="P25" s="44">
        <v>385.32000000000102</v>
      </c>
      <c r="Q25" s="44">
        <v>385.32000000000102</v>
      </c>
      <c r="R25" s="45">
        <v>0</v>
      </c>
      <c r="S25" s="46">
        <v>0</v>
      </c>
      <c r="T25" s="39">
        <f t="shared" ref="T25:T72" si="19">G25+H25</f>
        <v>15</v>
      </c>
      <c r="U25" s="47">
        <f t="shared" ref="U25:U72" si="20">(O25/$A$10)*T25</f>
        <v>7.6800247687248899E-2</v>
      </c>
      <c r="V25" s="48">
        <f t="shared" ref="V25:V72" si="21">N25-M25</f>
        <v>0</v>
      </c>
      <c r="W25" s="49">
        <f t="shared" ref="W25:W72" si="22">(O25/A$10)</f>
        <v>5.1200165124832596E-3</v>
      </c>
      <c r="X25" s="44">
        <f t="shared" ref="X25:X72" si="23">W25*A$8</f>
        <v>1376.2084703878982</v>
      </c>
      <c r="Y25" s="44">
        <f t="shared" ref="Y25:Y72" si="24">Q25-P25</f>
        <v>0</v>
      </c>
      <c r="Z25" s="44">
        <f t="shared" ref="Z25:Z72" si="25">X25+(A$6*W25)</f>
        <v>3070.2762186986633</v>
      </c>
      <c r="AA25" s="50">
        <f t="shared" ref="AA25:AA72" si="26">Q25+X25</f>
        <v>1761.5284703878992</v>
      </c>
      <c r="AB25" s="51">
        <f t="shared" ref="AB25:AB72" si="27">Z25/(1+ElecDiscountRate)^1</f>
        <v>2870.2217618946088</v>
      </c>
      <c r="AC25" s="44">
        <f t="shared" ref="AC25:AC72" si="28">AA25/(1+ElecDiscountRate)^1</f>
        <v>1646.7499956884164</v>
      </c>
      <c r="AD25" s="44">
        <f t="shared" ref="AD25:AD72" si="29">-PV(ElecDiscountRate,T25,R25)*J25</f>
        <v>0</v>
      </c>
      <c r="AE25" s="44">
        <f t="shared" ref="AE25:AE72" si="30">-PV(ElecDiscountRate,T25,S25)*J25</f>
        <v>0</v>
      </c>
      <c r="AF25" s="52">
        <f>HLOOKUP(I25,ElecAvoidedCostsWOCC!$A$5:$Q$50,G25+1,FALSE)</f>
        <v>1.0786528141421943</v>
      </c>
      <c r="AG25" s="44">
        <f t="shared" ref="AG25:AG72" si="31">AF25*J25*K25</f>
        <v>5509.7154285257629</v>
      </c>
      <c r="AH25" s="52">
        <f>HLOOKUP(I25,ElecAvoidedCostsWOCC!$A$5:$Q$50,T25+1,FALSE)</f>
        <v>1.0786528141421943</v>
      </c>
      <c r="AI25" s="44">
        <f t="shared" ref="AI25:AI72" si="32">AH25*J25*L25</f>
        <v>0</v>
      </c>
      <c r="AJ25" s="44">
        <f t="shared" ref="AJ25:AJ72" si="33">AG25+AI25</f>
        <v>5509.7154285257629</v>
      </c>
      <c r="AK25" s="44">
        <f>HLOOKUP(I25,ElecAvoidedCostsWOCC!$A$5:$Q$50,G25+1,FALSE)*J25*L25</f>
        <v>0</v>
      </c>
      <c r="AL25" s="44">
        <f t="shared" ref="AL25:AL72" si="34">AG25+AI25-AK25</f>
        <v>5509.7154285257629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5509.7154285257629</v>
      </c>
      <c r="AN25" s="48">
        <f t="shared" ref="AN25:AN72" si="35">AM25*1.1+AD25+AE25</f>
        <v>6060.6869713783399</v>
      </c>
      <c r="AO25" s="47">
        <f t="shared" ref="AO25:AO72" si="36">IFERROR(AM25/AB25,0)</f>
        <v>1.919613146856237</v>
      </c>
      <c r="AP25" s="47">
        <f t="shared" ref="AP25:AP72" si="37">AN25/AC25</f>
        <v>3.6803928873518514</v>
      </c>
      <c r="AQ25">
        <v>2020</v>
      </c>
    </row>
    <row r="26" spans="1:43" ht="13.5" customHeight="1">
      <c r="B26" s="97" t="s">
        <v>15</v>
      </c>
      <c r="C26" s="61">
        <v>18230625</v>
      </c>
      <c r="D26" s="61" t="s">
        <v>78</v>
      </c>
      <c r="E26" s="38" t="s">
        <v>2409</v>
      </c>
      <c r="F26" s="39" t="s">
        <v>2410</v>
      </c>
      <c r="G26" s="39">
        <v>3</v>
      </c>
      <c r="H26" s="39">
        <v>7</v>
      </c>
      <c r="I26" s="40" t="s">
        <v>265</v>
      </c>
      <c r="J26" s="41">
        <v>33</v>
      </c>
      <c r="K26" s="41">
        <v>250</v>
      </c>
      <c r="L26" s="41">
        <v>150</v>
      </c>
      <c r="M26" s="42">
        <v>3.9</v>
      </c>
      <c r="N26" s="42">
        <v>3.9</v>
      </c>
      <c r="O26" s="43">
        <v>8250</v>
      </c>
      <c r="P26" s="44">
        <v>128.69999999999999</v>
      </c>
      <c r="Q26" s="44">
        <v>128.69999999999999</v>
      </c>
      <c r="R26" s="45">
        <v>14.91</v>
      </c>
      <c r="S26" s="46">
        <v>0</v>
      </c>
      <c r="T26" s="39">
        <f t="shared" si="19"/>
        <v>10</v>
      </c>
      <c r="U26" s="47">
        <f t="shared" si="20"/>
        <v>8.2694727891343883E-2</v>
      </c>
      <c r="V26" s="48">
        <f t="shared" si="21"/>
        <v>0</v>
      </c>
      <c r="W26" s="49">
        <f t="shared" si="22"/>
        <v>8.269472789134388E-3</v>
      </c>
      <c r="X26" s="44">
        <f t="shared" si="23"/>
        <v>2222.7503505705131</v>
      </c>
      <c r="Y26" s="44">
        <f t="shared" si="24"/>
        <v>0</v>
      </c>
      <c r="Z26" s="44">
        <f t="shared" si="25"/>
        <v>4958.8835472995033</v>
      </c>
      <c r="AA26" s="50">
        <f t="shared" si="26"/>
        <v>2351.4503505705129</v>
      </c>
      <c r="AB26" s="51">
        <f t="shared" si="27"/>
        <v>4635.7703536500912</v>
      </c>
      <c r="AC26" s="44">
        <f t="shared" si="28"/>
        <v>2198.2334772090426</v>
      </c>
      <c r="AD26" s="44">
        <f t="shared" si="29"/>
        <v>3460.6102645418737</v>
      </c>
      <c r="AE26" s="44">
        <f t="shared" si="30"/>
        <v>0</v>
      </c>
      <c r="AF26" s="52">
        <f>HLOOKUP(I26,ElecAvoidedCostsWOCC!$A$5:$Q$50,G26+1,FALSE)</f>
        <v>0.2337612554483032</v>
      </c>
      <c r="AG26" s="44">
        <f t="shared" si="31"/>
        <v>1928.5303574485013</v>
      </c>
      <c r="AH26" s="52">
        <f>HLOOKUP(I26,ElecAvoidedCostsWOCC!$A$5:$Q$50,T26+1,FALSE)</f>
        <v>0.74487332198138856</v>
      </c>
      <c r="AI26" s="44">
        <f t="shared" si="32"/>
        <v>3687.1229438078731</v>
      </c>
      <c r="AJ26" s="44">
        <f t="shared" si="33"/>
        <v>5615.6533012563741</v>
      </c>
      <c r="AK26" s="44">
        <f>HLOOKUP(I26,ElecAvoidedCostsWOCC!$A$5:$Q$50,G26+1,FALSE)*J26*L26</f>
        <v>1157.1182144691008</v>
      </c>
      <c r="AL26" s="44">
        <f t="shared" si="34"/>
        <v>4458.535086787273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4458.5350867872739</v>
      </c>
      <c r="AN26" s="48">
        <f t="shared" si="35"/>
        <v>8364.9988600078759</v>
      </c>
      <c r="AO26" s="47">
        <f t="shared" si="36"/>
        <v>0.96176789328589873</v>
      </c>
      <c r="AP26" s="47">
        <f t="shared" si="37"/>
        <v>3.8053277537326853</v>
      </c>
      <c r="AQ26">
        <v>2020</v>
      </c>
    </row>
    <row r="27" spans="1:43" ht="13.5" customHeight="1">
      <c r="B27" s="97" t="s">
        <v>15</v>
      </c>
      <c r="C27" s="61">
        <v>18230625</v>
      </c>
      <c r="D27" s="61" t="s">
        <v>78</v>
      </c>
      <c r="E27" s="38" t="s">
        <v>2411</v>
      </c>
      <c r="F27" s="39" t="s">
        <v>2412</v>
      </c>
      <c r="G27" s="39">
        <v>3</v>
      </c>
      <c r="H27" s="39">
        <v>7</v>
      </c>
      <c r="I27" s="40" t="s">
        <v>265</v>
      </c>
      <c r="J27" s="41">
        <v>221</v>
      </c>
      <c r="K27" s="41">
        <v>261</v>
      </c>
      <c r="L27" s="41">
        <v>147</v>
      </c>
      <c r="M27" s="42">
        <v>3.9</v>
      </c>
      <c r="N27" s="42">
        <v>3.9</v>
      </c>
      <c r="O27" s="43">
        <v>57681</v>
      </c>
      <c r="P27" s="44">
        <v>861.89999999999804</v>
      </c>
      <c r="Q27" s="44">
        <v>861.89999999999804</v>
      </c>
      <c r="R27" s="45">
        <v>15.21</v>
      </c>
      <c r="S27" s="46">
        <v>0</v>
      </c>
      <c r="T27" s="39">
        <f t="shared" si="19"/>
        <v>10</v>
      </c>
      <c r="U27" s="47">
        <f t="shared" si="20"/>
        <v>0.57817146660613417</v>
      </c>
      <c r="V27" s="48">
        <f t="shared" si="21"/>
        <v>0</v>
      </c>
      <c r="W27" s="49">
        <f t="shared" si="22"/>
        <v>5.7817146660613411E-2</v>
      </c>
      <c r="X27" s="44">
        <f t="shared" si="23"/>
        <v>15540.662178334274</v>
      </c>
      <c r="Y27" s="44">
        <f t="shared" si="24"/>
        <v>0</v>
      </c>
      <c r="Z27" s="44">
        <f t="shared" si="25"/>
        <v>34670.710532337289</v>
      </c>
      <c r="AA27" s="50">
        <f t="shared" si="26"/>
        <v>16402.562178334272</v>
      </c>
      <c r="AB27" s="51">
        <f t="shared" si="27"/>
        <v>32411.620578047383</v>
      </c>
      <c r="AC27" s="44">
        <f t="shared" si="28"/>
        <v>15333.796558225924</v>
      </c>
      <c r="AD27" s="44">
        <f t="shared" si="29"/>
        <v>23641.911975557789</v>
      </c>
      <c r="AE27" s="44">
        <f t="shared" si="30"/>
        <v>0</v>
      </c>
      <c r="AF27" s="52">
        <f>HLOOKUP(I27,ElecAvoidedCostsWOCC!$A$5:$Q$50,G27+1,FALSE)</f>
        <v>0.2337612554483032</v>
      </c>
      <c r="AG27" s="44">
        <f t="shared" si="31"/>
        <v>13483.582975513576</v>
      </c>
      <c r="AH27" s="52">
        <f>HLOOKUP(I27,ElecAvoidedCostsWOCC!$A$5:$Q$50,T27+1,FALSE)</f>
        <v>0.74487332198138856</v>
      </c>
      <c r="AI27" s="44">
        <f t="shared" si="32"/>
        <v>24198.699611209369</v>
      </c>
      <c r="AJ27" s="44">
        <f t="shared" si="33"/>
        <v>37682.282586722948</v>
      </c>
      <c r="AK27" s="44">
        <f>HLOOKUP(I27,ElecAvoidedCostsWOCC!$A$5:$Q$50,G27+1,FALSE)*J27*L27</f>
        <v>7594.2019057490261</v>
      </c>
      <c r="AL27" s="44">
        <f t="shared" si="34"/>
        <v>30088.080680973922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30088.080680973922</v>
      </c>
      <c r="AN27" s="48">
        <f t="shared" si="35"/>
        <v>56738.800724629109</v>
      </c>
      <c r="AO27" s="47">
        <f t="shared" si="36"/>
        <v>0.92831151742387075</v>
      </c>
      <c r="AP27" s="47">
        <f t="shared" si="37"/>
        <v>3.7002447834219621</v>
      </c>
      <c r="AQ27">
        <v>2020</v>
      </c>
    </row>
    <row r="28" spans="1:43" ht="13.5" customHeight="1">
      <c r="B28" s="97" t="s">
        <v>15</v>
      </c>
      <c r="C28" s="61">
        <v>18230625</v>
      </c>
      <c r="D28" s="61" t="s">
        <v>78</v>
      </c>
      <c r="E28" s="38" t="s">
        <v>2417</v>
      </c>
      <c r="F28" s="39" t="s">
        <v>2418</v>
      </c>
      <c r="G28" s="39">
        <v>3</v>
      </c>
      <c r="H28" s="39">
        <v>7</v>
      </c>
      <c r="I28" s="40" t="s">
        <v>265</v>
      </c>
      <c r="J28" s="41">
        <v>57</v>
      </c>
      <c r="K28" s="41">
        <v>250</v>
      </c>
      <c r="L28" s="41">
        <v>150</v>
      </c>
      <c r="M28" s="42">
        <v>8.07</v>
      </c>
      <c r="N28" s="42">
        <v>8.07</v>
      </c>
      <c r="O28" s="43">
        <v>14250</v>
      </c>
      <c r="P28" s="44">
        <v>459.99</v>
      </c>
      <c r="Q28" s="44">
        <v>459.99</v>
      </c>
      <c r="R28" s="45">
        <v>14.91</v>
      </c>
      <c r="S28" s="46">
        <v>0</v>
      </c>
      <c r="T28" s="39">
        <f t="shared" si="19"/>
        <v>10</v>
      </c>
      <c r="U28" s="47">
        <f t="shared" si="20"/>
        <v>0.14283634817595761</v>
      </c>
      <c r="V28" s="48">
        <f t="shared" si="21"/>
        <v>0</v>
      </c>
      <c r="W28" s="49">
        <f t="shared" si="22"/>
        <v>1.4283634817595762E-2</v>
      </c>
      <c r="X28" s="44">
        <f t="shared" si="23"/>
        <v>3839.2960600763408</v>
      </c>
      <c r="Y28" s="44">
        <f t="shared" si="24"/>
        <v>0</v>
      </c>
      <c r="Z28" s="44">
        <f t="shared" si="25"/>
        <v>8565.3443089718694</v>
      </c>
      <c r="AA28" s="50">
        <f t="shared" si="26"/>
        <v>4299.2860600763406</v>
      </c>
      <c r="AB28" s="51">
        <f t="shared" si="27"/>
        <v>8007.2397017592493</v>
      </c>
      <c r="AC28" s="44">
        <f t="shared" si="28"/>
        <v>4019.1512200395814</v>
      </c>
      <c r="AD28" s="44">
        <f t="shared" si="29"/>
        <v>5977.4177296632361</v>
      </c>
      <c r="AE28" s="44">
        <f t="shared" si="30"/>
        <v>0</v>
      </c>
      <c r="AF28" s="52">
        <f>HLOOKUP(I28,ElecAvoidedCostsWOCC!$A$5:$Q$50,G28+1,FALSE)</f>
        <v>0.2337612554483032</v>
      </c>
      <c r="AG28" s="44">
        <f t="shared" si="31"/>
        <v>3331.0978901383205</v>
      </c>
      <c r="AH28" s="52">
        <f>HLOOKUP(I28,ElecAvoidedCostsWOCC!$A$5:$Q$50,T28+1,FALSE)</f>
        <v>0.74487332198138856</v>
      </c>
      <c r="AI28" s="44">
        <f t="shared" si="32"/>
        <v>6368.6669029408722</v>
      </c>
      <c r="AJ28" s="44">
        <f t="shared" si="33"/>
        <v>9699.7647930791936</v>
      </c>
      <c r="AK28" s="44">
        <f>HLOOKUP(I28,ElecAvoidedCostsWOCC!$A$5:$Q$50,G28+1,FALSE)*J28*L28</f>
        <v>1998.6587340829924</v>
      </c>
      <c r="AL28" s="44">
        <f t="shared" si="34"/>
        <v>7701.1060589962017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7701.1060589962017</v>
      </c>
      <c r="AN28" s="48">
        <f t="shared" si="35"/>
        <v>14448.63439455906</v>
      </c>
      <c r="AO28" s="47">
        <f t="shared" si="36"/>
        <v>0.96176789328589873</v>
      </c>
      <c r="AP28" s="47">
        <f t="shared" si="37"/>
        <v>3.5949466948438848</v>
      </c>
      <c r="AQ28">
        <v>2020</v>
      </c>
    </row>
    <row r="29" spans="1:43">
      <c r="B29" s="97" t="s">
        <v>15</v>
      </c>
      <c r="C29" s="61">
        <v>18230625</v>
      </c>
      <c r="D29" s="61" t="s">
        <v>78</v>
      </c>
      <c r="E29" s="38" t="s">
        <v>2419</v>
      </c>
      <c r="F29" s="39" t="s">
        <v>2420</v>
      </c>
      <c r="G29" s="39">
        <v>3</v>
      </c>
      <c r="H29" s="39">
        <v>7</v>
      </c>
      <c r="I29" s="40" t="s">
        <v>265</v>
      </c>
      <c r="J29" s="41">
        <v>197</v>
      </c>
      <c r="K29" s="41">
        <v>261</v>
      </c>
      <c r="L29" s="41">
        <v>147</v>
      </c>
      <c r="M29" s="42">
        <v>8.07</v>
      </c>
      <c r="N29" s="42">
        <v>8.07</v>
      </c>
      <c r="O29" s="43">
        <v>51417</v>
      </c>
      <c r="P29" s="44">
        <v>1589.79</v>
      </c>
      <c r="Q29" s="44">
        <v>1589.79</v>
      </c>
      <c r="R29" s="45">
        <v>15.21</v>
      </c>
      <c r="S29" s="46">
        <v>0</v>
      </c>
      <c r="T29" s="39">
        <f t="shared" si="19"/>
        <v>10</v>
      </c>
      <c r="U29" s="47">
        <f t="shared" si="20"/>
        <v>0.51538361502899743</v>
      </c>
      <c r="V29" s="48">
        <f t="shared" si="21"/>
        <v>0</v>
      </c>
      <c r="W29" s="49">
        <f t="shared" si="22"/>
        <v>5.153836150289974E-2</v>
      </c>
      <c r="X29" s="44">
        <f t="shared" si="23"/>
        <v>13852.988457610192</v>
      </c>
      <c r="Y29" s="44">
        <f t="shared" si="24"/>
        <v>0</v>
      </c>
      <c r="Z29" s="44">
        <f t="shared" si="25"/>
        <v>30905.565497151343</v>
      </c>
      <c r="AA29" s="50">
        <f t="shared" si="26"/>
        <v>15442.778457610191</v>
      </c>
      <c r="AB29" s="51">
        <f t="shared" si="27"/>
        <v>28891.806578621428</v>
      </c>
      <c r="AC29" s="44">
        <f t="shared" si="28"/>
        <v>14436.550862494334</v>
      </c>
      <c r="AD29" s="44">
        <f t="shared" si="29"/>
        <v>21074.464521198573</v>
      </c>
      <c r="AE29" s="44">
        <f t="shared" si="30"/>
        <v>0</v>
      </c>
      <c r="AF29" s="52">
        <f>HLOOKUP(I29,ElecAvoidedCostsWOCC!$A$5:$Q$50,G29+1,FALSE)</f>
        <v>0.2337612554483032</v>
      </c>
      <c r="AG29" s="44">
        <f t="shared" si="31"/>
        <v>12019.302471385407</v>
      </c>
      <c r="AH29" s="52">
        <f>HLOOKUP(I29,ElecAvoidedCostsWOCC!$A$5:$Q$50,T29+1,FALSE)</f>
        <v>0.74487332198138856</v>
      </c>
      <c r="AI29" s="44">
        <f t="shared" si="32"/>
        <v>21570.786531259029</v>
      </c>
      <c r="AJ29" s="44">
        <f t="shared" si="33"/>
        <v>33590.089002644439</v>
      </c>
      <c r="AK29" s="44">
        <f>HLOOKUP(I29,ElecAvoidedCostsWOCC!$A$5:$Q$50,G29+1,FALSE)*J29*L29</f>
        <v>6769.4921965274125</v>
      </c>
      <c r="AL29" s="44">
        <f t="shared" si="34"/>
        <v>26820.596806117028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26820.596806117021</v>
      </c>
      <c r="AN29" s="48">
        <f t="shared" si="35"/>
        <v>50577.121007927301</v>
      </c>
      <c r="AO29" s="47">
        <f t="shared" si="36"/>
        <v>0.92831151742387041</v>
      </c>
      <c r="AP29" s="47">
        <f t="shared" si="37"/>
        <v>3.5034075306259567</v>
      </c>
      <c r="AQ29">
        <v>2020</v>
      </c>
    </row>
    <row r="30" spans="1:43">
      <c r="B30" s="97" t="s">
        <v>15</v>
      </c>
      <c r="C30" s="61">
        <v>18230625</v>
      </c>
      <c r="D30" s="61" t="s">
        <v>78</v>
      </c>
      <c r="E30" s="38" t="s">
        <v>658</v>
      </c>
      <c r="F30" s="39" t="s">
        <v>659</v>
      </c>
      <c r="G30" s="39">
        <v>11</v>
      </c>
      <c r="H30" s="39"/>
      <c r="I30" s="40" t="s">
        <v>269</v>
      </c>
      <c r="J30" s="41">
        <v>15</v>
      </c>
      <c r="K30" s="41">
        <v>506</v>
      </c>
      <c r="L30" s="41"/>
      <c r="M30" s="42">
        <v>75</v>
      </c>
      <c r="N30" s="42">
        <v>172.38</v>
      </c>
      <c r="O30" s="43">
        <v>7590</v>
      </c>
      <c r="P30" s="44">
        <v>1575</v>
      </c>
      <c r="Q30" s="44">
        <v>2585.6999999999998</v>
      </c>
      <c r="R30" s="45">
        <v>0</v>
      </c>
      <c r="S30" s="46">
        <v>0</v>
      </c>
      <c r="T30" s="39">
        <f t="shared" si="19"/>
        <v>11</v>
      </c>
      <c r="U30" s="47">
        <f t="shared" si="20"/>
        <v>8.3687064626040017E-2</v>
      </c>
      <c r="V30" s="48">
        <f t="shared" si="21"/>
        <v>97.38</v>
      </c>
      <c r="W30" s="49">
        <f t="shared" si="22"/>
        <v>7.6079149660036377E-3</v>
      </c>
      <c r="X30" s="44">
        <f t="shared" si="23"/>
        <v>2044.9303225248723</v>
      </c>
      <c r="Y30" s="44">
        <f t="shared" si="24"/>
        <v>1010.6999999999998</v>
      </c>
      <c r="Z30" s="44">
        <f t="shared" si="25"/>
        <v>4562.1728635155432</v>
      </c>
      <c r="AA30" s="50">
        <f t="shared" si="26"/>
        <v>4630.6303225248721</v>
      </c>
      <c r="AB30" s="51">
        <f t="shared" si="27"/>
        <v>4264.9087253580847</v>
      </c>
      <c r="AC30" s="44">
        <f t="shared" si="28"/>
        <v>4328.9056020612061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1.0685556528500126</v>
      </c>
      <c r="AG30" s="44">
        <f t="shared" si="31"/>
        <v>8110.3374051315959</v>
      </c>
      <c r="AH30" s="52">
        <f>HLOOKUP(I30,ElecAvoidedCostsWOCC!$A$5:$Q$50,T30+1,FALSE)</f>
        <v>1.0685556528500126</v>
      </c>
      <c r="AI30" s="44">
        <f t="shared" si="32"/>
        <v>0</v>
      </c>
      <c r="AJ30" s="44">
        <f t="shared" si="33"/>
        <v>8110.3374051315959</v>
      </c>
      <c r="AK30" s="44">
        <f>HLOOKUP(I30,ElecAvoidedCostsWOCC!$A$5:$Q$50,G30+1,FALSE)*J30*L30</f>
        <v>0</v>
      </c>
      <c r="AL30" s="44">
        <f t="shared" si="34"/>
        <v>8110.3374051315959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8110.3374051315968</v>
      </c>
      <c r="AN30" s="48">
        <f t="shared" si="35"/>
        <v>8921.3711456447563</v>
      </c>
      <c r="AO30" s="47">
        <f t="shared" si="36"/>
        <v>1.9016438398574749</v>
      </c>
      <c r="AP30" s="47">
        <f t="shared" si="37"/>
        <v>2.0608837350014864</v>
      </c>
      <c r="AQ30">
        <v>2020</v>
      </c>
    </row>
    <row r="31" spans="1:43">
      <c r="B31" s="97" t="s">
        <v>15</v>
      </c>
      <c r="C31" s="61">
        <v>18230625</v>
      </c>
      <c r="D31" s="61" t="s">
        <v>78</v>
      </c>
      <c r="E31" s="38" t="s">
        <v>2425</v>
      </c>
      <c r="F31" s="39" t="s">
        <v>2426</v>
      </c>
      <c r="G31" s="39">
        <v>11</v>
      </c>
      <c r="H31" s="39"/>
      <c r="I31" s="40" t="s">
        <v>269</v>
      </c>
      <c r="J31" s="41">
        <v>73</v>
      </c>
      <c r="K31" s="41">
        <v>506</v>
      </c>
      <c r="L31" s="41"/>
      <c r="M31" s="42">
        <v>150</v>
      </c>
      <c r="N31" s="42">
        <v>172.38</v>
      </c>
      <c r="O31" s="43">
        <v>36938</v>
      </c>
      <c r="P31" s="44">
        <v>7665</v>
      </c>
      <c r="Q31" s="44">
        <v>12583.74</v>
      </c>
      <c r="R31" s="45">
        <v>0</v>
      </c>
      <c r="S31" s="46">
        <v>0</v>
      </c>
      <c r="T31" s="39">
        <f t="shared" si="19"/>
        <v>11</v>
      </c>
      <c r="U31" s="47">
        <f t="shared" si="20"/>
        <v>0.40727704784672802</v>
      </c>
      <c r="V31" s="48">
        <f t="shared" si="21"/>
        <v>22.379999999999995</v>
      </c>
      <c r="W31" s="49">
        <f t="shared" si="22"/>
        <v>3.7025186167884368E-2</v>
      </c>
      <c r="X31" s="44">
        <f t="shared" si="23"/>
        <v>9951.9942362877118</v>
      </c>
      <c r="Y31" s="44">
        <f t="shared" si="24"/>
        <v>4918.74</v>
      </c>
      <c r="Z31" s="44">
        <f t="shared" si="25"/>
        <v>22202.57460244231</v>
      </c>
      <c r="AA31" s="50">
        <f t="shared" si="26"/>
        <v>22535.73423628771</v>
      </c>
      <c r="AB31" s="51">
        <f t="shared" si="27"/>
        <v>20755.889130076011</v>
      </c>
      <c r="AC31" s="44">
        <f t="shared" si="28"/>
        <v>21067.340596697868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1.0685556528500126</v>
      </c>
      <c r="AG31" s="44">
        <f t="shared" si="31"/>
        <v>39470.308704973773</v>
      </c>
      <c r="AH31" s="52">
        <f>HLOOKUP(I31,ElecAvoidedCostsWOCC!$A$5:$Q$50,T31+1,FALSE)</f>
        <v>1.0685556528500126</v>
      </c>
      <c r="AI31" s="44">
        <f t="shared" si="32"/>
        <v>0</v>
      </c>
      <c r="AJ31" s="44">
        <f t="shared" si="33"/>
        <v>39470.308704973773</v>
      </c>
      <c r="AK31" s="44">
        <f>HLOOKUP(I31,ElecAvoidedCostsWOCC!$A$5:$Q$50,G31+1,FALSE)*J31*L31</f>
        <v>0</v>
      </c>
      <c r="AL31" s="44">
        <f t="shared" si="34"/>
        <v>39470.308704973773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39470.308704973773</v>
      </c>
      <c r="AN31" s="48">
        <f t="shared" si="35"/>
        <v>43417.339575471153</v>
      </c>
      <c r="AO31" s="47">
        <f t="shared" si="36"/>
        <v>1.9016438398574751</v>
      </c>
      <c r="AP31" s="47">
        <f t="shared" si="37"/>
        <v>2.0608837350014868</v>
      </c>
      <c r="AQ31">
        <v>2020</v>
      </c>
    </row>
    <row r="32" spans="1:43">
      <c r="B32" s="97" t="s">
        <v>15</v>
      </c>
      <c r="C32" s="61">
        <v>18230625</v>
      </c>
      <c r="D32" s="61" t="s">
        <v>78</v>
      </c>
      <c r="E32" s="38" t="s">
        <v>2429</v>
      </c>
      <c r="F32" s="39" t="s">
        <v>2430</v>
      </c>
      <c r="G32" s="39">
        <v>1</v>
      </c>
      <c r="H32" s="39">
        <v>11</v>
      </c>
      <c r="I32" s="40" t="s">
        <v>248</v>
      </c>
      <c r="J32" s="41">
        <v>2336</v>
      </c>
      <c r="K32" s="41">
        <v>44</v>
      </c>
      <c r="L32" s="41">
        <v>5</v>
      </c>
      <c r="M32" s="42">
        <v>2.2000000000000002</v>
      </c>
      <c r="N32" s="42">
        <v>2.2000000000000002</v>
      </c>
      <c r="O32" s="43">
        <v>102784</v>
      </c>
      <c r="P32" s="44">
        <v>5139.1999999999898</v>
      </c>
      <c r="Q32" s="44">
        <v>5139.1999999999898</v>
      </c>
      <c r="R32" s="45">
        <v>0</v>
      </c>
      <c r="S32" s="46">
        <v>0</v>
      </c>
      <c r="T32" s="39">
        <f t="shared" si="19"/>
        <v>12</v>
      </c>
      <c r="U32" s="47">
        <f t="shared" si="20"/>
        <v>1.2363192598667476</v>
      </c>
      <c r="V32" s="48">
        <f t="shared" si="21"/>
        <v>0</v>
      </c>
      <c r="W32" s="49">
        <f t="shared" si="22"/>
        <v>0.10302660498889564</v>
      </c>
      <c r="X32" s="44">
        <f t="shared" si="23"/>
        <v>27692.505700974503</v>
      </c>
      <c r="Y32" s="44">
        <f t="shared" si="24"/>
        <v>0</v>
      </c>
      <c r="Z32" s="44">
        <f t="shared" si="25"/>
        <v>61781.077154622079</v>
      </c>
      <c r="AA32" s="50">
        <f t="shared" si="26"/>
        <v>32831.705700974489</v>
      </c>
      <c r="AB32" s="51">
        <f t="shared" si="27"/>
        <v>57755.51757934194</v>
      </c>
      <c r="AC32" s="44">
        <f t="shared" si="28"/>
        <v>30692.442461413935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8.6279755452712409E-2</v>
      </c>
      <c r="AG32" s="44">
        <f t="shared" si="31"/>
        <v>8868.1783844515921</v>
      </c>
      <c r="AH32" s="52">
        <f>HLOOKUP(I32,ElecAvoidedCostsWOCC!$A$5:$Q$50,T32+1,FALSE)</f>
        <v>0.91115730059915656</v>
      </c>
      <c r="AI32" s="44">
        <f t="shared" si="32"/>
        <v>10642.317270998148</v>
      </c>
      <c r="AJ32" s="44">
        <f t="shared" si="33"/>
        <v>19510.49565544974</v>
      </c>
      <c r="AK32" s="44">
        <f>HLOOKUP(I32,ElecAvoidedCostsWOCC!$A$5:$Q$50,G32+1,FALSE)*J32*L32</f>
        <v>1007.7475436876809</v>
      </c>
      <c r="AL32" s="44">
        <f t="shared" si="34"/>
        <v>18502.748111762059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18502.748111762059</v>
      </c>
      <c r="AN32" s="48">
        <f t="shared" si="35"/>
        <v>20353.022922938268</v>
      </c>
      <c r="AO32" s="47">
        <f t="shared" si="36"/>
        <v>0.32036329838692579</v>
      </c>
      <c r="AP32" s="47">
        <f t="shared" si="37"/>
        <v>0.66312816089908044</v>
      </c>
      <c r="AQ32">
        <v>2020</v>
      </c>
    </row>
    <row r="33" spans="2:43">
      <c r="B33" s="97" t="s">
        <v>15</v>
      </c>
      <c r="C33" s="61">
        <v>18230625</v>
      </c>
      <c r="D33" s="61" t="s">
        <v>78</v>
      </c>
      <c r="E33" s="38" t="s">
        <v>2431</v>
      </c>
      <c r="F33" s="39" t="s">
        <v>2432</v>
      </c>
      <c r="G33" s="39">
        <v>1</v>
      </c>
      <c r="H33" s="39">
        <v>11</v>
      </c>
      <c r="I33" s="40" t="s">
        <v>248</v>
      </c>
      <c r="J33" s="41">
        <v>1605</v>
      </c>
      <c r="K33" s="41">
        <v>37</v>
      </c>
      <c r="L33" s="41">
        <v>5</v>
      </c>
      <c r="M33" s="42">
        <v>2.8</v>
      </c>
      <c r="N33" s="42">
        <v>2.8</v>
      </c>
      <c r="O33" s="43">
        <v>59385</v>
      </c>
      <c r="P33" s="44">
        <v>4494</v>
      </c>
      <c r="Q33" s="44">
        <v>4494</v>
      </c>
      <c r="R33" s="45">
        <v>0</v>
      </c>
      <c r="S33" s="46">
        <v>0</v>
      </c>
      <c r="T33" s="39">
        <f t="shared" si="19"/>
        <v>12</v>
      </c>
      <c r="U33" s="47">
        <f t="shared" si="20"/>
        <v>0.71430202412035737</v>
      </c>
      <c r="V33" s="48">
        <f t="shared" si="21"/>
        <v>0</v>
      </c>
      <c r="W33" s="49">
        <f t="shared" si="22"/>
        <v>5.9525168676696445E-2</v>
      </c>
      <c r="X33" s="44">
        <f t="shared" si="23"/>
        <v>15999.761159833932</v>
      </c>
      <c r="Y33" s="44">
        <f t="shared" si="24"/>
        <v>0</v>
      </c>
      <c r="Z33" s="44">
        <f t="shared" si="25"/>
        <v>35694.945388652246</v>
      </c>
      <c r="AA33" s="50">
        <f t="shared" si="26"/>
        <v>20493.761159833932</v>
      </c>
      <c r="AB33" s="51">
        <f t="shared" si="27"/>
        <v>33369.117872910392</v>
      </c>
      <c r="AC33" s="44">
        <f t="shared" si="28"/>
        <v>19158.419332367888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8.6279755452712409E-2</v>
      </c>
      <c r="AG33" s="44">
        <f t="shared" si="31"/>
        <v>5123.7232775593257</v>
      </c>
      <c r="AH33" s="52">
        <f>HLOOKUP(I33,ElecAvoidedCostsWOCC!$A$5:$Q$50,T33+1,FALSE)</f>
        <v>0.91115730059915656</v>
      </c>
      <c r="AI33" s="44">
        <f t="shared" si="32"/>
        <v>7312.0373373082311</v>
      </c>
      <c r="AJ33" s="44">
        <f t="shared" si="33"/>
        <v>12435.760614867557</v>
      </c>
      <c r="AK33" s="44">
        <f>HLOOKUP(I33,ElecAvoidedCostsWOCC!$A$5:$Q$50,G33+1,FALSE)*J33*L33</f>
        <v>692.39503750801703</v>
      </c>
      <c r="AL33" s="44">
        <f t="shared" si="34"/>
        <v>11743.36557735954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11743.365577359542</v>
      </c>
      <c r="AN33" s="48">
        <f t="shared" si="35"/>
        <v>12917.702135095496</v>
      </c>
      <c r="AO33" s="47">
        <f t="shared" si="36"/>
        <v>0.35192316506793253</v>
      </c>
      <c r="AP33" s="47">
        <f t="shared" si="37"/>
        <v>0.67425719789268912</v>
      </c>
      <c r="AQ33">
        <v>2020</v>
      </c>
    </row>
    <row r="34" spans="2:43">
      <c r="B34" s="97" t="s">
        <v>15</v>
      </c>
      <c r="C34" s="61">
        <v>18230625</v>
      </c>
      <c r="D34" s="61" t="s">
        <v>78</v>
      </c>
      <c r="E34" s="38" t="s">
        <v>2433</v>
      </c>
      <c r="F34" s="39" t="s">
        <v>2434</v>
      </c>
      <c r="G34" s="39">
        <v>1</v>
      </c>
      <c r="H34" s="39">
        <v>11</v>
      </c>
      <c r="I34" s="40" t="s">
        <v>248</v>
      </c>
      <c r="J34" s="41">
        <v>103</v>
      </c>
      <c r="K34" s="41">
        <v>40</v>
      </c>
      <c r="L34" s="41">
        <v>5</v>
      </c>
      <c r="M34" s="42">
        <v>2.75</v>
      </c>
      <c r="N34" s="42">
        <v>2.75</v>
      </c>
      <c r="O34" s="43">
        <v>4120</v>
      </c>
      <c r="P34" s="44">
        <v>283.25</v>
      </c>
      <c r="Q34" s="44">
        <v>283.25</v>
      </c>
      <c r="R34" s="45">
        <v>0</v>
      </c>
      <c r="S34" s="46">
        <v>0</v>
      </c>
      <c r="T34" s="39">
        <f t="shared" si="19"/>
        <v>12</v>
      </c>
      <c r="U34" s="47">
        <f t="shared" si="20"/>
        <v>4.9556695114521716E-2</v>
      </c>
      <c r="V34" s="48">
        <f t="shared" si="21"/>
        <v>0</v>
      </c>
      <c r="W34" s="49">
        <f t="shared" si="22"/>
        <v>4.1297245928768097E-3</v>
      </c>
      <c r="X34" s="44">
        <f t="shared" si="23"/>
        <v>1110.0280538606685</v>
      </c>
      <c r="Y34" s="44">
        <f t="shared" si="24"/>
        <v>0</v>
      </c>
      <c r="Z34" s="44">
        <f t="shared" si="25"/>
        <v>2476.4363896816913</v>
      </c>
      <c r="AA34" s="50">
        <f t="shared" si="26"/>
        <v>1393.2780538606685</v>
      </c>
      <c r="AB34" s="51">
        <f t="shared" si="27"/>
        <v>2315.0756190349548</v>
      </c>
      <c r="AC34" s="44">
        <f t="shared" si="28"/>
        <v>1302.494207591538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8.6279755452712409E-2</v>
      </c>
      <c r="AG34" s="44">
        <f t="shared" si="31"/>
        <v>355.47259246517513</v>
      </c>
      <c r="AH34" s="52">
        <f>HLOOKUP(I34,ElecAvoidedCostsWOCC!$A$5:$Q$50,T34+1,FALSE)</f>
        <v>0.91115730059915656</v>
      </c>
      <c r="AI34" s="44">
        <f t="shared" si="32"/>
        <v>469.24600980856559</v>
      </c>
      <c r="AJ34" s="44">
        <f t="shared" si="33"/>
        <v>824.71860227374077</v>
      </c>
      <c r="AK34" s="44">
        <f>HLOOKUP(I34,ElecAvoidedCostsWOCC!$A$5:$Q$50,G34+1,FALSE)*J34*L34</f>
        <v>44.434074058146891</v>
      </c>
      <c r="AL34" s="44">
        <f t="shared" si="34"/>
        <v>780.28452821559392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780.28452821559392</v>
      </c>
      <c r="AN34" s="48">
        <f t="shared" si="35"/>
        <v>858.31298103715335</v>
      </c>
      <c r="AO34" s="47">
        <f t="shared" si="36"/>
        <v>0.33704494220402942</v>
      </c>
      <c r="AP34" s="47">
        <f t="shared" si="37"/>
        <v>0.65897642848199145</v>
      </c>
      <c r="AQ34">
        <v>2020</v>
      </c>
    </row>
    <row r="35" spans="2:43">
      <c r="B35" s="97" t="s">
        <v>15</v>
      </c>
      <c r="C35" s="61">
        <v>18230625</v>
      </c>
      <c r="D35" s="61" t="s">
        <v>78</v>
      </c>
      <c r="E35" s="38" t="s">
        <v>2435</v>
      </c>
      <c r="F35" s="39" t="s">
        <v>2436</v>
      </c>
      <c r="G35" s="39">
        <v>1</v>
      </c>
      <c r="H35" s="39">
        <v>11</v>
      </c>
      <c r="I35" s="40" t="s">
        <v>248</v>
      </c>
      <c r="J35" s="41">
        <v>2108</v>
      </c>
      <c r="K35" s="41">
        <v>75</v>
      </c>
      <c r="L35" s="41">
        <v>7</v>
      </c>
      <c r="M35" s="42">
        <v>3.1</v>
      </c>
      <c r="N35" s="42">
        <v>3.1</v>
      </c>
      <c r="O35" s="43">
        <v>158100</v>
      </c>
      <c r="P35" s="44">
        <v>6534.8</v>
      </c>
      <c r="Q35" s="44">
        <v>6534.8</v>
      </c>
      <c r="R35" s="45">
        <v>0</v>
      </c>
      <c r="S35" s="46">
        <v>0</v>
      </c>
      <c r="T35" s="39">
        <f t="shared" si="19"/>
        <v>12</v>
      </c>
      <c r="U35" s="47">
        <f t="shared" si="20"/>
        <v>1.9016780333994863</v>
      </c>
      <c r="V35" s="48">
        <f t="shared" si="21"/>
        <v>0</v>
      </c>
      <c r="W35" s="49">
        <f t="shared" si="22"/>
        <v>0.15847316944995718</v>
      </c>
      <c r="X35" s="44">
        <f t="shared" si="23"/>
        <v>42595.979445478559</v>
      </c>
      <c r="Y35" s="44">
        <f t="shared" si="24"/>
        <v>0</v>
      </c>
      <c r="Z35" s="44">
        <f t="shared" si="25"/>
        <v>95030.241070066841</v>
      </c>
      <c r="AA35" s="50">
        <f t="shared" si="26"/>
        <v>49130.779445478562</v>
      </c>
      <c r="AB35" s="51">
        <f t="shared" si="27"/>
        <v>88838.217322676297</v>
      </c>
      <c r="AC35" s="44">
        <f t="shared" si="28"/>
        <v>45929.49373233482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8.6279755452712409E-2</v>
      </c>
      <c r="AG35" s="44">
        <f t="shared" si="31"/>
        <v>13640.829337073832</v>
      </c>
      <c r="AH35" s="52">
        <f>HLOOKUP(I35,ElecAvoidedCostsWOCC!$A$5:$Q$50,T35+1,FALSE)</f>
        <v>0.91115730059915656</v>
      </c>
      <c r="AI35" s="44">
        <f t="shared" si="32"/>
        <v>13445.037127641155</v>
      </c>
      <c r="AJ35" s="44">
        <f t="shared" si="33"/>
        <v>27085.866464714985</v>
      </c>
      <c r="AK35" s="44">
        <f>HLOOKUP(I35,ElecAvoidedCostsWOCC!$A$5:$Q$50,G35+1,FALSE)*J35*L35</f>
        <v>1273.1440714602243</v>
      </c>
      <c r="AL35" s="44">
        <f t="shared" si="34"/>
        <v>25812.72239325476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25812.72239325476</v>
      </c>
      <c r="AN35" s="48">
        <f t="shared" si="35"/>
        <v>28393.994632580238</v>
      </c>
      <c r="AO35" s="47">
        <f t="shared" si="36"/>
        <v>0.29055876143370074</v>
      </c>
      <c r="AP35" s="47">
        <f t="shared" si="37"/>
        <v>0.61820830854468101</v>
      </c>
      <c r="AQ35">
        <v>2020</v>
      </c>
    </row>
    <row r="36" spans="2:43">
      <c r="B36" s="97" t="s">
        <v>15</v>
      </c>
      <c r="C36" s="61">
        <v>18230625</v>
      </c>
      <c r="D36" s="61" t="s">
        <v>78</v>
      </c>
      <c r="E36" s="38" t="s">
        <v>2342</v>
      </c>
      <c r="F36" s="39" t="s">
        <v>2343</v>
      </c>
      <c r="G36" s="39">
        <v>1</v>
      </c>
      <c r="H36" s="39"/>
      <c r="I36" s="40" t="s">
        <v>269</v>
      </c>
      <c r="J36" s="41">
        <v>364</v>
      </c>
      <c r="K36" s="41">
        <v>0</v>
      </c>
      <c r="L36" s="41"/>
      <c r="M36" s="42">
        <v>139</v>
      </c>
      <c r="N36" s="42">
        <v>139</v>
      </c>
      <c r="O36" s="43">
        <v>0</v>
      </c>
      <c r="P36" s="44">
        <v>50596</v>
      </c>
      <c r="Q36" s="44">
        <v>50596</v>
      </c>
      <c r="R36" s="45">
        <v>0</v>
      </c>
      <c r="S36" s="46">
        <v>0</v>
      </c>
      <c r="T36" s="39">
        <f t="shared" si="19"/>
        <v>1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50596</v>
      </c>
      <c r="AB36" s="51">
        <f t="shared" si="27"/>
        <v>0</v>
      </c>
      <c r="AC36" s="44">
        <f t="shared" si="28"/>
        <v>47299.242778349064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0.11346597036450218</v>
      </c>
      <c r="AG36" s="44">
        <f t="shared" si="31"/>
        <v>0</v>
      </c>
      <c r="AH36" s="52">
        <f>HLOOKUP(I36,ElecAvoidedCostsWOCC!$A$5:$Q$50,T36+1,FALSE)</f>
        <v>0.11346597036450218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>
        <f t="shared" si="37"/>
        <v>0</v>
      </c>
      <c r="AQ36">
        <v>2020</v>
      </c>
    </row>
    <row r="37" spans="2:43">
      <c r="B37" s="97" t="s">
        <v>15</v>
      </c>
      <c r="C37" s="61">
        <v>18230625</v>
      </c>
      <c r="D37" s="61" t="s">
        <v>78</v>
      </c>
      <c r="E37" s="38" t="s">
        <v>2344</v>
      </c>
      <c r="F37" s="39" t="s">
        <v>2345</v>
      </c>
      <c r="G37" s="39">
        <v>1</v>
      </c>
      <c r="H37" s="39"/>
      <c r="I37" s="40" t="s">
        <v>269</v>
      </c>
      <c r="J37" s="41">
        <v>566</v>
      </c>
      <c r="K37" s="41">
        <v>0</v>
      </c>
      <c r="L37" s="41"/>
      <c r="M37" s="42">
        <v>139</v>
      </c>
      <c r="N37" s="42">
        <v>139</v>
      </c>
      <c r="O37" s="43">
        <v>0</v>
      </c>
      <c r="P37" s="44">
        <v>78674</v>
      </c>
      <c r="Q37" s="44">
        <v>78674</v>
      </c>
      <c r="R37" s="45">
        <v>0</v>
      </c>
      <c r="S37" s="46">
        <v>0</v>
      </c>
      <c r="T37" s="39">
        <f t="shared" si="19"/>
        <v>1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78674</v>
      </c>
      <c r="AB37" s="51">
        <f t="shared" si="27"/>
        <v>0</v>
      </c>
      <c r="AC37" s="44">
        <f t="shared" si="28"/>
        <v>73547.723660839474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0.11346597036450218</v>
      </c>
      <c r="AG37" s="44">
        <f t="shared" si="31"/>
        <v>0</v>
      </c>
      <c r="AH37" s="52">
        <f>HLOOKUP(I37,ElecAvoidedCostsWOCC!$A$5:$Q$50,T37+1,FALSE)</f>
        <v>0.11346597036450218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18230625</v>
      </c>
      <c r="D38" s="61" t="s">
        <v>78</v>
      </c>
      <c r="E38" s="38" t="s">
        <v>2346</v>
      </c>
      <c r="F38" s="39" t="s">
        <v>2345</v>
      </c>
      <c r="G38" s="39">
        <v>1</v>
      </c>
      <c r="H38" s="39"/>
      <c r="I38" s="40" t="s">
        <v>269</v>
      </c>
      <c r="J38" s="41">
        <v>1451</v>
      </c>
      <c r="K38" s="41">
        <v>0</v>
      </c>
      <c r="L38" s="41"/>
      <c r="M38" s="42">
        <v>120</v>
      </c>
      <c r="N38" s="42">
        <v>120</v>
      </c>
      <c r="O38" s="43">
        <v>0</v>
      </c>
      <c r="P38" s="44">
        <v>87060</v>
      </c>
      <c r="Q38" s="44">
        <v>174120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87060</v>
      </c>
      <c r="Z38" s="44">
        <f t="shared" si="25"/>
        <v>0</v>
      </c>
      <c r="AA38" s="50">
        <f t="shared" si="26"/>
        <v>174120</v>
      </c>
      <c r="AB38" s="51">
        <f t="shared" si="27"/>
        <v>0</v>
      </c>
      <c r="AC38" s="44">
        <f t="shared" si="28"/>
        <v>162774.60970365521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0.11346597036450218</v>
      </c>
      <c r="AG38" s="44">
        <f t="shared" si="31"/>
        <v>0</v>
      </c>
      <c r="AH38" s="52">
        <f>HLOOKUP(I38,ElecAvoidedCostsWOCC!$A$5:$Q$50,T38+1,FALSE)</f>
        <v>0.11346597036450218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15</v>
      </c>
      <c r="C39" s="61">
        <v>18230625</v>
      </c>
      <c r="D39" s="61" t="s">
        <v>78</v>
      </c>
      <c r="E39" s="38" t="s">
        <v>2347</v>
      </c>
      <c r="F39" s="39" t="s">
        <v>2348</v>
      </c>
      <c r="G39" s="39">
        <v>1</v>
      </c>
      <c r="H39" s="39"/>
      <c r="I39" s="40" t="s">
        <v>269</v>
      </c>
      <c r="J39" s="41">
        <v>79</v>
      </c>
      <c r="K39" s="41">
        <v>0</v>
      </c>
      <c r="L39" s="41"/>
      <c r="M39" s="42">
        <v>139</v>
      </c>
      <c r="N39" s="42">
        <v>139</v>
      </c>
      <c r="O39" s="43">
        <v>0</v>
      </c>
      <c r="P39" s="44">
        <v>10981</v>
      </c>
      <c r="Q39" s="44">
        <v>10981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10981</v>
      </c>
      <c r="AB39" s="51">
        <f t="shared" si="27"/>
        <v>0</v>
      </c>
      <c r="AC39" s="44">
        <f t="shared" si="28"/>
        <v>10265.494998597736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0.11346597036450218</v>
      </c>
      <c r="AG39" s="44">
        <f t="shared" si="31"/>
        <v>0</v>
      </c>
      <c r="AH39" s="52">
        <f>HLOOKUP(I39,ElecAvoidedCostsWOCC!$A$5:$Q$50,T39+1,FALSE)</f>
        <v>0.11346597036450218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15</v>
      </c>
      <c r="C40" s="61">
        <v>18230625</v>
      </c>
      <c r="D40" s="61" t="s">
        <v>78</v>
      </c>
      <c r="E40" s="38" t="s">
        <v>2349</v>
      </c>
      <c r="F40" s="39" t="s">
        <v>2350</v>
      </c>
      <c r="G40" s="39">
        <v>1</v>
      </c>
      <c r="H40" s="39"/>
      <c r="I40" s="40" t="s">
        <v>269</v>
      </c>
      <c r="J40" s="41">
        <v>53</v>
      </c>
      <c r="K40" s="41">
        <v>0</v>
      </c>
      <c r="L40" s="41"/>
      <c r="M40" s="42">
        <v>139</v>
      </c>
      <c r="N40" s="42">
        <v>139</v>
      </c>
      <c r="O40" s="43">
        <v>0</v>
      </c>
      <c r="P40" s="44">
        <v>7367</v>
      </c>
      <c r="Q40" s="44">
        <v>7367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7367</v>
      </c>
      <c r="AB40" s="51">
        <f t="shared" si="27"/>
        <v>0</v>
      </c>
      <c r="AC40" s="44">
        <f t="shared" si="28"/>
        <v>6886.9776572870896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0.11346597036450218</v>
      </c>
      <c r="AG40" s="44">
        <f t="shared" si="31"/>
        <v>0</v>
      </c>
      <c r="AH40" s="52">
        <f>HLOOKUP(I40,ElecAvoidedCostsWOCC!$A$5:$Q$50,T40+1,FALSE)</f>
        <v>0.11346597036450218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15</v>
      </c>
      <c r="C41" s="61">
        <v>18230625</v>
      </c>
      <c r="D41" s="61" t="s">
        <v>78</v>
      </c>
      <c r="E41" s="38" t="s">
        <v>2351</v>
      </c>
      <c r="F41" s="39" t="s">
        <v>2350</v>
      </c>
      <c r="G41" s="39">
        <v>1</v>
      </c>
      <c r="H41" s="39"/>
      <c r="I41" s="40" t="s">
        <v>269</v>
      </c>
      <c r="J41" s="41">
        <v>134</v>
      </c>
      <c r="K41" s="41">
        <v>0</v>
      </c>
      <c r="L41" s="41"/>
      <c r="M41" s="42">
        <v>120</v>
      </c>
      <c r="N41" s="42">
        <v>120</v>
      </c>
      <c r="O41" s="43">
        <v>0</v>
      </c>
      <c r="P41" s="44">
        <v>8040</v>
      </c>
      <c r="Q41" s="44">
        <v>16080</v>
      </c>
      <c r="R41" s="45">
        <v>0</v>
      </c>
      <c r="S41" s="46">
        <v>0</v>
      </c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8040</v>
      </c>
      <c r="Z41" s="44">
        <f t="shared" si="25"/>
        <v>0</v>
      </c>
      <c r="AA41" s="50">
        <f t="shared" si="26"/>
        <v>16080</v>
      </c>
      <c r="AB41" s="51">
        <f t="shared" si="27"/>
        <v>0</v>
      </c>
      <c r="AC41" s="44">
        <f t="shared" si="28"/>
        <v>15032.252033280358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0.11346597036450218</v>
      </c>
      <c r="AG41" s="44">
        <f t="shared" si="31"/>
        <v>0</v>
      </c>
      <c r="AH41" s="52">
        <f>HLOOKUP(I41,ElecAvoidedCostsWOCC!$A$5:$Q$50,T41+1,FALSE)</f>
        <v>0.11346597036450218</v>
      </c>
      <c r="AI41" s="44">
        <f t="shared" si="32"/>
        <v>0</v>
      </c>
      <c r="AJ41" s="44">
        <f t="shared" si="33"/>
        <v>0</v>
      </c>
      <c r="AK41" s="44">
        <f>HLOOKUP(I41,ElecAvoidedCostsWOCC!$A$5:$Q$50,G41+1,FALSE)*J41*L41</f>
        <v>0</v>
      </c>
      <c r="AL41" s="44">
        <f t="shared" si="34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</sheetData>
  <conditionalFormatting sqref="J5:L72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72 R5:S72">
    <cfRule type="expression" dxfId="277" priority="2">
      <formula>ISTEXT(M5)</formula>
    </cfRule>
  </conditionalFormatting>
  <conditionalFormatting sqref="M5:N72 R5:S72">
    <cfRule type="notContainsBlanks" dxfId="276" priority="3">
      <formula>LEN(TRIM(M5))&gt;0</formula>
    </cfRule>
  </conditionalFormatting>
  <conditionalFormatting sqref="R5:S72">
    <cfRule type="expression" dxfId="27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18230751</v>
      </c>
      <c r="D2" s="20" t="s">
        <v>1820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18230751</v>
      </c>
      <c r="D5" s="61" t="s">
        <v>1820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15</v>
      </c>
      <c r="C6" s="61">
        <v>18230751</v>
      </c>
      <c r="D6" s="61" t="s">
        <v>159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  <c r="AQ6">
        <v>2020</v>
      </c>
    </row>
    <row r="7" spans="1:43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72507.95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72507.95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72507.95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6" sqref="D16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859</v>
      </c>
      <c r="F5" s="39" t="s">
        <v>860</v>
      </c>
      <c r="G5" s="39">
        <v>36</v>
      </c>
      <c r="H5" s="39"/>
      <c r="I5" s="40" t="s">
        <v>268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1.3394174760729243</v>
      </c>
      <c r="V5" s="48">
        <f t="shared" ref="V5:V24" si="2">N5-M5</f>
        <v>3854.04</v>
      </c>
      <c r="W5" s="49">
        <f t="shared" ref="W5:W24" si="3">(O5/A$10)</f>
        <v>3.7206041002025673E-2</v>
      </c>
      <c r="X5" s="44">
        <f t="shared" ref="X5:X24" si="4">W5*A$8</f>
        <v>2108.8692850088469</v>
      </c>
      <c r="Y5" s="44">
        <f t="shared" ref="Y5:Y24" si="5">Q5-P5</f>
        <v>11562.12</v>
      </c>
      <c r="Z5" s="44">
        <f t="shared" ref="Z5:Z24" si="6">X5+(A$6*W5)</f>
        <v>4424.9453373849447</v>
      </c>
      <c r="AA5" s="50">
        <f t="shared" ref="AA5:AA24" si="7">Q5+X5</f>
        <v>18170.989285008847</v>
      </c>
      <c r="AB5" s="51">
        <f t="shared" ref="AB5:AC20" si="8">Z5/(1+ElecDiscountRate)^1</f>
        <v>4136.6227329016956</v>
      </c>
      <c r="AC5" s="44">
        <f t="shared" si="8"/>
        <v>16986.995685714541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2.8113176164747409</v>
      </c>
      <c r="AP5" s="47">
        <f>AN5/AC5</f>
        <v>0.7635503520917073</v>
      </c>
      <c r="AQ5">
        <v>2021</v>
      </c>
    </row>
    <row r="6" spans="1:43" ht="13.5" customHeight="1">
      <c r="A6" s="53">
        <f>SUMIF('Program Costs'!D:D,C2,'Program Costs'!L:L)</f>
        <v>62250</v>
      </c>
      <c r="B6" s="97" t="s">
        <v>17</v>
      </c>
      <c r="C6" s="61">
        <v>18230405</v>
      </c>
      <c r="D6" s="61" t="s">
        <v>38</v>
      </c>
      <c r="E6" s="38" t="s">
        <v>861</v>
      </c>
      <c r="F6" s="39" t="s">
        <v>862</v>
      </c>
      <c r="G6" s="39">
        <v>33</v>
      </c>
      <c r="H6" s="39"/>
      <c r="I6" s="40" t="s">
        <v>268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2.5429562306035263</v>
      </c>
      <c r="V6" s="48">
        <f t="shared" si="2"/>
        <v>3999.9300000000003</v>
      </c>
      <c r="W6" s="49">
        <f t="shared" si="3"/>
        <v>7.7059279715258375E-2</v>
      </c>
      <c r="X6" s="44">
        <f t="shared" si="4"/>
        <v>4367.7839334630089</v>
      </c>
      <c r="Y6" s="44">
        <f t="shared" si="5"/>
        <v>7999.8600000000006</v>
      </c>
      <c r="Z6" s="44">
        <f t="shared" si="6"/>
        <v>9164.7240957378417</v>
      </c>
      <c r="AA6" s="50">
        <f t="shared" si="7"/>
        <v>16367.643933463009</v>
      </c>
      <c r="AB6" s="51">
        <f t="shared" si="8"/>
        <v>8567.5648272766575</v>
      </c>
      <c r="AC6" s="44">
        <f t="shared" si="8"/>
        <v>15301.153532264192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2.6105878825667559</v>
      </c>
      <c r="AP6" s="47">
        <f t="shared" ref="AP6:AP24" si="16">AN6/AC6</f>
        <v>1.649042122114541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863</v>
      </c>
      <c r="F7" s="39" t="s">
        <v>862</v>
      </c>
      <c r="G7" s="39">
        <v>36</v>
      </c>
      <c r="H7" s="39"/>
      <c r="I7" s="40" t="s">
        <v>268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14.034715576765061</v>
      </c>
      <c r="V7" s="48">
        <f t="shared" si="2"/>
        <v>3477</v>
      </c>
      <c r="W7" s="49">
        <f t="shared" si="3"/>
        <v>0.38985321046569615</v>
      </c>
      <c r="X7" s="44">
        <f t="shared" si="4"/>
        <v>22097.203547360346</v>
      </c>
      <c r="Y7" s="44">
        <f t="shared" si="5"/>
        <v>27816</v>
      </c>
      <c r="Z7" s="44">
        <f t="shared" si="6"/>
        <v>46365.565898849934</v>
      </c>
      <c r="AA7" s="50">
        <f t="shared" si="7"/>
        <v>65913.203547360346</v>
      </c>
      <c r="AB7" s="51">
        <f t="shared" si="8"/>
        <v>43344.457229924214</v>
      </c>
      <c r="AC7" s="44">
        <f t="shared" si="8"/>
        <v>61618.400997812787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2.81131761647474</v>
      </c>
      <c r="AP7" s="47">
        <f t="shared" si="16"/>
        <v>2.1909546573008467</v>
      </c>
      <c r="AQ7">
        <v>2021</v>
      </c>
    </row>
    <row r="8" spans="1:43" ht="13.5" customHeight="1">
      <c r="A8" s="53">
        <f>SUMIF('Program Costs'!D:D,C2,'Program Costs'!O:O)</f>
        <v>56680.83</v>
      </c>
      <c r="B8" s="97" t="s">
        <v>17</v>
      </c>
      <c r="C8" s="61">
        <v>18230405</v>
      </c>
      <c r="D8" s="61" t="s">
        <v>38</v>
      </c>
      <c r="E8" s="38" t="s">
        <v>864</v>
      </c>
      <c r="F8" s="39" t="s">
        <v>865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2.0910602115611354</v>
      </c>
      <c r="V8" s="48">
        <f t="shared" si="2"/>
        <v>1465</v>
      </c>
      <c r="W8" s="49">
        <f t="shared" si="3"/>
        <v>7.7446674502264279E-2</v>
      </c>
      <c r="X8" s="44">
        <f t="shared" si="4"/>
        <v>4389.7417915281767</v>
      </c>
      <c r="Y8" s="44">
        <f t="shared" si="5"/>
        <v>10717.02</v>
      </c>
      <c r="Z8" s="44">
        <f t="shared" si="6"/>
        <v>9210.7972792941291</v>
      </c>
      <c r="AA8" s="50">
        <f t="shared" si="7"/>
        <v>20356.761791528177</v>
      </c>
      <c r="AB8" s="51">
        <f t="shared" si="8"/>
        <v>8610.6359533459181</v>
      </c>
      <c r="AC8" s="44">
        <f t="shared" si="8"/>
        <v>19030.346631324835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1.8591745830668585</v>
      </c>
      <c r="AP8" s="47">
        <f t="shared" si="16"/>
        <v>0.96349883616329357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18230405</v>
      </c>
      <c r="D9" s="61" t="s">
        <v>38</v>
      </c>
      <c r="E9" s="38" t="s">
        <v>866</v>
      </c>
      <c r="F9" s="39" t="s">
        <v>867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1.1830310429934769</v>
      </c>
      <c r="V9" s="48">
        <f t="shared" si="2"/>
        <v>2773</v>
      </c>
      <c r="W9" s="49">
        <f t="shared" si="3"/>
        <v>4.381596455531396E-2</v>
      </c>
      <c r="X9" s="44">
        <f t="shared" si="4"/>
        <v>2483.5252382457761</v>
      </c>
      <c r="Y9" s="44">
        <f t="shared" si="5"/>
        <v>2773</v>
      </c>
      <c r="Z9" s="44">
        <f t="shared" si="6"/>
        <v>5211.0690318140696</v>
      </c>
      <c r="AA9" s="50">
        <f t="shared" si="7"/>
        <v>6256.5252382457766</v>
      </c>
      <c r="AB9" s="51">
        <f t="shared" si="8"/>
        <v>4871.5238214584178</v>
      </c>
      <c r="AC9" s="44">
        <f t="shared" si="8"/>
        <v>5848.8597160379322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1.8591745830668589</v>
      </c>
      <c r="AP9" s="47">
        <f t="shared" si="16"/>
        <v>1.7341064026967077</v>
      </c>
      <c r="AQ9">
        <v>2021</v>
      </c>
    </row>
    <row r="10" spans="1:43" ht="13.5" customHeight="1">
      <c r="A10" s="54">
        <f>SUM(O5:O999)</f>
        <v>123904.61</v>
      </c>
      <c r="B10" s="97" t="s">
        <v>17</v>
      </c>
      <c r="C10" s="61">
        <v>18230405</v>
      </c>
      <c r="D10" s="61" t="s">
        <v>38</v>
      </c>
      <c r="E10" s="38" t="s">
        <v>868</v>
      </c>
      <c r="F10" s="39" t="s">
        <v>869</v>
      </c>
      <c r="G10" s="39">
        <v>36</v>
      </c>
      <c r="H10" s="39"/>
      <c r="I10" s="40" t="s">
        <v>268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0.62699846276906079</v>
      </c>
      <c r="V10" s="48">
        <f t="shared" si="2"/>
        <v>3164</v>
      </c>
      <c r="W10" s="49">
        <f t="shared" si="3"/>
        <v>1.7416623965807246E-2</v>
      </c>
      <c r="X10" s="44">
        <f t="shared" si="4"/>
        <v>987.18870217984636</v>
      </c>
      <c r="Y10" s="44">
        <f t="shared" si="5"/>
        <v>3164</v>
      </c>
      <c r="Z10" s="44">
        <f t="shared" si="6"/>
        <v>2071.3735440513474</v>
      </c>
      <c r="AA10" s="50">
        <f t="shared" si="7"/>
        <v>5151.1887021798466</v>
      </c>
      <c r="AB10" s="51">
        <f t="shared" si="8"/>
        <v>1936.4060428637442</v>
      </c>
      <c r="AC10" s="44">
        <f t="shared" si="8"/>
        <v>4815.5452016264808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2.8113176164747404</v>
      </c>
      <c r="AP10" s="47">
        <f t="shared" si="16"/>
        <v>1.2526205494501321</v>
      </c>
      <c r="AQ10">
        <v>2021</v>
      </c>
    </row>
    <row r="11" spans="1:43" ht="13.5" customHeight="1">
      <c r="A11" s="36" t="s">
        <v>251</v>
      </c>
      <c r="B11" s="97" t="s">
        <v>17</v>
      </c>
      <c r="C11" s="100">
        <v>18230405</v>
      </c>
      <c r="D11" s="100" t="s">
        <v>38</v>
      </c>
      <c r="E11" s="38" t="s">
        <v>2011</v>
      </c>
      <c r="F11" s="39" t="s">
        <v>860</v>
      </c>
      <c r="G11" s="39">
        <v>36</v>
      </c>
      <c r="H11" s="39"/>
      <c r="I11" s="40" t="s">
        <v>268</v>
      </c>
      <c r="J11" s="41">
        <v>3</v>
      </c>
      <c r="K11" s="41">
        <v>2883</v>
      </c>
      <c r="L11" s="41"/>
      <c r="M11" s="42">
        <v>1500</v>
      </c>
      <c r="N11" s="42">
        <v>5354.04</v>
      </c>
      <c r="O11" s="43">
        <v>8649</v>
      </c>
      <c r="P11" s="44">
        <v>4500</v>
      </c>
      <c r="Q11" s="44">
        <v>16062.12</v>
      </c>
      <c r="R11" s="45">
        <v>24.59</v>
      </c>
      <c r="S11" s="46">
        <v>0</v>
      </c>
      <c r="T11" s="39">
        <f t="shared" si="0"/>
        <v>36</v>
      </c>
      <c r="U11" s="47">
        <f t="shared" si="1"/>
        <v>2.5129331346105683</v>
      </c>
      <c r="V11" s="48">
        <f t="shared" si="2"/>
        <v>3854.04</v>
      </c>
      <c r="W11" s="49">
        <f t="shared" si="3"/>
        <v>6.9803698183626903E-2</v>
      </c>
      <c r="X11" s="44">
        <f t="shared" si="4"/>
        <v>3956.5315501174655</v>
      </c>
      <c r="Y11" s="44">
        <f t="shared" si="5"/>
        <v>11562.12</v>
      </c>
      <c r="Z11" s="44">
        <f t="shared" si="6"/>
        <v>8301.8117620482408</v>
      </c>
      <c r="AA11" s="50">
        <f t="shared" si="7"/>
        <v>20018.651550117465</v>
      </c>
      <c r="AB11" s="51">
        <f t="shared" si="8"/>
        <v>7760.8785286045058</v>
      </c>
      <c r="AC11" s="44">
        <f t="shared" si="8"/>
        <v>18714.267131081109</v>
      </c>
      <c r="AD11" s="44">
        <f t="shared" si="9"/>
        <v>964.80619295872589</v>
      </c>
      <c r="AE11" s="44">
        <f t="shared" si="17"/>
        <v>0</v>
      </c>
      <c r="AF11" s="52">
        <f>HLOOKUP(I11,ElecAvoidedCostsWOCC!$A$5:$Q$50,G11+1,FALSE)</f>
        <v>2.5226378224981394</v>
      </c>
      <c r="AG11" s="44">
        <f t="shared" si="10"/>
        <v>21818.294526786409</v>
      </c>
      <c r="AH11" s="52">
        <f>HLOOKUP(I11,ElecAvoidedCostsWOCC!$A$5:$Q$50,T11+1,FALSE)</f>
        <v>2.5226378224981394</v>
      </c>
      <c r="AI11" s="44">
        <f t="shared" si="11"/>
        <v>0</v>
      </c>
      <c r="AJ11" s="44">
        <f t="shared" si="12"/>
        <v>21818.294526786409</v>
      </c>
      <c r="AK11" s="44">
        <f>HLOOKUP(I11,ElecAvoidedCostsWOCC!$A$5:$Q$50,G11+1,FALSE)*J11*L11</f>
        <v>0</v>
      </c>
      <c r="AL11" s="44">
        <f t="shared" si="13"/>
        <v>21818.294526786409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21818.294526786409</v>
      </c>
      <c r="AN11" s="48">
        <f t="shared" si="14"/>
        <v>24964.930172423778</v>
      </c>
      <c r="AO11" s="47">
        <f t="shared" si="15"/>
        <v>2.8113176164747404</v>
      </c>
      <c r="AP11" s="47">
        <f t="shared" si="16"/>
        <v>1.3340052270046641</v>
      </c>
      <c r="AQ11">
        <v>2020</v>
      </c>
    </row>
    <row r="12" spans="1:43" ht="13.5" customHeight="1">
      <c r="A12" s="55">
        <f>SUM(P5:P1000)</f>
        <v>56250</v>
      </c>
      <c r="B12" s="97" t="s">
        <v>17</v>
      </c>
      <c r="C12" s="100">
        <v>18230405</v>
      </c>
      <c r="D12" s="100" t="s">
        <v>38</v>
      </c>
      <c r="E12" s="38" t="s">
        <v>861</v>
      </c>
      <c r="F12" s="39" t="s">
        <v>862</v>
      </c>
      <c r="G12" s="39">
        <v>33</v>
      </c>
      <c r="H12" s="39"/>
      <c r="I12" s="40" t="s">
        <v>268</v>
      </c>
      <c r="J12" s="41">
        <v>7</v>
      </c>
      <c r="K12" s="41">
        <v>4774</v>
      </c>
      <c r="L12" s="41"/>
      <c r="M12" s="42">
        <v>2000</v>
      </c>
      <c r="N12" s="42">
        <v>5999.93</v>
      </c>
      <c r="O12" s="43">
        <v>33418</v>
      </c>
      <c r="P12" s="44">
        <v>14000</v>
      </c>
      <c r="Q12" s="44">
        <v>41999.51</v>
      </c>
      <c r="R12" s="45">
        <v>24.59</v>
      </c>
      <c r="S12" s="46">
        <v>0</v>
      </c>
      <c r="T12" s="39">
        <f t="shared" si="0"/>
        <v>33</v>
      </c>
      <c r="U12" s="47">
        <f t="shared" si="1"/>
        <v>8.9003468071123422</v>
      </c>
      <c r="V12" s="48">
        <f t="shared" si="2"/>
        <v>3999.9300000000003</v>
      </c>
      <c r="W12" s="49">
        <f t="shared" si="3"/>
        <v>0.2697074790034043</v>
      </c>
      <c r="X12" s="44">
        <f t="shared" si="4"/>
        <v>15287.24376712053</v>
      </c>
      <c r="Y12" s="44">
        <f t="shared" si="5"/>
        <v>27999.510000000002</v>
      </c>
      <c r="Z12" s="44">
        <f t="shared" si="6"/>
        <v>32076.534335082448</v>
      </c>
      <c r="AA12" s="50">
        <f t="shared" si="7"/>
        <v>57286.753767120535</v>
      </c>
      <c r="AB12" s="51">
        <f t="shared" si="8"/>
        <v>29986.476895468306</v>
      </c>
      <c r="AC12" s="44">
        <f t="shared" si="8"/>
        <v>53554.037362924682</v>
      </c>
      <c r="AD12" s="44">
        <f t="shared" si="9"/>
        <v>2202.2968741634209</v>
      </c>
      <c r="AE12" s="44">
        <f t="shared" si="17"/>
        <v>0</v>
      </c>
      <c r="AF12" s="52">
        <f>HLOOKUP(I12,ElecAvoidedCostsWOCC!$A$5:$Q$50,G12+1,FALSE)</f>
        <v>2.3425199959356497</v>
      </c>
      <c r="AG12" s="44">
        <f t="shared" si="10"/>
        <v>78282.33322417755</v>
      </c>
      <c r="AH12" s="52">
        <f>HLOOKUP(I12,ElecAvoidedCostsWOCC!$A$5:$Q$50,T12+1,FALSE)</f>
        <v>2.3425199959356497</v>
      </c>
      <c r="AI12" s="44">
        <f t="shared" si="11"/>
        <v>0</v>
      </c>
      <c r="AJ12" s="44">
        <f t="shared" si="12"/>
        <v>78282.33322417755</v>
      </c>
      <c r="AK12" s="44">
        <f>HLOOKUP(I12,ElecAvoidedCostsWOCC!$A$5:$Q$50,G12+1,FALSE)*J12*L12</f>
        <v>0</v>
      </c>
      <c r="AL12" s="44">
        <f t="shared" si="13"/>
        <v>78282.33322417755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78282.33322417755</v>
      </c>
      <c r="AN12" s="48">
        <f t="shared" si="14"/>
        <v>88312.863420758731</v>
      </c>
      <c r="AO12" s="47">
        <f t="shared" si="15"/>
        <v>2.6105878825667559</v>
      </c>
      <c r="AP12" s="47">
        <f t="shared" si="16"/>
        <v>1.6490421221145408</v>
      </c>
      <c r="AQ12">
        <v>2020</v>
      </c>
    </row>
    <row r="13" spans="1:43" ht="13.5" customHeight="1">
      <c r="A13" s="56" t="s">
        <v>252</v>
      </c>
      <c r="B13" s="97" t="s">
        <v>17</v>
      </c>
      <c r="C13" s="100">
        <v>18230405</v>
      </c>
      <c r="D13" s="100" t="s">
        <v>38</v>
      </c>
      <c r="E13" s="38" t="s">
        <v>2012</v>
      </c>
      <c r="F13" s="39" t="s">
        <v>865</v>
      </c>
      <c r="G13" s="39">
        <v>36</v>
      </c>
      <c r="H13" s="39"/>
      <c r="I13" s="40" t="s">
        <v>248</v>
      </c>
      <c r="J13" s="41">
        <v>8</v>
      </c>
      <c r="K13" s="41">
        <v>274</v>
      </c>
      <c r="L13" s="41"/>
      <c r="M13" s="42">
        <v>750</v>
      </c>
      <c r="N13" s="42">
        <v>2155</v>
      </c>
      <c r="O13" s="43">
        <v>2192</v>
      </c>
      <c r="P13" s="44">
        <v>6000</v>
      </c>
      <c r="Q13" s="44">
        <v>17240</v>
      </c>
      <c r="R13" s="45">
        <v>24.59</v>
      </c>
      <c r="S13" s="46">
        <v>0</v>
      </c>
      <c r="T13" s="39">
        <f t="shared" si="0"/>
        <v>36</v>
      </c>
      <c r="U13" s="47">
        <f t="shared" si="1"/>
        <v>0.63687702983771144</v>
      </c>
      <c r="V13" s="48">
        <f t="shared" si="2"/>
        <v>1405</v>
      </c>
      <c r="W13" s="49">
        <f t="shared" si="3"/>
        <v>1.7691028606603095E-2</v>
      </c>
      <c r="X13" s="44">
        <f t="shared" si="4"/>
        <v>1002.7421849760069</v>
      </c>
      <c r="Y13" s="44">
        <f t="shared" si="5"/>
        <v>11240</v>
      </c>
      <c r="Z13" s="44">
        <f t="shared" si="6"/>
        <v>2104.0087157370499</v>
      </c>
      <c r="AA13" s="50">
        <f t="shared" si="7"/>
        <v>18242.742184976007</v>
      </c>
      <c r="AB13" s="51">
        <f t="shared" si="8"/>
        <v>1966.9147571628023</v>
      </c>
      <c r="AC13" s="44">
        <f t="shared" si="8"/>
        <v>17054.073277532025</v>
      </c>
      <c r="AD13" s="44">
        <f t="shared" si="9"/>
        <v>2572.8165145566022</v>
      </c>
      <c r="AE13" s="44">
        <f t="shared" si="17"/>
        <v>0</v>
      </c>
      <c r="AF13" s="52">
        <f>HLOOKUP(I13,ElecAvoidedCostsWOCC!$A$5:$Q$50,G13+1,FALSE)</f>
        <v>2.039744097675745</v>
      </c>
      <c r="AG13" s="44">
        <f t="shared" si="10"/>
        <v>4471.1190621052328</v>
      </c>
      <c r="AH13" s="52">
        <f>HLOOKUP(I13,ElecAvoidedCostsWOCC!$A$5:$Q$50,T13+1,FALSE)</f>
        <v>2.039744097675745</v>
      </c>
      <c r="AI13" s="44">
        <f t="shared" si="11"/>
        <v>0</v>
      </c>
      <c r="AJ13" s="44">
        <f t="shared" si="12"/>
        <v>4471.1190621052328</v>
      </c>
      <c r="AK13" s="44">
        <f>HLOOKUP(I13,ElecAvoidedCostsWOCC!$A$5:$Q$50,G13+1,FALSE)*J13*L13</f>
        <v>0</v>
      </c>
      <c r="AL13" s="44">
        <f t="shared" si="13"/>
        <v>4471.1190621052328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4471.1190621052328</v>
      </c>
      <c r="AN13" s="48">
        <f t="shared" si="14"/>
        <v>7491.0474828723582</v>
      </c>
      <c r="AO13" s="47">
        <f t="shared" si="15"/>
        <v>2.273163616177575</v>
      </c>
      <c r="AP13" s="47">
        <f t="shared" si="16"/>
        <v>0.43925268532424311</v>
      </c>
      <c r="AQ13">
        <v>2020</v>
      </c>
    </row>
    <row r="14" spans="1:43" ht="13.5" customHeight="1">
      <c r="A14" s="55">
        <f>SUM(Y5:Y1000)</f>
        <v>114833.63</v>
      </c>
      <c r="B14" s="97" t="s">
        <v>17</v>
      </c>
      <c r="C14" s="100">
        <v>18230405</v>
      </c>
      <c r="D14" s="100" t="s">
        <v>38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2020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33.868335972325809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118930.83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227764.46000000002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2.616731342463666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1.5427356433578447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870</v>
      </c>
      <c r="F5" s="39" t="s">
        <v>871</v>
      </c>
      <c r="G5" s="39">
        <v>45</v>
      </c>
      <c r="H5" s="39"/>
      <c r="I5" s="40" t="s">
        <v>269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0.70482795739216042</v>
      </c>
      <c r="V5" s="48">
        <f t="shared" ref="V5:V24" si="2">N5-M5</f>
        <v>1441.6999999999998</v>
      </c>
      <c r="W5" s="49">
        <f t="shared" ref="W5:W24" si="3">(O5/A$10)</f>
        <v>1.5662843497603565E-2</v>
      </c>
      <c r="X5" s="44">
        <f t="shared" ref="X5:X24" si="4">W5*A$8</f>
        <v>1775.260043875038</v>
      </c>
      <c r="Y5" s="44">
        <f t="shared" ref="Y5:Y24" si="5">Q5-P5</f>
        <v>2883.3999999999996</v>
      </c>
      <c r="Z5" s="44">
        <f t="shared" ref="Z5:Z24" si="6">X5+(A$6*W5)</f>
        <v>4799.0573435844681</v>
      </c>
      <c r="AA5" s="50">
        <f t="shared" ref="AA5:AA24" si="7">Q5+X5</f>
        <v>6658.6600438750374</v>
      </c>
      <c r="AB5" s="51">
        <f t="shared" ref="AB5:AC20" si="8">Z5/(1+ElecDiscountRate)^1</f>
        <v>4486.3581785402148</v>
      </c>
      <c r="AC5" s="44">
        <f t="shared" si="8"/>
        <v>6224.7920387725871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3.5129381661069039</v>
      </c>
      <c r="AP5" s="47">
        <f>AN5/AC5</f>
        <v>2.8533576756289971</v>
      </c>
      <c r="AQ5">
        <v>2021</v>
      </c>
    </row>
    <row r="6" spans="1:43" ht="13.5" customHeight="1">
      <c r="A6" s="53">
        <f>SUMIF('Program Costs'!D:D,C2,'Program Costs'!L:L)</f>
        <v>193055.45</v>
      </c>
      <c r="B6" s="97" t="s">
        <v>17</v>
      </c>
      <c r="C6" s="61">
        <v>18230071</v>
      </c>
      <c r="D6" s="61" t="s">
        <v>18</v>
      </c>
      <c r="E6" s="38" t="s">
        <v>872</v>
      </c>
      <c r="F6" s="39" t="s">
        <v>871</v>
      </c>
      <c r="G6" s="39">
        <v>44</v>
      </c>
      <c r="H6" s="39"/>
      <c r="I6" s="40" t="s">
        <v>269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8.9708374068762531</v>
      </c>
      <c r="V6" s="48">
        <f t="shared" si="2"/>
        <v>1400.94</v>
      </c>
      <c r="W6" s="49">
        <f t="shared" si="3"/>
        <v>0.20388266833809668</v>
      </c>
      <c r="X6" s="44">
        <f t="shared" si="4"/>
        <v>23108.495899523437</v>
      </c>
      <c r="Y6" s="44">
        <f t="shared" si="5"/>
        <v>36424.44</v>
      </c>
      <c r="Z6" s="44">
        <f t="shared" si="6"/>
        <v>62469.156182735445</v>
      </c>
      <c r="AA6" s="50">
        <f t="shared" si="7"/>
        <v>85532.935899523436</v>
      </c>
      <c r="AB6" s="51">
        <f t="shared" si="8"/>
        <v>58398.762440623948</v>
      </c>
      <c r="AC6" s="44">
        <f t="shared" si="8"/>
        <v>79959.741889804078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3.4272567474213704</v>
      </c>
      <c r="AP6" s="47">
        <f t="shared" ref="AP6:AP24" si="16">AN6/AC6</f>
        <v>2.8288089935455281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873</v>
      </c>
      <c r="F7" s="39" t="s">
        <v>871</v>
      </c>
      <c r="G7" s="39">
        <v>45</v>
      </c>
      <c r="H7" s="39"/>
      <c r="I7" s="40" t="s">
        <v>269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7.6007371551398171</v>
      </c>
      <c r="V7" s="48">
        <f t="shared" si="2"/>
        <v>1514.08</v>
      </c>
      <c r="W7" s="49">
        <f t="shared" si="3"/>
        <v>0.16890527011421816</v>
      </c>
      <c r="X7" s="44">
        <f t="shared" si="4"/>
        <v>19144.083082970828</v>
      </c>
      <c r="Y7" s="44">
        <f t="shared" si="5"/>
        <v>36337.919999999998</v>
      </c>
      <c r="Z7" s="44">
        <f t="shared" si="6"/>
        <v>51752.166012242771</v>
      </c>
      <c r="AA7" s="50">
        <f t="shared" si="7"/>
        <v>79482.003082970827</v>
      </c>
      <c r="AB7" s="51">
        <f t="shared" si="8"/>
        <v>48380.074798768597</v>
      </c>
      <c r="AC7" s="44">
        <f t="shared" si="8"/>
        <v>74303.078510770138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3.5129381661069043</v>
      </c>
      <c r="AP7" s="47">
        <f t="shared" si="16"/>
        <v>2.5160711522413259</v>
      </c>
      <c r="AQ7">
        <v>2021</v>
      </c>
    </row>
    <row r="8" spans="1:43" ht="13.5" customHeight="1">
      <c r="A8" s="53">
        <f>SUMIF('Program Costs'!D:D,C2,'Program Costs'!O:O)</f>
        <v>113342.13</v>
      </c>
      <c r="B8" s="97" t="s">
        <v>17</v>
      </c>
      <c r="C8" s="61">
        <v>18230071</v>
      </c>
      <c r="D8" s="61" t="s">
        <v>18</v>
      </c>
      <c r="E8" s="38" t="s">
        <v>874</v>
      </c>
      <c r="F8" s="39" t="s">
        <v>875</v>
      </c>
      <c r="G8" s="39">
        <v>41</v>
      </c>
      <c r="H8" s="39"/>
      <c r="I8" s="40" t="s">
        <v>269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0.83184074178790779</v>
      </c>
      <c r="V8" s="48">
        <f t="shared" si="2"/>
        <v>2490.85</v>
      </c>
      <c r="W8" s="49">
        <f t="shared" si="3"/>
        <v>2.0288798580192873E-2</v>
      </c>
      <c r="X8" s="44">
        <f t="shared" si="4"/>
        <v>2299.5756462200361</v>
      </c>
      <c r="Y8" s="44">
        <f t="shared" si="5"/>
        <v>4981.7</v>
      </c>
      <c r="Z8" s="44">
        <f t="shared" si="6"/>
        <v>6216.4387860785328</v>
      </c>
      <c r="AA8" s="50">
        <f t="shared" si="7"/>
        <v>10281.275646220036</v>
      </c>
      <c r="AB8" s="51">
        <f t="shared" si="8"/>
        <v>5811.3852351860633</v>
      </c>
      <c r="AC8" s="44">
        <f t="shared" si="8"/>
        <v>9611.3636030850103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3.1825485967262175</v>
      </c>
      <c r="AP8" s="47">
        <f t="shared" si="16"/>
        <v>2.172402959079228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18230071</v>
      </c>
      <c r="D9" s="61" t="s">
        <v>18</v>
      </c>
      <c r="E9" s="38" t="s">
        <v>876</v>
      </c>
      <c r="F9" s="39" t="s">
        <v>875</v>
      </c>
      <c r="G9" s="39">
        <v>41</v>
      </c>
      <c r="H9" s="39"/>
      <c r="I9" s="40" t="s">
        <v>269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0.41592037089395389</v>
      </c>
      <c r="V9" s="48">
        <f t="shared" si="2"/>
        <v>1990.85</v>
      </c>
      <c r="W9" s="49">
        <f t="shared" si="3"/>
        <v>1.0144399290096437E-2</v>
      </c>
      <c r="X9" s="44">
        <f t="shared" si="4"/>
        <v>1149.7878231100181</v>
      </c>
      <c r="Y9" s="44">
        <f t="shared" si="5"/>
        <v>1990.85</v>
      </c>
      <c r="Z9" s="44">
        <f t="shared" si="6"/>
        <v>3108.2193930392664</v>
      </c>
      <c r="AA9" s="50">
        <f t="shared" si="7"/>
        <v>5140.637823110018</v>
      </c>
      <c r="AB9" s="51">
        <f t="shared" si="8"/>
        <v>2905.6926175930316</v>
      </c>
      <c r="AC9" s="44">
        <f t="shared" si="8"/>
        <v>4805.6818015425051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3.1825485967262175</v>
      </c>
      <c r="AP9" s="47">
        <f t="shared" si="16"/>
        <v>2.172402959079228</v>
      </c>
      <c r="AQ9">
        <v>2021</v>
      </c>
    </row>
    <row r="10" spans="1:43" ht="13.5" customHeight="1">
      <c r="A10" s="54">
        <f>SUM(O5:O999)</f>
        <v>293561</v>
      </c>
      <c r="B10" s="97" t="s">
        <v>17</v>
      </c>
      <c r="C10" s="61">
        <v>18230071</v>
      </c>
      <c r="D10" s="61" t="s">
        <v>18</v>
      </c>
      <c r="E10" s="38" t="s">
        <v>877</v>
      </c>
      <c r="F10" s="39" t="s">
        <v>875</v>
      </c>
      <c r="G10" s="39">
        <v>43</v>
      </c>
      <c r="H10" s="39"/>
      <c r="I10" s="40" t="s">
        <v>269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0.76343928519115267</v>
      </c>
      <c r="V10" s="48">
        <f t="shared" si="2"/>
        <v>2110.8000000000002</v>
      </c>
      <c r="W10" s="49">
        <f t="shared" si="3"/>
        <v>1.7754401981189598E-2</v>
      </c>
      <c r="X10" s="44">
        <f t="shared" si="4"/>
        <v>2012.321737424249</v>
      </c>
      <c r="Y10" s="44">
        <f t="shared" si="5"/>
        <v>4221.6000000000004</v>
      </c>
      <c r="Z10" s="44">
        <f t="shared" si="6"/>
        <v>5439.9058013836984</v>
      </c>
      <c r="AA10" s="50">
        <f t="shared" si="7"/>
        <v>10233.921737424249</v>
      </c>
      <c r="AB10" s="51">
        <f t="shared" si="8"/>
        <v>5085.4499405288379</v>
      </c>
      <c r="AC10" s="44">
        <f t="shared" si="8"/>
        <v>9567.0952018549578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3.3436651194354829</v>
      </c>
      <c r="AP10" s="47">
        <f t="shared" si="16"/>
        <v>1.9550809672546259</v>
      </c>
      <c r="AQ10">
        <v>2021</v>
      </c>
    </row>
    <row r="11" spans="1:43" ht="13.5" customHeight="1">
      <c r="A11" s="36" t="s">
        <v>251</v>
      </c>
      <c r="B11" s="97" t="s">
        <v>17</v>
      </c>
      <c r="C11" s="61">
        <v>18230071</v>
      </c>
      <c r="D11" s="61" t="s">
        <v>18</v>
      </c>
      <c r="E11" s="38" t="s">
        <v>878</v>
      </c>
      <c r="F11" s="39" t="s">
        <v>879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SUM(P5:P1000)</f>
        <v>148600</v>
      </c>
      <c r="B12" s="97" t="s">
        <v>17</v>
      </c>
      <c r="C12" s="61">
        <v>18230071</v>
      </c>
      <c r="D12" s="61" t="s">
        <v>18</v>
      </c>
      <c r="E12" s="38" t="s">
        <v>880</v>
      </c>
      <c r="F12" s="39" t="s">
        <v>881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17</v>
      </c>
      <c r="C13" s="61">
        <v>18230071</v>
      </c>
      <c r="D13" s="61" t="s">
        <v>18</v>
      </c>
      <c r="E13" s="38" t="s">
        <v>882</v>
      </c>
      <c r="F13" s="39" t="s">
        <v>883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191682.73000000004</v>
      </c>
      <c r="B14" s="97" t="s">
        <v>17</v>
      </c>
      <c r="C14" s="61">
        <v>18230071</v>
      </c>
      <c r="D14" s="61" t="s">
        <v>18</v>
      </c>
      <c r="E14" s="38" t="s">
        <v>884</v>
      </c>
      <c r="F14" s="39" t="s">
        <v>885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17</v>
      </c>
      <c r="C15" s="100">
        <v>18230071</v>
      </c>
      <c r="D15" s="100" t="s">
        <v>18</v>
      </c>
      <c r="E15" s="38" t="s">
        <v>870</v>
      </c>
      <c r="F15" s="39" t="s">
        <v>871</v>
      </c>
      <c r="G15" s="39">
        <v>45</v>
      </c>
      <c r="H15" s="39"/>
      <c r="I15" s="40" t="s">
        <v>269</v>
      </c>
      <c r="J15" s="41">
        <v>29</v>
      </c>
      <c r="K15" s="41">
        <v>2299</v>
      </c>
      <c r="L15" s="41"/>
      <c r="M15" s="42">
        <v>1000</v>
      </c>
      <c r="N15" s="42">
        <v>2441.6999999999998</v>
      </c>
      <c r="O15" s="43">
        <v>66671</v>
      </c>
      <c r="P15" s="44">
        <v>29000</v>
      </c>
      <c r="Q15" s="44">
        <v>70809.3</v>
      </c>
      <c r="R15" s="45">
        <v>15.57</v>
      </c>
      <c r="S15" s="46">
        <v>0</v>
      </c>
      <c r="T15" s="39">
        <f t="shared" si="0"/>
        <v>45</v>
      </c>
      <c r="U15" s="47">
        <f t="shared" si="1"/>
        <v>10.220005382186326</v>
      </c>
      <c r="V15" s="48">
        <f t="shared" si="2"/>
        <v>1441.6999999999998</v>
      </c>
      <c r="W15" s="49">
        <f t="shared" si="3"/>
        <v>0.22711123071525169</v>
      </c>
      <c r="X15" s="44">
        <f t="shared" si="4"/>
        <v>25741.270636188052</v>
      </c>
      <c r="Y15" s="44">
        <f t="shared" si="5"/>
        <v>41809.300000000003</v>
      </c>
      <c r="Z15" s="44">
        <f t="shared" si="6"/>
        <v>69586.33148197479</v>
      </c>
      <c r="AA15" s="50">
        <f t="shared" si="7"/>
        <v>96550.570636188058</v>
      </c>
      <c r="AB15" s="51">
        <f t="shared" si="8"/>
        <v>65052.193588833114</v>
      </c>
      <c r="AC15" s="44">
        <f t="shared" si="8"/>
        <v>90259.484562202531</v>
      </c>
      <c r="AD15" s="44">
        <f t="shared" si="9"/>
        <v>6165.8260619721505</v>
      </c>
      <c r="AE15" s="44">
        <f t="shared" si="17"/>
        <v>0</v>
      </c>
      <c r="AF15" s="52">
        <f>HLOOKUP(I15,ElecAvoidedCostsWOCC!$A$5:$Q$50,G15+1,FALSE)</f>
        <v>3.4276422079642828</v>
      </c>
      <c r="AG15" s="44">
        <f t="shared" si="10"/>
        <v>228524.33364718669</v>
      </c>
      <c r="AH15" s="52">
        <f>HLOOKUP(I15,ElecAvoidedCostsWOCC!$A$5:$Q$50,T15+1,FALSE)</f>
        <v>3.4276422079642828</v>
      </c>
      <c r="AI15" s="44">
        <f t="shared" si="11"/>
        <v>0</v>
      </c>
      <c r="AJ15" s="44">
        <f t="shared" si="12"/>
        <v>228524.33364718669</v>
      </c>
      <c r="AK15" s="44">
        <f>HLOOKUP(I15,ElecAvoidedCostsWOCC!$A$5:$Q$50,G15+1,FALSE)*J15*L15</f>
        <v>0</v>
      </c>
      <c r="AL15" s="44">
        <f t="shared" si="13"/>
        <v>228524.33364718669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228524.33364718669</v>
      </c>
      <c r="AN15" s="48">
        <f t="shared" si="14"/>
        <v>257542.59307387754</v>
      </c>
      <c r="AO15" s="47">
        <f t="shared" si="15"/>
        <v>3.5129381661069039</v>
      </c>
      <c r="AP15" s="47">
        <f t="shared" si="16"/>
        <v>2.8533576756289967</v>
      </c>
      <c r="AQ15">
        <v>2020</v>
      </c>
    </row>
    <row r="16" spans="1:43" ht="13.5" customHeight="1">
      <c r="A16" s="54">
        <f>SUM(U5:U999)</f>
        <v>44.283263103750151</v>
      </c>
      <c r="B16" s="97" t="s">
        <v>17</v>
      </c>
      <c r="C16" s="100">
        <v>18230071</v>
      </c>
      <c r="D16" s="100" t="s">
        <v>18</v>
      </c>
      <c r="E16" s="38" t="s">
        <v>872</v>
      </c>
      <c r="F16" s="39" t="s">
        <v>871</v>
      </c>
      <c r="G16" s="39">
        <v>44</v>
      </c>
      <c r="H16" s="39"/>
      <c r="I16" s="40" t="s">
        <v>269</v>
      </c>
      <c r="J16" s="41">
        <v>35</v>
      </c>
      <c r="K16" s="41">
        <v>2302</v>
      </c>
      <c r="L16" s="41"/>
      <c r="M16" s="42">
        <v>1000</v>
      </c>
      <c r="N16" s="42">
        <v>2400.94</v>
      </c>
      <c r="O16" s="43">
        <v>80570</v>
      </c>
      <c r="P16" s="44">
        <v>35000</v>
      </c>
      <c r="Q16" s="44">
        <v>84032.9</v>
      </c>
      <c r="R16" s="45">
        <v>17.04</v>
      </c>
      <c r="S16" s="46">
        <v>0</v>
      </c>
      <c r="T16" s="39">
        <f t="shared" si="0"/>
        <v>44</v>
      </c>
      <c r="U16" s="47">
        <f t="shared" si="1"/>
        <v>12.076127278487265</v>
      </c>
      <c r="V16" s="48">
        <f t="shared" si="2"/>
        <v>1400.94</v>
      </c>
      <c r="W16" s="49">
        <f t="shared" si="3"/>
        <v>0.27445743814743784</v>
      </c>
      <c r="X16" s="44">
        <f t="shared" si="4"/>
        <v>31107.590633973861</v>
      </c>
      <c r="Y16" s="44">
        <f t="shared" si="5"/>
        <v>49032.899999999994</v>
      </c>
      <c r="Z16" s="44">
        <f t="shared" si="6"/>
        <v>84093.094861374644</v>
      </c>
      <c r="AA16" s="50">
        <f t="shared" si="7"/>
        <v>115140.49063397385</v>
      </c>
      <c r="AB16" s="51">
        <f t="shared" si="8"/>
        <v>78613.71867007071</v>
      </c>
      <c r="AC16" s="44">
        <f t="shared" si="8"/>
        <v>107638.11408242857</v>
      </c>
      <c r="AD16" s="44">
        <f t="shared" si="9"/>
        <v>8115.327637579775</v>
      </c>
      <c r="AE16" s="44">
        <f t="shared" si="17"/>
        <v>0</v>
      </c>
      <c r="AF16" s="52">
        <f>HLOOKUP(I16,ElecAvoidedCostsWOCC!$A$5:$Q$50,G16+1,FALSE)</f>
        <v>3.3440411785017394</v>
      </c>
      <c r="AG16" s="44">
        <f t="shared" si="10"/>
        <v>269429.39775188518</v>
      </c>
      <c r="AH16" s="52">
        <f>HLOOKUP(I16,ElecAvoidedCostsWOCC!$A$5:$Q$50,T16+1,FALSE)</f>
        <v>3.3440411785017394</v>
      </c>
      <c r="AI16" s="44">
        <f t="shared" si="11"/>
        <v>0</v>
      </c>
      <c r="AJ16" s="44">
        <f t="shared" si="12"/>
        <v>269429.39775188518</v>
      </c>
      <c r="AK16" s="44">
        <f>HLOOKUP(I16,ElecAvoidedCostsWOCC!$A$5:$Q$50,G16+1,FALSE)*J16*L16</f>
        <v>0</v>
      </c>
      <c r="AL16" s="44">
        <f t="shared" si="13"/>
        <v>269429.39775188518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269429.39775188518</v>
      </c>
      <c r="AN16" s="48">
        <f t="shared" si="14"/>
        <v>304487.6651646535</v>
      </c>
      <c r="AO16" s="47">
        <f t="shared" si="15"/>
        <v>3.42725674742137</v>
      </c>
      <c r="AP16" s="47">
        <f t="shared" si="16"/>
        <v>2.8288089935455281</v>
      </c>
      <c r="AQ16">
        <v>2020</v>
      </c>
    </row>
    <row r="17" spans="1:43" ht="13.5" customHeight="1">
      <c r="A17" s="58" t="s">
        <v>254</v>
      </c>
      <c r="B17" s="97" t="s">
        <v>17</v>
      </c>
      <c r="C17" s="100">
        <v>18230071</v>
      </c>
      <c r="D17" s="100" t="s">
        <v>18</v>
      </c>
      <c r="E17" s="38" t="s">
        <v>2013</v>
      </c>
      <c r="F17" s="39" t="s">
        <v>875</v>
      </c>
      <c r="G17" s="39">
        <v>45</v>
      </c>
      <c r="H17" s="39"/>
      <c r="I17" s="40" t="s">
        <v>269</v>
      </c>
      <c r="J17" s="41">
        <v>4</v>
      </c>
      <c r="K17" s="41">
        <v>3046</v>
      </c>
      <c r="L17" s="41"/>
      <c r="M17" s="42">
        <v>1500</v>
      </c>
      <c r="N17" s="42">
        <v>4054.73</v>
      </c>
      <c r="O17" s="43">
        <v>12184</v>
      </c>
      <c r="P17" s="44">
        <v>6000</v>
      </c>
      <c r="Q17" s="44">
        <v>16218.92</v>
      </c>
      <c r="R17" s="45">
        <v>18.190000000000001</v>
      </c>
      <c r="S17" s="46">
        <v>0</v>
      </c>
      <c r="T17" s="39">
        <f t="shared" si="0"/>
        <v>45</v>
      </c>
      <c r="U17" s="47">
        <f t="shared" si="1"/>
        <v>1.8676867840074123</v>
      </c>
      <c r="V17" s="48">
        <f t="shared" si="2"/>
        <v>2554.73</v>
      </c>
      <c r="W17" s="49">
        <f t="shared" si="3"/>
        <v>4.1504150755720275E-2</v>
      </c>
      <c r="X17" s="44">
        <f t="shared" si="4"/>
        <v>4704.1688504944459</v>
      </c>
      <c r="Y17" s="44">
        <f t="shared" si="5"/>
        <v>10218.92</v>
      </c>
      <c r="Z17" s="44">
        <f t="shared" si="6"/>
        <v>12716.771351507865</v>
      </c>
      <c r="AA17" s="50">
        <f t="shared" si="7"/>
        <v>20923.088850494445</v>
      </c>
      <c r="AB17" s="51">
        <f t="shared" si="8"/>
        <v>11888.166169494123</v>
      </c>
      <c r="AC17" s="44">
        <f t="shared" si="8"/>
        <v>19559.772693740717</v>
      </c>
      <c r="AD17" s="44">
        <f t="shared" si="9"/>
        <v>993.56743576084352</v>
      </c>
      <c r="AE17" s="44">
        <f t="shared" si="17"/>
        <v>0</v>
      </c>
      <c r="AF17" s="52">
        <f>HLOOKUP(I17,ElecAvoidedCostsWOCC!$A$5:$Q$50,G17+1,FALSE)</f>
        <v>3.4276422079642828</v>
      </c>
      <c r="AG17" s="44">
        <f t="shared" si="10"/>
        <v>41762.39266183682</v>
      </c>
      <c r="AH17" s="52">
        <f>HLOOKUP(I17,ElecAvoidedCostsWOCC!$A$5:$Q$50,T17+1,FALSE)</f>
        <v>3.4276422079642828</v>
      </c>
      <c r="AI17" s="44">
        <f t="shared" si="11"/>
        <v>0</v>
      </c>
      <c r="AJ17" s="44">
        <f t="shared" si="12"/>
        <v>41762.39266183682</v>
      </c>
      <c r="AK17" s="44">
        <f>HLOOKUP(I17,ElecAvoidedCostsWOCC!$A$5:$Q$50,G17+1,FALSE)*J17*L17</f>
        <v>0</v>
      </c>
      <c r="AL17" s="44">
        <f t="shared" si="13"/>
        <v>41762.39266183682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41762.39266183682</v>
      </c>
      <c r="AN17" s="48">
        <f t="shared" si="14"/>
        <v>46932.19936378135</v>
      </c>
      <c r="AO17" s="47">
        <f t="shared" si="15"/>
        <v>3.5129381661069039</v>
      </c>
      <c r="AP17" s="47">
        <f t="shared" si="16"/>
        <v>2.3994245791414555</v>
      </c>
      <c r="AQ17">
        <v>2020</v>
      </c>
    </row>
    <row r="18" spans="1:43" ht="13.5" customHeight="1">
      <c r="A18" s="59">
        <f>A6+A8</f>
        <v>306397.58</v>
      </c>
      <c r="B18" s="97" t="s">
        <v>17</v>
      </c>
      <c r="C18" s="100">
        <v>18230071</v>
      </c>
      <c r="D18" s="100" t="s">
        <v>18</v>
      </c>
      <c r="E18" s="38" t="s">
        <v>874</v>
      </c>
      <c r="F18" s="39" t="s">
        <v>875</v>
      </c>
      <c r="G18" s="39">
        <v>41</v>
      </c>
      <c r="H18" s="39"/>
      <c r="I18" s="40" t="s">
        <v>269</v>
      </c>
      <c r="J18" s="41">
        <v>2</v>
      </c>
      <c r="K18" s="41">
        <v>2978</v>
      </c>
      <c r="L18" s="41"/>
      <c r="M18" s="42">
        <v>1500</v>
      </c>
      <c r="N18" s="42">
        <v>3990.85</v>
      </c>
      <c r="O18" s="43">
        <v>5956</v>
      </c>
      <c r="P18" s="44">
        <v>3000</v>
      </c>
      <c r="Q18" s="44">
        <v>7981.7</v>
      </c>
      <c r="R18" s="45">
        <v>19.91</v>
      </c>
      <c r="S18" s="46">
        <v>0</v>
      </c>
      <c r="T18" s="39">
        <f t="shared" si="0"/>
        <v>41</v>
      </c>
      <c r="U18" s="47">
        <f t="shared" si="1"/>
        <v>0.83184074178790779</v>
      </c>
      <c r="V18" s="48">
        <f t="shared" si="2"/>
        <v>2490.85</v>
      </c>
      <c r="W18" s="49">
        <f t="shared" si="3"/>
        <v>2.0288798580192873E-2</v>
      </c>
      <c r="X18" s="44">
        <f t="shared" si="4"/>
        <v>2299.5756462200361</v>
      </c>
      <c r="Y18" s="44">
        <f t="shared" si="5"/>
        <v>4981.7</v>
      </c>
      <c r="Z18" s="44">
        <f t="shared" si="6"/>
        <v>6216.4387860785328</v>
      </c>
      <c r="AA18" s="50">
        <f t="shared" si="7"/>
        <v>10281.275646220036</v>
      </c>
      <c r="AB18" s="51">
        <f t="shared" si="8"/>
        <v>5811.3852351860633</v>
      </c>
      <c r="AC18" s="44">
        <f t="shared" si="8"/>
        <v>9611.3636030850103</v>
      </c>
      <c r="AD18" s="44">
        <f t="shared" si="9"/>
        <v>535.23721432371315</v>
      </c>
      <c r="AE18" s="44">
        <f t="shared" si="17"/>
        <v>0</v>
      </c>
      <c r="AF18" s="52">
        <f>HLOOKUP(I18,ElecAvoidedCostsWOCC!$A$5:$Q$50,G18+1,FALSE)</f>
        <v>3.105274668448097</v>
      </c>
      <c r="AG18" s="44">
        <f t="shared" si="10"/>
        <v>18495.015925276864</v>
      </c>
      <c r="AH18" s="52">
        <f>HLOOKUP(I18,ElecAvoidedCostsWOCC!$A$5:$Q$50,T18+1,FALSE)</f>
        <v>3.105274668448097</v>
      </c>
      <c r="AI18" s="44">
        <f t="shared" si="11"/>
        <v>0</v>
      </c>
      <c r="AJ18" s="44">
        <f t="shared" si="12"/>
        <v>18495.015925276864</v>
      </c>
      <c r="AK18" s="44">
        <f>HLOOKUP(I18,ElecAvoidedCostsWOCC!$A$5:$Q$50,G18+1,FALSE)*J18*L18</f>
        <v>0</v>
      </c>
      <c r="AL18" s="44">
        <f t="shared" si="13"/>
        <v>18495.015925276864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18495.015925276864</v>
      </c>
      <c r="AN18" s="48">
        <f t="shared" si="14"/>
        <v>20879.754732128265</v>
      </c>
      <c r="AO18" s="47">
        <f t="shared" si="15"/>
        <v>3.1825485967262175</v>
      </c>
      <c r="AP18" s="47">
        <f t="shared" si="16"/>
        <v>2.172402959079228</v>
      </c>
      <c r="AQ18">
        <v>2020</v>
      </c>
    </row>
    <row r="19" spans="1:43" ht="13.5" customHeight="1">
      <c r="A19" s="58" t="s">
        <v>231</v>
      </c>
      <c r="B19" s="97" t="s">
        <v>17</v>
      </c>
      <c r="C19" s="100">
        <v>18230071</v>
      </c>
      <c r="D19" s="100" t="s">
        <v>18</v>
      </c>
      <c r="E19" s="38" t="s">
        <v>878</v>
      </c>
      <c r="F19" s="39" t="s">
        <v>879</v>
      </c>
      <c r="G19" s="39">
        <v>0</v>
      </c>
      <c r="H19" s="39"/>
      <c r="I19" s="40" t="s">
        <v>269</v>
      </c>
      <c r="J19" s="41">
        <v>31</v>
      </c>
      <c r="K19" s="41">
        <v>0</v>
      </c>
      <c r="L19" s="41"/>
      <c r="M19" s="42">
        <v>200</v>
      </c>
      <c r="N19" s="42">
        <v>200</v>
      </c>
      <c r="O19" s="43">
        <v>0</v>
      </c>
      <c r="P19" s="44">
        <v>6200</v>
      </c>
      <c r="Q19" s="44">
        <v>6200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6200</v>
      </c>
      <c r="AB19" s="51">
        <f t="shared" si="8"/>
        <v>0</v>
      </c>
      <c r="AC19" s="44">
        <f t="shared" si="8"/>
        <v>5796.0175750210337</v>
      </c>
      <c r="AD19" s="44">
        <f t="shared" si="9"/>
        <v>0</v>
      </c>
      <c r="AE19" s="44">
        <f t="shared" si="17"/>
        <v>0</v>
      </c>
      <c r="AF19" s="52" t="str">
        <f>HLOOKUP(I19,ElecAvoidedCostsWOCC!$A$5:$Q$50,G19+1,FALSE)</f>
        <v>SF Space Heat</v>
      </c>
      <c r="AG19" s="44" t="e">
        <f t="shared" si="10"/>
        <v>#VALUE!</v>
      </c>
      <c r="AH19" s="52" t="str">
        <f>HLOOKUP(I19,ElecAvoidedCostsWOCC!$A$5:$Q$50,T19+1,FALSE)</f>
        <v>SF Space Heat</v>
      </c>
      <c r="AI19" s="44" t="e">
        <f t="shared" si="11"/>
        <v>#VALUE!</v>
      </c>
      <c r="AJ19" s="44" t="e">
        <f t="shared" si="12"/>
        <v>#VALUE!</v>
      </c>
      <c r="AK19" s="44" t="e">
        <f>HLOOKUP(I19,ElecAvoidedCostsWOCC!$A$5:$Q$50,G19+1,FALSE)*J19*L19</f>
        <v>#VALUE!</v>
      </c>
      <c r="AL19" s="44" t="e">
        <f t="shared" si="13"/>
        <v>#VALUE!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  <c r="AQ19">
        <v>2020</v>
      </c>
    </row>
    <row r="20" spans="1:43" ht="13.5" customHeight="1">
      <c r="A20" s="59">
        <f>A8+SUM(Q5:Q906)</f>
        <v>453624.86</v>
      </c>
      <c r="B20" s="97" t="s">
        <v>17</v>
      </c>
      <c r="C20" s="100">
        <v>18230071</v>
      </c>
      <c r="D20" s="100" t="s">
        <v>18</v>
      </c>
      <c r="E20" s="38" t="s">
        <v>2014</v>
      </c>
      <c r="F20" s="39" t="s">
        <v>2015</v>
      </c>
      <c r="G20" s="39">
        <v>0</v>
      </c>
      <c r="H20" s="39"/>
      <c r="I20" s="40" t="s">
        <v>269</v>
      </c>
      <c r="J20" s="41">
        <v>3</v>
      </c>
      <c r="K20" s="41">
        <v>0</v>
      </c>
      <c r="L20" s="41"/>
      <c r="M20" s="42">
        <v>300</v>
      </c>
      <c r="N20" s="42">
        <v>300</v>
      </c>
      <c r="O20" s="43">
        <v>0</v>
      </c>
      <c r="P20" s="44">
        <v>900</v>
      </c>
      <c r="Q20" s="44">
        <v>900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900</v>
      </c>
      <c r="AB20" s="51">
        <f t="shared" si="8"/>
        <v>0</v>
      </c>
      <c r="AC20" s="44">
        <f t="shared" si="8"/>
        <v>841.35738992240806</v>
      </c>
      <c r="AD20" s="44">
        <f t="shared" si="9"/>
        <v>0</v>
      </c>
      <c r="AE20" s="44">
        <f t="shared" si="17"/>
        <v>0</v>
      </c>
      <c r="AF20" s="52" t="str">
        <f>HLOOKUP(I20,ElecAvoidedCostsWOCC!$A$5:$Q$50,G20+1,FALSE)</f>
        <v>SF Space Heat</v>
      </c>
      <c r="AG20" s="44" t="e">
        <f t="shared" si="10"/>
        <v>#VALUE!</v>
      </c>
      <c r="AH20" s="52" t="str">
        <f>HLOOKUP(I20,ElecAvoidedCostsWOCC!$A$5:$Q$50,T20+1,FALSE)</f>
        <v>SF Space Heat</v>
      </c>
      <c r="AI20" s="44" t="e">
        <f t="shared" si="11"/>
        <v>#VALUE!</v>
      </c>
      <c r="AJ20" s="44" t="e">
        <f t="shared" si="12"/>
        <v>#VALUE!</v>
      </c>
      <c r="AK20" s="44" t="e">
        <f>HLOOKUP(I20,ElecAvoidedCostsWOCC!$A$5:$Q$50,G20+1,FALSE)*J20*L20</f>
        <v>#VALUE!</v>
      </c>
      <c r="AL20" s="44" t="e">
        <f t="shared" si="13"/>
        <v>#VALUE!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  <c r="AQ20">
        <v>2020</v>
      </c>
    </row>
    <row r="21" spans="1:43" ht="13.5" customHeight="1">
      <c r="A21" s="58" t="s">
        <v>245</v>
      </c>
      <c r="B21" s="97" t="s">
        <v>17</v>
      </c>
      <c r="C21" s="100">
        <v>18230071</v>
      </c>
      <c r="D21" s="100" t="s">
        <v>18</v>
      </c>
      <c r="E21" s="38" t="s">
        <v>880</v>
      </c>
      <c r="F21" s="39" t="s">
        <v>881</v>
      </c>
      <c r="G21" s="39"/>
      <c r="H21" s="39"/>
      <c r="I21" s="40" t="s">
        <v>269</v>
      </c>
      <c r="J21" s="41">
        <v>13</v>
      </c>
      <c r="K21" s="41">
        <v>0</v>
      </c>
      <c r="L21" s="41"/>
      <c r="M21" s="42">
        <v>200</v>
      </c>
      <c r="N21" s="42">
        <v>200</v>
      </c>
      <c r="O21" s="43">
        <v>0</v>
      </c>
      <c r="P21" s="44">
        <v>2600</v>
      </c>
      <c r="Q21" s="44">
        <v>2600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2600</v>
      </c>
      <c r="AB21" s="51">
        <f t="shared" ref="AB21:AC24" si="18">Z21/(1+ElecDiscountRate)^1</f>
        <v>0</v>
      </c>
      <c r="AC21" s="44">
        <f t="shared" si="18"/>
        <v>2430.588015331401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SF Space Heat</v>
      </c>
      <c r="AG21" s="44" t="e">
        <f t="shared" si="10"/>
        <v>#VALUE!</v>
      </c>
      <c r="AH21" s="52" t="str">
        <f>HLOOKUP(I21,ElecAvoidedCostsWOCC!$A$5:$Q$50,T21+1,FALSE)</f>
        <v>SF Space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3.452189946888446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2.6193256311850681</v>
      </c>
      <c r="B24" s="3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1"/>
  <sheetViews>
    <sheetView topLeftCell="F1" zoomScale="85" zoomScaleNormal="85" workbookViewId="0">
      <selection activeCell="O6" sqref="O6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customWidth="1"/>
    <col min="14" max="14" width="19.85546875" style="248" customWidth="1"/>
    <col min="15" max="15" width="20.42578125" style="248" customWidth="1"/>
    <col min="16" max="16" width="18.28515625" style="248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2455</v>
      </c>
      <c r="C1" s="104"/>
      <c r="D1" s="104"/>
      <c r="E1" s="104"/>
      <c r="F1" s="105"/>
      <c r="G1" s="523"/>
      <c r="H1" s="524"/>
      <c r="I1" s="524"/>
      <c r="J1" s="524"/>
      <c r="K1" s="523"/>
      <c r="L1" s="524"/>
      <c r="M1" s="52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329</v>
      </c>
      <c r="C2" s="110">
        <f>ElecDiscountRate</f>
        <v>6.9699999999999998E-2</v>
      </c>
      <c r="D2" s="110"/>
      <c r="E2" s="111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3" t="s">
        <v>332</v>
      </c>
      <c r="V2" s="113" t="s">
        <v>332</v>
      </c>
    </row>
    <row r="3" spans="1:148" s="119" customFormat="1" ht="70.5" customHeight="1">
      <c r="A3" s="116"/>
      <c r="B3" s="117" t="s">
        <v>334</v>
      </c>
      <c r="C3" s="117" t="s">
        <v>335</v>
      </c>
      <c r="D3" s="117" t="s">
        <v>336</v>
      </c>
      <c r="E3" s="117" t="s">
        <v>225</v>
      </c>
      <c r="F3" s="117" t="s">
        <v>337</v>
      </c>
      <c r="G3" s="117" t="s">
        <v>338</v>
      </c>
      <c r="H3" s="117" t="s">
        <v>339</v>
      </c>
      <c r="I3" s="117" t="s">
        <v>340</v>
      </c>
      <c r="J3" s="118" t="s">
        <v>341</v>
      </c>
      <c r="K3" s="117" t="s">
        <v>342</v>
      </c>
      <c r="L3" s="117" t="s">
        <v>343</v>
      </c>
      <c r="M3" s="117" t="s">
        <v>344</v>
      </c>
      <c r="N3" s="117" t="s">
        <v>345</v>
      </c>
      <c r="O3" s="117" t="s">
        <v>346</v>
      </c>
      <c r="P3" s="117" t="s">
        <v>1814</v>
      </c>
      <c r="Q3" s="118" t="s">
        <v>347</v>
      </c>
      <c r="R3" s="117" t="s">
        <v>348</v>
      </c>
      <c r="S3" s="117" t="s">
        <v>349</v>
      </c>
      <c r="T3" s="117" t="s">
        <v>1813</v>
      </c>
      <c r="U3" s="117" t="s">
        <v>350</v>
      </c>
      <c r="V3" s="118" t="s">
        <v>351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354</v>
      </c>
      <c r="B4" s="120"/>
      <c r="C4" s="121" t="s">
        <v>352</v>
      </c>
      <c r="D4" s="122"/>
      <c r="E4" s="123"/>
      <c r="F4" s="123" t="s">
        <v>353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1785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355</v>
      </c>
      <c r="C5" s="292" t="s">
        <v>356</v>
      </c>
      <c r="D5" s="125"/>
      <c r="E5" s="126"/>
      <c r="F5" s="255"/>
      <c r="G5" s="255"/>
      <c r="H5" s="256" t="s">
        <v>357</v>
      </c>
      <c r="I5" s="256" t="s">
        <v>358</v>
      </c>
      <c r="J5" s="127" t="s">
        <v>359</v>
      </c>
      <c r="K5" s="257" t="s">
        <v>360</v>
      </c>
      <c r="L5" s="257" t="s">
        <v>361</v>
      </c>
      <c r="M5" s="257"/>
      <c r="N5" s="257" t="s">
        <v>1803</v>
      </c>
      <c r="O5" s="257" t="s">
        <v>1802</v>
      </c>
      <c r="P5" s="257"/>
      <c r="Q5" s="257"/>
      <c r="R5" s="257"/>
      <c r="S5" s="257" t="s">
        <v>362</v>
      </c>
      <c r="T5" s="257" t="s">
        <v>363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364</v>
      </c>
      <c r="D6" s="131"/>
      <c r="E6" s="132">
        <f>F63*(H63/$H$70)</f>
        <v>0</v>
      </c>
      <c r="F6" s="144">
        <f>'E201 LIW {E}'!A16</f>
        <v>22.595726391316859</v>
      </c>
      <c r="G6" s="145" t="s">
        <v>365</v>
      </c>
      <c r="H6" s="258">
        <f>'E201 LIW {E}'!A$10</f>
        <v>2307888.8900000006</v>
      </c>
      <c r="I6" s="259">
        <f>'E201 LIW {E}'!A$8</f>
        <v>265808.41000000015</v>
      </c>
      <c r="J6" s="259">
        <f>'E201 LIW {E}'!A$12</f>
        <v>6649841.6099999975</v>
      </c>
      <c r="K6" s="259">
        <f>'E201 LIW {E}'!A$14</f>
        <v>90121.48000000001</v>
      </c>
      <c r="L6" s="259">
        <f>SUM('E201 LIW {E}'!Q$6:Q$999)</f>
        <v>6739963.0899999971</v>
      </c>
      <c r="M6" s="259"/>
      <c r="N6" s="260">
        <f>'E201 LIW {E}'!A$18</f>
        <v>7125204.8200000003</v>
      </c>
      <c r="O6" s="259">
        <f>'E201 LIW {E}'!A$20</f>
        <v>7483974.6857204353</v>
      </c>
      <c r="P6" s="259">
        <f>SUM('E201 LIW {E}'!R$6:R$999)</f>
        <v>50183.009999999995</v>
      </c>
      <c r="Q6" s="261">
        <f t="shared" ref="Q6:R8" si="0">N6/(1+ElecDiscountRate)^1</f>
        <v>6660937.4777975129</v>
      </c>
      <c r="R6" s="261">
        <f t="shared" si="0"/>
        <v>6996330.4531367999</v>
      </c>
      <c r="S6" s="259">
        <f>SUM('E201 LIW {E}'!AM$6:AM$999)</f>
        <v>3953839.645133785</v>
      </c>
      <c r="T6" s="259">
        <f>SUM('E201 LIW {E}'!AD$6:AD$999)</f>
        <v>1227558.7257457341</v>
      </c>
      <c r="U6" s="133">
        <f>IFERROR(S6/Q6,0)</f>
        <v>0.59358606176876327</v>
      </c>
      <c r="V6" s="133">
        <f>IFERROR(((S6*1.1)+(T6))/R6,0)</f>
        <v>0.79710104786324831</v>
      </c>
    </row>
    <row r="7" spans="1:148" s="134" customFormat="1">
      <c r="A7" s="135"/>
      <c r="B7" s="136" t="s">
        <v>15</v>
      </c>
      <c r="C7" s="509" t="s">
        <v>366</v>
      </c>
      <c r="D7" s="138"/>
      <c r="E7" s="139"/>
      <c r="F7" s="140"/>
      <c r="G7" s="141"/>
      <c r="H7" s="262">
        <f t="shared" ref="H7:P7" si="1">SUM(H8:H17)</f>
        <v>113263369.83999953</v>
      </c>
      <c r="I7" s="262">
        <f t="shared" si="1"/>
        <v>6264880.0300000003</v>
      </c>
      <c r="J7" s="262">
        <f t="shared" si="1"/>
        <v>19663435.48</v>
      </c>
      <c r="K7" s="262">
        <f t="shared" si="1"/>
        <v>22726448.179999933</v>
      </c>
      <c r="L7" s="262">
        <f t="shared" si="1"/>
        <v>42389883.659999937</v>
      </c>
      <c r="M7" s="262">
        <f t="shared" si="1"/>
        <v>0</v>
      </c>
      <c r="N7" s="262">
        <f>SUM(N8:N17)</f>
        <v>28945124.990000002</v>
      </c>
      <c r="O7" s="262">
        <f t="shared" si="1"/>
        <v>48654763.689999945</v>
      </c>
      <c r="P7" s="262">
        <f t="shared" si="1"/>
        <v>1169.9100000000003</v>
      </c>
      <c r="Q7" s="263">
        <f t="shared" si="0"/>
        <v>27059105.347293634</v>
      </c>
      <c r="R7" s="263">
        <f t="shared" si="0"/>
        <v>45484494.428344339</v>
      </c>
      <c r="S7" s="262">
        <f>SUM(S8:S17)</f>
        <v>68599323.791733667</v>
      </c>
      <c r="T7" s="262">
        <f>SUM(T8:T17)</f>
        <v>3813024.8464480722</v>
      </c>
      <c r="U7" s="142">
        <f>S7/Q7</f>
        <v>2.5351659972229923</v>
      </c>
      <c r="V7" s="142">
        <f>((S7*1.1)+(T7))/R7</f>
        <v>1.7428418632252711</v>
      </c>
    </row>
    <row r="8" spans="1:148" s="134" customFormat="1" ht="14.25">
      <c r="B8" s="130" t="s">
        <v>15</v>
      </c>
      <c r="C8" s="143" t="s">
        <v>367</v>
      </c>
      <c r="D8" s="143"/>
      <c r="E8" s="132"/>
      <c r="F8" s="144">
        <f>'Residential Lighting {E}'!A$16</f>
        <v>11.290984535743851</v>
      </c>
      <c r="G8" s="145" t="s">
        <v>368</v>
      </c>
      <c r="H8" s="258">
        <f>'Residential Lighting {E}'!A$10</f>
        <v>25714191.239999529</v>
      </c>
      <c r="I8" s="259">
        <f>'Residential Lighting {E}'!A$8</f>
        <v>1306785.0099999998</v>
      </c>
      <c r="J8" s="259">
        <f>'Residential Lighting {E}'!A$12</f>
        <v>3323248.1599999974</v>
      </c>
      <c r="K8" s="264">
        <f>'Residential Lighting {E}'!A$14</f>
        <v>2806821.7099999543</v>
      </c>
      <c r="L8" s="259">
        <f>SUM('Residential Lighting {E}'!Q$5:Q$1000)</f>
        <v>6130069.8699999498</v>
      </c>
      <c r="M8" s="259"/>
      <c r="N8" s="260">
        <f>'Residential Lighting {E}'!A$18</f>
        <v>4932137.22</v>
      </c>
      <c r="O8" s="259">
        <f>'Residential Lighting {E}'!A$20</f>
        <v>7436854.8799999496</v>
      </c>
      <c r="P8" s="259">
        <f>SUM('Residential Lighting {E}'!R$5:R$1000)</f>
        <v>0</v>
      </c>
      <c r="Q8" s="261">
        <f t="shared" si="0"/>
        <v>4610766.7757315133</v>
      </c>
      <c r="R8" s="261">
        <f t="shared" si="0"/>
        <v>6952280.901187201</v>
      </c>
      <c r="S8" s="259">
        <f>SUM('Residential Lighting {E}'!AM$5:AM$1000)</f>
        <v>22056173.857847579</v>
      </c>
      <c r="T8" s="259">
        <f>SUM('Residential Lighting {E}'!AD$5:AD$1000)</f>
        <v>0</v>
      </c>
      <c r="U8" s="133">
        <f t="shared" ref="U8:U21" si="2">IFERROR(S8/Q8,0)</f>
        <v>4.7836238375662132</v>
      </c>
      <c r="V8" s="133">
        <f t="shared" ref="V8:V21" si="3">IFERROR(((S8*1.1)+(T8))/R8,0)</f>
        <v>3.4897599203002994</v>
      </c>
    </row>
    <row r="9" spans="1:148" s="134" customFormat="1" ht="14.25">
      <c r="B9" s="130" t="s">
        <v>15</v>
      </c>
      <c r="C9" s="143" t="s">
        <v>369</v>
      </c>
      <c r="D9" s="143"/>
      <c r="E9" s="132">
        <f t="shared" ref="E9:E15" si="4">F9*(H9/$H$70)</f>
        <v>1.0534890706971896</v>
      </c>
      <c r="F9" s="144">
        <f>'SF Existing Space Heat {E}'!A$16</f>
        <v>15.37804578603285</v>
      </c>
      <c r="G9" s="145" t="s">
        <v>365</v>
      </c>
      <c r="H9" s="258">
        <f>'SF Existing Space Heat {E}'!A$10</f>
        <v>26455891.559999999</v>
      </c>
      <c r="I9" s="259">
        <f>'SF Existing Space Heat {E}'!A$8</f>
        <v>1260113.7200000007</v>
      </c>
      <c r="J9" s="259">
        <f>'SF Existing Space Heat {E}'!A$12</f>
        <v>9779012.8900000006</v>
      </c>
      <c r="K9" s="264">
        <f>'SF Existing Space Heat {E}'!A$14</f>
        <v>14872481.839999977</v>
      </c>
      <c r="L9" s="259">
        <f>SUM('SF Existing Space Heat {E}'!Q$5:Q$1000)</f>
        <v>24651494.729999982</v>
      </c>
      <c r="M9" s="259"/>
      <c r="N9" s="260">
        <f>'SF Existing Space Heat {E}'!A$18</f>
        <v>12899305.91</v>
      </c>
      <c r="O9" s="259">
        <f>'SF Existing Space Heat {E}'!A$20</f>
        <v>25911608.449999981</v>
      </c>
      <c r="P9" s="259">
        <f>SUM('SF Existing Space Heat {E}'!R$5:R$1000)</f>
        <v>285.3</v>
      </c>
      <c r="Q9" s="261">
        <f t="shared" ref="Q9:Q21" si="5">N9/(1+ElecDiscountRate)^1</f>
        <v>12058807.058053659</v>
      </c>
      <c r="R9" s="261">
        <f t="shared" ref="R9:R21" si="6">O9/(1+ElecDiscountRate)^1</f>
        <v>24223248.060203776</v>
      </c>
      <c r="S9" s="259">
        <f>SUM('SF Existing Space Heat {E}'!AM$5:AM$1000)</f>
        <v>22585281.50213613</v>
      </c>
      <c r="T9" s="259">
        <f>SUM('SF Existing Space Heat {E}'!AD$5:AD$1000)</f>
        <v>458665.33284985647</v>
      </c>
      <c r="U9" s="133">
        <f t="shared" si="2"/>
        <v>1.8729283413695721</v>
      </c>
      <c r="V9" s="133">
        <f t="shared" si="3"/>
        <v>1.0445533531388336</v>
      </c>
    </row>
    <row r="10" spans="1:148" s="134" customFormat="1" ht="14.25">
      <c r="B10" s="130" t="s">
        <v>15</v>
      </c>
      <c r="C10" s="143" t="s">
        <v>370</v>
      </c>
      <c r="D10" s="143"/>
      <c r="E10" s="132">
        <f t="shared" si="4"/>
        <v>0.12339432976050847</v>
      </c>
      <c r="F10" s="144">
        <f>'SF Existing Water Heat {E}'!A$16</f>
        <v>12.994729509199125</v>
      </c>
      <c r="G10" s="145" t="s">
        <v>365</v>
      </c>
      <c r="H10" s="258">
        <f>'SF Existing Water Heat {E}'!A$10</f>
        <v>3667089.22</v>
      </c>
      <c r="I10" s="259">
        <f>'SF Existing Water Heat {E}'!A$8</f>
        <v>456059.80000000005</v>
      </c>
      <c r="J10" s="259">
        <f>'SF Existing Water Heat {E}'!A$12</f>
        <v>1444482.0300000019</v>
      </c>
      <c r="K10" s="264">
        <f>'SF Existing Water Heat {E}'!A$14</f>
        <v>546491.85000001593</v>
      </c>
      <c r="L10" s="259">
        <f>SUM('SF Existing Water Heat {E}'!Q$5:Q$1000)</f>
        <v>1990973.8800000178</v>
      </c>
      <c r="M10" s="259"/>
      <c r="N10" s="260">
        <f>'SF Existing Water Heat {E}'!A$18</f>
        <v>2248115.85</v>
      </c>
      <c r="O10" s="259">
        <f>'SF Existing Water Heat {E}'!A$20</f>
        <v>2447033.6800000179</v>
      </c>
      <c r="P10" s="259">
        <f>SUM('SF Existing Water Heat {E}'!R$5:R$1000)</f>
        <v>5.48</v>
      </c>
      <c r="Q10" s="261">
        <f t="shared" si="5"/>
        <v>2101632.0931102177</v>
      </c>
      <c r="R10" s="261">
        <f t="shared" si="6"/>
        <v>2287588.7445078222</v>
      </c>
      <c r="S10" s="259">
        <f>SUM('SF Existing Water Heat {E}'!AM$5:AM$1000)</f>
        <v>1996937.8096398443</v>
      </c>
      <c r="T10" s="259">
        <f>SUM('SF Existing Water Heat {E}'!AD$5:AD$1000)</f>
        <v>8633.5554985070848</v>
      </c>
      <c r="U10" s="133">
        <f t="shared" si="2"/>
        <v>0.9501842954275429</v>
      </c>
      <c r="V10" s="133">
        <f t="shared" si="3"/>
        <v>0.96401293781361108</v>
      </c>
    </row>
    <row r="11" spans="1:148" s="134" customFormat="1" ht="14.25">
      <c r="B11" s="130" t="s">
        <v>15</v>
      </c>
      <c r="C11" s="146" t="s">
        <v>372</v>
      </c>
      <c r="D11" s="146"/>
      <c r="E11" s="132">
        <f t="shared" si="4"/>
        <v>8.4002044562957012E-2</v>
      </c>
      <c r="F11" s="144">
        <f>'Home Appliances {E}'!A$16</f>
        <v>10.663447871289067</v>
      </c>
      <c r="G11" s="145" t="s">
        <v>365</v>
      </c>
      <c r="H11" s="258">
        <f>'Home Appliances {E}'!A$10</f>
        <v>3042185.7199999997</v>
      </c>
      <c r="I11" s="259">
        <f>'Home Appliances {E}'!A$8</f>
        <v>550253.53</v>
      </c>
      <c r="J11" s="259">
        <f>'Home Appliances {E}'!A$12</f>
        <v>1235003.7999999998</v>
      </c>
      <c r="K11" s="264">
        <f>'Home Appliances {E}'!A$14</f>
        <v>327390.3899999875</v>
      </c>
      <c r="L11" s="259">
        <f>SUM('Home Appliances {E}'!Q$5:Q$999)</f>
        <v>1562394.1899999878</v>
      </c>
      <c r="M11" s="259"/>
      <c r="N11" s="260">
        <f>'Home Appliances {E}'!A$18</f>
        <v>2121552.25</v>
      </c>
      <c r="O11" s="259">
        <f>'Home Appliances {E}'!A$20</f>
        <v>2112647.7199999876</v>
      </c>
      <c r="P11" s="259">
        <f>SUM('Home Appliances {E}'!R$5:R$999)</f>
        <v>492.07000000000016</v>
      </c>
      <c r="Q11" s="261">
        <f t="shared" si="5"/>
        <v>1983315.1818266802</v>
      </c>
      <c r="R11" s="261">
        <f t="shared" si="6"/>
        <v>1974990.8572496844</v>
      </c>
      <c r="S11" s="259">
        <f>SUM('Home Appliances {E}'!AM$5:AM$999)</f>
        <v>2353013.2834179881</v>
      </c>
      <c r="T11" s="259">
        <f>SUM('Home Appliances {E}'!AD$5:AD$999)</f>
        <v>1871295.5613222176</v>
      </c>
      <c r="U11" s="133">
        <f t="shared" si="2"/>
        <v>1.1864041101378588</v>
      </c>
      <c r="V11" s="133">
        <f t="shared" si="3"/>
        <v>2.2580409203981477</v>
      </c>
    </row>
    <row r="12" spans="1:148" s="134" customFormat="1" ht="14.25">
      <c r="B12" s="130" t="s">
        <v>373</v>
      </c>
      <c r="C12" s="143" t="s">
        <v>374</v>
      </c>
      <c r="D12" s="143"/>
      <c r="E12" s="132">
        <f t="shared" si="4"/>
        <v>8.5274909155304016E-2</v>
      </c>
      <c r="F12" s="144">
        <f>'Web-Enabled Thermostats {E}'!A$16</f>
        <v>11.369865309221689</v>
      </c>
      <c r="G12" s="145" t="s">
        <v>365</v>
      </c>
      <c r="H12" s="258">
        <f>'Web-Enabled Thermostats {E}'!A$10</f>
        <v>2896406.1599999997</v>
      </c>
      <c r="I12" s="259">
        <f>'Web-Enabled Thermostats {E}'!A$8</f>
        <v>268900.27</v>
      </c>
      <c r="J12" s="259">
        <f>'Web-Enabled Thermostats {E}'!A$12</f>
        <v>572926.44999999995</v>
      </c>
      <c r="K12" s="264">
        <f>'Web-Enabled Thermostats {E}'!A$14</f>
        <v>586552.94000000053</v>
      </c>
      <c r="L12" s="259">
        <f>SUM('Web-Enabled Thermostats {E}'!Q$5:Q$1000)</f>
        <v>1159479.3900000006</v>
      </c>
      <c r="M12" s="259"/>
      <c r="N12" s="260">
        <f>'Web-Enabled Thermostats {E}'!A$18</f>
        <v>891667.42</v>
      </c>
      <c r="O12" s="259">
        <f>'Web-Enabled Thermostats {E}'!A$20</f>
        <v>1428379.6600000006</v>
      </c>
      <c r="P12" s="259">
        <f>SUM('Web-Enabled Thermostats {E}'!R$5:R$1000)</f>
        <v>5.48</v>
      </c>
      <c r="Q12" s="261">
        <f t="shared" si="5"/>
        <v>833567.74796671956</v>
      </c>
      <c r="R12" s="261">
        <f t="shared" si="6"/>
        <v>1335308.6472842859</v>
      </c>
      <c r="S12" s="259">
        <f>SUM('Web-Enabled Thermostats {E}'!AM$5:AM$1000)</f>
        <v>3174613.4353587991</v>
      </c>
      <c r="T12" s="259">
        <f>SUM('Web-Enabled Thermostats {E}'!AD$5:AD$1000)</f>
        <v>37347.836062738235</v>
      </c>
      <c r="U12" s="133">
        <f t="shared" si="2"/>
        <v>3.8084648105717576</v>
      </c>
      <c r="V12" s="133">
        <f t="shared" si="3"/>
        <v>2.6431511711808806</v>
      </c>
    </row>
    <row r="13" spans="1:148" s="134" customFormat="1" ht="14.25">
      <c r="B13" s="130" t="s">
        <v>15</v>
      </c>
      <c r="C13" s="143" t="s">
        <v>375</v>
      </c>
      <c r="D13" s="143"/>
      <c r="E13" s="132">
        <f t="shared" si="4"/>
        <v>2.9117141483310783E-2</v>
      </c>
      <c r="F13" s="144">
        <f>'Residential Showerheads {E}'!A$16</f>
        <v>10.000000000000004</v>
      </c>
      <c r="G13" s="145" t="s">
        <v>365</v>
      </c>
      <c r="H13" s="258">
        <f>'Residential Showerheads {E}'!A$10</f>
        <v>1124455.4500000002</v>
      </c>
      <c r="I13" s="259">
        <f>'Residential Showerheads {E}'!A$8</f>
        <v>200184.21999999997</v>
      </c>
      <c r="J13" s="259">
        <f>'Residential Showerheads {E}'!A$12</f>
        <v>142453.81999999998</v>
      </c>
      <c r="K13" s="264">
        <f>'Residential Showerheads {E}'!A$14</f>
        <v>-57298.799999999996</v>
      </c>
      <c r="L13" s="259">
        <f>SUM('Residential Showerheads {E}'!Q$5:Q$1000)</f>
        <v>85155.019999999975</v>
      </c>
      <c r="M13" s="259"/>
      <c r="N13" s="260">
        <f>'Residential Showerheads {E}'!A$18</f>
        <v>379553.35</v>
      </c>
      <c r="O13" s="259">
        <f>'Residential Showerheads {E}'!A$20</f>
        <v>285339.23999999993</v>
      </c>
      <c r="P13" s="259">
        <f>SUM('Residential Showerheads {E}'!R$5:R$1000)</f>
        <v>227.89000000000007</v>
      </c>
      <c r="Q13" s="261">
        <f t="shared" si="5"/>
        <v>354822.23988034023</v>
      </c>
      <c r="R13" s="261">
        <f t="shared" si="6"/>
        <v>266746.97578760394</v>
      </c>
      <c r="S13" s="259">
        <f>SUM('Residential Showerheads {E}'!AM$5:AM$1000)</f>
        <v>565060.41644518368</v>
      </c>
      <c r="T13" s="259">
        <f>SUM('Residential Showerheads {E}'!AD$5:AD$1000)</f>
        <v>966725.60948222759</v>
      </c>
      <c r="U13" s="133">
        <f t="shared" si="2"/>
        <v>1.5925169082855231</v>
      </c>
      <c r="V13" s="133">
        <f t="shared" si="3"/>
        <v>5.9543020605287014</v>
      </c>
    </row>
    <row r="14" spans="1:148" s="134" customFormat="1" ht="14.25">
      <c r="B14" s="130" t="s">
        <v>15</v>
      </c>
      <c r="C14" s="143" t="s">
        <v>376</v>
      </c>
      <c r="D14" s="143"/>
      <c r="E14" s="132">
        <f t="shared" si="4"/>
        <v>0.26153691693565728</v>
      </c>
      <c r="F14" s="144">
        <f>'SF Existing Weatherization {E}'!A$16</f>
        <v>36.297323437956813</v>
      </c>
      <c r="G14" s="145" t="s">
        <v>365</v>
      </c>
      <c r="H14" s="258">
        <f>'SF Existing Weatherization {E}'!A$10</f>
        <v>2782607.2699999982</v>
      </c>
      <c r="I14" s="259">
        <f>'SF Existing Weatherization {E}'!A$8</f>
        <v>310313.93999999994</v>
      </c>
      <c r="J14" s="259">
        <f>'SF Existing Weatherization {E}'!A$12</f>
        <v>1602847.0899999994</v>
      </c>
      <c r="K14" s="264">
        <f>'SF Existing Weatherization {E}'!A$14</f>
        <v>3535460.8400000003</v>
      </c>
      <c r="L14" s="259">
        <f>SUM('SF Existing Weatherization {E}'!Q$5:Q$1000)</f>
        <v>5138307.9300000025</v>
      </c>
      <c r="M14" s="259"/>
      <c r="N14" s="260">
        <f>'SF Existing Weatherization {E}'!A$18</f>
        <v>1920563.5799999998</v>
      </c>
      <c r="O14" s="259">
        <f>'SF Existing Weatherization {E}'!A$20</f>
        <v>5448621.8700000029</v>
      </c>
      <c r="P14" s="259">
        <f>SUM('SF Existing Weatherization {E}'!R$5:R$1000)</f>
        <v>9.2499999999999982</v>
      </c>
      <c r="Q14" s="261">
        <f t="shared" si="5"/>
        <v>1795422.6231653732</v>
      </c>
      <c r="R14" s="261">
        <f t="shared" si="6"/>
        <v>5093598.0835748361</v>
      </c>
      <c r="S14" s="259">
        <f>SUM('SF Existing Weatherization {E}'!AM$5:AM$1000)</f>
        <v>7854968.9274729956</v>
      </c>
      <c r="T14" s="259">
        <f>SUM('SF Existing Weatherization {E}'!AD$5:AD$1000)</f>
        <v>339361.1457387702</v>
      </c>
      <c r="U14" s="133">
        <f t="shared" si="2"/>
        <v>4.3749971879180718</v>
      </c>
      <c r="V14" s="133">
        <f t="shared" si="3"/>
        <v>1.7629633941704248</v>
      </c>
    </row>
    <row r="15" spans="1:148" s="134" customFormat="1" ht="14.25">
      <c r="B15" s="130" t="s">
        <v>15</v>
      </c>
      <c r="C15" s="143" t="s">
        <v>377</v>
      </c>
      <c r="D15" s="143"/>
      <c r="E15" s="132">
        <f t="shared" si="4"/>
        <v>0.2412475890918816</v>
      </c>
      <c r="F15" s="144">
        <f>'Home Energy Reports {E}'!A$16</f>
        <v>2</v>
      </c>
      <c r="G15" s="145" t="s">
        <v>365</v>
      </c>
      <c r="H15" s="258">
        <f>'Home Energy Reports {E}'!A$10</f>
        <v>46582898</v>
      </c>
      <c r="I15" s="259">
        <f>'Home Energy Reports {E}'!A$8</f>
        <v>1570971.7400000002</v>
      </c>
      <c r="J15" s="259">
        <f>'Home Energy Reports {E}'!A$12</f>
        <v>1244858.94</v>
      </c>
      <c r="K15" s="264">
        <f>'Home Energy Reports {E}'!A$14</f>
        <v>0</v>
      </c>
      <c r="L15" s="259">
        <f>SUM('Home Energy Reports {E}'!Q$5:Q$999)</f>
        <v>1244858.94</v>
      </c>
      <c r="M15" s="259"/>
      <c r="N15" s="260">
        <f>'Home Energy Reports {E}'!A$18</f>
        <v>2880060.0700000003</v>
      </c>
      <c r="O15" s="259">
        <f>'Home Energy Reports {E}'!A$20</f>
        <v>2815830.68</v>
      </c>
      <c r="P15" s="259">
        <f>SUM('Home Energy Reports {E}'!R$5:R$999)</f>
        <v>0</v>
      </c>
      <c r="Q15" s="261">
        <f t="shared" si="5"/>
        <v>2692399.8036832758</v>
      </c>
      <c r="R15" s="261">
        <f t="shared" si="6"/>
        <v>2632355.5015424886</v>
      </c>
      <c r="S15" s="259">
        <f>SUM('Home Energy Reports {E}'!AM$5:AM$999)</f>
        <v>7424093.493296165</v>
      </c>
      <c r="T15" s="259">
        <f>SUM('Home Energy Reports {E}'!AD$5:AD$999)</f>
        <v>0</v>
      </c>
      <c r="U15" s="133">
        <f t="shared" si="2"/>
        <v>2.7574261011086851</v>
      </c>
      <c r="V15" s="133">
        <f t="shared" si="3"/>
        <v>3.1023556042641025</v>
      </c>
    </row>
    <row r="16" spans="1:148" s="134" customFormat="1" ht="14.25">
      <c r="B16" s="130" t="s">
        <v>15</v>
      </c>
      <c r="C16" s="143" t="s">
        <v>371</v>
      </c>
      <c r="D16" s="143"/>
      <c r="E16" s="132"/>
      <c r="F16" s="144">
        <f>'Home Energy Assessments {E}'!A16</f>
        <v>11.43537248642358</v>
      </c>
      <c r="G16" s="145" t="s">
        <v>365</v>
      </c>
      <c r="H16" s="258">
        <f>'Home Energy Assessments {E}'!A$10</f>
        <v>997645.22000000114</v>
      </c>
      <c r="I16" s="259">
        <f>'Home Energy Assessments {E}'!A$8</f>
        <v>268789.84999999992</v>
      </c>
      <c r="J16" s="259">
        <f>'Home Energy Assessments {E}'!A$12</f>
        <v>318602.3000000001</v>
      </c>
      <c r="K16" s="264">
        <f>'Home Energy Assessments {E}'!A$14</f>
        <v>108547.40999999992</v>
      </c>
      <c r="L16" s="259">
        <f>SUM('Home Energy Assessments {E}'!Q$5:Q$999)</f>
        <v>427149.70999999996</v>
      </c>
      <c r="M16" s="259"/>
      <c r="N16" s="260">
        <f>'Home Energy Assessments {E}'!A$18</f>
        <v>599661.3899999999</v>
      </c>
      <c r="O16" s="259">
        <f>'Home Energy Assessments {E}'!A$20</f>
        <v>695939.55999999982</v>
      </c>
      <c r="P16" s="259">
        <f>SUM('Home Energy Assessments {E}'!R$5:R$999)</f>
        <v>144.44</v>
      </c>
      <c r="Q16" s="261">
        <f t="shared" ref="Q16" si="7">N16/(1+ElecDiscountRate)^1</f>
        <v>560588.37991960347</v>
      </c>
      <c r="R16" s="261">
        <f t="shared" ref="R16" si="8">O16/(1+ElecDiscountRate)^1</f>
        <v>650593.21305038768</v>
      </c>
      <c r="S16" s="259">
        <f>SUM('Home Energy Assessments {E}'!AM$5:AM$999)</f>
        <v>589181.06611897843</v>
      </c>
      <c r="T16" s="259">
        <f>SUM('Home Energy Assessments {E}'!AD$5:AD$999)</f>
        <v>130995.80549375524</v>
      </c>
      <c r="U16" s="133">
        <f t="shared" ref="U16" si="9">IFERROR(S16/Q16,0)</f>
        <v>1.0510047785925845</v>
      </c>
      <c r="V16" s="133">
        <f t="shared" ref="V16" si="10">IFERROR(((S16*1.1)+(T16))/R16,0)</f>
        <v>1.1975147643667343</v>
      </c>
    </row>
    <row r="17" spans="1:425" s="134" customFormat="1" ht="14.25">
      <c r="B17" s="130" t="s">
        <v>15</v>
      </c>
      <c r="C17" s="143" t="s">
        <v>1819</v>
      </c>
      <c r="D17" s="143"/>
      <c r="E17" s="132">
        <f>F17*(H17/$H$70)</f>
        <v>0</v>
      </c>
      <c r="F17" s="144">
        <f>IFERROR('Efficiency Boost {E}'!A$16,0)</f>
        <v>0</v>
      </c>
      <c r="G17" s="145" t="s">
        <v>365</v>
      </c>
      <c r="H17" s="258">
        <f>'Efficiency Boost {E}'!A$10</f>
        <v>0</v>
      </c>
      <c r="I17" s="259">
        <f>'Efficiency Boost {E}'!A$8</f>
        <v>72507.95</v>
      </c>
      <c r="J17" s="259">
        <f>'Efficiency Boost {E}'!A$12</f>
        <v>0</v>
      </c>
      <c r="K17" s="264">
        <f>'Efficiency Boost {E}'!A$14</f>
        <v>0</v>
      </c>
      <c r="L17" s="259">
        <f>SUM('Efficiency Boost {E}'!Q$5:Q$999)</f>
        <v>0</v>
      </c>
      <c r="M17" s="259"/>
      <c r="N17" s="260">
        <f>'Efficiency Boost {E}'!A$18</f>
        <v>72507.95</v>
      </c>
      <c r="O17" s="259">
        <f>'Efficiency Boost {E}'!A$20</f>
        <v>72507.95</v>
      </c>
      <c r="P17" s="259">
        <f>SUM('Efficiency Boost {E}'!R$5:R$999)</f>
        <v>0</v>
      </c>
      <c r="Q17" s="261">
        <f>N17/(1+ElecDiscountRate)^1</f>
        <v>67783.443956249408</v>
      </c>
      <c r="R17" s="261">
        <f>O17/(1+ElecDiscountRate)^1</f>
        <v>67783.443956249408</v>
      </c>
      <c r="S17" s="259">
        <f>SUM('Efficiency Boost {E}'!AM$5:AM$999)</f>
        <v>0</v>
      </c>
      <c r="T17" s="259">
        <f>SUM('Efficiency Boost {E}'!AD$5:AD$999)</f>
        <v>0</v>
      </c>
      <c r="U17" s="133">
        <f>IFERROR(S17/Q17,0)</f>
        <v>0</v>
      </c>
      <c r="V17" s="133">
        <f>IFERROR(((S17*1.1)+(T17))/R17,0)</f>
        <v>0</v>
      </c>
    </row>
    <row r="18" spans="1:425" s="134" customFormat="1" ht="14.25">
      <c r="B18" s="130" t="s">
        <v>17</v>
      </c>
      <c r="C18" s="131" t="s">
        <v>378</v>
      </c>
      <c r="D18" s="131"/>
      <c r="E18" s="132"/>
      <c r="F18" s="144">
        <f>'SF New Construction {E}'!A$16</f>
        <v>33.868335972325809</v>
      </c>
      <c r="G18" s="145" t="s">
        <v>365</v>
      </c>
      <c r="H18" s="258">
        <f>'SF New Construction {E}'!A$10</f>
        <v>123904.61</v>
      </c>
      <c r="I18" s="259">
        <f>'SF New Construction {E}'!A$8</f>
        <v>56680.83</v>
      </c>
      <c r="J18" s="259">
        <f>'SF New Construction {E}'!A$12</f>
        <v>56250</v>
      </c>
      <c r="K18" s="264">
        <f>'SF New Construction {E}'!A$14</f>
        <v>114833.63</v>
      </c>
      <c r="L18" s="259">
        <f>SUM('SF New Construction {E}'!Q$5:Q$1000)</f>
        <v>171083.63</v>
      </c>
      <c r="M18" s="259"/>
      <c r="N18" s="260">
        <f>'SF New Construction {E}'!A$18</f>
        <v>118930.83</v>
      </c>
      <c r="O18" s="259">
        <f>'SF New Construction {E}'!A$20</f>
        <v>227764.46000000002</v>
      </c>
      <c r="P18" s="259">
        <f>SUM('SF New Construction {E}'!R$5:R$1000)</f>
        <v>139.04</v>
      </c>
      <c r="Q18" s="261">
        <f t="shared" si="5"/>
        <v>111181.48078900625</v>
      </c>
      <c r="R18" s="261">
        <f t="shared" si="6"/>
        <v>212923.67953631858</v>
      </c>
      <c r="S18" s="259">
        <f>SUM('SF New Construction {E}'!AM$5:AM$1000)</f>
        <v>290932.06548211467</v>
      </c>
      <c r="T18" s="259">
        <f>SUM('SF New Construction {E}'!AD$5:AD$1000)</f>
        <v>8459.6777052558518</v>
      </c>
      <c r="U18" s="133">
        <f t="shared" si="2"/>
        <v>2.6167313424636665</v>
      </c>
      <c r="V18" s="133">
        <f t="shared" si="3"/>
        <v>1.542735643357845</v>
      </c>
    </row>
    <row r="19" spans="1:425" s="134" customFormat="1" ht="14.25">
      <c r="B19" s="130" t="s">
        <v>17</v>
      </c>
      <c r="C19" s="131" t="s">
        <v>379</v>
      </c>
      <c r="D19" s="131"/>
      <c r="E19" s="132"/>
      <c r="F19" s="144">
        <f>'MH New Construction {E}'!A$16</f>
        <v>44.283263103750151</v>
      </c>
      <c r="G19" s="145" t="s">
        <v>365</v>
      </c>
      <c r="H19" s="258">
        <f>'MH New Construction {E}'!A$10</f>
        <v>293561</v>
      </c>
      <c r="I19" s="259">
        <f>'MH New Construction {E}'!A$8</f>
        <v>113342.13</v>
      </c>
      <c r="J19" s="259">
        <f>'MH New Construction {E}'!A$12</f>
        <v>148600</v>
      </c>
      <c r="K19" s="264">
        <f>'MH New Construction {E}'!A$14</f>
        <v>191682.73000000004</v>
      </c>
      <c r="L19" s="259">
        <f>SUM('MH New Construction {E}'!Q$5:Q$1000)</f>
        <v>340282.73</v>
      </c>
      <c r="M19" s="259"/>
      <c r="N19" s="260">
        <f>'MH New Construction {E}'!A$18</f>
        <v>306397.58</v>
      </c>
      <c r="O19" s="259">
        <f>'MH New Construction {E}'!A$20</f>
        <v>453624.86</v>
      </c>
      <c r="P19" s="259">
        <f>SUM('MH New Construction {E}'!R$5:R$1000)</f>
        <v>143.13999999999999</v>
      </c>
      <c r="Q19" s="261">
        <f t="shared" si="5"/>
        <v>286433.18687482469</v>
      </c>
      <c r="R19" s="261">
        <f t="shared" si="6"/>
        <v>424067.36468168639</v>
      </c>
      <c r="S19" s="259">
        <f>SUM('MH New Construction {E}'!AM$5:AM$1000)</f>
        <v>988821.76818448934</v>
      </c>
      <c r="T19" s="259">
        <f>SUM('MH New Construction {E}'!AD$5:AD$1000)</f>
        <v>23066.572656908458</v>
      </c>
      <c r="U19" s="133">
        <f t="shared" si="2"/>
        <v>3.452189946888446</v>
      </c>
      <c r="V19" s="133">
        <f t="shared" si="3"/>
        <v>2.6193256311850686</v>
      </c>
    </row>
    <row r="20" spans="1:425" s="134" customFormat="1" ht="14.25">
      <c r="B20" s="130" t="s">
        <v>39</v>
      </c>
      <c r="C20" s="147" t="s">
        <v>380</v>
      </c>
      <c r="D20" s="147"/>
      <c r="E20" s="132"/>
      <c r="F20" s="144">
        <f>'Multi Family Retrofit {E}'!A$16</f>
        <v>27.679692193788188</v>
      </c>
      <c r="G20" s="145" t="s">
        <v>365</v>
      </c>
      <c r="H20" s="258">
        <f>'Multi Family Retrofit {E}'!A$10</f>
        <v>14451696.65</v>
      </c>
      <c r="I20" s="259">
        <f>'Multi Family Retrofit {E}'!A$8</f>
        <v>2829549.75</v>
      </c>
      <c r="J20" s="259">
        <f>'Multi Family Retrofit {E}'!A$12</f>
        <v>7805410.9000000004</v>
      </c>
      <c r="K20" s="259">
        <f>'Multi Family Retrofit {E}'!A$14</f>
        <v>6036669.9800000004</v>
      </c>
      <c r="L20" s="259">
        <f>SUM('Multi Family Retrofit {E}'!Q$5:Q$1000)</f>
        <v>13842080.880000003</v>
      </c>
      <c r="M20" s="259"/>
      <c r="N20" s="260">
        <f>'Multi Family Retrofit {E}'!A$18</f>
        <v>10759119.18</v>
      </c>
      <c r="O20" s="259">
        <f>'Multi Family Retrofit {E}'!A$20</f>
        <v>16671630.630000003</v>
      </c>
      <c r="P20" s="259">
        <f>SUM('Multi Family Retrofit {E}'!R$5:R$1000)</f>
        <v>303.06</v>
      </c>
      <c r="Q20" s="261">
        <f t="shared" si="5"/>
        <v>10058071.590165466</v>
      </c>
      <c r="R20" s="261">
        <f t="shared" si="6"/>
        <v>15585332.925119193</v>
      </c>
      <c r="S20" s="259">
        <f>SUM('Multi Family Retrofit {E}'!AM$5:AM$1000)</f>
        <v>26565874.523768742</v>
      </c>
      <c r="T20" s="259">
        <f>SUM('Multi Family Retrofit {E}'!AD$5:AD$1000)</f>
        <v>892267.49671692855</v>
      </c>
      <c r="U20" s="133">
        <f t="shared" si="2"/>
        <v>2.6412492977027719</v>
      </c>
      <c r="V20" s="133">
        <f t="shared" si="3"/>
        <v>1.9322480705128879</v>
      </c>
    </row>
    <row r="21" spans="1:425" s="134" customFormat="1" ht="14.25">
      <c r="A21" s="148"/>
      <c r="B21" s="130" t="s">
        <v>59</v>
      </c>
      <c r="C21" s="147" t="s">
        <v>381</v>
      </c>
      <c r="D21" s="147"/>
      <c r="E21" s="132"/>
      <c r="F21" s="144">
        <f>'MF New Construction {E}'!A$16</f>
        <v>15.000000000000002</v>
      </c>
      <c r="G21" s="145" t="s">
        <v>365</v>
      </c>
      <c r="H21" s="258">
        <f>'MF New Construction {E}'!A$10</f>
        <v>4615006</v>
      </c>
      <c r="I21" s="259">
        <f>'MF New Construction {E}'!A$8</f>
        <v>869646.28</v>
      </c>
      <c r="J21" s="259">
        <f>'MF New Construction {E}'!A$12</f>
        <v>1217245</v>
      </c>
      <c r="K21" s="259">
        <f>'MF New Construction {E}'!A$14</f>
        <v>0</v>
      </c>
      <c r="L21" s="259">
        <f>SUM('MF New Construction {E}'!Q$5:Q$1000)</f>
        <v>1217245</v>
      </c>
      <c r="M21" s="259"/>
      <c r="N21" s="260">
        <f>'MF New Construction {E}'!A$18</f>
        <v>2096891.28</v>
      </c>
      <c r="O21" s="259">
        <f>'MF New Construction {E}'!A$20</f>
        <v>2086891.28</v>
      </c>
      <c r="P21" s="259">
        <f>SUM('MF New Construction {E}'!R$5:R$1000)</f>
        <v>0</v>
      </c>
      <c r="Q21" s="261">
        <f t="shared" si="5"/>
        <v>1960261.0825465082</v>
      </c>
      <c r="R21" s="261">
        <f t="shared" si="6"/>
        <v>1950912.6671029259</v>
      </c>
      <c r="S21" s="259">
        <f>SUM('MF New Construction {E}'!AM$5:AM$1000)</f>
        <v>6045016.3896399662</v>
      </c>
      <c r="T21" s="259">
        <f>SUM('MF New Construction {E}'!AD$5:AD$1000)</f>
        <v>0</v>
      </c>
      <c r="U21" s="133">
        <f t="shared" si="2"/>
        <v>3.0837812592734291</v>
      </c>
      <c r="V21" s="133">
        <f t="shared" si="3"/>
        <v>3.4084139904009088</v>
      </c>
    </row>
    <row r="22" spans="1:425" s="156" customFormat="1">
      <c r="A22" s="134"/>
      <c r="B22" s="149" t="s">
        <v>382</v>
      </c>
      <c r="C22" s="149"/>
      <c r="D22" s="149"/>
      <c r="E22" s="150"/>
      <c r="F22" s="151"/>
      <c r="G22" s="152"/>
      <c r="H22" s="153">
        <f>SUM(H8:H21,H6)</f>
        <v>135055426.98999953</v>
      </c>
      <c r="I22" s="153">
        <f t="shared" ref="I22:T22" si="11">SUM(I8:I21,I6)</f>
        <v>10399907.43</v>
      </c>
      <c r="J22" s="153">
        <f t="shared" si="11"/>
        <v>35540782.990000002</v>
      </c>
      <c r="K22" s="153">
        <f t="shared" si="11"/>
        <v>29159755.999999933</v>
      </c>
      <c r="L22" s="153">
        <f t="shared" si="11"/>
        <v>64700538.989999935</v>
      </c>
      <c r="M22" s="153">
        <f t="shared" si="11"/>
        <v>0</v>
      </c>
      <c r="N22" s="153">
        <f t="shared" si="11"/>
        <v>49351668.68</v>
      </c>
      <c r="O22" s="153">
        <f t="shared" si="11"/>
        <v>75578649.605720371</v>
      </c>
      <c r="P22" s="153">
        <f t="shared" si="11"/>
        <v>51938.159999999996</v>
      </c>
      <c r="Q22" s="153">
        <f t="shared" si="11"/>
        <v>46135990.165466957</v>
      </c>
      <c r="R22" s="153">
        <f t="shared" si="11"/>
        <v>70654061.517921254</v>
      </c>
      <c r="S22" s="153">
        <f t="shared" si="11"/>
        <v>106443808.18394275</v>
      </c>
      <c r="T22" s="153">
        <f t="shared" si="11"/>
        <v>5964377.3192728991</v>
      </c>
      <c r="U22" s="154">
        <f>S22/Q22</f>
        <v>2.3071751099777313</v>
      </c>
      <c r="V22" s="154">
        <f>((S22*1.1)+(T22))/R22</f>
        <v>1.7416205619035492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>
      <c r="A23" s="134"/>
      <c r="B23" s="157" t="s">
        <v>383</v>
      </c>
      <c r="C23" s="157"/>
      <c r="D23" s="157"/>
      <c r="E23" s="158"/>
      <c r="F23" s="151"/>
      <c r="G23" s="152"/>
      <c r="H23" s="153">
        <f>H22-H6</f>
        <v>132747538.09999953</v>
      </c>
      <c r="I23" s="153">
        <f t="shared" ref="I23:T23" si="12">I22-I6</f>
        <v>10134099.02</v>
      </c>
      <c r="J23" s="153">
        <f t="shared" si="12"/>
        <v>28890941.380000003</v>
      </c>
      <c r="K23" s="153">
        <f t="shared" si="12"/>
        <v>29069634.519999932</v>
      </c>
      <c r="L23" s="153">
        <f t="shared" si="12"/>
        <v>57960575.899999939</v>
      </c>
      <c r="M23" s="153">
        <f t="shared" si="12"/>
        <v>0</v>
      </c>
      <c r="N23" s="153">
        <f t="shared" si="12"/>
        <v>42226463.859999999</v>
      </c>
      <c r="O23" s="153">
        <f t="shared" si="12"/>
        <v>68094674.919999942</v>
      </c>
      <c r="P23" s="153">
        <f t="shared" si="12"/>
        <v>1755.1500000000015</v>
      </c>
      <c r="Q23" s="153">
        <f t="shared" si="12"/>
        <v>39475052.687669441</v>
      </c>
      <c r="R23" s="153">
        <f t="shared" si="12"/>
        <v>63657731.064784452</v>
      </c>
      <c r="S23" s="153">
        <f t="shared" si="12"/>
        <v>102489968.53880897</v>
      </c>
      <c r="T23" s="153">
        <f t="shared" si="12"/>
        <v>4736818.5935271652</v>
      </c>
      <c r="U23" s="154">
        <f>S23/Q23</f>
        <v>2.5963225267796308</v>
      </c>
      <c r="V23" s="154">
        <f>((S23*1.1)+(T23))/R23</f>
        <v>1.8454283874281034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.25">
      <c r="A24" s="134"/>
      <c r="B24" s="130" t="s">
        <v>65</v>
      </c>
      <c r="C24" s="502" t="s">
        <v>1806</v>
      </c>
      <c r="D24" s="147"/>
      <c r="E24" s="159"/>
      <c r="F24" s="144"/>
      <c r="G24" s="160"/>
      <c r="H24" s="258">
        <f>SUM(H25:H28)</f>
        <v>112836639.5</v>
      </c>
      <c r="I24" s="258">
        <f>SUM(I25:I28)</f>
        <v>7514735.2199999988</v>
      </c>
      <c r="J24" s="258">
        <f>SUM(J25:J28)</f>
        <v>24496913.350000001</v>
      </c>
      <c r="K24" s="258">
        <f>SUM(K25:K28)</f>
        <v>38077516.589999989</v>
      </c>
      <c r="L24" s="258">
        <f>SUM(L25:L28)</f>
        <v>62574429.939999998</v>
      </c>
      <c r="M24" s="259"/>
      <c r="N24" s="260">
        <f t="shared" ref="N24:T24" si="13">SUM(N25:N28)</f>
        <v>32238066.140000001</v>
      </c>
      <c r="O24" s="258">
        <f t="shared" si="13"/>
        <v>70089165.159999996</v>
      </c>
      <c r="P24" s="258">
        <f t="shared" si="13"/>
        <v>0</v>
      </c>
      <c r="Q24" s="258">
        <f t="shared" si="13"/>
        <v>30137483.537440404</v>
      </c>
      <c r="R24" s="258">
        <f t="shared" si="13"/>
        <v>65522263.400953531</v>
      </c>
      <c r="S24" s="258">
        <f t="shared" si="13"/>
        <v>126957993.46331</v>
      </c>
      <c r="T24" s="258">
        <f t="shared" si="13"/>
        <v>0</v>
      </c>
      <c r="U24" s="133">
        <f>IFERROR(S24/Q24,0)</f>
        <v>4.2126275508566442</v>
      </c>
      <c r="V24" s="133">
        <f>IFERROR(((S24*1.1)+(T24))/R24,0)</f>
        <v>2.1313945147934046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384</v>
      </c>
      <c r="D25" s="147"/>
      <c r="E25" s="159">
        <f>F25*(H25/$H$70)</f>
        <v>0.61759359305730133</v>
      </c>
      <c r="F25" s="144">
        <f>'CI Retrofit {E}'!A$16</f>
        <v>12.392142111846477</v>
      </c>
      <c r="G25" s="160" t="s">
        <v>365</v>
      </c>
      <c r="H25" s="258">
        <f>'CI Retrofit {E}'!A$10</f>
        <v>19246418</v>
      </c>
      <c r="I25" s="259">
        <f>'CI Retrofit {E}'!A$8</f>
        <v>2278481.61</v>
      </c>
      <c r="J25" s="259">
        <f>'CI Retrofit {E}'!A$12</f>
        <v>4137381.4200000004</v>
      </c>
      <c r="K25" s="259">
        <f>'CI Retrofit {E}'!A$14</f>
        <v>3362814.1599999997</v>
      </c>
      <c r="L25" s="259">
        <f>SUM('CI Retrofit {E}'!Q$5:Q$973)</f>
        <v>7500195.5800000019</v>
      </c>
      <c r="M25" s="259"/>
      <c r="N25" s="260">
        <f>'CI Retrofit {E}'!A$18</f>
        <v>6444042.6200000001</v>
      </c>
      <c r="O25" s="259">
        <f>'CI Retrofit {E}'!A$20</f>
        <v>9778677.1900000013</v>
      </c>
      <c r="P25" s="259">
        <f>SUM('CI Retrofit {E}'!R$5:R$973)</f>
        <v>0</v>
      </c>
      <c r="Q25" s="261">
        <f t="shared" ref="Q25:Q42" si="14">N25/(1+ElecDiscountRate)^1</f>
        <v>6024158.7547910623</v>
      </c>
      <c r="R25" s="261">
        <f t="shared" ref="R25:R42" si="15">O25/(1+ElecDiscountRate)^1</f>
        <v>9141513.6860802099</v>
      </c>
      <c r="S25" s="259">
        <f>SUM('CI Retrofit {E}'!AM$5:AM$973)</f>
        <v>18996161.938624438</v>
      </c>
      <c r="T25" s="259">
        <f>SUM('CI Retrofit {E}'!AD$5:AD$973)</f>
        <v>0</v>
      </c>
      <c r="U25" s="133">
        <f t="shared" ref="U25:U33" si="16">IFERROR(S25/Q25,0)</f>
        <v>3.1533302344525094</v>
      </c>
      <c r="V25" s="133">
        <f t="shared" ref="V25:V33" si="17">IFERROR(((S25*1.1)+(T25))/R25,0)</f>
        <v>2.2858116117361287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1804</v>
      </c>
      <c r="D26" s="147"/>
      <c r="E26" s="159">
        <f>F26*(H26/$H$70)</f>
        <v>12.086602741088342</v>
      </c>
      <c r="F26" s="144">
        <f>'Bus Lighting Grants {E}'!A$16</f>
        <v>51.539329153560679</v>
      </c>
      <c r="G26" s="160" t="s">
        <v>365</v>
      </c>
      <c r="H26" s="258">
        <f>'Bus Lighting Grants {E}'!A$10</f>
        <v>90564710.599999994</v>
      </c>
      <c r="I26" s="259">
        <f>'Bus Lighting Grants {E}'!A$8</f>
        <v>4763566.3599999994</v>
      </c>
      <c r="J26" s="259">
        <f>'Bus Lighting Grants {E}'!A$12</f>
        <v>19736090.93</v>
      </c>
      <c r="K26" s="259">
        <f>'Bus Lighting Grants {E}'!A$14</f>
        <v>34037103.569999993</v>
      </c>
      <c r="L26" s="259">
        <f>SUM('Bus Lighting Grants {E}'!Q$5:Q$1000)</f>
        <v>53773194.5</v>
      </c>
      <c r="M26" s="259"/>
      <c r="N26" s="260">
        <f>'Bus Lighting Grants {E}'!A$18</f>
        <v>24502867.289999999</v>
      </c>
      <c r="O26" s="259">
        <f>'Bus Lighting Grants {E}'!A$20</f>
        <v>58536760.859999999</v>
      </c>
      <c r="P26" s="259">
        <f>SUM('Bus Lighting Grants {E}'!R$5:R$1000)</f>
        <v>0</v>
      </c>
      <c r="Q26" s="261">
        <f t="shared" ref="Q26:R28" si="18">N26/(1+ElecDiscountRate)^1</f>
        <v>22906298.298588388</v>
      </c>
      <c r="R26" s="261">
        <f t="shared" si="18"/>
        <v>54722595.924090862</v>
      </c>
      <c r="S26" s="259">
        <f>SUM('Bus Lighting Grants {E}'!AM$5:AM$1000)</f>
        <v>105619943.39314097</v>
      </c>
      <c r="T26" s="259">
        <f>SUM('Bus Lighting Grants {E}'!AD$5:AD$1000)</f>
        <v>0</v>
      </c>
      <c r="U26" s="133">
        <f>IFERROR(S26/Q26,0)</f>
        <v>4.6109564285055109</v>
      </c>
      <c r="V26" s="133">
        <f>IFERROR(((S26*1.1)+(T26))/R26,0)</f>
        <v>2.1231072059084752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1805</v>
      </c>
      <c r="D27" s="147"/>
      <c r="E27" s="159">
        <f>F27*(H27/$H$70)</f>
        <v>8.9100083589349899E-2</v>
      </c>
      <c r="F27" s="144">
        <f>'Industrial EM {E}'!A$16</f>
        <v>11.561760725249606</v>
      </c>
      <c r="G27" s="160" t="s">
        <v>365</v>
      </c>
      <c r="H27" s="258">
        <f>'Industrial EM {E}'!A$10</f>
        <v>2976100.9</v>
      </c>
      <c r="I27" s="259">
        <f>'Industrial EM {E}'!A$8</f>
        <v>430042.25</v>
      </c>
      <c r="J27" s="259">
        <f>'Industrial EM {E}'!A$12</f>
        <v>623441</v>
      </c>
      <c r="K27" s="259">
        <f>'Industrial EM {E}'!A$14</f>
        <v>677598.86</v>
      </c>
      <c r="L27" s="259">
        <f>SUM('Industrial EM {E}'!Q$5:Q$998)</f>
        <v>1301039.8600000001</v>
      </c>
      <c r="M27" s="259"/>
      <c r="N27" s="260">
        <f>'Industrial EM {E}'!A$18</f>
        <v>1248511.23</v>
      </c>
      <c r="O27" s="259">
        <f>'Industrial EM {E}'!A$20</f>
        <v>1731082.11</v>
      </c>
      <c r="P27" s="259">
        <f>SUM('Industrial EM {E}'!R$5:R$998)</f>
        <v>0</v>
      </c>
      <c r="Q27" s="261">
        <f t="shared" si="18"/>
        <v>1167160.1664017949</v>
      </c>
      <c r="R27" s="261">
        <f t="shared" si="18"/>
        <v>1618287.4731233055</v>
      </c>
      <c r="S27" s="259">
        <f>SUM('Industrial EM {E}'!AM$5:AM$998)</f>
        <v>2324195.7848945926</v>
      </c>
      <c r="T27" s="259">
        <f>SUM('Industrial EM {E}'!AD$5:AD$998)</f>
        <v>0</v>
      </c>
      <c r="U27" s="133">
        <f>IFERROR(S27/Q27,0)</f>
        <v>1.9913254853957107</v>
      </c>
      <c r="V27" s="133">
        <f>IFERROR(((S27*1.1)+(T27))/R27,0)</f>
        <v>1.5798276918313949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65</v>
      </c>
      <c r="C28" s="143" t="s">
        <v>320</v>
      </c>
      <c r="D28" s="147"/>
      <c r="E28" s="159">
        <f>F28*(H28/$H$70)</f>
        <v>6.39722080892749E-4</v>
      </c>
      <c r="F28" s="144">
        <f>'CBA {E}'!A$16</f>
        <v>5</v>
      </c>
      <c r="G28" s="160" t="s">
        <v>365</v>
      </c>
      <c r="H28" s="258">
        <f>'CBA {E}'!A$10</f>
        <v>49410</v>
      </c>
      <c r="I28" s="259">
        <f>'CBA {E}'!A$8</f>
        <v>42645</v>
      </c>
      <c r="J28" s="259">
        <f>'CBA {E}'!A$12</f>
        <v>0</v>
      </c>
      <c r="K28" s="259">
        <f>'CBA {E}'!A$14</f>
        <v>0</v>
      </c>
      <c r="L28" s="259">
        <f>SUM('CBA {E}'!Q$5:Q$1000)</f>
        <v>0</v>
      </c>
      <c r="M28" s="259"/>
      <c r="N28" s="260">
        <f>'CBA {E}'!A$18</f>
        <v>42645</v>
      </c>
      <c r="O28" s="259">
        <f>'CBA {E}'!A$20</f>
        <v>42645</v>
      </c>
      <c r="P28" s="259">
        <f>SUM('CBA {E}'!R$5:R$1000)</f>
        <v>0</v>
      </c>
      <c r="Q28" s="261">
        <f t="shared" si="18"/>
        <v>39866.317659156768</v>
      </c>
      <c r="R28" s="261">
        <f t="shared" si="18"/>
        <v>39866.317659156768</v>
      </c>
      <c r="S28" s="259">
        <f>SUM('CBA {E}'!AM$5:AM$1000)</f>
        <v>17692.346650010979</v>
      </c>
      <c r="T28" s="259">
        <f>SUM('CBA {E}'!AD$5:AD$1000)</f>
        <v>0</v>
      </c>
      <c r="U28" s="133">
        <f>IFERROR(S28/Q28,0)</f>
        <v>0.44379184456599241</v>
      </c>
      <c r="V28" s="133">
        <f>IFERROR(((S28*1.1)+(T28))/R28,0)</f>
        <v>0.48817102902259168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129</v>
      </c>
      <c r="C29" s="147" t="s">
        <v>385</v>
      </c>
      <c r="D29" s="147"/>
      <c r="E29" s="159">
        <f>F29*(H29/$H$70)</f>
        <v>1.1719413428944276</v>
      </c>
      <c r="F29" s="144">
        <f>'CI New Construction {E}'!A$16</f>
        <v>16.494743383531073</v>
      </c>
      <c r="G29" s="160" t="s">
        <v>365</v>
      </c>
      <c r="H29" s="258">
        <f>'CI New Construction {E}'!A$10</f>
        <v>27438087</v>
      </c>
      <c r="I29" s="259">
        <f>'CI New Construction {E}'!A$8</f>
        <v>570379.52000000048</v>
      </c>
      <c r="J29" s="259">
        <f>'CI New Construction {E}'!A$12</f>
        <v>4722671.5999999996</v>
      </c>
      <c r="K29" s="259">
        <f>'CI New Construction {E}'!A$14</f>
        <v>1094457.4600000002</v>
      </c>
      <c r="L29" s="259">
        <f>SUM('CI New Construction {E}'!Q$5:Q$1000)</f>
        <v>5817129.0600000005</v>
      </c>
      <c r="M29" s="259"/>
      <c r="N29" s="260">
        <f>'CI New Construction {E}'!A$18</f>
        <v>5293051.12</v>
      </c>
      <c r="O29" s="259">
        <f>'CI New Construction {E}'!A$20</f>
        <v>6387508.580000001</v>
      </c>
      <c r="P29" s="259">
        <f>SUM('CI New Construction {E}'!R$5:R$1000)</f>
        <v>0</v>
      </c>
      <c r="Q29" s="261">
        <f t="shared" si="14"/>
        <v>4948164.0833878657</v>
      </c>
      <c r="R29" s="261">
        <f t="shared" si="15"/>
        <v>5971308.3855286529</v>
      </c>
      <c r="S29" s="259">
        <f>SUM('CI New Construction {E}'!AM$5:AM$1000)</f>
        <v>30972958.755015507</v>
      </c>
      <c r="T29" s="259">
        <f>SUM('CI New Construction {E}'!AD$5:AD$1000)</f>
        <v>0</v>
      </c>
      <c r="U29" s="133">
        <f t="shared" si="16"/>
        <v>6.2594849792873504</v>
      </c>
      <c r="V29" s="133">
        <f t="shared" si="17"/>
        <v>5.7056598706383417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386</v>
      </c>
      <c r="D30" s="162"/>
      <c r="E30" s="159"/>
      <c r="F30" s="144">
        <f>'Com SEM {E}'!A$16</f>
        <v>3</v>
      </c>
      <c r="G30" s="160" t="s">
        <v>365</v>
      </c>
      <c r="H30" s="258">
        <f>'Com SEM {E}'!A$10</f>
        <v>20314478</v>
      </c>
      <c r="I30" s="259">
        <f>'Com SEM {E}'!A$8</f>
        <v>1552628.3099999996</v>
      </c>
      <c r="J30" s="259">
        <f>'Com SEM {E}'!A$12</f>
        <v>983596</v>
      </c>
      <c r="K30" s="259">
        <f>'Com SEM {E}'!A$14</f>
        <v>357710.4</v>
      </c>
      <c r="L30" s="259">
        <f>SUM('Com SEM {E}'!Q$5:Q$995)</f>
        <v>1341306.3999999999</v>
      </c>
      <c r="M30" s="259"/>
      <c r="N30" s="260">
        <f>'Com SEM {E}'!A$18</f>
        <v>2536224.3099999996</v>
      </c>
      <c r="O30" s="259">
        <f>'Com SEM {E}'!A$20</f>
        <v>2893934.7099999995</v>
      </c>
      <c r="P30" s="259">
        <f>SUM('Com SEM {E}'!R$5:R$995)</f>
        <v>0</v>
      </c>
      <c r="Q30" s="261">
        <f>N30/(1+ElecDiscountRate)^1</f>
        <v>2370967.8507992891</v>
      </c>
      <c r="R30" s="261">
        <f>O30/(1+ElecDiscountRate)^1</f>
        <v>2705370.3935682895</v>
      </c>
      <c r="S30" s="259">
        <f>SUM('Com SEM {E}'!AM$5:AM$995)</f>
        <v>5802316.4474194758</v>
      </c>
      <c r="T30" s="259">
        <f>SUM('Com SEM {E}'!AD$5:AD$995)</f>
        <v>0</v>
      </c>
      <c r="U30" s="133">
        <f t="shared" si="16"/>
        <v>2.4472353960697641</v>
      </c>
      <c r="V30" s="133">
        <f t="shared" si="17"/>
        <v>2.3592141421134816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136</v>
      </c>
      <c r="C31" s="162" t="s">
        <v>387</v>
      </c>
      <c r="D31" s="162"/>
      <c r="E31" s="159"/>
      <c r="F31" s="144">
        <f>'P4P {E}'!A$16</f>
        <v>14</v>
      </c>
      <c r="G31" s="160" t="s">
        <v>365</v>
      </c>
      <c r="H31" s="258">
        <f>'P4P {E}'!A$10</f>
        <v>80136</v>
      </c>
      <c r="I31" s="259">
        <f>'P4P {E}'!A$8</f>
        <v>9575.2799999999988</v>
      </c>
      <c r="J31" s="259">
        <f>'P4P {E}'!A$12</f>
        <v>28048</v>
      </c>
      <c r="K31" s="259">
        <f>'P4P {E}'!A$14</f>
        <v>36462</v>
      </c>
      <c r="L31" s="259">
        <f>SUM('P4P {E}'!Q$5:Q$1000)</f>
        <v>64510</v>
      </c>
      <c r="M31" s="259"/>
      <c r="N31" s="260">
        <f>'P4P {E}'!A$18</f>
        <v>37623.279999999999</v>
      </c>
      <c r="O31" s="259">
        <f>'P4P {E}'!A$20</f>
        <v>74085.279999999999</v>
      </c>
      <c r="P31" s="259">
        <f>SUM('P4P {E}'!R$5:R$1000)</f>
        <v>0</v>
      </c>
      <c r="Q31" s="261">
        <f>N31/(1+ElecDiscountRate)^1</f>
        <v>35171.805179022151</v>
      </c>
      <c r="R31" s="261">
        <f>O31/(1+ElecDiscountRate)^1</f>
        <v>69257.997569411978</v>
      </c>
      <c r="S31" s="259">
        <f>SUM('P4P {E}'!AM$5:AM$1000)</f>
        <v>77737.371106511913</v>
      </c>
      <c r="T31" s="259">
        <f>SUM('P4P {E}'!AD$5:AD$1000)</f>
        <v>0</v>
      </c>
      <c r="U31" s="133">
        <f t="shared" si="16"/>
        <v>2.210218403941278</v>
      </c>
      <c r="V31" s="133">
        <f t="shared" si="17"/>
        <v>1.2346748565963359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388</v>
      </c>
      <c r="D32" s="163"/>
      <c r="E32" s="159">
        <f>F32*(H32/$H$70)</f>
        <v>0.37375286765867971</v>
      </c>
      <c r="F32" s="144">
        <f>'LPU 449 {E}'!A$16</f>
        <v>12.841414359521035</v>
      </c>
      <c r="G32" s="160" t="s">
        <v>365</v>
      </c>
      <c r="H32" s="258">
        <f>'LPU 449 {E}'!A$10</f>
        <v>11239971</v>
      </c>
      <c r="I32" s="259">
        <f>'LPU 449 {E}'!A$8</f>
        <v>468989.23000000045</v>
      </c>
      <c r="J32" s="259">
        <f>'LPU 449 {E}'!A$12</f>
        <v>3928732.4499999997</v>
      </c>
      <c r="K32" s="259">
        <f>'LPU 449 {E}'!A$14</f>
        <v>5196956.3000000007</v>
      </c>
      <c r="L32" s="259">
        <f>SUM('LPU 449 {E}'!Q$5:Q$1000)</f>
        <v>9125688.75</v>
      </c>
      <c r="M32" s="259"/>
      <c r="N32" s="260">
        <f>'LPU 449 {E}'!A$18</f>
        <v>5023040.66</v>
      </c>
      <c r="O32" s="259">
        <f>'LPU 449 {E}'!A$20</f>
        <v>9594677.9800000004</v>
      </c>
      <c r="P32" s="259">
        <f>SUM('LPU 449 {E}'!R$5:R$1000)</f>
        <v>0</v>
      </c>
      <c r="Q32" s="261">
        <f t="shared" si="14"/>
        <v>4695747.0879685888</v>
      </c>
      <c r="R32" s="261">
        <f t="shared" si="15"/>
        <v>8969503.580443114</v>
      </c>
      <c r="S32" s="259">
        <f>SUM('LPU 449 {E}'!AM$5:AM$1000)</f>
        <v>9663915.7508460619</v>
      </c>
      <c r="T32" s="259">
        <f>SUM('LPU 449 {E}'!AD$5:AD$1000)</f>
        <v>0</v>
      </c>
      <c r="U32" s="133">
        <f t="shared" si="16"/>
        <v>2.0580145331095197</v>
      </c>
      <c r="V32" s="133">
        <f t="shared" si="17"/>
        <v>1.1851611664561603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.25">
      <c r="A33" s="134"/>
      <c r="B33" s="130" t="s">
        <v>133</v>
      </c>
      <c r="C33" s="163" t="s">
        <v>389</v>
      </c>
      <c r="D33" s="163"/>
      <c r="E33" s="159"/>
      <c r="F33" s="144">
        <f>'LPU Non-449 {E}'!A$16</f>
        <v>13.653965878867513</v>
      </c>
      <c r="G33" s="160" t="s">
        <v>365</v>
      </c>
      <c r="H33" s="258">
        <f>'LPU Non-449 {E}'!A$10</f>
        <v>5631173</v>
      </c>
      <c r="I33" s="259">
        <f>'LPU Non-449 {E}'!A$8</f>
        <v>436096.56999999983</v>
      </c>
      <c r="J33" s="259">
        <f>'LPU Non-449 {E}'!A$12</f>
        <v>1574075.43</v>
      </c>
      <c r="K33" s="259">
        <f>'LPU Non-449 {E}'!A$14</f>
        <v>504087.5</v>
      </c>
      <c r="L33" s="259">
        <f>SUM('LPU Non-449 {E}'!Q$5:Q$1000)</f>
        <v>2078162.93</v>
      </c>
      <c r="M33" s="259"/>
      <c r="N33" s="260">
        <f>'LPU Non-449 {E}'!A$18</f>
        <v>2591634.09</v>
      </c>
      <c r="O33" s="259">
        <f>'LPU Non-449 {E}'!A$20</f>
        <v>2514259.5</v>
      </c>
      <c r="P33" s="259">
        <f>SUM('LPU Non-449 {E}'!R$5:R$1000)</f>
        <v>0</v>
      </c>
      <c r="Q33" s="261">
        <f t="shared" si="14"/>
        <v>2422767.2151070391</v>
      </c>
      <c r="R33" s="261">
        <f t="shared" si="15"/>
        <v>2350434.233897354</v>
      </c>
      <c r="S33" s="259">
        <f>SUM('LPU Non-449 {E}'!AM$5:AM$1000)</f>
        <v>5259322.3314567963</v>
      </c>
      <c r="T33" s="259">
        <f>SUM('LPU Non-449 {E}'!AD$5:AD$1000)</f>
        <v>0</v>
      </c>
      <c r="U33" s="133">
        <f t="shared" si="16"/>
        <v>2.1707914399132386</v>
      </c>
      <c r="V33" s="133">
        <f t="shared" si="17"/>
        <v>2.4613556427867809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>
      <c r="A34" s="134"/>
      <c r="B34" s="130" t="s">
        <v>70</v>
      </c>
      <c r="C34" s="509" t="s">
        <v>390</v>
      </c>
      <c r="D34" s="164"/>
      <c r="E34" s="165">
        <f>F34*(H34/$H$70)</f>
        <v>0</v>
      </c>
      <c r="F34" s="140"/>
      <c r="G34" s="141"/>
      <c r="H34" s="262">
        <f>SUM(H35:H40)</f>
        <v>49409476.970000014</v>
      </c>
      <c r="I34" s="262">
        <f>SUM(I35:I40)</f>
        <v>3560086.1400000006</v>
      </c>
      <c r="J34" s="262">
        <f>SUM(J35:J40)</f>
        <v>12620542.860000001</v>
      </c>
      <c r="K34" s="262">
        <f>SUM(K35:K40)</f>
        <v>2135215.4500000002</v>
      </c>
      <c r="L34" s="262">
        <f>SUM(L35:L40)</f>
        <v>14755758.309999999</v>
      </c>
      <c r="M34" s="262">
        <f t="shared" ref="M34" si="19">SUM(M35:M39)</f>
        <v>0</v>
      </c>
      <c r="N34" s="262">
        <f>SUM(N35:N40)</f>
        <v>17824525.960000001</v>
      </c>
      <c r="O34" s="262">
        <f>SUM(O35:O40)</f>
        <v>18315844.449999999</v>
      </c>
      <c r="P34" s="262">
        <f>SUM(P35:P40)</f>
        <v>101927.82999999996</v>
      </c>
      <c r="Q34" s="263">
        <f t="shared" si="14"/>
        <v>16663107.375899784</v>
      </c>
      <c r="R34" s="263">
        <f t="shared" si="15"/>
        <v>17122412.311863136</v>
      </c>
      <c r="S34" s="262">
        <f>SUM(S35:S40)</f>
        <v>44945191.594743825</v>
      </c>
      <c r="T34" s="262">
        <f>SUM(T35:T40)</f>
        <v>1615728.280394953</v>
      </c>
      <c r="U34" s="142">
        <f>S34/Q34</f>
        <v>2.6972875215188878</v>
      </c>
      <c r="V34" s="142">
        <f>((S34*1.1)+(T34))/R34</f>
        <v>2.9817900716734749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391</v>
      </c>
      <c r="D35" s="143"/>
      <c r="E35" s="166"/>
      <c r="F35" s="144">
        <f>'Lighting to Go {E}'!A$16</f>
        <v>11.678283082896121</v>
      </c>
      <c r="G35" s="145"/>
      <c r="H35" s="258">
        <f>'Lighting to Go {E}'!A$10</f>
        <v>21965971.400000013</v>
      </c>
      <c r="I35" s="259">
        <f>'Lighting to Go {E}'!A$8</f>
        <v>689715.66000000015</v>
      </c>
      <c r="J35" s="259">
        <f>'Lighting to Go {E}'!A$12</f>
        <v>1823132.46</v>
      </c>
      <c r="K35" s="259">
        <f>'Lighting to Go {E}'!A$14</f>
        <v>1244954.56</v>
      </c>
      <c r="L35" s="259">
        <f>SUM('Lighting to Go {E}'!Q$5:Q$999)</f>
        <v>3068087.02</v>
      </c>
      <c r="M35" s="259"/>
      <c r="N35" s="260">
        <f>'Lighting to Go {E}'!A$18</f>
        <v>3030735.44</v>
      </c>
      <c r="O35" s="259">
        <f>'Lighting to Go {E}'!A$20</f>
        <v>3757802.68</v>
      </c>
      <c r="P35" s="259">
        <f>SUM('Lighting to Go {E}'!R$5:R$999)</f>
        <v>0</v>
      </c>
      <c r="Q35" s="261">
        <f t="shared" si="14"/>
        <v>2833257.3992708232</v>
      </c>
      <c r="R35" s="261">
        <f t="shared" si="15"/>
        <v>3512950.0607647002</v>
      </c>
      <c r="S35" s="259">
        <f>SUM('Lighting to Go {E}'!AM$5:AM$999)</f>
        <v>18477345.300654005</v>
      </c>
      <c r="T35" s="259">
        <f>SUM('Lighting to Go {E}'!AD$5:AD$999)</f>
        <v>0</v>
      </c>
      <c r="U35" s="133">
        <f t="shared" ref="U35:U40" si="20">IFERROR(S35/Q35,0)</f>
        <v>6.5215907687770969</v>
      </c>
      <c r="V35" s="133">
        <f t="shared" ref="V35:V40" si="21">IFERROR(((S35*1.1)+(T35))/R35,0)</f>
        <v>5.785758259909632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392</v>
      </c>
      <c r="D36" s="143"/>
      <c r="E36" s="159"/>
      <c r="F36" s="144">
        <f>'Commercial Kitchen Laundry {E}'!A$16</f>
        <v>12.79543818677357</v>
      </c>
      <c r="G36" s="160" t="s">
        <v>365</v>
      </c>
      <c r="H36" s="258">
        <f>'Commercial Kitchen Laundry {E}'!A$10</f>
        <v>679997.59</v>
      </c>
      <c r="I36" s="259">
        <f>'Commercial Kitchen Laundry {E}'!A$8</f>
        <v>115129.28999999998</v>
      </c>
      <c r="J36" s="259">
        <f>'Commercial Kitchen Laundry {E}'!A$12</f>
        <v>112220</v>
      </c>
      <c r="K36" s="259">
        <f>'Commercial Kitchen Laundry {E}'!A$14</f>
        <v>29093.7</v>
      </c>
      <c r="L36" s="259">
        <f>SUM('Commercial Kitchen Laundry {E}'!Q$5:Q$971)</f>
        <v>141313.69999999998</v>
      </c>
      <c r="M36" s="259"/>
      <c r="N36" s="260">
        <f>'Commercial Kitchen Laundry {E}'!A$18</f>
        <v>288495.48</v>
      </c>
      <c r="O36" s="259">
        <f>'Commercial Kitchen Laundry {E}'!A$20</f>
        <v>256442.98999999996</v>
      </c>
      <c r="P36" s="259">
        <f>SUM('Commercial Kitchen Laundry {E}'!R$5:R$971)</f>
        <v>101425.92999999996</v>
      </c>
      <c r="Q36" s="261">
        <f t="shared" si="14"/>
        <v>269697.56006356917</v>
      </c>
      <c r="R36" s="261">
        <f t="shared" si="15"/>
        <v>239733.56081144241</v>
      </c>
      <c r="S36" s="259">
        <f>SUM('Commercial Kitchen Laundry {E}'!AM$5:AM$971)</f>
        <v>592989.77572112274</v>
      </c>
      <c r="T36" s="259">
        <f>SUM('Commercial Kitchen Laundry {E}'!AD$5:AD$971)</f>
        <v>1612118.4087347207</v>
      </c>
      <c r="U36" s="133">
        <f t="shared" si="20"/>
        <v>2.1987213216958725</v>
      </c>
      <c r="V36" s="133">
        <f t="shared" si="21"/>
        <v>9.445515906756917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393</v>
      </c>
      <c r="D37" s="143"/>
      <c r="E37" s="159"/>
      <c r="F37" s="144">
        <f>'Commercial HVAC {E}'!A$16</f>
        <v>14.658412824132505</v>
      </c>
      <c r="G37" s="160" t="s">
        <v>365</v>
      </c>
      <c r="H37" s="258">
        <f>'Commercial HVAC {E}'!A$10</f>
        <v>1330396.1100000001</v>
      </c>
      <c r="I37" s="259">
        <f>'Commercial HVAC {E}'!A$8</f>
        <v>103784.87</v>
      </c>
      <c r="J37" s="259">
        <f>'Commercial HVAC {E}'!A$12</f>
        <v>290697.87</v>
      </c>
      <c r="K37" s="259">
        <f>'Commercial HVAC {E}'!A$14</f>
        <v>524723.32000000007</v>
      </c>
      <c r="L37" s="259">
        <f>SUM('Commercial HVAC {E}'!Q$5:Q$1000)</f>
        <v>815421.19</v>
      </c>
      <c r="M37" s="259"/>
      <c r="N37" s="260">
        <f>'Commercial HVAC {E}'!A$18</f>
        <v>394482.74</v>
      </c>
      <c r="O37" s="259">
        <f>'Commercial HVAC {E}'!A$20</f>
        <v>919206.05999999994</v>
      </c>
      <c r="P37" s="259">
        <f>SUM('Commercial HVAC {E}'!R$5:R$1000)</f>
        <v>0</v>
      </c>
      <c r="Q37" s="261">
        <f t="shared" si="14"/>
        <v>368778.85388426657</v>
      </c>
      <c r="R37" s="261">
        <f t="shared" si="15"/>
        <v>859312.01271384489</v>
      </c>
      <c r="S37" s="259">
        <f>SUM('Commercial HVAC {E}'!AM$5:AM$1000)</f>
        <v>1450596.196167944</v>
      </c>
      <c r="T37" s="259">
        <f>SUM('Commercial HVAC {E}'!AD$5:AD$1000)</f>
        <v>0</v>
      </c>
      <c r="U37" s="133">
        <f t="shared" si="20"/>
        <v>3.9335124042203971</v>
      </c>
      <c r="V37" s="133">
        <f t="shared" si="21"/>
        <v>1.856899231218009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394</v>
      </c>
      <c r="D38" s="143"/>
      <c r="E38" s="159"/>
      <c r="F38" s="144">
        <f>'Commercial Midstream {E}'!A$16</f>
        <v>14.95303642080396</v>
      </c>
      <c r="G38" s="160" t="s">
        <v>365</v>
      </c>
      <c r="H38" s="258">
        <f>'Commercial Midstream {E}'!A$10</f>
        <v>886389</v>
      </c>
      <c r="I38" s="259">
        <f>'Commercial Midstream {E}'!A$8</f>
        <v>187945.05000000005</v>
      </c>
      <c r="J38" s="259">
        <f>'Commercial Midstream {E}'!A$12</f>
        <v>498082.39999999997</v>
      </c>
      <c r="K38" s="259">
        <f>'Commercial Midstream {E}'!A$14</f>
        <v>460809.10000000009</v>
      </c>
      <c r="L38" s="259">
        <f>SUM('Commercial Midstream {E}'!Q$5:Q$1000)</f>
        <v>958891.5</v>
      </c>
      <c r="M38" s="259"/>
      <c r="N38" s="260">
        <f>'Commercial Midstream {E}'!A$18</f>
        <v>837852.2300000001</v>
      </c>
      <c r="O38" s="259">
        <f>'Commercial Midstream {E}'!A$20</f>
        <v>1146836.55</v>
      </c>
      <c r="P38" s="259">
        <f>SUM('Commercial Midstream {E}'!R$5:R$1000)</f>
        <v>0</v>
      </c>
      <c r="Q38" s="261">
        <f t="shared" si="14"/>
        <v>783259.07263718802</v>
      </c>
      <c r="R38" s="261">
        <f t="shared" si="15"/>
        <v>1072110.4515284658</v>
      </c>
      <c r="S38" s="259">
        <f>SUM('Commercial Midstream {E}'!AM$5:AM$1000)</f>
        <v>1215805.2905795397</v>
      </c>
      <c r="T38" s="259">
        <f>SUM('Commercial Midstream {E}'!AD$5:AD$1000)</f>
        <v>0</v>
      </c>
      <c r="U38" s="133">
        <f t="shared" si="20"/>
        <v>1.5522390139522975</v>
      </c>
      <c r="V38" s="133">
        <f t="shared" si="21"/>
        <v>1.2474328719870562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395</v>
      </c>
      <c r="D39" s="143"/>
      <c r="E39" s="159"/>
      <c r="F39" s="144">
        <f>'SBDI {E}'!A$16</f>
        <v>13.175850655031365</v>
      </c>
      <c r="G39" s="160" t="s">
        <v>365</v>
      </c>
      <c r="H39" s="258">
        <f>'SBDI {E}'!A$10</f>
        <v>23941235.870000001</v>
      </c>
      <c r="I39" s="259">
        <f>'SBDI {E}'!A$8</f>
        <v>2463019.0600000005</v>
      </c>
      <c r="J39" s="259">
        <f>'SBDI {E}'!A$12</f>
        <v>9295507.370000001</v>
      </c>
      <c r="K39" s="259">
        <f>'SBDI {E}'!A$14</f>
        <v>-147987.7900000001</v>
      </c>
      <c r="L39" s="259">
        <f>SUM('SBDI {E}'!Q$5:Q$996)</f>
        <v>9147519.5799999982</v>
      </c>
      <c r="M39" s="259"/>
      <c r="N39" s="260">
        <f>'SBDI {E}'!A$18</f>
        <v>12671565.1</v>
      </c>
      <c r="O39" s="259">
        <f>'SBDI {E}'!A$20</f>
        <v>11610538.639999999</v>
      </c>
      <c r="P39" s="259">
        <f>SUM('SBDI {E}'!R$5:R$996)</f>
        <v>501.90000000000009</v>
      </c>
      <c r="Q39" s="261">
        <f t="shared" si="14"/>
        <v>11845905.487519864</v>
      </c>
      <c r="R39" s="261">
        <f t="shared" si="15"/>
        <v>10854013.873048516</v>
      </c>
      <c r="S39" s="259">
        <f>SUM('SBDI {E}'!AM$5:AM$996)</f>
        <v>22497120.010848477</v>
      </c>
      <c r="T39" s="259">
        <f>SUM('SBDI {E}'!AD$5:AD$996)</f>
        <v>3609.8716602322893</v>
      </c>
      <c r="U39" s="133">
        <f t="shared" si="20"/>
        <v>1.8991473496517506</v>
      </c>
      <c r="V39" s="133">
        <f t="shared" si="21"/>
        <v>2.2803031369852138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.25">
      <c r="A40" s="134"/>
      <c r="B40" s="130" t="s">
        <v>70</v>
      </c>
      <c r="C40" s="143" t="s">
        <v>396</v>
      </c>
      <c r="D40" s="143"/>
      <c r="E40" s="159"/>
      <c r="F40" s="144">
        <f>'Lodging Rebates {E}'!A$16</f>
        <v>12.484570271533492</v>
      </c>
      <c r="G40" s="160" t="s">
        <v>365</v>
      </c>
      <c r="H40" s="258">
        <f>'Lodging Rebates {E}'!A$10</f>
        <v>605487</v>
      </c>
      <c r="I40" s="259">
        <f>'Lodging Rebates {E}'!A$8</f>
        <v>492.20999999996275</v>
      </c>
      <c r="J40" s="259">
        <f>'Lodging Rebates {E}'!A$12</f>
        <v>600902.76</v>
      </c>
      <c r="K40" s="259">
        <f>'Lodging Rebates {E}'!A$14</f>
        <v>23622.559999999998</v>
      </c>
      <c r="L40" s="259">
        <f>SUM('Lodging Rebates {E}'!Q$5:Q$998)</f>
        <v>624525.32000000007</v>
      </c>
      <c r="M40" s="259"/>
      <c r="N40" s="260">
        <f>'Lodging Rebates {E}'!A$18</f>
        <v>601394.97</v>
      </c>
      <c r="O40" s="259">
        <f>'Lodging Rebates {E}'!A$20</f>
        <v>625017.53</v>
      </c>
      <c r="P40" s="259">
        <f>SUM('Lodging Rebates {E}'!R$5:R$998)</f>
        <v>0</v>
      </c>
      <c r="Q40" s="261">
        <f>N40/(1+ElecDiscountRate)^1</f>
        <v>562209.00252407207</v>
      </c>
      <c r="R40" s="261">
        <f>O40/(1+ElecDiscountRate)^1</f>
        <v>584292.35299616714</v>
      </c>
      <c r="S40" s="259">
        <f>SUM('Lodging Rebates {E}'!AM$5:AM$998)</f>
        <v>711335.02077273466</v>
      </c>
      <c r="T40" s="259">
        <f>SUM('Lodging Rebates {E}'!AD$5:AD$998)</f>
        <v>0</v>
      </c>
      <c r="U40" s="133">
        <f t="shared" si="20"/>
        <v>1.2652501428812988</v>
      </c>
      <c r="V40" s="133">
        <f t="shared" si="21"/>
        <v>1.3391729651049209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>
      <c r="A41" s="134"/>
      <c r="B41" s="149" t="s">
        <v>397</v>
      </c>
      <c r="C41" s="149"/>
      <c r="D41" s="149"/>
      <c r="E41" s="150"/>
      <c r="F41" s="151"/>
      <c r="G41" s="152"/>
      <c r="H41" s="153">
        <f>SUM(H25:H33,H35:H40)</f>
        <v>226949961.47000003</v>
      </c>
      <c r="I41" s="153">
        <f t="shared" ref="I41:P41" si="22">SUM(I25:I33,I35:I40)</f>
        <v>14112490.27</v>
      </c>
      <c r="J41" s="153">
        <f t="shared" si="22"/>
        <v>48354579.690000005</v>
      </c>
      <c r="K41" s="153">
        <f t="shared" si="22"/>
        <v>47402405.699999996</v>
      </c>
      <c r="L41" s="153">
        <f t="shared" si="22"/>
        <v>95756985.390000001</v>
      </c>
      <c r="M41" s="153">
        <f t="shared" si="22"/>
        <v>0</v>
      </c>
      <c r="N41" s="153">
        <f t="shared" si="22"/>
        <v>65544165.560000002</v>
      </c>
      <c r="O41" s="153">
        <f t="shared" si="22"/>
        <v>109869475.66</v>
      </c>
      <c r="P41" s="153">
        <f t="shared" si="22"/>
        <v>101927.82999999996</v>
      </c>
      <c r="Q41" s="167">
        <f t="shared" si="14"/>
        <v>61273408.955781989</v>
      </c>
      <c r="R41" s="167">
        <f t="shared" si="15"/>
        <v>102710550.30382349</v>
      </c>
      <c r="S41" s="153">
        <f>SUM(S25:S33,S35:S40)</f>
        <v>223679435.71389815</v>
      </c>
      <c r="T41" s="153">
        <f>SUM(T25:T33,T35:T40)</f>
        <v>1615728.280394953</v>
      </c>
      <c r="U41" s="168">
        <f>S41/Q41</f>
        <v>3.6505139754067972</v>
      </c>
      <c r="V41" s="168">
        <f>((S41*1.1)+(T41))/R41</f>
        <v>2.4112723262905491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156" customFormat="1">
      <c r="A42" s="148"/>
      <c r="B42" s="130" t="s">
        <v>398</v>
      </c>
      <c r="C42" s="147" t="s">
        <v>399</v>
      </c>
      <c r="D42" s="106"/>
      <c r="E42" s="169">
        <f>F42*(H42/$H$70)</f>
        <v>0</v>
      </c>
      <c r="F42" s="170">
        <v>0</v>
      </c>
      <c r="G42" s="160" t="s">
        <v>365</v>
      </c>
      <c r="H42" s="265">
        <f>'Residential Pilots {E}'!A10</f>
        <v>204000</v>
      </c>
      <c r="I42" s="265">
        <f>'Residential Pilots {E}'!A$8</f>
        <v>576297</v>
      </c>
      <c r="J42" s="265">
        <f>'Residential Pilots {E}'!A$12</f>
        <v>0</v>
      </c>
      <c r="K42" s="265">
        <f>'Residential Pilots {E}'!A$14</f>
        <v>0</v>
      </c>
      <c r="L42" s="265">
        <f>SUM('Residential Pilots {E}'!Q$5:Q$997)</f>
        <v>0</v>
      </c>
      <c r="M42" s="171"/>
      <c r="N42" s="260">
        <f>'Residential Pilots {E}'!A$18</f>
        <v>671679.5</v>
      </c>
      <c r="O42" s="259">
        <f>'Residential Pilots {E}'!A$20</f>
        <v>576297</v>
      </c>
      <c r="P42" s="259">
        <f>SUM('Residential Pilots {E}'!R$5:R$999)</f>
        <v>0</v>
      </c>
      <c r="Q42" s="266">
        <f t="shared" si="14"/>
        <v>627913.90109376458</v>
      </c>
      <c r="R42" s="266">
        <f t="shared" si="15"/>
        <v>538746.37748901558</v>
      </c>
      <c r="S42" s="259">
        <f>SUM('Residential Pilots {E}'!AM$5:AM$999)</f>
        <v>44752.191779821456</v>
      </c>
      <c r="T42" s="259">
        <f>SUM('Residential Pilots {E}'!AD$5:AD$999)</f>
        <v>0</v>
      </c>
      <c r="U42" s="133">
        <f>IFERROR(S42/Q42,0)</f>
        <v>7.127122317545051E-2</v>
      </c>
      <c r="V42" s="133">
        <f>IFERROR(((S42*1.1)+(T42))/R42,0)</f>
        <v>9.1373998999756248E-2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56" customFormat="1">
      <c r="A43" s="148"/>
      <c r="B43" s="172" t="s">
        <v>301</v>
      </c>
      <c r="C43" s="147" t="s">
        <v>400</v>
      </c>
      <c r="D43" s="106"/>
      <c r="E43" s="169"/>
      <c r="F43" s="170">
        <v>0</v>
      </c>
      <c r="G43" s="160" t="s">
        <v>365</v>
      </c>
      <c r="H43" s="265">
        <f>'Commercial Pilots {E}'!A10</f>
        <v>607491</v>
      </c>
      <c r="I43" s="265">
        <f>'Commercial Pilots {E}'!A$8</f>
        <v>38382.599999999991</v>
      </c>
      <c r="J43" s="265">
        <f>'Commercial Pilots {E}'!A$12</f>
        <v>194915</v>
      </c>
      <c r="K43" s="265">
        <f>'Commercial Pilots {E}'!A$14</f>
        <v>0</v>
      </c>
      <c r="L43" s="265">
        <f>SUM('Commercial Pilots {E}'!Q$5:Q$998)</f>
        <v>194915</v>
      </c>
      <c r="M43" s="173"/>
      <c r="N43" s="260">
        <f>'Commercial Pilots {E}'!A$18</f>
        <v>233297.59999999998</v>
      </c>
      <c r="O43" s="259">
        <f>'Commercial Pilots {E}'!A$20</f>
        <v>233297.59999999998</v>
      </c>
      <c r="P43" s="259">
        <f>SUM('Commercial Pilots {E}'!R$5:R$1000)</f>
        <v>0</v>
      </c>
      <c r="Q43" s="269">
        <f>N43/(1+ElecDiscountRate)^1</f>
        <v>218096.28867906885</v>
      </c>
      <c r="R43" s="269">
        <f>O43/(1+ElecDiscountRate)^1</f>
        <v>218096.28867906885</v>
      </c>
      <c r="S43" s="259">
        <f>SUM('Commercial Pilots {E}'!AM$5:AM$1000)</f>
        <v>561142.42378596438</v>
      </c>
      <c r="T43" s="259">
        <f>SUM('Commercial Pilots {E}'!AD$5:AD$1000)</f>
        <v>0</v>
      </c>
      <c r="U43" s="133">
        <f>IFERROR(S43/Q43,0)</f>
        <v>2.5729113832454606</v>
      </c>
      <c r="V43" s="133">
        <f>IFERROR(((S43*1.1)+(T43))/R43,0)</f>
        <v>2.8302025215700071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  <c r="IU43" s="155"/>
      <c r="IV43" s="155"/>
      <c r="IW43" s="155"/>
      <c r="IX43" s="155"/>
      <c r="IY43" s="155"/>
      <c r="IZ43" s="155"/>
      <c r="JA43" s="155"/>
      <c r="JB43" s="155"/>
      <c r="JC43" s="155"/>
      <c r="JD43" s="155"/>
      <c r="JE43" s="155"/>
      <c r="JF43" s="155"/>
      <c r="JG43" s="155"/>
      <c r="JH43" s="155"/>
      <c r="JI43" s="155"/>
      <c r="JJ43" s="155"/>
      <c r="JK43" s="155"/>
      <c r="JL43" s="155"/>
      <c r="JM43" s="155"/>
      <c r="JN43" s="155"/>
      <c r="JO43" s="155"/>
      <c r="JP43" s="155"/>
      <c r="JQ43" s="155"/>
      <c r="JR43" s="155"/>
      <c r="JS43" s="155"/>
      <c r="JT43" s="155"/>
      <c r="JU43" s="155"/>
      <c r="JV43" s="155"/>
      <c r="JW43" s="155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155"/>
      <c r="KM43" s="155"/>
      <c r="KN43" s="155"/>
      <c r="KO43" s="155"/>
      <c r="KP43" s="155"/>
      <c r="KQ43" s="155"/>
      <c r="KR43" s="155"/>
      <c r="KS43" s="155"/>
      <c r="KT43" s="155"/>
      <c r="KU43" s="155"/>
      <c r="KV43" s="155"/>
      <c r="KW43" s="155"/>
      <c r="KX43" s="155"/>
      <c r="KY43" s="155"/>
      <c r="KZ43" s="155"/>
      <c r="LA43" s="155"/>
      <c r="LB43" s="155"/>
      <c r="LC43" s="155"/>
      <c r="LD43" s="155"/>
      <c r="LE43" s="155"/>
      <c r="LF43" s="155"/>
      <c r="LG43" s="155"/>
      <c r="LH43" s="155"/>
      <c r="LI43" s="155"/>
      <c r="LJ43" s="155"/>
      <c r="LK43" s="155"/>
      <c r="LL43" s="155"/>
      <c r="LM43" s="155"/>
      <c r="LN43" s="155"/>
      <c r="LO43" s="155"/>
      <c r="LP43" s="155"/>
      <c r="LQ43" s="155"/>
      <c r="LR43" s="155"/>
      <c r="LS43" s="155"/>
      <c r="LT43" s="155"/>
      <c r="LU43" s="155"/>
      <c r="LV43" s="155"/>
      <c r="LW43" s="155"/>
      <c r="LX43" s="155"/>
      <c r="LY43" s="155"/>
      <c r="LZ43" s="155"/>
      <c r="MA43" s="155"/>
      <c r="MB43" s="155"/>
      <c r="MC43" s="155"/>
      <c r="MD43" s="155"/>
      <c r="ME43" s="155"/>
      <c r="MF43" s="155"/>
      <c r="MG43" s="155"/>
      <c r="MH43" s="155"/>
      <c r="MI43" s="155"/>
      <c r="MJ43" s="155"/>
      <c r="MK43" s="155"/>
      <c r="ML43" s="155"/>
      <c r="MM43" s="155"/>
      <c r="MN43" s="155"/>
      <c r="MO43" s="155"/>
      <c r="MP43" s="155"/>
      <c r="MQ43" s="155"/>
      <c r="MR43" s="155"/>
      <c r="MS43" s="155"/>
      <c r="MT43" s="155"/>
      <c r="MU43" s="155"/>
      <c r="MV43" s="155"/>
      <c r="MW43" s="155"/>
      <c r="MX43" s="155"/>
      <c r="MY43" s="155"/>
      <c r="MZ43" s="155"/>
      <c r="NA43" s="155"/>
      <c r="NB43" s="155"/>
      <c r="NC43" s="155"/>
      <c r="ND43" s="155"/>
      <c r="NE43" s="155"/>
      <c r="NF43" s="155"/>
      <c r="NG43" s="155"/>
      <c r="NH43" s="155"/>
      <c r="NI43" s="155"/>
      <c r="NJ43" s="155"/>
      <c r="NK43" s="155"/>
      <c r="NL43" s="155"/>
      <c r="NM43" s="155"/>
      <c r="NN43" s="155"/>
      <c r="NO43" s="155"/>
      <c r="NP43" s="155"/>
      <c r="NQ43" s="155"/>
      <c r="NR43" s="155"/>
      <c r="NS43" s="155"/>
      <c r="NT43" s="155"/>
      <c r="NU43" s="155"/>
      <c r="NV43" s="155"/>
      <c r="NW43" s="155"/>
      <c r="NX43" s="155"/>
      <c r="NY43" s="155"/>
      <c r="NZ43" s="155"/>
      <c r="OA43" s="155"/>
      <c r="OB43" s="155"/>
      <c r="OC43" s="155"/>
      <c r="OD43" s="155"/>
      <c r="OE43" s="155"/>
      <c r="OF43" s="155"/>
      <c r="OG43" s="155"/>
      <c r="OH43" s="155"/>
      <c r="OI43" s="155"/>
      <c r="OJ43" s="155"/>
      <c r="OK43" s="155"/>
      <c r="OL43" s="155"/>
      <c r="OM43" s="155"/>
      <c r="ON43" s="155"/>
      <c r="OO43" s="155"/>
      <c r="OP43" s="155"/>
      <c r="OQ43" s="155"/>
      <c r="OR43" s="155"/>
      <c r="OS43" s="155"/>
      <c r="OT43" s="155"/>
      <c r="OU43" s="155"/>
      <c r="OV43" s="155"/>
      <c r="OW43" s="155"/>
      <c r="OX43" s="155"/>
      <c r="OY43" s="155"/>
      <c r="OZ43" s="155"/>
      <c r="PA43" s="155"/>
      <c r="PB43" s="155"/>
      <c r="PC43" s="155"/>
      <c r="PD43" s="155"/>
      <c r="PE43" s="155"/>
      <c r="PF43" s="155"/>
      <c r="PG43" s="155"/>
      <c r="PH43" s="155"/>
      <c r="PI43" s="155"/>
    </row>
    <row r="44" spans="1:425" s="102" customFormat="1">
      <c r="A44" s="134"/>
      <c r="B44" s="149" t="s">
        <v>401</v>
      </c>
      <c r="C44" s="149"/>
      <c r="D44" s="149"/>
      <c r="E44" s="150"/>
      <c r="F44" s="151"/>
      <c r="G44" s="152"/>
      <c r="H44" s="153">
        <f>SUM(H42:H43)</f>
        <v>811491</v>
      </c>
      <c r="I44" s="153">
        <f t="shared" ref="I44:O44" si="23">SUM(I42:I43)</f>
        <v>614679.6</v>
      </c>
      <c r="J44" s="153">
        <f t="shared" si="23"/>
        <v>194915</v>
      </c>
      <c r="K44" s="153">
        <f t="shared" si="23"/>
        <v>0</v>
      </c>
      <c r="L44" s="153">
        <f t="shared" si="23"/>
        <v>194915</v>
      </c>
      <c r="M44" s="153">
        <f t="shared" si="23"/>
        <v>0</v>
      </c>
      <c r="N44" s="153">
        <f t="shared" si="23"/>
        <v>904977.1</v>
      </c>
      <c r="O44" s="153">
        <f t="shared" si="23"/>
        <v>809594.6</v>
      </c>
      <c r="P44" s="153">
        <f>SUM(P42:P43)</f>
        <v>0</v>
      </c>
      <c r="Q44" s="153">
        <f>SUM(Q42:Q43)</f>
        <v>846010.18977283337</v>
      </c>
      <c r="R44" s="153">
        <f>SUM(R42:R43)</f>
        <v>756842.66616808437</v>
      </c>
      <c r="S44" s="153">
        <f>SUM(S42:S43)</f>
        <v>605894.61556578579</v>
      </c>
      <c r="T44" s="153">
        <f>SUM(T42:T43)</f>
        <v>0</v>
      </c>
      <c r="U44" s="168">
        <f>S44/Q44</f>
        <v>0.7161788627256106</v>
      </c>
      <c r="V44" s="168">
        <f>((S44*1.1)+(T44))/R44</f>
        <v>0.88061113216144649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02" customFormat="1">
      <c r="A45" s="134"/>
      <c r="B45" s="130" t="s">
        <v>402</v>
      </c>
      <c r="C45" s="174" t="s">
        <v>403</v>
      </c>
      <c r="D45" s="174"/>
      <c r="E45" s="169">
        <f>F45*(H45/$H$70)</f>
        <v>0.67103271371260953</v>
      </c>
      <c r="F45" s="144">
        <f>'Residential Lighting {E}'!A$16</f>
        <v>11.290984535743851</v>
      </c>
      <c r="G45" s="160" t="s">
        <v>404</v>
      </c>
      <c r="H45" s="258">
        <f>'NEEA {E}'!A10</f>
        <v>22951200</v>
      </c>
      <c r="I45" s="259">
        <f>'NEEA {E}'!A$8</f>
        <v>2505724.3800000008</v>
      </c>
      <c r="J45" s="259">
        <f>'NEEA {E}'!A$12</f>
        <v>0</v>
      </c>
      <c r="K45" s="259">
        <f>'NEEA {E}'!A$14</f>
        <v>0</v>
      </c>
      <c r="L45" s="259">
        <f>SUM('NEEA {E}'!Q$5:Q$1000)</f>
        <v>0</v>
      </c>
      <c r="M45" s="259"/>
      <c r="N45" s="260">
        <f>'NEEA {E}'!A$18</f>
        <v>7940964.6100000013</v>
      </c>
      <c r="O45" s="259">
        <f>SUM(I45:K45)</f>
        <v>2505724.3800000008</v>
      </c>
      <c r="P45" s="259">
        <f>SUM('NEEA {E}'!R$5:R$1000)</f>
        <v>0</v>
      </c>
      <c r="Q45" s="261">
        <f>N45/(1+ElecDiscountRate)^1</f>
        <v>7423543.6197064603</v>
      </c>
      <c r="R45" s="261">
        <f>O45/(1+ElecDiscountRate)^1</f>
        <v>2342455.2491352721</v>
      </c>
      <c r="S45" s="259">
        <f>SUM('NEEA {E}'!AM$5:AM$1000)</f>
        <v>8218186.3273372184</v>
      </c>
      <c r="T45" s="259">
        <f>SUM('NEEA {E}'!AD$5:AD$1000)</f>
        <v>0</v>
      </c>
      <c r="U45" s="133">
        <f>IFERROR(S45/Q45,0)</f>
        <v>1.1070435830027736</v>
      </c>
      <c r="V45" s="133">
        <f>IFERROR(((S45*1.1)+(T45))/R45,0)</f>
        <v>3.8592007097715526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30" t="s">
        <v>96</v>
      </c>
      <c r="C46" s="175" t="s">
        <v>405</v>
      </c>
      <c r="D46" s="175"/>
      <c r="E46" s="169">
        <f>F46*(H46/$H$70)</f>
        <v>0.10607603278990034</v>
      </c>
      <c r="F46" s="144">
        <f>'T&amp;D {E}'!A$16</f>
        <v>15.043253471918753</v>
      </c>
      <c r="G46" s="160" t="s">
        <v>404</v>
      </c>
      <c r="H46" s="258">
        <f>'T&amp;D {E}'!A$10</f>
        <v>2723134</v>
      </c>
      <c r="I46" s="259">
        <f>'T&amp;D {E}'!A$8</f>
        <v>0</v>
      </c>
      <c r="J46" s="259">
        <f>'T&amp;D {E}'!A$12</f>
        <v>0</v>
      </c>
      <c r="K46" s="259">
        <f>'T&amp;D {E}'!A$14</f>
        <v>242177</v>
      </c>
      <c r="L46" s="259">
        <f>SUM('T&amp;D {E}'!Q$5:Q$1000)</f>
        <v>242177</v>
      </c>
      <c r="M46" s="259"/>
      <c r="N46" s="260">
        <f>'T&amp;D {E}'!A$18</f>
        <v>0</v>
      </c>
      <c r="O46" s="259">
        <f>SUM(I46:K46)</f>
        <v>242177</v>
      </c>
      <c r="P46" s="259">
        <f>SUM('T&amp;D {E}'!R$5:R$1000)</f>
        <v>0</v>
      </c>
      <c r="Q46" s="261">
        <f>N46/(1+ElecDiscountRate)^1</f>
        <v>0</v>
      </c>
      <c r="R46" s="261">
        <f>O46/(1+ElecDiscountRate)^1</f>
        <v>226397.12068804336</v>
      </c>
      <c r="S46" s="259">
        <f>SUM('T&amp;D {E}'!AM$5:AM$1000)</f>
        <v>2811096.1397170671</v>
      </c>
      <c r="T46" s="259">
        <f>SUM('T&amp;D {E}'!AD$5:AD$1000)</f>
        <v>0</v>
      </c>
      <c r="U46" s="133">
        <f>IFERROR(S46/Q46,0)</f>
        <v>0</v>
      </c>
      <c r="V46" s="133">
        <f>IFERROR(((S46*1.1)+(T46))/R46,0)</f>
        <v>13.658326326285659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76" customFormat="1">
      <c r="A47" s="102"/>
      <c r="B47" s="172" t="s">
        <v>173</v>
      </c>
      <c r="C47" s="175" t="s">
        <v>406</v>
      </c>
      <c r="D47" s="175"/>
      <c r="E47" s="169"/>
      <c r="F47" s="144" t="e">
        <f>'TDSM {E}'!A$16</f>
        <v>#DIV/0!</v>
      </c>
      <c r="G47" s="160" t="s">
        <v>404</v>
      </c>
      <c r="H47" s="258">
        <f>'TDSM {E}'!A$10</f>
        <v>0</v>
      </c>
      <c r="I47" s="259">
        <f>'TDSM {E}'!A$8</f>
        <v>25615.18</v>
      </c>
      <c r="J47" s="259">
        <f>'TDSM {E}'!A$12</f>
        <v>0</v>
      </c>
      <c r="K47" s="259">
        <v>0</v>
      </c>
      <c r="L47" s="259">
        <v>0</v>
      </c>
      <c r="M47" s="259"/>
      <c r="N47" s="260">
        <f>'TDSM {E}'!A$18</f>
        <v>25615.18</v>
      </c>
      <c r="O47" s="259">
        <f>SUM(I47:K47)</f>
        <v>25615.18</v>
      </c>
      <c r="P47" s="259">
        <v>0</v>
      </c>
      <c r="Q47" s="266">
        <v>0</v>
      </c>
      <c r="R47" s="261">
        <f>O47/(1+ElecDiscountRate)^1</f>
        <v>23946.134430214075</v>
      </c>
      <c r="S47" s="259">
        <f>SUM('TDSM {E}'!AM$5:AM$1000)</f>
        <v>0</v>
      </c>
      <c r="T47" s="259">
        <v>0</v>
      </c>
      <c r="U47" s="133">
        <f>IFERROR(S47/Q47,0)</f>
        <v>0</v>
      </c>
      <c r="V47" s="133">
        <f>IFERROR(((S47*1.1)+(T47))/R47,0)</f>
        <v>0</v>
      </c>
      <c r="W47" s="106"/>
      <c r="X47" s="106">
        <v>18230134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77" t="s">
        <v>407</v>
      </c>
      <c r="C48" s="177"/>
      <c r="D48" s="177"/>
      <c r="E48" s="177"/>
      <c r="F48" s="178"/>
      <c r="G48" s="179"/>
      <c r="H48" s="180">
        <f>SUM(H45:H47)</f>
        <v>25674334</v>
      </c>
      <c r="I48" s="180">
        <f>SUM(I45:I47)</f>
        <v>2531339.560000001</v>
      </c>
      <c r="J48" s="180">
        <f t="shared" ref="J48:T48" si="24">SUM(J45:J47)</f>
        <v>0</v>
      </c>
      <c r="K48" s="180">
        <f t="shared" si="24"/>
        <v>242177</v>
      </c>
      <c r="L48" s="180">
        <f t="shared" si="24"/>
        <v>242177</v>
      </c>
      <c r="M48" s="180">
        <f t="shared" si="24"/>
        <v>0</v>
      </c>
      <c r="N48" s="180">
        <f t="shared" si="24"/>
        <v>7966579.790000001</v>
      </c>
      <c r="O48" s="180">
        <f t="shared" si="24"/>
        <v>2773516.560000001</v>
      </c>
      <c r="P48" s="180">
        <f>SUM(P45:P47)</f>
        <v>0</v>
      </c>
      <c r="Q48" s="180">
        <f t="shared" si="24"/>
        <v>7423543.6197064603</v>
      </c>
      <c r="R48" s="180">
        <f t="shared" si="24"/>
        <v>2592798.5042535299</v>
      </c>
      <c r="S48" s="180">
        <f t="shared" si="24"/>
        <v>11029282.467054285</v>
      </c>
      <c r="T48" s="180">
        <f t="shared" si="24"/>
        <v>0</v>
      </c>
      <c r="U48" s="181">
        <f>S48/Q48</f>
        <v>1.4857166647173823</v>
      </c>
      <c r="V48" s="181">
        <f>((S48*1.1)+(T48))/R48</f>
        <v>4.6791953535365813</v>
      </c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82"/>
      <c r="C49" s="183" t="s">
        <v>408</v>
      </c>
      <c r="D49" s="183"/>
      <c r="E49" s="184"/>
      <c r="F49" s="184"/>
      <c r="G49" s="185"/>
      <c r="H49" s="241"/>
      <c r="I49" s="242"/>
      <c r="J49" s="243"/>
      <c r="K49" s="186"/>
      <c r="L49" s="186"/>
      <c r="M49" s="186"/>
      <c r="N49" s="187"/>
      <c r="O49" s="187"/>
      <c r="P49" s="187"/>
      <c r="Q49" s="187"/>
      <c r="R49" s="187"/>
      <c r="S49" s="188"/>
      <c r="T49" s="189"/>
      <c r="U49" s="190"/>
      <c r="V49" s="190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2" t="s">
        <v>409</v>
      </c>
      <c r="D50" s="191">
        <v>18230745</v>
      </c>
      <c r="E50" s="191"/>
      <c r="F50" s="191"/>
      <c r="G50" s="193"/>
      <c r="H50" s="191"/>
      <c r="I50" s="194">
        <f>SUMIF('Program Costs'!D:D,D50,'Program Costs'!N:N)</f>
        <v>1991317.5299999998</v>
      </c>
      <c r="J50" s="194"/>
      <c r="K50" s="191"/>
      <c r="L50" s="191"/>
      <c r="M50" s="191"/>
      <c r="N50" s="194">
        <f>I50</f>
        <v>1991317.5299999998</v>
      </c>
      <c r="O50" s="194">
        <f>I50</f>
        <v>1991317.5299999998</v>
      </c>
      <c r="P50" s="195"/>
      <c r="Q50" s="196">
        <f t="shared" ref="Q50:R52" si="25">N50/(1+ElecDiscountRate)^1</f>
        <v>1861566.3550528181</v>
      </c>
      <c r="R50" s="196">
        <f t="shared" si="25"/>
        <v>1861566.3550528181</v>
      </c>
      <c r="S50" s="191"/>
      <c r="T50" s="197"/>
      <c r="U50" s="191"/>
      <c r="V50" s="198"/>
      <c r="W50" s="106"/>
      <c r="X50" s="106">
        <v>18230745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199" t="s">
        <v>410</v>
      </c>
      <c r="D51" s="200">
        <v>18230507</v>
      </c>
      <c r="E51" s="201"/>
      <c r="F51" s="201"/>
      <c r="G51" s="202"/>
      <c r="H51" s="203"/>
      <c r="I51" s="194">
        <f>SUMIF('Program Costs'!D:D,D51,'Program Costs'!N:N)</f>
        <v>1156693.92</v>
      </c>
      <c r="J51" s="194"/>
      <c r="K51" s="204"/>
      <c r="L51" s="204"/>
      <c r="M51" s="204"/>
      <c r="N51" s="194">
        <f t="shared" ref="N51:N61" si="26">I51</f>
        <v>1156693.92</v>
      </c>
      <c r="O51" s="194">
        <f t="shared" ref="O51:O61" si="27">I51</f>
        <v>1156693.92</v>
      </c>
      <c r="P51" s="205"/>
      <c r="Q51" s="196">
        <f t="shared" si="25"/>
        <v>1081325.5305225763</v>
      </c>
      <c r="R51" s="196">
        <f t="shared" si="25"/>
        <v>1081325.5305225763</v>
      </c>
      <c r="S51" s="206"/>
      <c r="T51" s="206"/>
      <c r="U51" s="207"/>
      <c r="V51" s="207"/>
      <c r="W51" s="106"/>
      <c r="X51" s="106">
        <v>18230507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208" t="s">
        <v>411</v>
      </c>
      <c r="D52" s="209">
        <v>18230418</v>
      </c>
      <c r="E52" s="201"/>
      <c r="F52" s="201"/>
      <c r="G52" s="202"/>
      <c r="H52" s="203"/>
      <c r="I52" s="194">
        <f>SUMIF('Program Costs'!D:D,D52,'Program Costs'!N:N)</f>
        <v>1106899.18</v>
      </c>
      <c r="J52" s="194"/>
      <c r="K52" s="204"/>
      <c r="L52" s="204"/>
      <c r="M52" s="204"/>
      <c r="N52" s="194">
        <f t="shared" si="26"/>
        <v>1106899.18</v>
      </c>
      <c r="O52" s="194">
        <f t="shared" si="27"/>
        <v>1106899.18</v>
      </c>
      <c r="P52" s="196"/>
      <c r="Q52" s="196">
        <f t="shared" si="25"/>
        <v>1034775.3388800597</v>
      </c>
      <c r="R52" s="196">
        <f t="shared" si="25"/>
        <v>1034775.3388800597</v>
      </c>
      <c r="S52" s="206"/>
      <c r="T52" s="206"/>
      <c r="U52" s="207"/>
      <c r="V52" s="207"/>
      <c r="W52" s="106"/>
      <c r="X52" s="106">
        <v>18230418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>
      <c r="B53" s="191"/>
      <c r="C53" s="192" t="s">
        <v>412</v>
      </c>
      <c r="D53" s="191">
        <v>18230810</v>
      </c>
      <c r="E53" s="191"/>
      <c r="F53" s="191"/>
      <c r="G53" s="191"/>
      <c r="H53" s="191"/>
      <c r="I53" s="194">
        <f>SUMIF('Program Costs'!D:D,D53,'Program Costs'!N:N)</f>
        <v>1158611.7400000002</v>
      </c>
      <c r="J53" s="194"/>
      <c r="K53" s="191"/>
      <c r="L53" s="191"/>
      <c r="M53" s="191"/>
      <c r="N53" s="194">
        <f t="shared" si="26"/>
        <v>1158611.7400000002</v>
      </c>
      <c r="O53" s="194">
        <f t="shared" si="27"/>
        <v>1158611.7400000002</v>
      </c>
      <c r="P53" s="195"/>
      <c r="Q53" s="196">
        <f t="shared" ref="Q53:R55" si="28">N53/(1+ElecDiscountRate)^1</f>
        <v>1083118.3883331777</v>
      </c>
      <c r="R53" s="196">
        <f t="shared" si="28"/>
        <v>1083118.3883331777</v>
      </c>
      <c r="S53" s="191"/>
      <c r="T53" s="197"/>
      <c r="U53" s="191"/>
      <c r="V53" s="198"/>
      <c r="W53" s="106"/>
      <c r="X53" s="106">
        <v>18230810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214" customFormat="1">
      <c r="A54" s="210"/>
      <c r="B54" s="191"/>
      <c r="C54" s="211" t="s">
        <v>413</v>
      </c>
      <c r="D54" s="212">
        <v>18230730</v>
      </c>
      <c r="E54" s="191"/>
      <c r="F54" s="191"/>
      <c r="G54" s="191"/>
      <c r="H54" s="191"/>
      <c r="I54" s="194">
        <f>SUMIF('Program Costs'!D:D,D54,'Program Costs'!N:N)</f>
        <v>322126.34000000003</v>
      </c>
      <c r="J54" s="194"/>
      <c r="K54" s="191"/>
      <c r="L54" s="191"/>
      <c r="M54" s="191"/>
      <c r="N54" s="194">
        <f t="shared" si="26"/>
        <v>322126.34000000003</v>
      </c>
      <c r="O54" s="194">
        <f t="shared" si="27"/>
        <v>322126.34000000003</v>
      </c>
      <c r="P54" s="195"/>
      <c r="Q54" s="196">
        <f t="shared" si="28"/>
        <v>301137.08516406472</v>
      </c>
      <c r="R54" s="196">
        <f t="shared" si="28"/>
        <v>301137.08516406472</v>
      </c>
      <c r="S54" s="191"/>
      <c r="T54" s="197"/>
      <c r="U54" s="191"/>
      <c r="V54" s="198"/>
      <c r="W54" s="106"/>
      <c r="X54" s="106">
        <v>18230730</v>
      </c>
      <c r="Y54" s="106"/>
      <c r="Z54" s="106"/>
      <c r="AA54" s="106"/>
      <c r="AB54" s="106"/>
      <c r="AC54" s="106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  <c r="EO54" s="213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3"/>
      <c r="FA54" s="213"/>
      <c r="FB54" s="213"/>
      <c r="FC54" s="213"/>
      <c r="FD54" s="213"/>
      <c r="FE54" s="213"/>
      <c r="FF54" s="213"/>
      <c r="FG54" s="213"/>
      <c r="FH54" s="213"/>
      <c r="FI54" s="213"/>
      <c r="FJ54" s="213"/>
      <c r="FK54" s="213"/>
      <c r="FL54" s="213"/>
      <c r="FM54" s="213"/>
      <c r="FN54" s="213"/>
      <c r="FO54" s="213"/>
      <c r="FP54" s="213"/>
      <c r="FQ54" s="213"/>
      <c r="FR54" s="213"/>
      <c r="FS54" s="213"/>
      <c r="FT54" s="213"/>
      <c r="FU54" s="213"/>
      <c r="FV54" s="213"/>
      <c r="FW54" s="213"/>
      <c r="FX54" s="213"/>
      <c r="FY54" s="213"/>
      <c r="FZ54" s="213"/>
      <c r="GA54" s="213"/>
      <c r="GB54" s="213"/>
      <c r="GC54" s="213"/>
      <c r="GD54" s="213"/>
      <c r="GE54" s="213"/>
      <c r="GF54" s="213"/>
      <c r="GG54" s="213"/>
      <c r="GH54" s="213"/>
      <c r="GI54" s="213"/>
      <c r="GJ54" s="213"/>
      <c r="GK54" s="213"/>
      <c r="GL54" s="213"/>
      <c r="GM54" s="213"/>
      <c r="GN54" s="213"/>
      <c r="GO54" s="213"/>
      <c r="GP54" s="213"/>
      <c r="GQ54" s="213"/>
      <c r="GR54" s="213"/>
      <c r="GS54" s="213"/>
      <c r="GT54" s="213"/>
      <c r="GU54" s="213"/>
      <c r="GV54" s="213"/>
      <c r="GW54" s="213"/>
      <c r="GX54" s="213"/>
      <c r="GY54" s="213"/>
      <c r="GZ54" s="213"/>
      <c r="HA54" s="213"/>
      <c r="HB54" s="213"/>
      <c r="HC54" s="213"/>
      <c r="HD54" s="213"/>
      <c r="HE54" s="213"/>
      <c r="HF54" s="213"/>
      <c r="HG54" s="213"/>
      <c r="HH54" s="213"/>
      <c r="HI54" s="213"/>
      <c r="HJ54" s="213"/>
      <c r="HK54" s="213"/>
      <c r="HL54" s="213"/>
      <c r="HM54" s="213"/>
      <c r="HN54" s="213"/>
      <c r="HO54" s="213"/>
      <c r="HP54" s="213"/>
      <c r="HQ54" s="213"/>
      <c r="HR54" s="213"/>
      <c r="HS54" s="213"/>
      <c r="HT54" s="213"/>
      <c r="HU54" s="213"/>
      <c r="HV54" s="213"/>
      <c r="HW54" s="213"/>
      <c r="HX54" s="213"/>
      <c r="HY54" s="213"/>
      <c r="HZ54" s="213"/>
      <c r="IA54" s="213"/>
      <c r="IB54" s="213"/>
      <c r="IC54" s="213"/>
      <c r="ID54" s="213"/>
      <c r="IE54" s="213"/>
      <c r="IF54" s="213"/>
      <c r="IG54" s="213"/>
      <c r="IH54" s="213"/>
      <c r="II54" s="213"/>
      <c r="IJ54" s="213"/>
      <c r="IK54" s="213"/>
      <c r="IL54" s="213"/>
      <c r="IM54" s="213"/>
      <c r="IN54" s="213"/>
      <c r="IO54" s="213"/>
      <c r="IP54" s="213"/>
      <c r="IQ54" s="213"/>
      <c r="IR54" s="213"/>
      <c r="IS54" s="213"/>
      <c r="IT54" s="213"/>
      <c r="IU54" s="213"/>
      <c r="IV54" s="213"/>
      <c r="IW54" s="213"/>
      <c r="IX54" s="213"/>
      <c r="IY54" s="213"/>
      <c r="IZ54" s="213"/>
      <c r="JA54" s="213"/>
      <c r="JB54" s="213"/>
      <c r="JC54" s="213"/>
      <c r="JD54" s="213"/>
      <c r="JE54" s="213"/>
      <c r="JF54" s="213"/>
      <c r="JG54" s="213"/>
      <c r="JH54" s="213"/>
      <c r="JI54" s="213"/>
      <c r="JJ54" s="213"/>
      <c r="JK54" s="213"/>
      <c r="JL54" s="213"/>
      <c r="JM54" s="213"/>
      <c r="JN54" s="213"/>
      <c r="JO54" s="213"/>
      <c r="JP54" s="213"/>
      <c r="JQ54" s="213"/>
      <c r="JR54" s="213"/>
      <c r="JS54" s="213"/>
      <c r="JT54" s="213"/>
      <c r="JU54" s="213"/>
      <c r="JV54" s="213"/>
      <c r="JW54" s="213"/>
      <c r="JX54" s="213"/>
      <c r="JY54" s="213"/>
      <c r="JZ54" s="213"/>
      <c r="KA54" s="213"/>
      <c r="KB54" s="213"/>
      <c r="KC54" s="213"/>
      <c r="KD54" s="213"/>
      <c r="KE54" s="213"/>
      <c r="KF54" s="213"/>
      <c r="KG54" s="213"/>
      <c r="KH54" s="213"/>
      <c r="KI54" s="213"/>
      <c r="KJ54" s="213"/>
      <c r="KK54" s="213"/>
      <c r="KL54" s="213"/>
      <c r="KM54" s="213"/>
      <c r="KN54" s="213"/>
      <c r="KO54" s="213"/>
      <c r="KP54" s="213"/>
      <c r="KQ54" s="213"/>
      <c r="KR54" s="213"/>
      <c r="KS54" s="213"/>
      <c r="KT54" s="213"/>
      <c r="KU54" s="213"/>
      <c r="KV54" s="213"/>
      <c r="KW54" s="213"/>
      <c r="KX54" s="213"/>
      <c r="KY54" s="213"/>
      <c r="KZ54" s="213"/>
      <c r="LA54" s="213"/>
      <c r="LB54" s="213"/>
      <c r="LC54" s="213"/>
      <c r="LD54" s="213"/>
      <c r="LE54" s="213"/>
      <c r="LF54" s="213"/>
      <c r="LG54" s="213"/>
      <c r="LH54" s="213"/>
      <c r="LI54" s="213"/>
      <c r="LJ54" s="213"/>
      <c r="LK54" s="213"/>
      <c r="LL54" s="213"/>
      <c r="LM54" s="213"/>
      <c r="LN54" s="213"/>
      <c r="LO54" s="213"/>
      <c r="LP54" s="213"/>
      <c r="LQ54" s="213"/>
      <c r="LR54" s="213"/>
      <c r="LS54" s="213"/>
      <c r="LT54" s="213"/>
      <c r="LU54" s="213"/>
      <c r="LV54" s="213"/>
      <c r="LW54" s="213"/>
      <c r="LX54" s="213"/>
      <c r="LY54" s="213"/>
      <c r="LZ54" s="213"/>
      <c r="MA54" s="213"/>
      <c r="MB54" s="213"/>
      <c r="MC54" s="213"/>
      <c r="MD54" s="213"/>
      <c r="ME54" s="213"/>
      <c r="MF54" s="213"/>
      <c r="MG54" s="213"/>
      <c r="MH54" s="213"/>
      <c r="MI54" s="213"/>
      <c r="MJ54" s="213"/>
      <c r="MK54" s="213"/>
      <c r="ML54" s="213"/>
      <c r="MM54" s="213"/>
      <c r="MN54" s="213"/>
      <c r="MO54" s="213"/>
      <c r="MP54" s="213"/>
      <c r="MQ54" s="213"/>
      <c r="MR54" s="213"/>
      <c r="MS54" s="213"/>
      <c r="MT54" s="213"/>
      <c r="MU54" s="213"/>
      <c r="MV54" s="213"/>
      <c r="MW54" s="213"/>
      <c r="MX54" s="213"/>
      <c r="MY54" s="213"/>
      <c r="MZ54" s="213"/>
      <c r="NA54" s="213"/>
      <c r="NB54" s="213"/>
      <c r="NC54" s="213"/>
      <c r="ND54" s="213"/>
      <c r="NE54" s="213"/>
      <c r="NF54" s="213"/>
      <c r="NG54" s="213"/>
      <c r="NH54" s="213"/>
      <c r="NI54" s="213"/>
      <c r="NJ54" s="213"/>
      <c r="NK54" s="213"/>
      <c r="NL54" s="213"/>
      <c r="NM54" s="213"/>
      <c r="NN54" s="213"/>
      <c r="NO54" s="213"/>
      <c r="NP54" s="213"/>
      <c r="NQ54" s="213"/>
      <c r="NR54" s="213"/>
      <c r="NS54" s="213"/>
      <c r="NT54" s="213"/>
      <c r="NU54" s="213"/>
      <c r="NV54" s="213"/>
      <c r="NW54" s="213"/>
      <c r="NX54" s="213"/>
      <c r="NY54" s="213"/>
      <c r="NZ54" s="213"/>
      <c r="OA54" s="213"/>
      <c r="OB54" s="213"/>
      <c r="OC54" s="213"/>
      <c r="OD54" s="213"/>
      <c r="OE54" s="213"/>
      <c r="OF54" s="213"/>
      <c r="OG54" s="213"/>
      <c r="OH54" s="213"/>
      <c r="OI54" s="213"/>
      <c r="OJ54" s="213"/>
      <c r="OK54" s="213"/>
      <c r="OL54" s="213"/>
      <c r="OM54" s="213"/>
      <c r="ON54" s="213"/>
      <c r="OO54" s="213"/>
      <c r="OP54" s="213"/>
      <c r="OQ54" s="213"/>
      <c r="OR54" s="213"/>
      <c r="OS54" s="213"/>
      <c r="OT54" s="213"/>
      <c r="OU54" s="213"/>
      <c r="OV54" s="213"/>
      <c r="OW54" s="213"/>
      <c r="OX54" s="213"/>
      <c r="OY54" s="213"/>
      <c r="OZ54" s="213"/>
      <c r="PA54" s="213"/>
      <c r="PB54" s="213"/>
      <c r="PC54" s="213"/>
      <c r="PD54" s="213"/>
      <c r="PE54" s="213"/>
      <c r="PF54" s="213"/>
      <c r="PG54" s="213"/>
      <c r="PH54" s="213"/>
      <c r="PI54" s="213"/>
    </row>
    <row r="55" spans="1:425" s="102" customFormat="1">
      <c r="B55" s="191"/>
      <c r="C55" s="211" t="s">
        <v>414</v>
      </c>
      <c r="D55" s="212">
        <v>18230746</v>
      </c>
      <c r="E55" s="191"/>
      <c r="F55" s="191"/>
      <c r="G55" s="191"/>
      <c r="H55" s="191"/>
      <c r="I55" s="194">
        <f>SUMIF('Program Costs'!D:D,D55,'Program Costs'!N:N)</f>
        <v>21334.039999999979</v>
      </c>
      <c r="J55" s="194"/>
      <c r="K55" s="191"/>
      <c r="L55" s="191"/>
      <c r="M55" s="191"/>
      <c r="N55" s="194">
        <f t="shared" si="26"/>
        <v>21334.039999999979</v>
      </c>
      <c r="O55" s="194">
        <f t="shared" si="27"/>
        <v>21334.039999999979</v>
      </c>
      <c r="P55" s="195"/>
      <c r="Q55" s="196">
        <f t="shared" si="28"/>
        <v>19943.946901000258</v>
      </c>
      <c r="R55" s="196">
        <f t="shared" si="28"/>
        <v>19943.946901000258</v>
      </c>
      <c r="S55" s="191"/>
      <c r="T55" s="197"/>
      <c r="U55" s="191"/>
      <c r="V55" s="198"/>
      <c r="W55" s="106"/>
      <c r="X55" s="106">
        <v>18230746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1" t="s">
        <v>415</v>
      </c>
      <c r="D56" s="212">
        <v>18230411</v>
      </c>
      <c r="E56" s="191"/>
      <c r="F56" s="191"/>
      <c r="G56" s="191"/>
      <c r="H56" s="191"/>
      <c r="I56" s="194">
        <f>SUMIF('Program Costs'!D:D,D56,'Program Costs'!N:N)</f>
        <v>1593608.4600000002</v>
      </c>
      <c r="J56" s="194"/>
      <c r="K56" s="191"/>
      <c r="L56" s="191"/>
      <c r="M56" s="191"/>
      <c r="N56" s="194">
        <f t="shared" si="26"/>
        <v>1593608.4600000002</v>
      </c>
      <c r="O56" s="194">
        <f t="shared" si="27"/>
        <v>1593608.4600000002</v>
      </c>
      <c r="P56" s="195"/>
      <c r="Q56" s="196">
        <f t="shared" ref="Q56:Q61" si="29">N56/(1+ElecDiscountRate)^1</f>
        <v>1489771.3938487426</v>
      </c>
      <c r="R56" s="196">
        <f t="shared" ref="R56:R61" si="30">O56/(1+ElecDiscountRate)^1</f>
        <v>1489771.3938487426</v>
      </c>
      <c r="S56" s="191"/>
      <c r="T56" s="197"/>
      <c r="U56" s="191"/>
      <c r="V56" s="198"/>
      <c r="W56" s="106"/>
      <c r="X56" s="106">
        <v>18230411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B57" s="191"/>
      <c r="C57" s="215" t="s">
        <v>416</v>
      </c>
      <c r="D57" s="216">
        <v>18230610</v>
      </c>
      <c r="E57" s="201"/>
      <c r="F57" s="201"/>
      <c r="G57" s="202"/>
      <c r="H57" s="203"/>
      <c r="I57" s="194">
        <f>SUMIF('Program Costs'!D:D,D57,'Program Costs'!N:N)</f>
        <v>2013309.85</v>
      </c>
      <c r="J57" s="194"/>
      <c r="K57" s="204"/>
      <c r="L57" s="204"/>
      <c r="M57" s="204"/>
      <c r="N57" s="194">
        <f t="shared" si="26"/>
        <v>2013309.85</v>
      </c>
      <c r="O57" s="194">
        <f t="shared" si="27"/>
        <v>2013309.85</v>
      </c>
      <c r="P57" s="196"/>
      <c r="Q57" s="196">
        <f t="shared" si="29"/>
        <v>1882125.6894456388</v>
      </c>
      <c r="R57" s="196">
        <f t="shared" si="30"/>
        <v>1882125.6894456388</v>
      </c>
      <c r="S57" s="206"/>
      <c r="T57" s="206"/>
      <c r="U57" s="207"/>
      <c r="V57" s="207"/>
      <c r="W57" s="106"/>
      <c r="X57" s="106">
        <v>18230610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A58" s="134"/>
      <c r="B58" s="191"/>
      <c r="C58" s="192" t="s">
        <v>417</v>
      </c>
      <c r="D58" s="191">
        <v>18230811</v>
      </c>
      <c r="E58" s="191"/>
      <c r="F58" s="191"/>
      <c r="G58" s="191"/>
      <c r="H58" s="191"/>
      <c r="I58" s="194">
        <f>SUMIF('Program Costs'!D:D,D58,'Program Costs'!N:N)</f>
        <v>1716538.03</v>
      </c>
      <c r="J58" s="194"/>
      <c r="K58" s="191"/>
      <c r="L58" s="191"/>
      <c r="M58" s="191"/>
      <c r="N58" s="194">
        <f t="shared" si="26"/>
        <v>1716538.03</v>
      </c>
      <c r="O58" s="194">
        <f t="shared" si="27"/>
        <v>1716538.03</v>
      </c>
      <c r="P58" s="195"/>
      <c r="Q58" s="196">
        <f t="shared" si="29"/>
        <v>1604691.0629148358</v>
      </c>
      <c r="R58" s="196">
        <f t="shared" si="30"/>
        <v>1604691.0629148358</v>
      </c>
      <c r="S58" s="191"/>
      <c r="T58" s="197"/>
      <c r="U58" s="191"/>
      <c r="V58" s="198"/>
      <c r="W58" s="106"/>
      <c r="X58" s="106">
        <v>18230811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215" t="s">
        <v>418</v>
      </c>
      <c r="D59" s="217"/>
      <c r="E59" s="201"/>
      <c r="F59" s="201"/>
      <c r="G59" s="202"/>
      <c r="H59" s="203"/>
      <c r="I59" s="194">
        <f>SUMIF('Program Costs'!D:D,X59,'Program Costs'!N:N)+SUMIF('Program Costs'!D:D,Y59,'Program Costs'!N:N)+SUMIF('Program Costs'!D:D,Z59,'Program Costs'!N:N)+SUMIF('Program Costs'!D:D,AA59,'Program Costs'!N:N)</f>
        <v>2437369.54</v>
      </c>
      <c r="J59" s="194"/>
      <c r="K59" s="204"/>
      <c r="L59" s="204"/>
      <c r="M59" s="204"/>
      <c r="N59" s="194">
        <f t="shared" si="26"/>
        <v>2437369.54</v>
      </c>
      <c r="O59" s="194">
        <f t="shared" si="27"/>
        <v>2437369.54</v>
      </c>
      <c r="P59" s="196"/>
      <c r="Q59" s="196">
        <f t="shared" si="29"/>
        <v>2278554.3049453115</v>
      </c>
      <c r="R59" s="196">
        <f t="shared" si="30"/>
        <v>2278554.3049453115</v>
      </c>
      <c r="S59" s="206"/>
      <c r="T59" s="206"/>
      <c r="U59" s="207"/>
      <c r="V59" s="207"/>
      <c r="W59" s="106"/>
      <c r="X59" s="106">
        <v>18230508</v>
      </c>
      <c r="Y59" s="106">
        <v>18230408</v>
      </c>
      <c r="Z59" s="106">
        <v>18230400</v>
      </c>
      <c r="AA59" s="106">
        <v>18230509</v>
      </c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192" t="s">
        <v>419</v>
      </c>
      <c r="D60" s="191">
        <v>18230466</v>
      </c>
      <c r="E60" s="201"/>
      <c r="F60" s="201"/>
      <c r="G60" s="202"/>
      <c r="H60" s="203"/>
      <c r="I60" s="194">
        <f>SUMIF('Program Costs'!D:D,D60,'Program Costs'!N:N)</f>
        <v>2197486.69</v>
      </c>
      <c r="J60" s="194"/>
      <c r="K60" s="218"/>
      <c r="L60" s="218"/>
      <c r="M60" s="218"/>
      <c r="N60" s="194">
        <f t="shared" si="26"/>
        <v>2197486.69</v>
      </c>
      <c r="O60" s="194">
        <f t="shared" si="27"/>
        <v>2197486.69</v>
      </c>
      <c r="P60" s="219"/>
      <c r="Q60" s="196">
        <f t="shared" si="29"/>
        <v>2054301.8509862577</v>
      </c>
      <c r="R60" s="196">
        <f t="shared" si="30"/>
        <v>2054301.8509862577</v>
      </c>
      <c r="S60" s="219"/>
      <c r="T60" s="194"/>
      <c r="U60" s="207"/>
      <c r="V60" s="207"/>
      <c r="W60" s="106"/>
      <c r="X60" s="106">
        <v>18230466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91"/>
      <c r="C61" s="215" t="s">
        <v>420</v>
      </c>
      <c r="D61" s="216">
        <v>18230487</v>
      </c>
      <c r="E61" s="201"/>
      <c r="F61" s="201"/>
      <c r="G61" s="202"/>
      <c r="H61" s="203"/>
      <c r="I61" s="194">
        <f>SUMIF('Program Costs'!D:D,D61,'Program Costs'!N:N)</f>
        <v>487407.77</v>
      </c>
      <c r="J61" s="194"/>
      <c r="K61" s="204"/>
      <c r="L61" s="204"/>
      <c r="M61" s="204"/>
      <c r="N61" s="194">
        <f t="shared" si="26"/>
        <v>487407.77</v>
      </c>
      <c r="O61" s="194">
        <f t="shared" si="27"/>
        <v>487407.77</v>
      </c>
      <c r="P61" s="196"/>
      <c r="Q61" s="196">
        <f t="shared" si="29"/>
        <v>455649.03243900154</v>
      </c>
      <c r="R61" s="196">
        <f t="shared" si="30"/>
        <v>455649.03243900154</v>
      </c>
      <c r="S61" s="206"/>
      <c r="T61" s="206"/>
      <c r="U61" s="207"/>
      <c r="V61" s="207"/>
      <c r="W61" s="106"/>
      <c r="X61" s="106">
        <v>18230487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15" t="s">
        <v>2579</v>
      </c>
      <c r="D62" s="216">
        <v>18230482</v>
      </c>
      <c r="E62" s="201"/>
      <c r="F62" s="201"/>
      <c r="G62" s="202"/>
      <c r="H62" s="203"/>
      <c r="I62" s="194">
        <f>SUMIF('Program Costs'!D:D,D62,'Program Costs'!N:N)</f>
        <v>472.23</v>
      </c>
      <c r="J62" s="194"/>
      <c r="K62" s="204"/>
      <c r="L62" s="204"/>
      <c r="M62" s="204"/>
      <c r="N62" s="194">
        <f t="shared" ref="N62" si="31">I62</f>
        <v>472.23</v>
      </c>
      <c r="O62" s="194">
        <f t="shared" ref="O62" si="32">I62</f>
        <v>472.23</v>
      </c>
      <c r="P62" s="196"/>
      <c r="Q62" s="196">
        <f t="shared" ref="Q62" si="33">N62/(1+ElecDiscountRate)^1</f>
        <v>441.46022249228753</v>
      </c>
      <c r="R62" s="196">
        <f t="shared" ref="R62" si="34">O62/(1+ElecDiscountRate)^1</f>
        <v>441.46022249228753</v>
      </c>
      <c r="S62" s="206"/>
      <c r="T62" s="206"/>
      <c r="U62" s="207"/>
      <c r="V62" s="20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B63" s="137"/>
      <c r="C63" s="137" t="s">
        <v>421</v>
      </c>
      <c r="D63" s="137"/>
      <c r="E63" s="137"/>
      <c r="F63" s="137"/>
      <c r="G63" s="137"/>
      <c r="H63" s="517">
        <f>SUM(H57:H62)</f>
        <v>0</v>
      </c>
      <c r="I63" s="220">
        <f>SUM(I50:I62)</f>
        <v>16203175.319999998</v>
      </c>
      <c r="J63" s="518">
        <f>SUM(J50:J62)</f>
        <v>0</v>
      </c>
      <c r="K63" s="519">
        <f>SUM(K57:K62)</f>
        <v>0</v>
      </c>
      <c r="L63" s="519">
        <f>SUM(L57:L62)</f>
        <v>0</v>
      </c>
      <c r="M63" s="137">
        <f>SUM(M57:M61)</f>
        <v>0</v>
      </c>
      <c r="N63" s="221">
        <f>SUM(N50:N62)</f>
        <v>16203175.319999998</v>
      </c>
      <c r="O63" s="221">
        <f>SUM(O50:O62)</f>
        <v>16203175.319999998</v>
      </c>
      <c r="P63" s="221">
        <f>SUM(P50:P61)</f>
        <v>0</v>
      </c>
      <c r="Q63" s="221">
        <f>SUM(Q50:Q62)</f>
        <v>15147401.439655973</v>
      </c>
      <c r="R63" s="221">
        <f>SUM(R50:R62)</f>
        <v>15147401.439655973</v>
      </c>
      <c r="S63" s="518">
        <f>SUM(S57:S62)</f>
        <v>0</v>
      </c>
      <c r="T63" s="518">
        <f>SUM(T57:T62)</f>
        <v>0</v>
      </c>
      <c r="U63" s="137"/>
      <c r="V63" s="137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>
      <c r="B64" s="191"/>
      <c r="C64" s="208" t="s">
        <v>422</v>
      </c>
      <c r="D64" s="209">
        <v>18230809</v>
      </c>
      <c r="E64" s="201"/>
      <c r="F64" s="201"/>
      <c r="G64" s="202"/>
      <c r="H64" s="203"/>
      <c r="I64" s="194">
        <f>SUMIF('Program Costs'!D:D,D64,'Program Costs'!N:N)</f>
        <v>558169.54</v>
      </c>
      <c r="J64" s="194"/>
      <c r="K64" s="204"/>
      <c r="L64" s="204"/>
      <c r="M64" s="204"/>
      <c r="N64" s="222">
        <f>I64</f>
        <v>558169.54</v>
      </c>
      <c r="O64" s="222">
        <f>I64</f>
        <v>558169.54</v>
      </c>
      <c r="P64" s="196"/>
      <c r="Q64" s="196">
        <f t="shared" ref="Q64:R69" si="35">N64/(1+ElecDiscountRate)^1</f>
        <v>521800.07478732354</v>
      </c>
      <c r="R64" s="196">
        <f t="shared" si="35"/>
        <v>521800.07478732354</v>
      </c>
      <c r="S64" s="206"/>
      <c r="T64" s="206"/>
      <c r="U64" s="207"/>
      <c r="V64" s="207"/>
      <c r="W64" s="106"/>
      <c r="X64" s="106">
        <v>18230809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>
      <c r="A65" s="134"/>
      <c r="B65" s="191"/>
      <c r="C65" s="208" t="s">
        <v>423</v>
      </c>
      <c r="D65" s="209">
        <v>18230469</v>
      </c>
      <c r="E65" s="201"/>
      <c r="F65" s="201"/>
      <c r="G65" s="202"/>
      <c r="H65" s="203"/>
      <c r="I65" s="194">
        <f>SUMIF('Program Costs'!D:D,D65,'Program Costs'!N:N)</f>
        <v>494483.25</v>
      </c>
      <c r="J65" s="194"/>
      <c r="K65" s="204"/>
      <c r="L65" s="204"/>
      <c r="M65" s="204"/>
      <c r="N65" s="222">
        <f>I65</f>
        <v>494483.25</v>
      </c>
      <c r="O65" s="222">
        <f>I65</f>
        <v>494483.25</v>
      </c>
      <c r="P65" s="196"/>
      <c r="Q65" s="196">
        <f t="shared" si="35"/>
        <v>462263.48508927732</v>
      </c>
      <c r="R65" s="196">
        <f t="shared" si="35"/>
        <v>462263.48508927732</v>
      </c>
      <c r="S65" s="206"/>
      <c r="T65" s="206"/>
      <c r="U65" s="207"/>
      <c r="V65" s="207"/>
      <c r="W65" s="106"/>
      <c r="X65" s="106">
        <v>18230469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76" customFormat="1">
      <c r="A66" s="102"/>
      <c r="B66" s="191"/>
      <c r="C66" s="208" t="s">
        <v>424</v>
      </c>
      <c r="D66" s="209">
        <v>18230413</v>
      </c>
      <c r="E66" s="201"/>
      <c r="F66" s="201"/>
      <c r="G66" s="202"/>
      <c r="H66" s="203"/>
      <c r="I66" s="194">
        <f>SUMIF('Program Costs'!D:D,D66,'Program Costs'!N:N)</f>
        <v>319791.76</v>
      </c>
      <c r="J66" s="194"/>
      <c r="K66" s="204"/>
      <c r="L66" s="204"/>
      <c r="M66" s="204"/>
      <c r="N66" s="222">
        <f>I66</f>
        <v>319791.76</v>
      </c>
      <c r="O66" s="222">
        <f>I66</f>
        <v>319791.76</v>
      </c>
      <c r="P66" s="196"/>
      <c r="Q66" s="196">
        <f t="shared" si="35"/>
        <v>298954.62279143685</v>
      </c>
      <c r="R66" s="196">
        <f t="shared" si="35"/>
        <v>298954.62279143685</v>
      </c>
      <c r="S66" s="206"/>
      <c r="T66" s="206"/>
      <c r="U66" s="207"/>
      <c r="V66" s="207"/>
      <c r="W66" s="106"/>
      <c r="X66" s="106">
        <v>18230413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4" customFormat="1" ht="14.1" customHeight="1">
      <c r="A67" s="102"/>
      <c r="B67" s="191"/>
      <c r="C67" s="208" t="s">
        <v>425</v>
      </c>
      <c r="D67" s="209">
        <v>18230802</v>
      </c>
      <c r="E67" s="201"/>
      <c r="F67" s="201"/>
      <c r="G67" s="202"/>
      <c r="H67" s="203"/>
      <c r="I67" s="194">
        <f>SUMIF('Program Costs'!D:D,D67,'Program Costs'!N:N)</f>
        <v>3210779.8800000004</v>
      </c>
      <c r="J67" s="194"/>
      <c r="K67" s="204"/>
      <c r="L67" s="204"/>
      <c r="M67" s="204"/>
      <c r="N67" s="222">
        <f>I67</f>
        <v>3210779.8800000004</v>
      </c>
      <c r="O67" s="222">
        <f>I67</f>
        <v>3210779.8800000004</v>
      </c>
      <c r="P67" s="196"/>
      <c r="Q67" s="196">
        <f t="shared" si="35"/>
        <v>3001570.4216135368</v>
      </c>
      <c r="R67" s="196">
        <f t="shared" si="35"/>
        <v>3001570.4216135368</v>
      </c>
      <c r="S67" s="206"/>
      <c r="T67" s="206"/>
      <c r="U67" s="207"/>
      <c r="V67" s="207"/>
      <c r="W67" s="106"/>
      <c r="X67" s="106">
        <v>18230802</v>
      </c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24" customFormat="1" ht="14.1" customHeight="1">
      <c r="A68" s="102"/>
      <c r="B68" s="191"/>
      <c r="C68" s="208" t="s">
        <v>426</v>
      </c>
      <c r="D68" s="209">
        <v>18230624</v>
      </c>
      <c r="E68" s="201"/>
      <c r="F68" s="201"/>
      <c r="G68" s="202"/>
      <c r="H68" s="203"/>
      <c r="I68" s="194">
        <f>SUMIF('Program Costs'!D:D,D68,'Program Costs'!N:N)</f>
        <v>121941</v>
      </c>
      <c r="J68" s="194"/>
      <c r="K68" s="204"/>
      <c r="L68" s="204"/>
      <c r="M68" s="204"/>
      <c r="N68" s="222">
        <f>I68</f>
        <v>121941</v>
      </c>
      <c r="O68" s="222">
        <f>I68</f>
        <v>121941</v>
      </c>
      <c r="P68" s="196"/>
      <c r="Q68" s="196">
        <f t="shared" si="35"/>
        <v>113995.51276058707</v>
      </c>
      <c r="R68" s="196">
        <f t="shared" si="35"/>
        <v>113995.51276058707</v>
      </c>
      <c r="S68" s="206"/>
      <c r="T68" s="206"/>
      <c r="U68" s="207"/>
      <c r="V68" s="207"/>
      <c r="W68" s="106"/>
      <c r="X68" s="106">
        <v>18230624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229" customFormat="1">
      <c r="A69" s="225"/>
      <c r="B69" s="226"/>
      <c r="C69" s="226" t="s">
        <v>427</v>
      </c>
      <c r="D69" s="226"/>
      <c r="E69" s="226"/>
      <c r="F69" s="226"/>
      <c r="G69" s="226"/>
      <c r="H69" s="226">
        <f t="shared" ref="H69:P69" si="36">SUM(H64:H68)</f>
        <v>0</v>
      </c>
      <c r="I69" s="227">
        <f t="shared" si="36"/>
        <v>4705165.4300000006</v>
      </c>
      <c r="J69" s="226">
        <f t="shared" si="36"/>
        <v>0</v>
      </c>
      <c r="K69" s="226">
        <f t="shared" si="36"/>
        <v>0</v>
      </c>
      <c r="L69" s="226">
        <f t="shared" si="36"/>
        <v>0</v>
      </c>
      <c r="M69" s="226">
        <f t="shared" si="36"/>
        <v>0</v>
      </c>
      <c r="N69" s="228">
        <f t="shared" si="36"/>
        <v>4705165.4300000006</v>
      </c>
      <c r="O69" s="228">
        <f t="shared" si="36"/>
        <v>4705165.4300000006</v>
      </c>
      <c r="P69" s="228">
        <f t="shared" si="36"/>
        <v>0</v>
      </c>
      <c r="Q69" s="228">
        <f t="shared" si="35"/>
        <v>4398584.1170421615</v>
      </c>
      <c r="R69" s="228">
        <f t="shared" si="35"/>
        <v>4398584.1170421615</v>
      </c>
      <c r="S69" s="226">
        <f>SUM(S64:S68)</f>
        <v>0</v>
      </c>
      <c r="T69" s="226">
        <f>SUM(T64:T68)</f>
        <v>0</v>
      </c>
      <c r="U69" s="226"/>
      <c r="V69" s="226">
        <f>((S69*1.1)+(T69))/R69</f>
        <v>0</v>
      </c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0" customFormat="1">
      <c r="A70" s="230"/>
      <c r="B70" s="231" t="s">
        <v>428</v>
      </c>
      <c r="C70" s="232"/>
      <c r="D70" s="232"/>
      <c r="E70" s="232"/>
      <c r="F70" s="233"/>
      <c r="G70" s="234"/>
      <c r="H70" s="235">
        <f>SUM(H23,H41,H44,H48,H63,H69)</f>
        <v>386183324.56999958</v>
      </c>
      <c r="I70" s="235">
        <f>I69+I63+I48+I41+I23+I44</f>
        <v>48300949.199999996</v>
      </c>
      <c r="J70" s="236">
        <f t="shared" ref="J70:O70" si="37">J69+J63+J48+J41+J23+J44</f>
        <v>77440436.070000008</v>
      </c>
      <c r="K70" s="236">
        <f t="shared" si="37"/>
        <v>76714217.219999924</v>
      </c>
      <c r="L70" s="236">
        <f t="shared" si="37"/>
        <v>154154653.28999993</v>
      </c>
      <c r="M70" s="236">
        <f t="shared" si="37"/>
        <v>0</v>
      </c>
      <c r="N70" s="236">
        <f t="shared" si="37"/>
        <v>137550527.05999997</v>
      </c>
      <c r="O70" s="236">
        <f t="shared" si="37"/>
        <v>202455602.48999992</v>
      </c>
      <c r="P70" s="236"/>
      <c r="Q70" s="236">
        <f>Q69+Q63+Q48+Q41+Q23+Q44</f>
        <v>128564001.00962886</v>
      </c>
      <c r="R70" s="236">
        <f>R69+R63+R48+R41+R23+R44</f>
        <v>189263908.09572768</v>
      </c>
      <c r="S70" s="235">
        <f>S69+S63+S48+S41+S23+S44</f>
        <v>337804581.33532715</v>
      </c>
      <c r="T70" s="237">
        <f>T69+T63+T48+T41+T23+T44</f>
        <v>6352546.873922118</v>
      </c>
      <c r="U70" s="238">
        <f>S70/Q70</f>
        <v>2.6275207576188229</v>
      </c>
      <c r="V70" s="238">
        <f>((S70*1.1)+(T70))/R70</f>
        <v>1.9968814453077086</v>
      </c>
      <c r="W70" s="106"/>
      <c r="X70" s="106"/>
      <c r="Y70" s="106"/>
      <c r="Z70" s="106"/>
      <c r="AA70" s="106"/>
      <c r="AB70" s="106"/>
      <c r="AC70" s="106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239"/>
      <c r="EH70" s="239"/>
      <c r="EI70" s="239"/>
      <c r="EJ70" s="239"/>
      <c r="EK70" s="239"/>
      <c r="EL70" s="239"/>
      <c r="EM70" s="239"/>
      <c r="EN70" s="239"/>
      <c r="EO70" s="239"/>
      <c r="EP70" s="239"/>
      <c r="EQ70" s="239"/>
      <c r="ER70" s="239"/>
      <c r="ES70" s="239"/>
      <c r="ET70" s="239"/>
      <c r="EU70" s="239"/>
      <c r="EV70" s="239"/>
      <c r="EW70" s="239"/>
      <c r="EX70" s="239"/>
      <c r="EY70" s="239"/>
      <c r="EZ70" s="239"/>
      <c r="FA70" s="239"/>
      <c r="FB70" s="239"/>
      <c r="FC70" s="239"/>
      <c r="FD70" s="239"/>
      <c r="FE70" s="239"/>
      <c r="FF70" s="239"/>
      <c r="FG70" s="239"/>
      <c r="FH70" s="239"/>
      <c r="FI70" s="239"/>
      <c r="FJ70" s="239"/>
      <c r="FK70" s="239"/>
      <c r="FL70" s="239"/>
      <c r="FM70" s="239"/>
      <c r="FN70" s="239"/>
      <c r="FO70" s="239"/>
      <c r="FP70" s="239"/>
      <c r="FQ70" s="239"/>
      <c r="FR70" s="239"/>
      <c r="FS70" s="239"/>
      <c r="FT70" s="239"/>
      <c r="FU70" s="239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</row>
    <row r="71" spans="1:425" s="102" customFormat="1">
      <c r="B71" s="182"/>
      <c r="C71" s="183" t="s">
        <v>429</v>
      </c>
      <c r="D71" s="183"/>
      <c r="E71" s="184"/>
      <c r="F71" s="184"/>
      <c r="G71" s="185"/>
      <c r="H71" s="241"/>
      <c r="I71" s="242"/>
      <c r="J71" s="243"/>
      <c r="K71" s="186"/>
      <c r="L71" s="186"/>
      <c r="M71" s="186"/>
      <c r="N71" s="244"/>
      <c r="O71" s="187"/>
      <c r="P71" s="187"/>
      <c r="Q71" s="187"/>
      <c r="R71" s="187"/>
      <c r="S71" s="188"/>
      <c r="T71" s="189"/>
      <c r="U71" s="190"/>
      <c r="V71" s="190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</row>
    <row r="72" spans="1:425" s="247" customFormat="1">
      <c r="A72" s="102"/>
      <c r="B72" s="191"/>
      <c r="C72" s="245" t="s">
        <v>430</v>
      </c>
      <c r="D72" s="106">
        <v>18230128</v>
      </c>
      <c r="E72" s="245"/>
      <c r="F72" s="201"/>
      <c r="G72" s="202"/>
      <c r="H72" s="203"/>
      <c r="I72" s="194">
        <f>SUMIF('Program Costs'!D:D,D72,'Program Costs'!N:N)</f>
        <v>5521224.79</v>
      </c>
      <c r="J72" s="204"/>
      <c r="K72" s="204"/>
      <c r="L72" s="204" t="s">
        <v>298</v>
      </c>
      <c r="M72" s="204"/>
      <c r="N72" s="223">
        <f>I72</f>
        <v>5521224.79</v>
      </c>
      <c r="O72" s="223">
        <f>I72</f>
        <v>5521224.79</v>
      </c>
      <c r="P72" s="196">
        <v>0</v>
      </c>
      <c r="Q72" s="196">
        <f>N72/(1+ElecDiscountRate)^1</f>
        <v>5161470.3094325503</v>
      </c>
      <c r="R72" s="196">
        <f>O72/(1+ElecDiscountRate)^1</f>
        <v>5161470.3094325503</v>
      </c>
      <c r="S72" s="246"/>
      <c r="T72" s="206"/>
      <c r="U72" s="207"/>
      <c r="V72" s="207"/>
      <c r="W72" s="106"/>
      <c r="X72" s="106">
        <v>18230128</v>
      </c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>
      <c r="B73" s="191"/>
      <c r="C73" s="245" t="s">
        <v>431</v>
      </c>
      <c r="D73" s="106">
        <v>18230133</v>
      </c>
      <c r="E73" s="245"/>
      <c r="F73" s="201"/>
      <c r="G73" s="202"/>
      <c r="H73" s="203"/>
      <c r="I73" s="194">
        <f>SUMIF('Program Costs'!D:D,D73,'Program Costs'!N:N)</f>
        <v>0</v>
      </c>
      <c r="J73" s="204"/>
      <c r="K73" s="204"/>
      <c r="L73" s="204"/>
      <c r="M73" s="204"/>
      <c r="N73" s="223">
        <f>I73</f>
        <v>0</v>
      </c>
      <c r="O73" s="223">
        <f>I73</f>
        <v>0</v>
      </c>
      <c r="P73" s="196"/>
      <c r="Q73" s="196">
        <f>N73/(1+ElecDiscountRate)^1</f>
        <v>0</v>
      </c>
      <c r="R73" s="196">
        <f>O73/(1+ElecDiscountRate)^1</f>
        <v>0</v>
      </c>
      <c r="S73" s="246"/>
      <c r="T73" s="206"/>
      <c r="U73" s="207"/>
      <c r="V73" s="207"/>
      <c r="W73" s="106"/>
      <c r="X73" s="106">
        <v>18230133</v>
      </c>
      <c r="Y73" s="106"/>
      <c r="Z73" s="106"/>
      <c r="AA73" s="106"/>
      <c r="AB73" s="106"/>
      <c r="AC73" s="106"/>
    </row>
    <row r="74" spans="1:425" ht="15.75">
      <c r="A74" s="249"/>
      <c r="B74" s="226"/>
      <c r="C74" s="226" t="s">
        <v>432</v>
      </c>
      <c r="D74" s="226"/>
      <c r="E74" s="226"/>
      <c r="F74" s="226"/>
      <c r="G74" s="226"/>
      <c r="H74" s="226"/>
      <c r="I74" s="227">
        <f>SUM(I72:I73)</f>
        <v>5521224.79</v>
      </c>
      <c r="J74" s="226">
        <f>SUM(J72:J73)</f>
        <v>0</v>
      </c>
      <c r="K74" s="226">
        <f>SUM(K72)</f>
        <v>0</v>
      </c>
      <c r="L74" s="226">
        <f>SUM(L72)</f>
        <v>0</v>
      </c>
      <c r="M74" s="226">
        <f>SUM(M72)</f>
        <v>0</v>
      </c>
      <c r="N74" s="228">
        <f>SUM(N72:N73)</f>
        <v>5521224.79</v>
      </c>
      <c r="O74" s="228">
        <f>SUM(O72:O73)</f>
        <v>5521224.79</v>
      </c>
      <c r="P74" s="228">
        <f>SUM(P72:P72)</f>
        <v>0</v>
      </c>
      <c r="Q74" s="228">
        <f>SUM(Q72:Q73)</f>
        <v>5161470.3094325503</v>
      </c>
      <c r="R74" s="228">
        <f>SUM(R72:R73)</f>
        <v>5161470.3094325503</v>
      </c>
      <c r="S74" s="226">
        <f>SUM(S72)</f>
        <v>0</v>
      </c>
      <c r="T74" s="226">
        <f>SUM(T72)</f>
        <v>0</v>
      </c>
      <c r="U74" s="226"/>
      <c r="V74" s="226"/>
      <c r="W74" s="106"/>
      <c r="X74" s="106"/>
      <c r="Y74" s="106"/>
      <c r="Z74" s="106"/>
      <c r="AA74" s="106"/>
      <c r="AB74" s="106"/>
      <c r="AC74" s="106"/>
    </row>
    <row r="75" spans="1:425">
      <c r="H75" s="250"/>
      <c r="N75" s="252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</row>
    <row r="76" spans="1:425">
      <c r="J76" s="254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</row>
    <row r="77" spans="1:425">
      <c r="T77" s="106"/>
      <c r="U77" s="106"/>
      <c r="V77" s="106"/>
    </row>
    <row r="78" spans="1:425">
      <c r="T78" s="106"/>
      <c r="U78" s="106"/>
      <c r="V78" s="106"/>
    </row>
    <row r="79" spans="1:425" ht="24" customHeight="1">
      <c r="T79" s="106"/>
      <c r="U79" s="106"/>
      <c r="V79" s="106"/>
    </row>
    <row r="80" spans="1:425">
      <c r="T80" s="106"/>
      <c r="U80" s="106"/>
      <c r="V80" s="106"/>
    </row>
    <row r="81" spans="6:148">
      <c r="T81" s="106"/>
      <c r="U81" s="106"/>
      <c r="V81" s="106"/>
    </row>
    <row r="82" spans="6:148">
      <c r="T82" s="106"/>
      <c r="U82" s="106"/>
      <c r="V82" s="106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 ht="24" customHeight="1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>
      <c r="T99" s="106"/>
      <c r="U99" s="106"/>
      <c r="V99" s="106"/>
    </row>
    <row r="100" spans="20:22">
      <c r="T100" s="106"/>
      <c r="U100" s="106"/>
      <c r="V100" s="106"/>
    </row>
    <row r="101" spans="20:22" ht="24" customHeight="1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>
      <c r="T110" s="106"/>
      <c r="U110" s="106"/>
      <c r="V110" s="106"/>
    </row>
    <row r="111" spans="20:22">
      <c r="T111" s="106"/>
      <c r="U111" s="106"/>
      <c r="V111" s="106"/>
    </row>
    <row r="112" spans="20:22" ht="24" customHeight="1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>
      <c r="T121" s="106"/>
      <c r="U121" s="106"/>
      <c r="V121" s="106"/>
    </row>
    <row r="122" spans="20:22">
      <c r="T122" s="106"/>
      <c r="U122" s="106"/>
      <c r="V122" s="106"/>
    </row>
    <row r="123" spans="20:22" ht="24" customHeight="1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>
      <c r="T132" s="106"/>
      <c r="U132" s="106"/>
      <c r="V132" s="106"/>
    </row>
    <row r="133" spans="20:22">
      <c r="T133" s="106"/>
      <c r="U133" s="106"/>
      <c r="V133" s="106"/>
    </row>
    <row r="134" spans="20:22" ht="24" customHeight="1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>
      <c r="T143" s="106"/>
      <c r="U143" s="106"/>
      <c r="V143" s="106"/>
    </row>
    <row r="144" spans="20:22">
      <c r="T144" s="106"/>
      <c r="U144" s="106"/>
      <c r="V144" s="106"/>
    </row>
    <row r="145" spans="20:22" ht="24" customHeight="1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>
      <c r="T154" s="106"/>
      <c r="U154" s="106"/>
      <c r="V154" s="106"/>
    </row>
    <row r="155" spans="20:22">
      <c r="T155" s="106"/>
      <c r="U155" s="106"/>
      <c r="V155" s="106"/>
    </row>
    <row r="156" spans="20:22" ht="24" customHeight="1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>
      <c r="T165" s="106"/>
      <c r="U165" s="106"/>
      <c r="V165" s="106"/>
    </row>
    <row r="166" spans="20:22">
      <c r="T166" s="106"/>
      <c r="U166" s="106"/>
      <c r="V166" s="106"/>
    </row>
    <row r="167" spans="20:22" ht="24" customHeight="1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>
      <c r="T176" s="106"/>
      <c r="U176" s="106"/>
      <c r="V176" s="106"/>
    </row>
    <row r="177" spans="20:22">
      <c r="T177" s="106"/>
      <c r="U177" s="106"/>
      <c r="V177" s="106"/>
    </row>
    <row r="178" spans="20:22" ht="24" customHeight="1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>
      <c r="T187" s="106"/>
      <c r="U187" s="106"/>
      <c r="V187" s="106"/>
    </row>
    <row r="188" spans="20:22">
      <c r="T188" s="106"/>
      <c r="U188" s="106"/>
      <c r="V188" s="106"/>
    </row>
    <row r="189" spans="20:22" ht="24" customHeight="1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>
      <c r="T198" s="106"/>
      <c r="U198" s="106"/>
      <c r="V198" s="106"/>
    </row>
    <row r="199" spans="20:22">
      <c r="T199" s="106"/>
      <c r="U199" s="106"/>
      <c r="V199" s="106"/>
    </row>
    <row r="200" spans="20:22" ht="24" customHeight="1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>
      <c r="T209" s="106"/>
      <c r="U209" s="106"/>
      <c r="V209" s="106"/>
    </row>
    <row r="210" spans="20:22">
      <c r="T210" s="106"/>
      <c r="U210" s="106"/>
      <c r="V210" s="106"/>
    </row>
    <row r="211" spans="20:22" ht="24" customHeight="1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>
      <c r="T220" s="106"/>
      <c r="U220" s="106"/>
      <c r="V220" s="106"/>
    </row>
    <row r="221" spans="20:22">
      <c r="T221" s="106"/>
      <c r="U221" s="106"/>
      <c r="V221" s="106"/>
    </row>
    <row r="222" spans="20:22" ht="24" customHeight="1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>
      <c r="T231" s="106"/>
      <c r="U231" s="106"/>
      <c r="V231" s="106"/>
    </row>
    <row r="232" spans="20:22">
      <c r="T232" s="106"/>
      <c r="U232" s="106"/>
      <c r="V232" s="106"/>
    </row>
    <row r="233" spans="20:22" ht="24" customHeight="1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>
      <c r="T242" s="106"/>
      <c r="U242" s="106"/>
      <c r="V242" s="106"/>
    </row>
    <row r="243" spans="20:22">
      <c r="T243" s="106"/>
      <c r="U243" s="106"/>
      <c r="V243" s="106"/>
    </row>
    <row r="244" spans="20:22" ht="24" customHeight="1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>
      <c r="T253" s="106"/>
      <c r="U253" s="106"/>
      <c r="V253" s="106"/>
    </row>
    <row r="254" spans="20:22">
      <c r="T254" s="106"/>
      <c r="U254" s="106"/>
      <c r="V254" s="106"/>
    </row>
    <row r="255" spans="20:22" ht="24" customHeight="1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  <row r="270" spans="20:22">
      <c r="T270" s="106"/>
      <c r="U270" s="106"/>
      <c r="V270" s="106"/>
    </row>
    <row r="271" spans="20:22">
      <c r="T271" s="106"/>
      <c r="U271" s="106"/>
      <c r="V271" s="106"/>
    </row>
  </sheetData>
  <mergeCells count="2">
    <mergeCell ref="G1:J1"/>
    <mergeCell ref="K1:M1"/>
  </mergeCells>
  <conditionalFormatting sqref="X73">
    <cfRule type="duplicateValues" dxfId="330" priority="3"/>
  </conditionalFormatting>
  <conditionalFormatting sqref="X59:AA59">
    <cfRule type="duplicateValues" dxfId="329" priority="2"/>
  </conditionalFormatting>
  <conditionalFormatting sqref="D73">
    <cfRule type="duplicateValues" dxfId="32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7" location="'Efficiency Boost {E}'!A1" display="Efficiency Boost"/>
    <hyperlink ref="C18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8" location="'CBA {E}'!A1" display="Clean Buildings Accelerator"/>
    <hyperlink ref="C29" location="'CI New Construction {E}'!A1" display="Commercial/Industrial New Construction"/>
    <hyperlink ref="C30" location="'Com SEM {E}'!A1" display="Commercial Strategic Energy Management"/>
    <hyperlink ref="C31" location="'P4P {E}'!A1" display="Pay for Performance"/>
    <hyperlink ref="C32" location="'LPU 449 {E}'!A1" display="Large Power User, Self-Directed 449"/>
    <hyperlink ref="C33" location="'LPU Non-449 {E}'!A1" display="Large Power User, Self Directed non-449"/>
    <hyperlink ref="C35" location="'Lighting to Go {E}'!A1" display="Lighting to Go--AKA Business Lighting Markdowns"/>
    <hyperlink ref="C36" location="'Commercial Kitchen Laundry {E}'!A1" display="Commercial Kitchen and Laundry"/>
    <hyperlink ref="C37" location="'Commercial HVAC {E}'!A1" display="Commercial HVAC Rebates"/>
    <hyperlink ref="C38" location="'Commercial Midstream {E}'!A1" display="Commercial Midstream"/>
    <hyperlink ref="C39" location="'SBDI {E}'!A1" display="Small Business Direct Install"/>
    <hyperlink ref="C40" location="'Lodging Rebates {E}'!A1" display="Lodging Rebates"/>
    <hyperlink ref="C42" location="'Residential Pilots {E}'!A1" display="Residential Pilots"/>
    <hyperlink ref="C43" location="'Commercial Pilots {E}'!A1" display="Commercial Pilots"/>
    <hyperlink ref="C45" location="'NEEA {E}'!A1" display="Northwest Energy Efficiency Alliance"/>
    <hyperlink ref="C46" location="'T&amp;D {E}'!A1" display="Transmission &amp; Distribution"/>
    <hyperlink ref="C47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133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886</v>
      </c>
      <c r="F5" s="39" t="s">
        <v>887</v>
      </c>
      <c r="G5" s="39">
        <v>45</v>
      </c>
      <c r="H5" s="39"/>
      <c r="I5" s="40" t="s">
        <v>267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3.3629269404848736E-3</v>
      </c>
      <c r="V5" s="48">
        <f t="shared" ref="V5:V24" si="2">N5-M5</f>
        <v>0.22999999999999998</v>
      </c>
      <c r="W5" s="49">
        <f t="shared" ref="W5:W24" si="3">(O5/A$10)</f>
        <v>7.4731709788552748E-5</v>
      </c>
      <c r="X5" s="44">
        <f t="shared" ref="X5:X24" si="4">W5*A$8</f>
        <v>211.45709074927197</v>
      </c>
      <c r="Y5" s="44">
        <f t="shared" ref="Y5:Y24" si="5">Q5-P5</f>
        <v>276</v>
      </c>
      <c r="Z5" s="44">
        <f t="shared" ref="Z5:Z24" si="6">X5+(A$6*W5)</f>
        <v>804.04737214021156</v>
      </c>
      <c r="AA5" s="50">
        <f t="shared" ref="AA5:AA24" si="7">Q5+X5</f>
        <v>1387.4570907492721</v>
      </c>
      <c r="AB5" s="51">
        <f t="shared" ref="AB5:AC20" si="8">Z5/(1+ElecDiscountRate)^1</f>
        <v>751.6568871087328</v>
      </c>
      <c r="AC5" s="44">
        <f t="shared" si="8"/>
        <v>1297.052529446828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4.5038955345285459</v>
      </c>
      <c r="AP5" s="47">
        <f>AN5/AC5</f>
        <v>2.8710652980797216</v>
      </c>
      <c r="AQ5">
        <v>2021</v>
      </c>
    </row>
    <row r="6" spans="1:43" ht="13.5" customHeight="1">
      <c r="A6" s="53">
        <f>SUMIF('Program Costs'!D:D,C2,'Program Costs'!L:L)+SUMIF('Program Costs'!C:C,"State Grants {E}",'Program Costs'!L:L)</f>
        <v>7929569.4299999997</v>
      </c>
      <c r="B6" s="97" t="s">
        <v>39</v>
      </c>
      <c r="C6" s="61">
        <v>18230407</v>
      </c>
      <c r="D6" s="61" t="s">
        <v>40</v>
      </c>
      <c r="E6" s="38" t="s">
        <v>888</v>
      </c>
      <c r="F6" s="39" t="s">
        <v>889</v>
      </c>
      <c r="G6" s="39">
        <v>45</v>
      </c>
      <c r="H6" s="39"/>
      <c r="I6" s="40" t="s">
        <v>267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0.28952185347732168</v>
      </c>
      <c r="V6" s="48">
        <f t="shared" si="2"/>
        <v>-5.0000000000000044E-2</v>
      </c>
      <c r="W6" s="49">
        <f t="shared" si="3"/>
        <v>6.4338189661627037E-3</v>
      </c>
      <c r="X6" s="44">
        <f t="shared" si="4"/>
        <v>18204.810847250938</v>
      </c>
      <c r="Y6" s="44">
        <f t="shared" si="5"/>
        <v>-7748.3000000000029</v>
      </c>
      <c r="Z6" s="44">
        <f t="shared" si="6"/>
        <v>69222.225039488912</v>
      </c>
      <c r="AA6" s="50">
        <f t="shared" si="7"/>
        <v>126681.01084725093</v>
      </c>
      <c r="AB6" s="51">
        <f t="shared" si="8"/>
        <v>64711.811759828837</v>
      </c>
      <c r="AC6" s="44">
        <f t="shared" si="8"/>
        <v>118426.67182130589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4.5038955345285441</v>
      </c>
      <c r="AP6" s="47">
        <f t="shared" ref="AP6:AP24" si="16">AN6/AC6</f>
        <v>2.7071668829951929</v>
      </c>
      <c r="AQ6">
        <v>2021</v>
      </c>
    </row>
    <row r="7" spans="1:43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890</v>
      </c>
      <c r="F7" s="39" t="s">
        <v>891</v>
      </c>
      <c r="G7" s="39">
        <v>45</v>
      </c>
      <c r="H7" s="39"/>
      <c r="I7" s="40" t="s">
        <v>267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0.29645321956020992</v>
      </c>
      <c r="V7" s="48">
        <f t="shared" si="2"/>
        <v>0.53</v>
      </c>
      <c r="W7" s="49">
        <f t="shared" si="3"/>
        <v>6.5878493235602201E-3</v>
      </c>
      <c r="X7" s="44">
        <f t="shared" si="4"/>
        <v>18640.647406517492</v>
      </c>
      <c r="Y7" s="44">
        <f t="shared" si="5"/>
        <v>36042.119999999995</v>
      </c>
      <c r="Z7" s="44">
        <f t="shared" si="6"/>
        <v>70879.456012066788</v>
      </c>
      <c r="AA7" s="50">
        <f t="shared" si="7"/>
        <v>105685.76740651749</v>
      </c>
      <c r="AB7" s="51">
        <f t="shared" si="8"/>
        <v>66261.060121591829</v>
      </c>
      <c r="AC7" s="44">
        <f t="shared" si="8"/>
        <v>98799.446018993622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4.5038955345285441</v>
      </c>
      <c r="AP7" s="47">
        <f t="shared" si="16"/>
        <v>3.3226520522304561</v>
      </c>
      <c r="AQ7">
        <v>2021</v>
      </c>
    </row>
    <row r="8" spans="1:43" ht="13.5" customHeight="1">
      <c r="A8" s="53">
        <f>SUMIF('Program Costs'!D:D,C2,'Program Costs'!O:O)+SUMIF('Program Costs'!C:C,"State Grants {E}",'Program Costs'!O:O)</f>
        <v>2829549.75</v>
      </c>
      <c r="B8" s="97" t="s">
        <v>39</v>
      </c>
      <c r="C8" s="61">
        <v>18230407</v>
      </c>
      <c r="D8" s="61" t="s">
        <v>40</v>
      </c>
      <c r="E8" s="38" t="s">
        <v>892</v>
      </c>
      <c r="F8" s="39" t="s">
        <v>893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0.11141501506676035</v>
      </c>
      <c r="V8" s="48">
        <f t="shared" si="2"/>
        <v>0</v>
      </c>
      <c r="W8" s="49">
        <f t="shared" si="3"/>
        <v>9.2845845888966955E-3</v>
      </c>
      <c r="X8" s="44">
        <f t="shared" si="4"/>
        <v>26271.194002366497</v>
      </c>
      <c r="Y8" s="44">
        <f t="shared" si="5"/>
        <v>7127.4599999999991</v>
      </c>
      <c r="Z8" s="44">
        <f t="shared" si="6"/>
        <v>99893.952128730845</v>
      </c>
      <c r="AA8" s="50">
        <f t="shared" si="7"/>
        <v>54978.224002366493</v>
      </c>
      <c r="AB8" s="51">
        <f t="shared" si="8"/>
        <v>93385.016480069957</v>
      </c>
      <c r="AC8" s="44">
        <f t="shared" si="8"/>
        <v>51395.927832445064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0.27991704742348339</v>
      </c>
      <c r="AP8" s="47">
        <f t="shared" si="16"/>
        <v>0.91472037285536756</v>
      </c>
      <c r="AQ8">
        <v>2021</v>
      </c>
    </row>
    <row r="9" spans="1:43" ht="13.5" customHeight="1">
      <c r="A9" s="36" t="s">
        <v>250</v>
      </c>
      <c r="B9" s="97" t="s">
        <v>39</v>
      </c>
      <c r="C9" s="61">
        <v>18230407</v>
      </c>
      <c r="D9" s="61" t="s">
        <v>40</v>
      </c>
      <c r="E9" s="38" t="s">
        <v>894</v>
      </c>
      <c r="F9" s="39" t="s">
        <v>895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1.0138601961313658E-2</v>
      </c>
      <c r="V9" s="48">
        <f t="shared" si="2"/>
        <v>0</v>
      </c>
      <c r="W9" s="49">
        <f t="shared" si="3"/>
        <v>8.4488349677613807E-4</v>
      </c>
      <c r="X9" s="44">
        <f t="shared" si="4"/>
        <v>2390.6398870820472</v>
      </c>
      <c r="Y9" s="44">
        <f t="shared" si="5"/>
        <v>651.51000000000022</v>
      </c>
      <c r="Z9" s="44">
        <f t="shared" si="6"/>
        <v>9090.2022350296156</v>
      </c>
      <c r="AA9" s="50">
        <f t="shared" si="7"/>
        <v>5436.5398870820472</v>
      </c>
      <c r="AB9" s="51">
        <f t="shared" si="8"/>
        <v>8497.89869592373</v>
      </c>
      <c r="AC9" s="44">
        <f t="shared" si="8"/>
        <v>5082.3033440049048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0.28413186011824898</v>
      </c>
      <c r="AP9" s="47">
        <f t="shared" si="16"/>
        <v>0.86868393718400061</v>
      </c>
      <c r="AQ9">
        <v>2021</v>
      </c>
    </row>
    <row r="10" spans="1:43" ht="13.5" customHeight="1">
      <c r="A10" s="54">
        <f>SUM(O5:O999)</f>
        <v>14451696.65</v>
      </c>
      <c r="B10" s="97" t="s">
        <v>39</v>
      </c>
      <c r="C10" s="61">
        <v>18230407</v>
      </c>
      <c r="D10" s="61" t="s">
        <v>40</v>
      </c>
      <c r="E10" s="38" t="s">
        <v>896</v>
      </c>
      <c r="F10" s="39" t="s">
        <v>897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8.1042387504030541E-4</v>
      </c>
      <c r="V10" s="48">
        <f t="shared" si="2"/>
        <v>0</v>
      </c>
      <c r="W10" s="49">
        <f t="shared" si="3"/>
        <v>6.7535322920025446E-5</v>
      </c>
      <c r="X10" s="44">
        <f t="shared" si="4"/>
        <v>191.09455608452728</v>
      </c>
      <c r="Y10" s="44">
        <f t="shared" si="5"/>
        <v>23.340000000000032</v>
      </c>
      <c r="Z10" s="44">
        <f t="shared" si="6"/>
        <v>726.62058815633941</v>
      </c>
      <c r="AA10" s="50">
        <f t="shared" si="7"/>
        <v>830.9845560845273</v>
      </c>
      <c r="AB10" s="51">
        <f t="shared" si="8"/>
        <v>679.27511279455859</v>
      </c>
      <c r="AC10" s="44">
        <f t="shared" si="8"/>
        <v>776.83888574789864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0.34619497704867241</v>
      </c>
      <c r="AP10" s="47">
        <f t="shared" si="16"/>
        <v>0.90145088264484063</v>
      </c>
      <c r="AQ10">
        <v>2021</v>
      </c>
    </row>
    <row r="11" spans="1:43" ht="13.5" customHeight="1">
      <c r="A11" s="36" t="s">
        <v>251</v>
      </c>
      <c r="B11" s="97" t="s">
        <v>39</v>
      </c>
      <c r="C11" s="61">
        <v>18230407</v>
      </c>
      <c r="D11" s="61" t="s">
        <v>40</v>
      </c>
      <c r="E11" s="38" t="s">
        <v>898</v>
      </c>
      <c r="F11" s="39" t="s">
        <v>899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1.0728152116312239E-2</v>
      </c>
      <c r="V11" s="48">
        <f t="shared" si="2"/>
        <v>0</v>
      </c>
      <c r="W11" s="49">
        <f t="shared" si="3"/>
        <v>8.9401267635935331E-4</v>
      </c>
      <c r="X11" s="44">
        <f t="shared" si="4"/>
        <v>2529.6533448894393</v>
      </c>
      <c r="Y11" s="44">
        <f t="shared" si="5"/>
        <v>107.80000000000018</v>
      </c>
      <c r="Z11" s="44">
        <f t="shared" si="6"/>
        <v>9618.7889333810508</v>
      </c>
      <c r="AA11" s="50">
        <f t="shared" si="7"/>
        <v>5436.6533448894388</v>
      </c>
      <c r="AB11" s="51">
        <f t="shared" si="8"/>
        <v>8992.0435013378046</v>
      </c>
      <c r="AC11" s="44">
        <f t="shared" si="8"/>
        <v>5082.4094090767867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0.27211964393816701</v>
      </c>
      <c r="AP11" s="47">
        <f t="shared" si="16"/>
        <v>0.90878131602942291</v>
      </c>
      <c r="AQ11">
        <v>2021</v>
      </c>
    </row>
    <row r="12" spans="1:43" ht="13.5" customHeight="1">
      <c r="A12" s="55">
        <f>SUM(P5:P1000)</f>
        <v>7805410.9000000004</v>
      </c>
      <c r="B12" s="97" t="s">
        <v>39</v>
      </c>
      <c r="C12" s="61">
        <v>18230407</v>
      </c>
      <c r="D12" s="61" t="s">
        <v>40</v>
      </c>
      <c r="E12" s="38" t="s">
        <v>900</v>
      </c>
      <c r="F12" s="39" t="s">
        <v>901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2.1298537289737535E-2</v>
      </c>
      <c r="V12" s="48">
        <f t="shared" si="2"/>
        <v>0</v>
      </c>
      <c r="W12" s="49">
        <f t="shared" si="3"/>
        <v>1.7748781074781279E-3</v>
      </c>
      <c r="X12" s="44">
        <f t="shared" si="4"/>
        <v>5022.1059052952096</v>
      </c>
      <c r="Y12" s="44">
        <f t="shared" si="5"/>
        <v>240.09999999999991</v>
      </c>
      <c r="Z12" s="44">
        <f t="shared" si="6"/>
        <v>19096.125088330024</v>
      </c>
      <c r="AA12" s="50">
        <f t="shared" si="7"/>
        <v>8134.3059052952094</v>
      </c>
      <c r="AB12" s="51">
        <f t="shared" si="8"/>
        <v>17851.851068832402</v>
      </c>
      <c r="AC12" s="44">
        <f t="shared" si="8"/>
        <v>7604.287094788453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0.23458814182884433</v>
      </c>
      <c r="AP12" s="47">
        <f t="shared" si="16"/>
        <v>0.92422611951775024</v>
      </c>
      <c r="AQ12">
        <v>2021</v>
      </c>
    </row>
    <row r="13" spans="1:43" ht="13.5" customHeight="1">
      <c r="A13" s="56" t="s">
        <v>252</v>
      </c>
      <c r="B13" s="97" t="s">
        <v>39</v>
      </c>
      <c r="C13" s="61">
        <v>18230407</v>
      </c>
      <c r="D13" s="61" t="s">
        <v>40</v>
      </c>
      <c r="E13" s="38" t="s">
        <v>902</v>
      </c>
      <c r="F13" s="39" t="s">
        <v>903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1.743739895066231E-3</v>
      </c>
      <c r="V13" s="48">
        <f t="shared" si="2"/>
        <v>0</v>
      </c>
      <c r="W13" s="49">
        <f t="shared" si="3"/>
        <v>1.4531165792218591E-4</v>
      </c>
      <c r="X13" s="44">
        <f t="shared" si="4"/>
        <v>411.16656534580665</v>
      </c>
      <c r="Y13" s="44">
        <f t="shared" si="5"/>
        <v>27</v>
      </c>
      <c r="Z13" s="44">
        <f t="shared" si="6"/>
        <v>1563.4254458281894</v>
      </c>
      <c r="AA13" s="50">
        <f t="shared" si="7"/>
        <v>600.1665653458067</v>
      </c>
      <c r="AB13" s="51">
        <f t="shared" si="8"/>
        <v>1461.5550582669807</v>
      </c>
      <c r="AC13" s="44">
        <f t="shared" si="8"/>
        <v>561.06063882004923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0.23458814182884419</v>
      </c>
      <c r="AP13" s="47">
        <f t="shared" si="16"/>
        <v>1.0255547875504778</v>
      </c>
      <c r="AQ13">
        <v>2021</v>
      </c>
    </row>
    <row r="14" spans="1:43" ht="13.5" customHeight="1">
      <c r="A14" s="55">
        <f>SUM(Y5:Y1000)</f>
        <v>6036669.9800000004</v>
      </c>
      <c r="B14" s="97" t="s">
        <v>39</v>
      </c>
      <c r="C14" s="61">
        <v>18230407</v>
      </c>
      <c r="D14" s="61" t="s">
        <v>40</v>
      </c>
      <c r="E14" s="38" t="s">
        <v>904</v>
      </c>
      <c r="F14" s="39" t="s">
        <v>905</v>
      </c>
      <c r="G14" s="39">
        <v>45</v>
      </c>
      <c r="H14" s="39"/>
      <c r="I14" s="40" t="s">
        <v>267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9.1546344490977122E-3</v>
      </c>
      <c r="V14" s="48">
        <f t="shared" si="2"/>
        <v>0.42999999999999994</v>
      </c>
      <c r="W14" s="49">
        <f t="shared" si="3"/>
        <v>2.0343632109106027E-4</v>
      </c>
      <c r="X14" s="44">
        <f t="shared" si="4"/>
        <v>575.63319148412927</v>
      </c>
      <c r="Y14" s="44">
        <f t="shared" si="5"/>
        <v>602</v>
      </c>
      <c r="Z14" s="44">
        <f t="shared" si="6"/>
        <v>2188.7956241594648</v>
      </c>
      <c r="AA14" s="50">
        <f t="shared" si="7"/>
        <v>2227.6331914841294</v>
      </c>
      <c r="AB14" s="51">
        <f t="shared" si="8"/>
        <v>2046.1770815737725</v>
      </c>
      <c r="AC14" s="44">
        <f t="shared" si="8"/>
        <v>2082.4840529906787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4.5038955345285467</v>
      </c>
      <c r="AP14" s="47">
        <f t="shared" si="16"/>
        <v>4.8679098349165697</v>
      </c>
      <c r="AQ14">
        <v>2021</v>
      </c>
    </row>
    <row r="15" spans="1:43" ht="13.5" customHeight="1">
      <c r="A15" s="57" t="s">
        <v>253</v>
      </c>
      <c r="B15" s="97" t="s">
        <v>39</v>
      </c>
      <c r="C15" s="61">
        <v>18230407</v>
      </c>
      <c r="D15" s="61" t="s">
        <v>40</v>
      </c>
      <c r="E15" s="38" t="s">
        <v>906</v>
      </c>
      <c r="F15" s="39" t="s">
        <v>907</v>
      </c>
      <c r="G15" s="39">
        <v>45</v>
      </c>
      <c r="H15" s="39"/>
      <c r="I15" s="40" t="s">
        <v>267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1.2005431210044115</v>
      </c>
      <c r="V15" s="48">
        <f t="shared" si="2"/>
        <v>0.16000000000000014</v>
      </c>
      <c r="W15" s="49">
        <f t="shared" si="3"/>
        <v>2.6678736022320258E-2</v>
      </c>
      <c r="X15" s="44">
        <f t="shared" si="4"/>
        <v>75488.810842272287</v>
      </c>
      <c r="Y15" s="44">
        <f t="shared" si="5"/>
        <v>94947.359999999986</v>
      </c>
      <c r="Z15" s="44">
        <f t="shared" si="6"/>
        <v>287039.70043590281</v>
      </c>
      <c r="AA15" s="50">
        <f t="shared" si="7"/>
        <v>567635.67084227223</v>
      </c>
      <c r="AB15" s="51">
        <f t="shared" si="8"/>
        <v>268336.63684762345</v>
      </c>
      <c r="AC15" s="44">
        <f t="shared" si="8"/>
        <v>530649.40716301033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4.5038955345285441</v>
      </c>
      <c r="AP15" s="47">
        <f t="shared" si="16"/>
        <v>2.5052627602104853</v>
      </c>
      <c r="AQ15">
        <v>2021</v>
      </c>
    </row>
    <row r="16" spans="1:43" ht="13.5" customHeight="1">
      <c r="A16" s="54">
        <f>SUM(U5:U999)</f>
        <v>27.679692193788188</v>
      </c>
      <c r="B16" s="97" t="s">
        <v>39</v>
      </c>
      <c r="C16" s="61">
        <v>18230407</v>
      </c>
      <c r="D16" s="61" t="s">
        <v>40</v>
      </c>
      <c r="E16" s="38" t="s">
        <v>908</v>
      </c>
      <c r="F16" s="39" t="s">
        <v>909</v>
      </c>
      <c r="G16" s="39">
        <v>15</v>
      </c>
      <c r="H16" s="39"/>
      <c r="I16" s="40" t="s">
        <v>255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39</v>
      </c>
      <c r="C17" s="61">
        <v>18230407</v>
      </c>
      <c r="D17" s="61" t="s">
        <v>40</v>
      </c>
      <c r="E17" s="38" t="s">
        <v>910</v>
      </c>
      <c r="F17" s="39" t="s">
        <v>911</v>
      </c>
      <c r="G17" s="39">
        <v>24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2021</v>
      </c>
    </row>
    <row r="18" spans="1:43" ht="13.5" customHeight="1">
      <c r="A18" s="59">
        <f>A6+A8</f>
        <v>10759119.18</v>
      </c>
      <c r="B18" s="97" t="s">
        <v>39</v>
      </c>
      <c r="C18" s="61">
        <v>18230407</v>
      </c>
      <c r="D18" s="61" t="s">
        <v>40</v>
      </c>
      <c r="E18" s="38" t="s">
        <v>912</v>
      </c>
      <c r="F18" s="39" t="s">
        <v>913</v>
      </c>
      <c r="G18" s="39">
        <v>15</v>
      </c>
      <c r="H18" s="39"/>
      <c r="I18" s="40" t="s">
        <v>257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7.3859839841019626E-2</v>
      </c>
      <c r="V18" s="48">
        <f t="shared" si="2"/>
        <v>152555</v>
      </c>
      <c r="W18" s="49">
        <f t="shared" si="3"/>
        <v>4.9239893227346421E-3</v>
      </c>
      <c r="X18" s="44">
        <f t="shared" si="4"/>
        <v>13932.672757146476</v>
      </c>
      <c r="Y18" s="44">
        <f t="shared" si="5"/>
        <v>52210.570000000007</v>
      </c>
      <c r="Z18" s="44">
        <f t="shared" si="6"/>
        <v>52977.787964349496</v>
      </c>
      <c r="AA18" s="50">
        <f t="shared" si="7"/>
        <v>84190.24275714648</v>
      </c>
      <c r="AB18" s="51">
        <f t="shared" si="8"/>
        <v>49525.837117275398</v>
      </c>
      <c r="AC18" s="44">
        <f t="shared" si="8"/>
        <v>78704.536558985201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1.5152628199461871</v>
      </c>
      <c r="AP18" s="47">
        <f t="shared" si="16"/>
        <v>1.0488483787678942</v>
      </c>
      <c r="AQ18">
        <v>2021</v>
      </c>
    </row>
    <row r="19" spans="1:43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914</v>
      </c>
      <c r="F19" s="39" t="s">
        <v>913</v>
      </c>
      <c r="G19" s="39">
        <v>15</v>
      </c>
      <c r="H19" s="39"/>
      <c r="I19" s="40" t="s">
        <v>257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1.2554771553414803</v>
      </c>
      <c r="V19" s="48">
        <f t="shared" si="2"/>
        <v>0.35</v>
      </c>
      <c r="W19" s="49">
        <f t="shared" si="3"/>
        <v>8.3698477022765352E-2</v>
      </c>
      <c r="X19" s="44">
        <f t="shared" si="4"/>
        <v>236829.00473514645</v>
      </c>
      <c r="Y19" s="44">
        <f t="shared" si="5"/>
        <v>611406.31000000006</v>
      </c>
      <c r="Z19" s="44">
        <f t="shared" si="6"/>
        <v>900521.88947242394</v>
      </c>
      <c r="AA19" s="50">
        <f t="shared" si="7"/>
        <v>1139041.3147351465</v>
      </c>
      <c r="AB19" s="51">
        <f t="shared" si="8"/>
        <v>841845.27388279315</v>
      </c>
      <c r="AC19" s="44">
        <f t="shared" si="8"/>
        <v>1064823.1417548344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1.5152628199461873</v>
      </c>
      <c r="AP19" s="47">
        <f t="shared" si="16"/>
        <v>1.3177573561331197</v>
      </c>
      <c r="AQ19">
        <v>2021</v>
      </c>
    </row>
    <row r="20" spans="1:43" ht="13.5" customHeight="1">
      <c r="A20" s="59">
        <f>A8+SUM(Q5:Q906)</f>
        <v>16671630.630000003</v>
      </c>
      <c r="B20" s="97" t="s">
        <v>39</v>
      </c>
      <c r="C20" s="61">
        <v>18230407</v>
      </c>
      <c r="D20" s="61" t="s">
        <v>40</v>
      </c>
      <c r="E20" s="38" t="s">
        <v>915</v>
      </c>
      <c r="F20" s="39" t="s">
        <v>916</v>
      </c>
      <c r="G20" s="39">
        <v>15</v>
      </c>
      <c r="H20" s="39"/>
      <c r="I20" s="40" t="s">
        <v>267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0.86756560863737753</v>
      </c>
      <c r="V20" s="48">
        <f t="shared" si="2"/>
        <v>22.990000000000002</v>
      </c>
      <c r="W20" s="49">
        <f t="shared" si="3"/>
        <v>5.7837707242491834E-2</v>
      </c>
      <c r="X20" s="44">
        <f t="shared" si="4"/>
        <v>163654.67006856596</v>
      </c>
      <c r="Y20" s="44">
        <f t="shared" si="5"/>
        <v>-21850.669999998994</v>
      </c>
      <c r="Z20" s="44">
        <f t="shared" si="6"/>
        <v>622282.78531991877</v>
      </c>
      <c r="AA20" s="50">
        <f t="shared" si="7"/>
        <v>985199.00006856699</v>
      </c>
      <c r="AB20" s="51">
        <f t="shared" si="8"/>
        <v>581735.80005601444</v>
      </c>
      <c r="AC20" s="44">
        <f t="shared" si="8"/>
        <v>921004.95472428424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1.9962357947854954</v>
      </c>
      <c r="AP20" s="47">
        <f t="shared" si="16"/>
        <v>1.3869740910138795</v>
      </c>
      <c r="AQ20">
        <v>2021</v>
      </c>
    </row>
    <row r="21" spans="1:43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917</v>
      </c>
      <c r="F21" s="39" t="s">
        <v>918</v>
      </c>
      <c r="G21" s="39">
        <v>10</v>
      </c>
      <c r="H21" s="39"/>
      <c r="I21" s="40" t="s">
        <v>265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6.4815919036053118E-2</v>
      </c>
      <c r="V21" s="48">
        <f t="shared" si="2"/>
        <v>0</v>
      </c>
      <c r="W21" s="49">
        <f t="shared" si="3"/>
        <v>6.4815919036053113E-3</v>
      </c>
      <c r="X21" s="44">
        <f t="shared" si="4"/>
        <v>18339.986750448432</v>
      </c>
      <c r="Y21" s="44">
        <f t="shared" si="5"/>
        <v>0</v>
      </c>
      <c r="Z21" s="44">
        <f t="shared" si="6"/>
        <v>69736.219767012619</v>
      </c>
      <c r="AA21" s="50">
        <f t="shared" si="7"/>
        <v>70684.986750448428</v>
      </c>
      <c r="AB21" s="51">
        <f t="shared" ref="AB21:AC24" si="18">Z21/(1+ElecDiscountRate)^1</f>
        <v>65192.31538469909</v>
      </c>
      <c r="AC21" s="44">
        <f t="shared" si="18"/>
        <v>66079.262176730321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1.070253198682563</v>
      </c>
      <c r="AP21" s="47">
        <f t="shared" si="16"/>
        <v>2.0587791902400538</v>
      </c>
      <c r="AQ21">
        <v>2021</v>
      </c>
    </row>
    <row r="22" spans="1:43" ht="13.5" customHeight="1">
      <c r="A22" s="60">
        <f>(SUM(AM5:AM1000)/(SUM(AB5:AB1000)))</f>
        <v>2.6412492977027724</v>
      </c>
      <c r="B22" s="97" t="s">
        <v>39</v>
      </c>
      <c r="C22" s="61">
        <v>18230407</v>
      </c>
      <c r="D22" s="61" t="s">
        <v>40</v>
      </c>
      <c r="E22" s="38" t="s">
        <v>617</v>
      </c>
      <c r="F22" s="39" t="s">
        <v>618</v>
      </c>
      <c r="G22" s="39">
        <v>14</v>
      </c>
      <c r="H22" s="39"/>
      <c r="I22" s="40" t="s">
        <v>265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1.3756170283300267E-4</v>
      </c>
      <c r="V22" s="48">
        <f t="shared" si="2"/>
        <v>15.560000000000002</v>
      </c>
      <c r="W22" s="49">
        <f t="shared" si="3"/>
        <v>9.8258359166430474E-6</v>
      </c>
      <c r="X22" s="44">
        <f t="shared" si="4"/>
        <v>27.802691561478355</v>
      </c>
      <c r="Y22" s="44">
        <f t="shared" si="5"/>
        <v>15.560000000000002</v>
      </c>
      <c r="Z22" s="44">
        <f t="shared" si="6"/>
        <v>105.71733967028709</v>
      </c>
      <c r="AA22" s="50">
        <f t="shared" si="7"/>
        <v>93.362691561478357</v>
      </c>
      <c r="AB22" s="51">
        <f t="shared" si="18"/>
        <v>98.828961082814885</v>
      </c>
      <c r="AC22" s="44">
        <f t="shared" si="18"/>
        <v>87.279322764773624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1.4612513713159472</v>
      </c>
      <c r="AP22" s="47">
        <f t="shared" si="16"/>
        <v>3.5325872613459208</v>
      </c>
      <c r="AQ22">
        <v>2021</v>
      </c>
    </row>
    <row r="23" spans="1:43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919</v>
      </c>
      <c r="F23" s="39" t="s">
        <v>920</v>
      </c>
      <c r="G23" s="39">
        <v>15</v>
      </c>
      <c r="H23" s="39"/>
      <c r="I23" s="40" t="s">
        <v>267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1.2143902840639821E-2</v>
      </c>
      <c r="V23" s="48">
        <f t="shared" si="2"/>
        <v>2958.92</v>
      </c>
      <c r="W23" s="49">
        <f t="shared" si="3"/>
        <v>8.0959352270932141E-4</v>
      </c>
      <c r="X23" s="44">
        <f t="shared" si="4"/>
        <v>2290.7851497837796</v>
      </c>
      <c r="Y23" s="44">
        <f t="shared" si="5"/>
        <v>26630.28</v>
      </c>
      <c r="Z23" s="44">
        <f t="shared" si="6"/>
        <v>8710.5131981856248</v>
      </c>
      <c r="AA23" s="50">
        <f t="shared" si="7"/>
        <v>36121.065149783775</v>
      </c>
      <c r="AB23" s="51">
        <f t="shared" si="18"/>
        <v>8142.9496103446054</v>
      </c>
      <c r="AC23" s="44">
        <f t="shared" si="18"/>
        <v>33767.472328488147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1.9962357947854952</v>
      </c>
      <c r="AP23" s="47">
        <f t="shared" si="16"/>
        <v>0.52952652369391962</v>
      </c>
      <c r="AQ23">
        <v>2021</v>
      </c>
    </row>
    <row r="24" spans="1:43" ht="13.5" customHeight="1">
      <c r="A24" s="60">
        <f>(SUM(AN5:AN1000)/SUM(AC5:AC1000))</f>
        <v>1.9322480705128888</v>
      </c>
      <c r="B24" s="97" t="s">
        <v>39</v>
      </c>
      <c r="C24" s="61">
        <v>18230407</v>
      </c>
      <c r="D24" s="61" t="s">
        <v>40</v>
      </c>
      <c r="E24" s="38" t="s">
        <v>921</v>
      </c>
      <c r="F24" s="39" t="s">
        <v>922</v>
      </c>
      <c r="G24" s="39">
        <v>15</v>
      </c>
      <c r="H24" s="39"/>
      <c r="I24" s="40" t="s">
        <v>266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3.851796875351656E-3</v>
      </c>
      <c r="V24" s="48">
        <f t="shared" si="2"/>
        <v>1690.37</v>
      </c>
      <c r="W24" s="49">
        <f t="shared" si="3"/>
        <v>2.5678645835677707E-4</v>
      </c>
      <c r="X24" s="44">
        <f t="shared" si="4"/>
        <v>726.59005904680396</v>
      </c>
      <c r="Y24" s="44">
        <f t="shared" si="5"/>
        <v>1690.37</v>
      </c>
      <c r="Z24" s="44">
        <f t="shared" si="6"/>
        <v>2762.7961092706714</v>
      </c>
      <c r="AA24" s="50">
        <f t="shared" si="7"/>
        <v>3916.960059046804</v>
      </c>
      <c r="AB24" s="51">
        <f t="shared" si="18"/>
        <v>2582.7765815375069</v>
      </c>
      <c r="AC24" s="44">
        <f t="shared" si="18"/>
        <v>3661.7369907888228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2.0060253192548041</v>
      </c>
      <c r="AP24" s="47">
        <f t="shared" si="16"/>
        <v>1.5564271143813428</v>
      </c>
      <c r="AQ24">
        <v>2021</v>
      </c>
    </row>
    <row r="25" spans="1:43" ht="13.5" customHeight="1">
      <c r="B25" s="97" t="s">
        <v>39</v>
      </c>
      <c r="C25" s="61">
        <v>18230407</v>
      </c>
      <c r="D25" s="61" t="s">
        <v>40</v>
      </c>
      <c r="E25" s="38" t="s">
        <v>627</v>
      </c>
      <c r="F25" s="39" t="s">
        <v>628</v>
      </c>
      <c r="G25" s="39">
        <v>12</v>
      </c>
      <c r="H25" s="39"/>
      <c r="I25" s="40" t="s">
        <v>263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5.646395850690652E-5</v>
      </c>
      <c r="V25" s="48">
        <f t="shared" ref="V25:V80" si="21">N25-M25</f>
        <v>-4.5599999999999987</v>
      </c>
      <c r="W25" s="49">
        <f t="shared" ref="W25:W80" si="22">(O25/A$10)</f>
        <v>4.7053298755755434E-6</v>
      </c>
      <c r="X25" s="44">
        <f t="shared" ref="X25:X80" si="23">W25*A$8</f>
        <v>13.31396497310231</v>
      </c>
      <c r="Y25" s="44">
        <f t="shared" ref="Y25:Y80" si="24">Q25-P25</f>
        <v>-4.5599999999999987</v>
      </c>
      <c r="Z25" s="44">
        <f t="shared" ref="Z25:Z80" si="25">X25+(A$6*W25)</f>
        <v>50.625204912531842</v>
      </c>
      <c r="AA25" s="50">
        <f t="shared" ref="AA25:AA80" si="26">Q25+X25</f>
        <v>33.753964973102313</v>
      </c>
      <c r="AB25" s="51">
        <f t="shared" ref="AB25:AB80" si="27">Z25/(1+ElecDiscountRate)^1</f>
        <v>47.326544743883183</v>
      </c>
      <c r="AC25" s="44">
        <f t="shared" ref="AC25:AC80" si="28">AA25/(1+ElecDiscountRate)^1</f>
        <v>31.554608743668609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1.2576685397890499</v>
      </c>
      <c r="AP25" s="47">
        <f t="shared" ref="AP25:AP80" si="37">AN25/AC25</f>
        <v>2.0547485002320012</v>
      </c>
      <c r="AQ25">
        <v>2021</v>
      </c>
    </row>
    <row r="26" spans="1:43" ht="13.5" customHeight="1">
      <c r="B26" s="97" t="s">
        <v>39</v>
      </c>
      <c r="C26" s="61">
        <v>18230407</v>
      </c>
      <c r="D26" s="61" t="s">
        <v>40</v>
      </c>
      <c r="E26" s="38" t="s">
        <v>629</v>
      </c>
      <c r="F26" s="39" t="s">
        <v>628</v>
      </c>
      <c r="G26" s="39">
        <v>12</v>
      </c>
      <c r="H26" s="39"/>
      <c r="I26" s="40" t="s">
        <v>263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2.8231979253453264E-4</v>
      </c>
      <c r="V26" s="48">
        <f t="shared" si="21"/>
        <v>50</v>
      </c>
      <c r="W26" s="49">
        <f t="shared" si="22"/>
        <v>2.3526649377877718E-5</v>
      </c>
      <c r="X26" s="44">
        <f t="shared" si="23"/>
        <v>66.569824865511549</v>
      </c>
      <c r="Y26" s="44">
        <f t="shared" si="24"/>
        <v>250</v>
      </c>
      <c r="Z26" s="44">
        <f t="shared" si="25"/>
        <v>253.12602456265921</v>
      </c>
      <c r="AA26" s="50">
        <f t="shared" si="26"/>
        <v>566.56982486551158</v>
      </c>
      <c r="AB26" s="51">
        <f t="shared" si="27"/>
        <v>236.63272371941591</v>
      </c>
      <c r="AC26" s="44">
        <f t="shared" si="28"/>
        <v>529.65301006404741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1.2576685397890501</v>
      </c>
      <c r="AP26" s="47">
        <f t="shared" si="37"/>
        <v>0.61206850295838389</v>
      </c>
      <c r="AQ26">
        <v>2021</v>
      </c>
    </row>
    <row r="27" spans="1:43" ht="13.5" customHeight="1">
      <c r="B27" s="97" t="s">
        <v>39</v>
      </c>
      <c r="C27" s="61">
        <v>18230407</v>
      </c>
      <c r="D27" s="61" t="s">
        <v>40</v>
      </c>
      <c r="E27" s="38" t="s">
        <v>780</v>
      </c>
      <c r="F27" s="39" t="s">
        <v>781</v>
      </c>
      <c r="G27" s="39">
        <v>10</v>
      </c>
      <c r="H27" s="39"/>
      <c r="I27" s="40" t="s">
        <v>263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5.7198128359551473E-2</v>
      </c>
      <c r="V27" s="48">
        <f t="shared" si="21"/>
        <v>0</v>
      </c>
      <c r="W27" s="49">
        <f t="shared" si="22"/>
        <v>5.7198128359551475E-3</v>
      </c>
      <c r="X27" s="44">
        <f t="shared" si="23"/>
        <v>16184.494980023679</v>
      </c>
      <c r="Y27" s="44">
        <f t="shared" si="24"/>
        <v>-11350</v>
      </c>
      <c r="Z27" s="44">
        <f t="shared" si="25"/>
        <v>61540.147989335223</v>
      </c>
      <c r="AA27" s="50">
        <f t="shared" si="26"/>
        <v>47734.494980023679</v>
      </c>
      <c r="AB27" s="51">
        <f t="shared" si="27"/>
        <v>57530.286986384235</v>
      </c>
      <c r="AC27" s="44">
        <f t="shared" si="28"/>
        <v>44624.189006285567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1.0562467021236306</v>
      </c>
      <c r="AP27" s="47">
        <f t="shared" si="37"/>
        <v>1.4979049475238337</v>
      </c>
      <c r="AQ27">
        <v>2021</v>
      </c>
    </row>
    <row r="28" spans="1:43" ht="13.5" customHeight="1">
      <c r="B28" s="97" t="s">
        <v>39</v>
      </c>
      <c r="C28" s="61">
        <v>18230407</v>
      </c>
      <c r="D28" s="61" t="s">
        <v>40</v>
      </c>
      <c r="E28" s="38" t="s">
        <v>923</v>
      </c>
      <c r="F28" s="39" t="s">
        <v>924</v>
      </c>
      <c r="G28" s="39">
        <v>10</v>
      </c>
      <c r="H28" s="39"/>
      <c r="I28" s="40" t="s">
        <v>263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5.7107481563419063E-3</v>
      </c>
      <c r="V28" s="48">
        <f t="shared" si="21"/>
        <v>50</v>
      </c>
      <c r="W28" s="49">
        <f t="shared" si="22"/>
        <v>5.7107481563419059E-4</v>
      </c>
      <c r="X28" s="44">
        <f t="shared" si="23"/>
        <v>1615.8846018090201</v>
      </c>
      <c r="Y28" s="44">
        <f t="shared" si="24"/>
        <v>3150</v>
      </c>
      <c r="Z28" s="44">
        <f t="shared" si="25"/>
        <v>6144.2620021047833</v>
      </c>
      <c r="AA28" s="50">
        <f t="shared" si="26"/>
        <v>17365.884601809019</v>
      </c>
      <c r="AB28" s="51">
        <f t="shared" si="27"/>
        <v>5743.9113789892335</v>
      </c>
      <c r="AC28" s="44">
        <f t="shared" si="28"/>
        <v>16234.35038030197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1.0562467021236308</v>
      </c>
      <c r="AP28" s="47">
        <f t="shared" si="37"/>
        <v>0.41108427748239945</v>
      </c>
      <c r="AQ28">
        <v>2021</v>
      </c>
    </row>
    <row r="29" spans="1:43">
      <c r="B29" s="97" t="s">
        <v>39</v>
      </c>
      <c r="C29" s="61">
        <v>18230407</v>
      </c>
      <c r="D29" s="61" t="s">
        <v>40</v>
      </c>
      <c r="E29" s="38" t="s">
        <v>925</v>
      </c>
      <c r="F29" s="39" t="s">
        <v>926</v>
      </c>
      <c r="G29" s="39">
        <v>45</v>
      </c>
      <c r="H29" s="39"/>
      <c r="I29" s="40" t="s">
        <v>267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4.5385501500960442E-2</v>
      </c>
      <c r="V29" s="48">
        <f t="shared" si="21"/>
        <v>12.809999999999999</v>
      </c>
      <c r="W29" s="49">
        <f t="shared" si="22"/>
        <v>1.0085667000213432E-3</v>
      </c>
      <c r="X29" s="44">
        <f t="shared" si="23"/>
        <v>2853.7896539037165</v>
      </c>
      <c r="Y29" s="44">
        <f t="shared" si="24"/>
        <v>15179.849999999999</v>
      </c>
      <c r="Z29" s="44">
        <f t="shared" si="25"/>
        <v>10851.289326508941</v>
      </c>
      <c r="AA29" s="50">
        <f t="shared" si="26"/>
        <v>23958.639653903716</v>
      </c>
      <c r="AB29" s="51">
        <f t="shared" si="27"/>
        <v>10144.236072271609</v>
      </c>
      <c r="AC29" s="44">
        <f t="shared" si="28"/>
        <v>22397.531694777706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4.5038955345285441</v>
      </c>
      <c r="AP29" s="47">
        <f t="shared" si="37"/>
        <v>2.2438828611429735</v>
      </c>
      <c r="AQ29">
        <v>2021</v>
      </c>
    </row>
    <row r="30" spans="1:43">
      <c r="B30" s="97" t="s">
        <v>39</v>
      </c>
      <c r="C30" s="61">
        <v>18230407</v>
      </c>
      <c r="D30" s="61" t="s">
        <v>40</v>
      </c>
      <c r="E30" s="38" t="s">
        <v>927</v>
      </c>
      <c r="F30" s="39" t="s">
        <v>926</v>
      </c>
      <c r="G30" s="39">
        <v>45</v>
      </c>
      <c r="H30" s="39"/>
      <c r="I30" s="40" t="s">
        <v>267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7.9717031010334685</v>
      </c>
      <c r="V30" s="48">
        <f t="shared" si="21"/>
        <v>18.3</v>
      </c>
      <c r="W30" s="49">
        <f t="shared" si="22"/>
        <v>0.17714895780074374</v>
      </c>
      <c r="X30" s="44">
        <f t="shared" si="23"/>
        <v>501251.78925785504</v>
      </c>
      <c r="Y30" s="44">
        <f t="shared" si="24"/>
        <v>2726387.3</v>
      </c>
      <c r="Z30" s="44">
        <f t="shared" si="25"/>
        <v>1905966.7495909925</v>
      </c>
      <c r="AA30" s="50">
        <f t="shared" si="26"/>
        <v>5089744.089257855</v>
      </c>
      <c r="AB30" s="51">
        <f t="shared" si="27"/>
        <v>1781776.8996830815</v>
      </c>
      <c r="AC30" s="44">
        <f t="shared" si="28"/>
        <v>4758104.224789992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4.5038955345285459</v>
      </c>
      <c r="AP30" s="47">
        <f t="shared" si="37"/>
        <v>1.8552411437770131</v>
      </c>
      <c r="AQ30">
        <v>2021</v>
      </c>
    </row>
    <row r="31" spans="1:43">
      <c r="B31" s="97" t="s">
        <v>39</v>
      </c>
      <c r="C31" s="61">
        <v>18230407</v>
      </c>
      <c r="D31" s="61" t="s">
        <v>40</v>
      </c>
      <c r="E31" s="38" t="s">
        <v>928</v>
      </c>
      <c r="F31" s="39" t="s">
        <v>929</v>
      </c>
      <c r="G31" s="39">
        <v>45</v>
      </c>
      <c r="H31" s="39"/>
      <c r="I31" s="40" t="s">
        <v>267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1.4995540333321348E-2</v>
      </c>
      <c r="V31" s="48">
        <f t="shared" si="21"/>
        <v>10.809999999999999</v>
      </c>
      <c r="W31" s="49">
        <f t="shared" si="22"/>
        <v>3.3323422962936328E-4</v>
      </c>
      <c r="X31" s="44">
        <f t="shared" si="23"/>
        <v>942.90283113920748</v>
      </c>
      <c r="Y31" s="44">
        <f t="shared" si="24"/>
        <v>2151.19</v>
      </c>
      <c r="Z31" s="44">
        <f t="shared" si="25"/>
        <v>3585.3067914378066</v>
      </c>
      <c r="AA31" s="50">
        <f t="shared" si="26"/>
        <v>4487.0928311392072</v>
      </c>
      <c r="AB31" s="51">
        <f t="shared" si="27"/>
        <v>3351.693737905774</v>
      </c>
      <c r="AC31" s="44">
        <f t="shared" si="28"/>
        <v>4194.7207919409248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4.503895534528545</v>
      </c>
      <c r="AP31" s="47">
        <f t="shared" si="37"/>
        <v>3.9586058593196278</v>
      </c>
      <c r="AQ31">
        <v>2021</v>
      </c>
    </row>
    <row r="32" spans="1:43">
      <c r="B32" s="97" t="s">
        <v>39</v>
      </c>
      <c r="C32" s="61">
        <v>18230407</v>
      </c>
      <c r="D32" s="61" t="s">
        <v>40</v>
      </c>
      <c r="E32" s="38" t="s">
        <v>930</v>
      </c>
      <c r="F32" s="39" t="s">
        <v>929</v>
      </c>
      <c r="G32" s="39">
        <v>45</v>
      </c>
      <c r="H32" s="39"/>
      <c r="I32" s="40" t="s">
        <v>267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1.2180521378436213</v>
      </c>
      <c r="V32" s="48">
        <f t="shared" si="21"/>
        <v>16.3</v>
      </c>
      <c r="W32" s="49">
        <f t="shared" si="22"/>
        <v>2.7067825285413807E-2</v>
      </c>
      <c r="X32" s="44">
        <f t="shared" si="23"/>
        <v>76589.758269386322</v>
      </c>
      <c r="Y32" s="44">
        <f t="shared" si="24"/>
        <v>204745.7</v>
      </c>
      <c r="Z32" s="44">
        <f t="shared" si="25"/>
        <v>291225.95818918466</v>
      </c>
      <c r="AA32" s="50">
        <f t="shared" si="26"/>
        <v>456356.45826938632</v>
      </c>
      <c r="AB32" s="51">
        <f t="shared" si="27"/>
        <v>272250.12451078306</v>
      </c>
      <c r="AC32" s="44">
        <f t="shared" si="28"/>
        <v>426620.97622640582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4.503895534528545</v>
      </c>
      <c r="AP32" s="47">
        <f t="shared" si="37"/>
        <v>3.1615996569025882</v>
      </c>
      <c r="AQ32">
        <v>2021</v>
      </c>
    </row>
    <row r="33" spans="2:43">
      <c r="B33" s="97" t="s">
        <v>39</v>
      </c>
      <c r="C33" s="61">
        <v>18230407</v>
      </c>
      <c r="D33" s="61" t="s">
        <v>40</v>
      </c>
      <c r="E33" s="38" t="s">
        <v>931</v>
      </c>
      <c r="F33" s="39" t="s">
        <v>932</v>
      </c>
      <c r="G33" s="39">
        <v>45</v>
      </c>
      <c r="H33" s="39"/>
      <c r="I33" s="40" t="s">
        <v>269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39</v>
      </c>
      <c r="C34" s="61">
        <v>18230407</v>
      </c>
      <c r="D34" s="61" t="s">
        <v>40</v>
      </c>
      <c r="E34" s="38" t="s">
        <v>933</v>
      </c>
      <c r="F34" s="39" t="s">
        <v>934</v>
      </c>
      <c r="G34" s="39">
        <v>45</v>
      </c>
      <c r="H34" s="39"/>
      <c r="I34" s="40" t="s">
        <v>267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1.1040675974886311</v>
      </c>
      <c r="V34" s="48">
        <f t="shared" si="21"/>
        <v>19.98</v>
      </c>
      <c r="W34" s="49">
        <f t="shared" si="22"/>
        <v>2.4534835499747359E-2</v>
      </c>
      <c r="X34" s="44">
        <f t="shared" si="23"/>
        <v>69422.53765460127</v>
      </c>
      <c r="Y34" s="44">
        <f t="shared" si="24"/>
        <v>306821.24</v>
      </c>
      <c r="Z34" s="44">
        <f t="shared" si="25"/>
        <v>263973.21920347668</v>
      </c>
      <c r="AA34" s="50">
        <f t="shared" si="26"/>
        <v>707175.77765460126</v>
      </c>
      <c r="AB34" s="51">
        <f t="shared" si="27"/>
        <v>246773.13190939202</v>
      </c>
      <c r="AC34" s="44">
        <f t="shared" si="28"/>
        <v>661097.29611536057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4.5038955345285459</v>
      </c>
      <c r="AP34" s="47">
        <f t="shared" si="37"/>
        <v>1.8493260443162194</v>
      </c>
      <c r="AQ34">
        <v>2021</v>
      </c>
    </row>
    <row r="35" spans="2:43">
      <c r="B35" s="97" t="s">
        <v>39</v>
      </c>
      <c r="C35" s="61">
        <v>18230407</v>
      </c>
      <c r="D35" s="61" t="s">
        <v>40</v>
      </c>
      <c r="E35" s="38" t="s">
        <v>935</v>
      </c>
      <c r="F35" s="39" t="s">
        <v>936</v>
      </c>
      <c r="G35" s="39">
        <v>45</v>
      </c>
      <c r="H35" s="39"/>
      <c r="I35" s="40" t="s">
        <v>267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0.29896420500910525</v>
      </c>
      <c r="V35" s="48">
        <f t="shared" si="21"/>
        <v>17.98</v>
      </c>
      <c r="W35" s="49">
        <f t="shared" si="22"/>
        <v>6.6436490002023396E-3</v>
      </c>
      <c r="X35" s="44">
        <f t="shared" si="23"/>
        <v>18798.535367610279</v>
      </c>
      <c r="Y35" s="44">
        <f t="shared" si="24"/>
        <v>31932.880000000005</v>
      </c>
      <c r="Z35" s="44">
        <f t="shared" si="25"/>
        <v>71479.811383264809</v>
      </c>
      <c r="AA35" s="50">
        <f t="shared" si="26"/>
        <v>114739.41536761029</v>
      </c>
      <c r="AB35" s="51">
        <f t="shared" si="27"/>
        <v>66822.297263966349</v>
      </c>
      <c r="AC35" s="44">
        <f t="shared" si="28"/>
        <v>107263.17226101736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4.503895534528545</v>
      </c>
      <c r="AP35" s="47">
        <f t="shared" si="37"/>
        <v>3.0863967930570402</v>
      </c>
      <c r="AQ35">
        <v>2021</v>
      </c>
    </row>
    <row r="36" spans="2:43">
      <c r="B36" s="97" t="s">
        <v>39</v>
      </c>
      <c r="C36" s="61">
        <v>18230407</v>
      </c>
      <c r="D36" s="61" t="s">
        <v>40</v>
      </c>
      <c r="E36" s="38" t="s">
        <v>937</v>
      </c>
      <c r="F36" s="39" t="s">
        <v>938</v>
      </c>
      <c r="G36" s="39">
        <v>18</v>
      </c>
      <c r="H36" s="39"/>
      <c r="I36" s="40" t="s">
        <v>269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2021</v>
      </c>
    </row>
    <row r="37" spans="2:43">
      <c r="B37" s="97" t="s">
        <v>39</v>
      </c>
      <c r="C37" s="61">
        <v>18230407</v>
      </c>
      <c r="D37" s="61" t="s">
        <v>40</v>
      </c>
      <c r="E37" s="38" t="s">
        <v>939</v>
      </c>
      <c r="F37" s="39" t="s">
        <v>938</v>
      </c>
      <c r="G37" s="39">
        <v>20</v>
      </c>
      <c r="H37" s="39"/>
      <c r="I37" s="40" t="s">
        <v>269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  <c r="AQ37">
        <v>2021</v>
      </c>
    </row>
    <row r="38" spans="2:43">
      <c r="B38" s="97" t="s">
        <v>39</v>
      </c>
      <c r="C38" s="61">
        <v>18230407</v>
      </c>
      <c r="D38" s="61" t="s">
        <v>40</v>
      </c>
      <c r="E38" s="38" t="s">
        <v>940</v>
      </c>
      <c r="F38" s="39" t="s">
        <v>941</v>
      </c>
      <c r="G38" s="39">
        <v>20</v>
      </c>
      <c r="H38" s="39"/>
      <c r="I38" s="40" t="s">
        <v>269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2021</v>
      </c>
    </row>
    <row r="39" spans="2:43">
      <c r="B39" s="97" t="s">
        <v>39</v>
      </c>
      <c r="C39" s="61">
        <v>18230407</v>
      </c>
      <c r="D39" s="61" t="s">
        <v>40</v>
      </c>
      <c r="E39" s="38" t="s">
        <v>598</v>
      </c>
      <c r="F39" s="39" t="s">
        <v>599</v>
      </c>
      <c r="G39" s="39">
        <v>13</v>
      </c>
      <c r="H39" s="39"/>
      <c r="I39" s="40" t="s">
        <v>265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2.2038934784864863E-3</v>
      </c>
      <c r="V39" s="48">
        <f t="shared" si="21"/>
        <v>129.16999999999996</v>
      </c>
      <c r="W39" s="49">
        <f t="shared" si="22"/>
        <v>1.6953026757588355E-4</v>
      </c>
      <c r="X39" s="44">
        <f t="shared" si="23"/>
        <v>479.69432623677443</v>
      </c>
      <c r="Y39" s="44">
        <f t="shared" si="24"/>
        <v>258.33999999999992</v>
      </c>
      <c r="Z39" s="44">
        <f t="shared" si="25"/>
        <v>1823.9963534662209</v>
      </c>
      <c r="AA39" s="50">
        <f t="shared" si="26"/>
        <v>1738.0343262367744</v>
      </c>
      <c r="AB39" s="51">
        <f t="shared" si="27"/>
        <v>1705.147567978144</v>
      </c>
      <c r="AC39" s="44">
        <f t="shared" si="28"/>
        <v>1624.786693686804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1.3692752366095453</v>
      </c>
      <c r="AP39" s="47">
        <f t="shared" si="37"/>
        <v>1.580698551715416</v>
      </c>
      <c r="AQ39">
        <v>2021</v>
      </c>
    </row>
    <row r="40" spans="2:43">
      <c r="B40" s="97" t="s">
        <v>39</v>
      </c>
      <c r="C40" s="61">
        <v>18230407</v>
      </c>
      <c r="D40" s="61" t="s">
        <v>40</v>
      </c>
      <c r="E40" s="38" t="s">
        <v>942</v>
      </c>
      <c r="F40" s="39" t="s">
        <v>943</v>
      </c>
      <c r="G40" s="39">
        <v>20</v>
      </c>
      <c r="H40" s="39"/>
      <c r="I40" s="40" t="s">
        <v>265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  <c r="AQ40">
        <v>2021</v>
      </c>
    </row>
    <row r="41" spans="2:43">
      <c r="B41" s="97" t="s">
        <v>39</v>
      </c>
      <c r="C41" s="61">
        <v>18230407</v>
      </c>
      <c r="D41" s="61" t="s">
        <v>40</v>
      </c>
      <c r="E41" s="38" t="s">
        <v>944</v>
      </c>
      <c r="F41" s="39" t="s">
        <v>945</v>
      </c>
      <c r="G41" s="39">
        <v>10</v>
      </c>
      <c r="H41" s="39"/>
      <c r="I41" s="40" t="s">
        <v>265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2.5948510343247484E-2</v>
      </c>
      <c r="V41" s="48">
        <f t="shared" si="21"/>
        <v>0</v>
      </c>
      <c r="W41" s="49">
        <f t="shared" si="22"/>
        <v>2.5948510343247484E-3</v>
      </c>
      <c r="X41" s="44">
        <f t="shared" si="23"/>
        <v>7342.2600954608333</v>
      </c>
      <c r="Y41" s="44">
        <f t="shared" si="24"/>
        <v>0</v>
      </c>
      <c r="Z41" s="44">
        <f t="shared" si="25"/>
        <v>27918.311532646236</v>
      </c>
      <c r="AA41" s="50">
        <f t="shared" si="26"/>
        <v>32092.260095460835</v>
      </c>
      <c r="AB41" s="51">
        <f t="shared" si="27"/>
        <v>26099.197469053222</v>
      </c>
      <c r="AC41" s="44">
        <f t="shared" si="28"/>
        <v>30001.177989586642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1.0702531986825634</v>
      </c>
      <c r="AP41" s="47">
        <f t="shared" si="37"/>
        <v>1.7503236012930659</v>
      </c>
      <c r="AQ41">
        <v>2021</v>
      </c>
    </row>
    <row r="42" spans="2:43">
      <c r="B42" s="97" t="s">
        <v>39</v>
      </c>
      <c r="C42" s="61">
        <v>18230407</v>
      </c>
      <c r="D42" s="61" t="s">
        <v>40</v>
      </c>
      <c r="E42" s="38" t="s">
        <v>946</v>
      </c>
      <c r="F42" s="39" t="s">
        <v>947</v>
      </c>
      <c r="G42" s="39">
        <v>15</v>
      </c>
      <c r="H42" s="39"/>
      <c r="I42" s="40" t="s">
        <v>267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5.158563856237599E-4</v>
      </c>
      <c r="V42" s="48">
        <f t="shared" si="21"/>
        <v>25</v>
      </c>
      <c r="W42" s="49">
        <f t="shared" si="22"/>
        <v>3.4390425708250662E-5</v>
      </c>
      <c r="X42" s="44">
        <f t="shared" si="23"/>
        <v>97.309420465174227</v>
      </c>
      <c r="Y42" s="44">
        <f t="shared" si="24"/>
        <v>175</v>
      </c>
      <c r="Z42" s="44">
        <f t="shared" si="25"/>
        <v>370.01068884600477</v>
      </c>
      <c r="AA42" s="50">
        <f t="shared" si="26"/>
        <v>797.30942046517418</v>
      </c>
      <c r="AB42" s="51">
        <f t="shared" si="27"/>
        <v>345.90136378985204</v>
      </c>
      <c r="AC42" s="44">
        <f t="shared" si="28"/>
        <v>745.35796995902979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1.9962357947854952</v>
      </c>
      <c r="AP42" s="47">
        <f t="shared" si="37"/>
        <v>1.019041565075657</v>
      </c>
      <c r="AQ42">
        <v>2021</v>
      </c>
    </row>
    <row r="43" spans="2:43">
      <c r="B43" s="97" t="s">
        <v>39</v>
      </c>
      <c r="C43" s="61">
        <v>18230407</v>
      </c>
      <c r="D43" s="61" t="s">
        <v>40</v>
      </c>
      <c r="E43" s="38" t="s">
        <v>948</v>
      </c>
      <c r="F43" s="39" t="s">
        <v>949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6.0719514203199107E-3</v>
      </c>
      <c r="V43" s="48">
        <f t="shared" si="21"/>
        <v>0</v>
      </c>
      <c r="W43" s="49">
        <f t="shared" si="22"/>
        <v>4.047967613546607E-4</v>
      </c>
      <c r="X43" s="44">
        <f t="shared" si="23"/>
        <v>1145.3925748918898</v>
      </c>
      <c r="Y43" s="44">
        <f t="shared" si="24"/>
        <v>0</v>
      </c>
      <c r="Z43" s="44">
        <f t="shared" si="25"/>
        <v>4355.2565990928124</v>
      </c>
      <c r="AA43" s="50">
        <f t="shared" si="26"/>
        <v>5695.39257489189</v>
      </c>
      <c r="AB43" s="51">
        <f t="shared" si="27"/>
        <v>4071.4748051723027</v>
      </c>
      <c r="AC43" s="44">
        <f t="shared" si="28"/>
        <v>5324.2895904383377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1.5915001582188839</v>
      </c>
      <c r="AP43" s="47">
        <f t="shared" si="37"/>
        <v>1.503594407923839</v>
      </c>
      <c r="AQ43">
        <v>2021</v>
      </c>
    </row>
    <row r="44" spans="2:43">
      <c r="B44" s="97" t="s">
        <v>39</v>
      </c>
      <c r="C44" s="61">
        <v>18230407</v>
      </c>
      <c r="D44" s="61" t="s">
        <v>40</v>
      </c>
      <c r="E44" s="38" t="s">
        <v>950</v>
      </c>
      <c r="F44" s="39" t="s">
        <v>951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4.9765091076693753E-2</v>
      </c>
      <c r="V44" s="48">
        <f t="shared" si="21"/>
        <v>0</v>
      </c>
      <c r="W44" s="49">
        <f t="shared" si="22"/>
        <v>3.3176727384462501E-3</v>
      </c>
      <c r="X44" s="44">
        <f t="shared" si="23"/>
        <v>9387.5200676524018</v>
      </c>
      <c r="Y44" s="44">
        <f t="shared" si="24"/>
        <v>0</v>
      </c>
      <c r="Z44" s="44">
        <f t="shared" si="25"/>
        <v>35695.236393180174</v>
      </c>
      <c r="AA44" s="50">
        <f t="shared" si="26"/>
        <v>64407.520067652404</v>
      </c>
      <c r="AB44" s="51">
        <f t="shared" si="27"/>
        <v>33369.389916032691</v>
      </c>
      <c r="AC44" s="44">
        <f t="shared" si="28"/>
        <v>60210.825528327943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1.5915001582188837</v>
      </c>
      <c r="AP44" s="47">
        <f t="shared" si="37"/>
        <v>1.1465261794218808</v>
      </c>
      <c r="AQ44">
        <v>2021</v>
      </c>
    </row>
    <row r="45" spans="2:43">
      <c r="B45" s="97" t="s">
        <v>39</v>
      </c>
      <c r="C45" s="61">
        <v>18230407</v>
      </c>
      <c r="D45" s="61" t="s">
        <v>40</v>
      </c>
      <c r="E45" s="38" t="s">
        <v>952</v>
      </c>
      <c r="F45" s="39" t="s">
        <v>953</v>
      </c>
      <c r="G45" s="39">
        <v>45</v>
      </c>
      <c r="H45" s="39"/>
      <c r="I45" s="40" t="s">
        <v>269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2021</v>
      </c>
    </row>
    <row r="46" spans="2:43">
      <c r="B46" s="97" t="s">
        <v>39</v>
      </c>
      <c r="C46" s="61">
        <v>18230407</v>
      </c>
      <c r="D46" s="61" t="s">
        <v>40</v>
      </c>
      <c r="E46" s="38" t="s">
        <v>633</v>
      </c>
      <c r="F46" s="39" t="s">
        <v>634</v>
      </c>
      <c r="G46" s="39">
        <v>14</v>
      </c>
      <c r="H46" s="39"/>
      <c r="I46" s="40" t="s">
        <v>265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3.9292272302159066E-3</v>
      </c>
      <c r="V46" s="48">
        <f t="shared" si="21"/>
        <v>-24.99</v>
      </c>
      <c r="W46" s="49">
        <f t="shared" si="22"/>
        <v>2.8065908787256475E-4</v>
      </c>
      <c r="X46" s="44">
        <f t="shared" si="23"/>
        <v>794.13885192504358</v>
      </c>
      <c r="Y46" s="44">
        <f t="shared" si="24"/>
        <v>-3898.44</v>
      </c>
      <c r="Z46" s="44">
        <f t="shared" si="25"/>
        <v>3019.6445753710168</v>
      </c>
      <c r="AA46" s="50">
        <f t="shared" si="26"/>
        <v>795.69885192504353</v>
      </c>
      <c r="AB46" s="51">
        <f t="shared" si="27"/>
        <v>2822.8891982527966</v>
      </c>
      <c r="AC46" s="44">
        <f t="shared" si="28"/>
        <v>743.85234357767922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1.4612513713159474</v>
      </c>
      <c r="AP46" s="47">
        <f t="shared" si="37"/>
        <v>19.862019565092737</v>
      </c>
      <c r="AQ46">
        <v>2021</v>
      </c>
    </row>
    <row r="47" spans="2:43">
      <c r="B47" s="97" t="s">
        <v>39</v>
      </c>
      <c r="C47" s="61">
        <v>18230407</v>
      </c>
      <c r="D47" s="61" t="s">
        <v>40</v>
      </c>
      <c r="E47" s="38" t="s">
        <v>954</v>
      </c>
      <c r="F47" s="39" t="s">
        <v>955</v>
      </c>
      <c r="G47" s="39">
        <v>4</v>
      </c>
      <c r="H47" s="39"/>
      <c r="I47" s="40" t="s">
        <v>263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3.5981934342636511E-5</v>
      </c>
      <c r="V47" s="48">
        <f t="shared" si="21"/>
        <v>0</v>
      </c>
      <c r="W47" s="49">
        <f t="shared" si="22"/>
        <v>8.9954835856591277E-6</v>
      </c>
      <c r="X47" s="44">
        <f t="shared" si="23"/>
        <v>25.45316833093089</v>
      </c>
      <c r="Y47" s="44">
        <f t="shared" si="24"/>
        <v>0</v>
      </c>
      <c r="Z47" s="44">
        <f t="shared" si="25"/>
        <v>96.783479979840294</v>
      </c>
      <c r="AA47" s="50">
        <f t="shared" si="26"/>
        <v>53.453168330930893</v>
      </c>
      <c r="AB47" s="51">
        <f t="shared" si="27"/>
        <v>90.477217892717846</v>
      </c>
      <c r="AC47" s="44">
        <f t="shared" si="28"/>
        <v>49.970242433327932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0.42638731645458589</v>
      </c>
      <c r="AP47" s="47">
        <f t="shared" si="37"/>
        <v>0.84922885871382225</v>
      </c>
      <c r="AQ47">
        <v>2021</v>
      </c>
    </row>
    <row r="48" spans="2:43">
      <c r="B48" s="97" t="s">
        <v>39</v>
      </c>
      <c r="C48" s="61">
        <v>18230407</v>
      </c>
      <c r="D48" s="61" t="s">
        <v>40</v>
      </c>
      <c r="E48" s="38" t="s">
        <v>956</v>
      </c>
      <c r="F48" s="39" t="s">
        <v>957</v>
      </c>
      <c r="G48" s="39">
        <v>5</v>
      </c>
      <c r="H48" s="39"/>
      <c r="I48" s="40" t="s">
        <v>263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1.8932033146433363E-2</v>
      </c>
      <c r="V48" s="48">
        <f t="shared" si="21"/>
        <v>0</v>
      </c>
      <c r="W48" s="49">
        <f t="shared" si="22"/>
        <v>3.7864066292866727E-3</v>
      </c>
      <c r="X48" s="44">
        <f t="shared" si="23"/>
        <v>10713.825931296447</v>
      </c>
      <c r="Y48" s="44">
        <f t="shared" si="24"/>
        <v>0</v>
      </c>
      <c r="Z48" s="44">
        <f t="shared" si="25"/>
        <v>40738.400188437387</v>
      </c>
      <c r="AA48" s="50">
        <f t="shared" si="26"/>
        <v>27737.825931296447</v>
      </c>
      <c r="AB48" s="51">
        <f t="shared" si="27"/>
        <v>38083.948946842465</v>
      </c>
      <c r="AC48" s="44">
        <f t="shared" si="28"/>
        <v>25930.472030752964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0.53582311538213523</v>
      </c>
      <c r="AP48" s="47">
        <f t="shared" si="37"/>
        <v>0.86565667455667383</v>
      </c>
      <c r="AQ48">
        <v>2021</v>
      </c>
    </row>
    <row r="49" spans="2:43">
      <c r="B49" s="97" t="s">
        <v>39</v>
      </c>
      <c r="C49" s="61">
        <v>18230407</v>
      </c>
      <c r="D49" s="61" t="s">
        <v>40</v>
      </c>
      <c r="E49" s="38" t="s">
        <v>958</v>
      </c>
      <c r="F49" s="39" t="s">
        <v>959</v>
      </c>
      <c r="G49" s="39">
        <v>45</v>
      </c>
      <c r="H49" s="39"/>
      <c r="I49" s="40" t="s">
        <v>267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4.209076724565762E-2</v>
      </c>
      <c r="V49" s="48">
        <f t="shared" si="21"/>
        <v>0.22999999999999998</v>
      </c>
      <c r="W49" s="49">
        <f t="shared" si="22"/>
        <v>9.3535038323683598E-4</v>
      </c>
      <c r="X49" s="44">
        <f t="shared" si="23"/>
        <v>2646.6204430501934</v>
      </c>
      <c r="Y49" s="44">
        <f t="shared" si="24"/>
        <v>5181.6699999999983</v>
      </c>
      <c r="Z49" s="44">
        <f t="shared" si="25"/>
        <v>10063.546248303792</v>
      </c>
      <c r="AA49" s="50">
        <f t="shared" si="26"/>
        <v>24725.040443050191</v>
      </c>
      <c r="AB49" s="51">
        <f t="shared" si="27"/>
        <v>9407.8211164847999</v>
      </c>
      <c r="AC49" s="44">
        <f t="shared" si="28"/>
        <v>23113.994992100765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4.503895534528545</v>
      </c>
      <c r="AP49" s="47">
        <f t="shared" si="37"/>
        <v>2.016485159044374</v>
      </c>
      <c r="AQ49">
        <v>2021</v>
      </c>
    </row>
    <row r="50" spans="2:43">
      <c r="B50" s="97" t="s">
        <v>39</v>
      </c>
      <c r="C50" s="61">
        <v>18230407</v>
      </c>
      <c r="D50" s="61" t="s">
        <v>40</v>
      </c>
      <c r="E50" s="38" t="s">
        <v>643</v>
      </c>
      <c r="F50" s="39" t="s">
        <v>644</v>
      </c>
      <c r="G50" s="39">
        <v>14</v>
      </c>
      <c r="H50" s="39"/>
      <c r="I50" s="40" t="s">
        <v>265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6.8780851416501323E-4</v>
      </c>
      <c r="V50" s="48">
        <f t="shared" si="21"/>
        <v>-34.44</v>
      </c>
      <c r="W50" s="49">
        <f t="shared" si="22"/>
        <v>4.9129179583215232E-5</v>
      </c>
      <c r="X50" s="44">
        <f t="shared" si="23"/>
        <v>139.01345780739177</v>
      </c>
      <c r="Y50" s="44">
        <f t="shared" si="24"/>
        <v>-172.2</v>
      </c>
      <c r="Z50" s="44">
        <f t="shared" si="25"/>
        <v>528.58669835143542</v>
      </c>
      <c r="AA50" s="50">
        <f t="shared" si="26"/>
        <v>466.81345780739179</v>
      </c>
      <c r="AB50" s="51">
        <f t="shared" si="27"/>
        <v>494.14480541407437</v>
      </c>
      <c r="AC50" s="44">
        <f t="shared" si="28"/>
        <v>436.39661382386811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1.4612513713159474</v>
      </c>
      <c r="AP50" s="47">
        <f t="shared" si="37"/>
        <v>3.5325872613459213</v>
      </c>
      <c r="AQ50">
        <v>2021</v>
      </c>
    </row>
    <row r="51" spans="2:43">
      <c r="B51" s="97" t="s">
        <v>39</v>
      </c>
      <c r="C51" s="61">
        <v>18230407</v>
      </c>
      <c r="D51" s="61" t="s">
        <v>40</v>
      </c>
      <c r="E51" s="38" t="s">
        <v>960</v>
      </c>
      <c r="F51" s="39" t="s">
        <v>961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8.3307173486789181E-4</v>
      </c>
      <c r="V51" s="48">
        <f t="shared" si="21"/>
        <v>0</v>
      </c>
      <c r="W51" s="49">
        <f t="shared" si="22"/>
        <v>6.4082441143683988E-5</v>
      </c>
      <c r="X51" s="44">
        <f t="shared" si="23"/>
        <v>181.32445531750074</v>
      </c>
      <c r="Y51" s="44">
        <f t="shared" si="24"/>
        <v>0</v>
      </c>
      <c r="Z51" s="44">
        <f t="shared" si="25"/>
        <v>689.47062161023155</v>
      </c>
      <c r="AA51" s="50">
        <f t="shared" si="26"/>
        <v>6664.0244553175007</v>
      </c>
      <c r="AB51" s="51">
        <f t="shared" si="27"/>
        <v>644.54578069573847</v>
      </c>
      <c r="AC51" s="44">
        <f t="shared" si="28"/>
        <v>6229.8069134500329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1.4069726400604032</v>
      </c>
      <c r="AP51" s="47">
        <f t="shared" si="37"/>
        <v>0.16012440199745614</v>
      </c>
      <c r="AQ51">
        <v>2021</v>
      </c>
    </row>
    <row r="52" spans="2:43">
      <c r="B52" s="97" t="s">
        <v>39</v>
      </c>
      <c r="C52" s="61">
        <v>18230407</v>
      </c>
      <c r="D52" s="61" t="s">
        <v>40</v>
      </c>
      <c r="E52" s="38" t="s">
        <v>962</v>
      </c>
      <c r="F52" s="39" t="s">
        <v>963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2.6176857234268059E-5</v>
      </c>
      <c r="V52" s="48">
        <f t="shared" si="21"/>
        <v>0</v>
      </c>
      <c r="W52" s="49">
        <f t="shared" si="22"/>
        <v>2.0136044026360046E-6</v>
      </c>
      <c r="X52" s="44">
        <f t="shared" si="23"/>
        <v>5.6975938340776064</v>
      </c>
      <c r="Y52" s="44">
        <f t="shared" si="24"/>
        <v>0</v>
      </c>
      <c r="Z52" s="44">
        <f t="shared" si="25"/>
        <v>21.664609749333479</v>
      </c>
      <c r="AA52" s="50">
        <f t="shared" si="26"/>
        <v>403.39759383407761</v>
      </c>
      <c r="AB52" s="51">
        <f t="shared" si="27"/>
        <v>20.252977235985302</v>
      </c>
      <c r="AC52" s="44">
        <f t="shared" si="28"/>
        <v>377.11282961024358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1.4069726400604032</v>
      </c>
      <c r="AP52" s="47">
        <f t="shared" si="37"/>
        <v>8.3118156887616562E-2</v>
      </c>
      <c r="AQ52">
        <v>2021</v>
      </c>
    </row>
    <row r="53" spans="2:43">
      <c r="B53" s="97" t="s">
        <v>39</v>
      </c>
      <c r="C53" s="61">
        <v>18230407</v>
      </c>
      <c r="D53" s="61" t="s">
        <v>40</v>
      </c>
      <c r="E53" s="38" t="s">
        <v>964</v>
      </c>
      <c r="F53" s="39" t="s">
        <v>965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4.6236785630287912E-5</v>
      </c>
      <c r="V53" s="48">
        <f t="shared" si="21"/>
        <v>0</v>
      </c>
      <c r="W53" s="49">
        <f t="shared" si="22"/>
        <v>3.5566758177144549E-6</v>
      </c>
      <c r="X53" s="44">
        <f t="shared" si="23"/>
        <v>10.063791170844981</v>
      </c>
      <c r="Y53" s="44">
        <f t="shared" si="24"/>
        <v>0</v>
      </c>
      <c r="Z53" s="44">
        <f t="shared" si="25"/>
        <v>38.266699007413777</v>
      </c>
      <c r="AA53" s="50">
        <f t="shared" si="26"/>
        <v>1063.763791170845</v>
      </c>
      <c r="AB53" s="51">
        <f t="shared" si="27"/>
        <v>35.773299997582285</v>
      </c>
      <c r="AC53" s="44">
        <f t="shared" si="28"/>
        <v>994.45058537051966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2.0484744712320269</v>
      </c>
      <c r="AP53" s="47">
        <f t="shared" si="37"/>
        <v>8.1058588694394945E-2</v>
      </c>
      <c r="AQ53">
        <v>2021</v>
      </c>
    </row>
    <row r="54" spans="2:43">
      <c r="B54" s="97" t="s">
        <v>39</v>
      </c>
      <c r="C54" s="61">
        <v>18230407</v>
      </c>
      <c r="D54" s="61" t="s">
        <v>40</v>
      </c>
      <c r="E54" s="38" t="s">
        <v>966</v>
      </c>
      <c r="F54" s="39" t="s">
        <v>967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2.1257019673188339E-4</v>
      </c>
      <c r="V54" s="48">
        <f t="shared" si="21"/>
        <v>0</v>
      </c>
      <c r="W54" s="49">
        <f t="shared" si="22"/>
        <v>1.7714183060990283E-5</v>
      </c>
      <c r="X54" s="44">
        <f t="shared" si="23"/>
        <v>50.12316225167929</v>
      </c>
      <c r="Y54" s="44">
        <f t="shared" si="24"/>
        <v>0</v>
      </c>
      <c r="Z54" s="44">
        <f t="shared" si="25"/>
        <v>190.58900672953166</v>
      </c>
      <c r="AA54" s="50">
        <f t="shared" si="26"/>
        <v>2162.1231622516793</v>
      </c>
      <c r="AB54" s="51">
        <f t="shared" si="27"/>
        <v>178.17052138873669</v>
      </c>
      <c r="AC54" s="44">
        <f t="shared" si="28"/>
        <v>2021.2425560920624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1.3091743074852435</v>
      </c>
      <c r="AP54" s="47">
        <f t="shared" si="37"/>
        <v>0.12694265469296595</v>
      </c>
      <c r="AQ54">
        <v>2021</v>
      </c>
    </row>
    <row r="55" spans="2:43">
      <c r="B55" s="97" t="s">
        <v>39</v>
      </c>
      <c r="C55" s="61">
        <v>18230407</v>
      </c>
      <c r="D55" s="61" t="s">
        <v>40</v>
      </c>
      <c r="E55" s="38" t="s">
        <v>968</v>
      </c>
      <c r="F55" s="39" t="s">
        <v>969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2.9181348751878205E-4</v>
      </c>
      <c r="V55" s="48">
        <f t="shared" si="21"/>
        <v>0</v>
      </c>
      <c r="W55" s="49">
        <f t="shared" si="22"/>
        <v>2.2447191347598621E-5</v>
      </c>
      <c r="X55" s="44">
        <f t="shared" si="23"/>
        <v>63.515444665799841</v>
      </c>
      <c r="Y55" s="44">
        <f t="shared" si="24"/>
        <v>0</v>
      </c>
      <c r="Z55" s="44">
        <f t="shared" si="25"/>
        <v>241.51200696507837</v>
      </c>
      <c r="AA55" s="50">
        <f t="shared" si="26"/>
        <v>3469.7154446657996</v>
      </c>
      <c r="AB55" s="51">
        <f t="shared" si="27"/>
        <v>225.77545757228975</v>
      </c>
      <c r="AC55" s="44">
        <f t="shared" si="28"/>
        <v>3243.6341447749828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1.0862217244745915</v>
      </c>
      <c r="AP55" s="47">
        <f t="shared" si="37"/>
        <v>8.316795776416025E-2</v>
      </c>
      <c r="AQ55">
        <v>2021</v>
      </c>
    </row>
    <row r="56" spans="2:43">
      <c r="B56" s="97" t="s">
        <v>39</v>
      </c>
      <c r="C56" s="61">
        <v>18230407</v>
      </c>
      <c r="D56" s="61" t="s">
        <v>40</v>
      </c>
      <c r="E56" s="38" t="s">
        <v>970</v>
      </c>
      <c r="F56" s="39" t="s">
        <v>971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2.6798791130175019E-2</v>
      </c>
      <c r="V56" s="48">
        <f t="shared" si="21"/>
        <v>0</v>
      </c>
      <c r="W56" s="49">
        <f t="shared" si="22"/>
        <v>2.2332325941812514E-3</v>
      </c>
      <c r="X56" s="44">
        <f t="shared" si="23"/>
        <v>6319.0427285574115</v>
      </c>
      <c r="Y56" s="44">
        <f t="shared" si="24"/>
        <v>0</v>
      </c>
      <c r="Z56" s="44">
        <f t="shared" si="25"/>
        <v>24027.615637456656</v>
      </c>
      <c r="AA56" s="50">
        <f t="shared" si="26"/>
        <v>25879.042728557411</v>
      </c>
      <c r="AB56" s="51">
        <f t="shared" si="27"/>
        <v>22462.013309765967</v>
      </c>
      <c r="AC56" s="44">
        <f t="shared" si="28"/>
        <v>24192.804270877263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1.3091743074852435</v>
      </c>
      <c r="AP56" s="47">
        <f t="shared" si="37"/>
        <v>1.6843922672811642</v>
      </c>
      <c r="AQ56">
        <v>2021</v>
      </c>
    </row>
    <row r="57" spans="2:43">
      <c r="B57" s="97" t="s">
        <v>39</v>
      </c>
      <c r="C57" s="61">
        <v>18230407</v>
      </c>
      <c r="D57" s="61" t="s">
        <v>40</v>
      </c>
      <c r="E57" s="38" t="s">
        <v>972</v>
      </c>
      <c r="F57" s="39" t="s">
        <v>973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9.1857726615096093E-4</v>
      </c>
      <c r="V57" s="48">
        <f t="shared" si="21"/>
        <v>10</v>
      </c>
      <c r="W57" s="49">
        <f t="shared" si="22"/>
        <v>6.1238484410064062E-5</v>
      </c>
      <c r="X57" s="44">
        <f t="shared" si="23"/>
        <v>173.27733825287567</v>
      </c>
      <c r="Y57" s="44">
        <f t="shared" si="24"/>
        <v>150</v>
      </c>
      <c r="Z57" s="44">
        <f t="shared" si="25"/>
        <v>658.87215217045127</v>
      </c>
      <c r="AA57" s="50">
        <f t="shared" si="26"/>
        <v>1373.2773382528758</v>
      </c>
      <c r="AB57" s="51">
        <f t="shared" si="27"/>
        <v>615.94106026965619</v>
      </c>
      <c r="AC57" s="44">
        <f t="shared" si="28"/>
        <v>1283.7967077244793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1.5915001582188837</v>
      </c>
      <c r="AP57" s="47">
        <f t="shared" si="37"/>
        <v>0.9934607075052001</v>
      </c>
      <c r="AQ57">
        <v>2021</v>
      </c>
    </row>
    <row r="58" spans="2:43">
      <c r="B58" s="97" t="s">
        <v>39</v>
      </c>
      <c r="C58" s="61">
        <v>18230407</v>
      </c>
      <c r="D58" s="61" t="s">
        <v>40</v>
      </c>
      <c r="E58" s="38" t="s">
        <v>2016</v>
      </c>
      <c r="F58" s="39" t="s">
        <v>2017</v>
      </c>
      <c r="G58" s="39">
        <v>10</v>
      </c>
      <c r="H58" s="39"/>
      <c r="I58" s="40" t="s">
        <v>265</v>
      </c>
      <c r="J58" s="41">
        <v>3015</v>
      </c>
      <c r="K58" s="41">
        <v>48</v>
      </c>
      <c r="L58" s="41"/>
      <c r="M58" s="42">
        <v>2</v>
      </c>
      <c r="N58" s="42">
        <v>2</v>
      </c>
      <c r="O58" s="43">
        <v>144720</v>
      </c>
      <c r="P58" s="44">
        <v>6030</v>
      </c>
      <c r="Q58" s="44">
        <v>6030</v>
      </c>
      <c r="R58" s="45">
        <v>5.89</v>
      </c>
      <c r="S58" s="46">
        <v>0</v>
      </c>
      <c r="T58" s="39">
        <f t="shared" si="19"/>
        <v>10</v>
      </c>
      <c r="U58" s="47">
        <f t="shared" si="20"/>
        <v>0.10014049111666068</v>
      </c>
      <c r="V58" s="48">
        <f t="shared" si="21"/>
        <v>0</v>
      </c>
      <c r="W58" s="49">
        <f t="shared" si="22"/>
        <v>1.0014049111666068E-2</v>
      </c>
      <c r="X58" s="44">
        <f t="shared" si="23"/>
        <v>28335.250160402444</v>
      </c>
      <c r="Y58" s="44">
        <f t="shared" si="24"/>
        <v>0</v>
      </c>
      <c r="Z58" s="44">
        <f t="shared" si="25"/>
        <v>107742.34786678835</v>
      </c>
      <c r="AA58" s="50">
        <f t="shared" si="26"/>
        <v>34365.250160402444</v>
      </c>
      <c r="AB58" s="51">
        <f t="shared" si="27"/>
        <v>100722.02287257019</v>
      </c>
      <c r="AC58" s="44">
        <f t="shared" si="28"/>
        <v>32126.063532207572</v>
      </c>
      <c r="AD58" s="44">
        <f t="shared" si="29"/>
        <v>124900.36845584045</v>
      </c>
      <c r="AE58" s="44">
        <f t="shared" si="30"/>
        <v>0</v>
      </c>
      <c r="AF58" s="52">
        <f>HLOOKUP(I58,ElecAvoidedCostsWOCC!$A$5:$Q$50,G58+1,FALSE)</f>
        <v>0.74487332198138856</v>
      </c>
      <c r="AG58" s="44">
        <f t="shared" si="31"/>
        <v>107798.06715714655</v>
      </c>
      <c r="AH58" s="52">
        <f>HLOOKUP(I58,ElecAvoidedCostsWOCC!$A$5:$Q$50,T58+1,FALSE)</f>
        <v>0.74487332198138856</v>
      </c>
      <c r="AI58" s="44">
        <f t="shared" si="32"/>
        <v>0</v>
      </c>
      <c r="AJ58" s="44">
        <f t="shared" si="33"/>
        <v>107798.06715714655</v>
      </c>
      <c r="AK58" s="44">
        <f>HLOOKUP(I58,ElecAvoidedCostsWOCC!$A$5:$Q$50,G58+1,FALSE)*J58*L58</f>
        <v>0</v>
      </c>
      <c r="AL58" s="44">
        <f t="shared" si="34"/>
        <v>107798.06715714655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107798.06715714656</v>
      </c>
      <c r="AN58" s="48">
        <f t="shared" si="35"/>
        <v>243478.24232870169</v>
      </c>
      <c r="AO58" s="47">
        <f t="shared" si="36"/>
        <v>1.0702531986825634</v>
      </c>
      <c r="AP58" s="47">
        <f t="shared" si="37"/>
        <v>7.5788383498839096</v>
      </c>
      <c r="AQ58">
        <v>2020</v>
      </c>
    </row>
    <row r="59" spans="2:43">
      <c r="B59" s="97" t="s">
        <v>39</v>
      </c>
      <c r="C59" s="61">
        <v>18230407</v>
      </c>
      <c r="D59" s="61" t="s">
        <v>40</v>
      </c>
      <c r="E59" s="38" t="s">
        <v>2020</v>
      </c>
      <c r="F59" s="39" t="s">
        <v>2021</v>
      </c>
      <c r="G59" s="39">
        <v>10</v>
      </c>
      <c r="H59" s="39"/>
      <c r="I59" s="40" t="s">
        <v>265</v>
      </c>
      <c r="J59" s="41">
        <v>991</v>
      </c>
      <c r="K59" s="41">
        <v>44</v>
      </c>
      <c r="L59" s="41"/>
      <c r="M59" s="42">
        <v>2</v>
      </c>
      <c r="N59" s="42">
        <v>2</v>
      </c>
      <c r="O59" s="43">
        <v>43604</v>
      </c>
      <c r="P59" s="44">
        <v>1982</v>
      </c>
      <c r="Q59" s="44">
        <v>1982</v>
      </c>
      <c r="R59" s="45">
        <v>4.53</v>
      </c>
      <c r="S59" s="46">
        <v>0</v>
      </c>
      <c r="T59" s="39">
        <f t="shared" si="19"/>
        <v>10</v>
      </c>
      <c r="U59" s="47">
        <f t="shared" si="20"/>
        <v>3.0172235866852352E-2</v>
      </c>
      <c r="V59" s="48">
        <f t="shared" si="21"/>
        <v>0</v>
      </c>
      <c r="W59" s="49">
        <f t="shared" si="22"/>
        <v>3.0172235866852354E-3</v>
      </c>
      <c r="X59" s="44">
        <f t="shared" si="23"/>
        <v>8537.3842453993111</v>
      </c>
      <c r="Y59" s="44">
        <f t="shared" si="24"/>
        <v>0</v>
      </c>
      <c r="Z59" s="44">
        <f t="shared" si="25"/>
        <v>32462.668161853508</v>
      </c>
      <c r="AA59" s="50">
        <f t="shared" si="26"/>
        <v>10519.384245399311</v>
      </c>
      <c r="AB59" s="51">
        <f t="shared" si="27"/>
        <v>30347.450838415916</v>
      </c>
      <c r="AC59" s="44">
        <f t="shared" si="28"/>
        <v>9833.9574136667379</v>
      </c>
      <c r="AD59" s="44">
        <f t="shared" si="29"/>
        <v>31574.244289757364</v>
      </c>
      <c r="AE59" s="44">
        <f t="shared" si="30"/>
        <v>0</v>
      </c>
      <c r="AF59" s="52">
        <f>HLOOKUP(I59,ElecAvoidedCostsWOCC!$A$5:$Q$50,G59+1,FALSE)</f>
        <v>0.74487332198138856</v>
      </c>
      <c r="AG59" s="44">
        <f t="shared" si="31"/>
        <v>32479.456331676465</v>
      </c>
      <c r="AH59" s="52">
        <f>HLOOKUP(I59,ElecAvoidedCostsWOCC!$A$5:$Q$50,T59+1,FALSE)</f>
        <v>0.74487332198138856</v>
      </c>
      <c r="AI59" s="44">
        <f t="shared" si="32"/>
        <v>0</v>
      </c>
      <c r="AJ59" s="44">
        <f t="shared" si="33"/>
        <v>32479.456331676465</v>
      </c>
      <c r="AK59" s="44">
        <f>HLOOKUP(I59,ElecAvoidedCostsWOCC!$A$5:$Q$50,G59+1,FALSE)*J59*L59</f>
        <v>0</v>
      </c>
      <c r="AL59" s="44">
        <f t="shared" si="34"/>
        <v>32479.456331676465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32479.456331676469</v>
      </c>
      <c r="AN59" s="48">
        <f t="shared" si="35"/>
        <v>67301.646254601481</v>
      </c>
      <c r="AO59" s="47">
        <f t="shared" si="36"/>
        <v>1.0702531986825632</v>
      </c>
      <c r="AP59" s="47">
        <f t="shared" si="37"/>
        <v>6.8438008650585624</v>
      </c>
      <c r="AQ59">
        <v>2020</v>
      </c>
    </row>
    <row r="60" spans="2:43">
      <c r="B60" s="97" t="s">
        <v>39</v>
      </c>
      <c r="C60" s="61">
        <v>18230407</v>
      </c>
      <c r="D60" s="61" t="s">
        <v>40</v>
      </c>
      <c r="E60" s="38" t="s">
        <v>2028</v>
      </c>
      <c r="F60" s="39" t="s">
        <v>889</v>
      </c>
      <c r="G60" s="39">
        <v>45</v>
      </c>
      <c r="H60" s="39"/>
      <c r="I60" s="40" t="s">
        <v>267</v>
      </c>
      <c r="J60" s="41">
        <v>125002</v>
      </c>
      <c r="K60" s="41">
        <v>0.56000000000000005</v>
      </c>
      <c r="L60" s="41"/>
      <c r="M60" s="42">
        <v>0.75</v>
      </c>
      <c r="N60" s="42">
        <v>0.76</v>
      </c>
      <c r="O60" s="43">
        <v>70001.119999999995</v>
      </c>
      <c r="P60" s="44">
        <v>93751.5</v>
      </c>
      <c r="Q60" s="44">
        <v>95001.52</v>
      </c>
      <c r="R60" s="45">
        <v>0</v>
      </c>
      <c r="S60" s="46">
        <v>0</v>
      </c>
      <c r="T60" s="39">
        <f t="shared" si="19"/>
        <v>45</v>
      </c>
      <c r="U60" s="47">
        <f t="shared" si="20"/>
        <v>0.21797097436306898</v>
      </c>
      <c r="V60" s="48">
        <f t="shared" si="21"/>
        <v>1.0000000000000009E-2</v>
      </c>
      <c r="W60" s="49">
        <f t="shared" si="22"/>
        <v>4.8437994302904215E-3</v>
      </c>
      <c r="X60" s="44">
        <f t="shared" si="23"/>
        <v>13705.771467028404</v>
      </c>
      <c r="Y60" s="44">
        <f t="shared" si="24"/>
        <v>1250.0200000000041</v>
      </c>
      <c r="Z60" s="44">
        <f t="shared" si="25"/>
        <v>52115.015354510746</v>
      </c>
      <c r="AA60" s="50">
        <f t="shared" si="26"/>
        <v>108707.29146702841</v>
      </c>
      <c r="AB60" s="51">
        <f t="shared" si="27"/>
        <v>48719.281438263759</v>
      </c>
      <c r="AC60" s="44">
        <f t="shared" si="28"/>
        <v>101624.09223803721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3.1346149049506007</v>
      </c>
      <c r="AG60" s="44">
        <f t="shared" si="31"/>
        <v>219426.55411523563</v>
      </c>
      <c r="AH60" s="52">
        <f>HLOOKUP(I60,ElecAvoidedCostsWOCC!$A$5:$Q$50,T60+1,FALSE)</f>
        <v>3.1346149049506007</v>
      </c>
      <c r="AI60" s="44">
        <f t="shared" si="32"/>
        <v>0</v>
      </c>
      <c r="AJ60" s="44">
        <f t="shared" si="33"/>
        <v>219426.55411523563</v>
      </c>
      <c r="AK60" s="44">
        <f>HLOOKUP(I60,ElecAvoidedCostsWOCC!$A$5:$Q$50,G60+1,FALSE)*J60*L60</f>
        <v>0</v>
      </c>
      <c r="AL60" s="44">
        <f t="shared" si="34"/>
        <v>219426.55411523563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219426.5541152356</v>
      </c>
      <c r="AN60" s="48">
        <f t="shared" si="35"/>
        <v>241369.20952675919</v>
      </c>
      <c r="AO60" s="47">
        <f t="shared" si="36"/>
        <v>4.5038955345285459</v>
      </c>
      <c r="AP60" s="47">
        <f t="shared" si="37"/>
        <v>2.3751179883741815</v>
      </c>
      <c r="AQ60">
        <v>2020</v>
      </c>
    </row>
    <row r="61" spans="2:43">
      <c r="B61" s="97" t="s">
        <v>39</v>
      </c>
      <c r="C61" s="61">
        <v>18230407</v>
      </c>
      <c r="D61" s="61" t="s">
        <v>40</v>
      </c>
      <c r="E61" s="38" t="s">
        <v>2029</v>
      </c>
      <c r="F61" s="39" t="s">
        <v>2030</v>
      </c>
      <c r="G61" s="39">
        <v>20</v>
      </c>
      <c r="H61" s="39"/>
      <c r="I61" s="40" t="s">
        <v>266</v>
      </c>
      <c r="J61" s="41">
        <v>1</v>
      </c>
      <c r="K61" s="41">
        <v>939</v>
      </c>
      <c r="L61" s="41"/>
      <c r="M61" s="42">
        <v>800</v>
      </c>
      <c r="N61" s="42">
        <v>1686</v>
      </c>
      <c r="O61" s="43">
        <v>939</v>
      </c>
      <c r="P61" s="44">
        <v>800</v>
      </c>
      <c r="Q61" s="44">
        <v>1686</v>
      </c>
      <c r="R61" s="45">
        <v>0</v>
      </c>
      <c r="S61" s="46">
        <v>0</v>
      </c>
      <c r="T61" s="39">
        <f t="shared" si="19"/>
        <v>20</v>
      </c>
      <c r="U61" s="47">
        <f t="shared" si="20"/>
        <v>1.2995013979898338E-3</v>
      </c>
      <c r="V61" s="48">
        <f t="shared" si="21"/>
        <v>886</v>
      </c>
      <c r="W61" s="49">
        <f t="shared" si="22"/>
        <v>6.4975069899491692E-5</v>
      </c>
      <c r="X61" s="44">
        <f t="shared" si="23"/>
        <v>183.85019279033924</v>
      </c>
      <c r="Y61" s="44">
        <f t="shared" si="24"/>
        <v>886</v>
      </c>
      <c r="Z61" s="44">
        <f t="shared" si="25"/>
        <v>699.07452077746166</v>
      </c>
      <c r="AA61" s="50">
        <f t="shared" si="26"/>
        <v>1869.8501927903392</v>
      </c>
      <c r="AB61" s="51">
        <f t="shared" si="27"/>
        <v>653.52390462509265</v>
      </c>
      <c r="AC61" s="44">
        <f t="shared" si="28"/>
        <v>1748.0136419466571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1.7274981440970447</v>
      </c>
      <c r="AG61" s="44">
        <f t="shared" si="31"/>
        <v>1622.1207573071249</v>
      </c>
      <c r="AH61" s="52">
        <f>HLOOKUP(I61,ElecAvoidedCostsWOCC!$A$5:$Q$50,T61+1,FALSE)</f>
        <v>1.7274981440970447</v>
      </c>
      <c r="AI61" s="44">
        <f t="shared" si="32"/>
        <v>0</v>
      </c>
      <c r="AJ61" s="44">
        <f t="shared" si="33"/>
        <v>1622.1207573071249</v>
      </c>
      <c r="AK61" s="44">
        <f>HLOOKUP(I61,ElecAvoidedCostsWOCC!$A$5:$Q$50,G61+1,FALSE)*J61*L61</f>
        <v>0</v>
      </c>
      <c r="AL61" s="44">
        <f t="shared" si="34"/>
        <v>1622.1207573071249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1622.1207573071249</v>
      </c>
      <c r="AN61" s="48">
        <f t="shared" si="35"/>
        <v>1784.3328330378376</v>
      </c>
      <c r="AO61" s="47">
        <f t="shared" si="36"/>
        <v>2.482113884170293</v>
      </c>
      <c r="AP61" s="47">
        <f t="shared" si="37"/>
        <v>1.0207774071206528</v>
      </c>
      <c r="AQ61">
        <v>2020</v>
      </c>
    </row>
    <row r="62" spans="2:43">
      <c r="B62" s="97" t="s">
        <v>39</v>
      </c>
      <c r="C62" s="61">
        <v>18230407</v>
      </c>
      <c r="D62" s="61" t="s">
        <v>40</v>
      </c>
      <c r="E62" s="38" t="s">
        <v>2031</v>
      </c>
      <c r="F62" s="39" t="s">
        <v>2032</v>
      </c>
      <c r="G62" s="39">
        <v>10</v>
      </c>
      <c r="H62" s="39"/>
      <c r="I62" s="40" t="s">
        <v>263</v>
      </c>
      <c r="J62" s="41">
        <v>78</v>
      </c>
      <c r="K62" s="41">
        <v>143</v>
      </c>
      <c r="L62" s="41"/>
      <c r="M62" s="42">
        <v>50</v>
      </c>
      <c r="N62" s="42">
        <v>50</v>
      </c>
      <c r="O62" s="43">
        <v>11154</v>
      </c>
      <c r="P62" s="44">
        <v>3900</v>
      </c>
      <c r="Q62" s="44">
        <v>3900</v>
      </c>
      <c r="R62" s="45">
        <v>0</v>
      </c>
      <c r="S62" s="46">
        <v>0</v>
      </c>
      <c r="T62" s="39">
        <f t="shared" si="19"/>
        <v>10</v>
      </c>
      <c r="U62" s="47">
        <f t="shared" si="20"/>
        <v>7.7181249164955303E-3</v>
      </c>
      <c r="V62" s="48">
        <f t="shared" si="21"/>
        <v>0</v>
      </c>
      <c r="W62" s="49">
        <f t="shared" si="22"/>
        <v>7.7181249164955308E-4</v>
      </c>
      <c r="X62" s="44">
        <f t="shared" si="23"/>
        <v>2183.88184279387</v>
      </c>
      <c r="Y62" s="44">
        <f t="shared" si="24"/>
        <v>0</v>
      </c>
      <c r="Z62" s="44">
        <f t="shared" si="25"/>
        <v>8304.022582270296</v>
      </c>
      <c r="AA62" s="50">
        <f t="shared" si="26"/>
        <v>6083.8818427938695</v>
      </c>
      <c r="AB62" s="51">
        <f t="shared" si="27"/>
        <v>7762.9452951951907</v>
      </c>
      <c r="AC62" s="44">
        <f t="shared" si="28"/>
        <v>5687.465497610423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0.73512510012695687</v>
      </c>
      <c r="AG62" s="44">
        <f t="shared" si="31"/>
        <v>8199.5853668160762</v>
      </c>
      <c r="AH62" s="52">
        <f>HLOOKUP(I62,ElecAvoidedCostsWOCC!$A$5:$Q$50,T62+1,FALSE)</f>
        <v>0.73512510012695687</v>
      </c>
      <c r="AI62" s="44">
        <f t="shared" si="32"/>
        <v>0</v>
      </c>
      <c r="AJ62" s="44">
        <f t="shared" si="33"/>
        <v>8199.5853668160762</v>
      </c>
      <c r="AK62" s="44">
        <f>HLOOKUP(I62,ElecAvoidedCostsWOCC!$A$5:$Q$50,G62+1,FALSE)*J62*L62</f>
        <v>0</v>
      </c>
      <c r="AL62" s="44">
        <f t="shared" si="34"/>
        <v>8199.5853668160762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8199.5853668160762</v>
      </c>
      <c r="AN62" s="48">
        <f t="shared" si="35"/>
        <v>9019.5439034976844</v>
      </c>
      <c r="AO62" s="47">
        <f t="shared" si="36"/>
        <v>1.0562467021236308</v>
      </c>
      <c r="AP62" s="47">
        <f t="shared" si="37"/>
        <v>1.5858634935521327</v>
      </c>
      <c r="AQ62">
        <v>2020</v>
      </c>
    </row>
    <row r="63" spans="2:43">
      <c r="B63" s="97" t="s">
        <v>39</v>
      </c>
      <c r="C63" s="61">
        <v>18230407</v>
      </c>
      <c r="D63" s="61" t="s">
        <v>40</v>
      </c>
      <c r="E63" s="38" t="s">
        <v>2033</v>
      </c>
      <c r="F63" s="39" t="s">
        <v>2034</v>
      </c>
      <c r="G63" s="39">
        <v>10</v>
      </c>
      <c r="H63" s="39"/>
      <c r="I63" s="40" t="s">
        <v>263</v>
      </c>
      <c r="J63" s="41">
        <v>115</v>
      </c>
      <c r="K63" s="41">
        <v>143</v>
      </c>
      <c r="L63" s="41"/>
      <c r="M63" s="42">
        <v>200</v>
      </c>
      <c r="N63" s="42">
        <v>250</v>
      </c>
      <c r="O63" s="43">
        <v>16445</v>
      </c>
      <c r="P63" s="44">
        <v>26800</v>
      </c>
      <c r="Q63" s="44">
        <v>28750</v>
      </c>
      <c r="R63" s="45">
        <v>0</v>
      </c>
      <c r="S63" s="46"/>
      <c r="T63" s="39">
        <f t="shared" si="19"/>
        <v>10</v>
      </c>
      <c r="U63" s="47">
        <f t="shared" si="20"/>
        <v>1.1379286735858796E-2</v>
      </c>
      <c r="V63" s="48">
        <f t="shared" si="21"/>
        <v>50</v>
      </c>
      <c r="W63" s="49">
        <f t="shared" si="22"/>
        <v>1.1379286735858796E-3</v>
      </c>
      <c r="X63" s="44">
        <f t="shared" si="23"/>
        <v>3219.8257938627571</v>
      </c>
      <c r="Y63" s="44">
        <f t="shared" si="24"/>
        <v>1950</v>
      </c>
      <c r="Z63" s="44">
        <f t="shared" si="25"/>
        <v>12243.110217449797</v>
      </c>
      <c r="AA63" s="50">
        <f t="shared" si="26"/>
        <v>31969.825793862758</v>
      </c>
      <c r="AB63" s="51">
        <f t="shared" si="27"/>
        <v>11445.368063428808</v>
      </c>
      <c r="AC63" s="44">
        <f t="shared" si="28"/>
        <v>29886.721317998275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0.73512510012695687</v>
      </c>
      <c r="AG63" s="44">
        <f t="shared" si="31"/>
        <v>12089.132271587805</v>
      </c>
      <c r="AH63" s="52">
        <f>HLOOKUP(I63,ElecAvoidedCostsWOCC!$A$5:$Q$50,T63+1,FALSE)</f>
        <v>0.73512510012695687</v>
      </c>
      <c r="AI63" s="44">
        <f t="shared" si="32"/>
        <v>0</v>
      </c>
      <c r="AJ63" s="44">
        <f t="shared" si="33"/>
        <v>12089.132271587805</v>
      </c>
      <c r="AK63" s="44">
        <f>HLOOKUP(I63,ElecAvoidedCostsWOCC!$A$5:$Q$50,G63+1,FALSE)*J63*L63</f>
        <v>0</v>
      </c>
      <c r="AL63" s="44">
        <f t="shared" si="34"/>
        <v>12089.132271587805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12089.132271587805</v>
      </c>
      <c r="AN63" s="48">
        <f t="shared" si="35"/>
        <v>13298.045498746587</v>
      </c>
      <c r="AO63" s="47">
        <f t="shared" si="36"/>
        <v>1.0562467021236308</v>
      </c>
      <c r="AP63" s="47">
        <f t="shared" si="37"/>
        <v>0.44494828848082058</v>
      </c>
      <c r="AQ63">
        <v>2020</v>
      </c>
    </row>
    <row r="64" spans="2:43">
      <c r="B64" s="97" t="s">
        <v>39</v>
      </c>
      <c r="C64" s="61">
        <v>18230407</v>
      </c>
      <c r="D64" s="61" t="s">
        <v>40</v>
      </c>
      <c r="E64" s="38" t="s">
        <v>2037</v>
      </c>
      <c r="F64" s="39" t="s">
        <v>891</v>
      </c>
      <c r="G64" s="39">
        <v>45</v>
      </c>
      <c r="H64" s="39"/>
      <c r="I64" s="40" t="s">
        <v>267</v>
      </c>
      <c r="J64" s="41">
        <v>49993</v>
      </c>
      <c r="K64" s="41">
        <v>1.6</v>
      </c>
      <c r="L64" s="41"/>
      <c r="M64" s="42">
        <v>0.75</v>
      </c>
      <c r="N64" s="42">
        <v>0.98</v>
      </c>
      <c r="O64" s="43">
        <v>79988.800000000003</v>
      </c>
      <c r="P64" s="44">
        <v>37494.75</v>
      </c>
      <c r="Q64" s="44">
        <v>48993.14</v>
      </c>
      <c r="R64" s="45">
        <v>0</v>
      </c>
      <c r="S64" s="46">
        <v>0</v>
      </c>
      <c r="T64" s="39">
        <f t="shared" si="19"/>
        <v>45</v>
      </c>
      <c r="U64" s="47">
        <f t="shared" si="20"/>
        <v>0.2490708244972745</v>
      </c>
      <c r="V64" s="48">
        <f t="shared" si="21"/>
        <v>0.22999999999999998</v>
      </c>
      <c r="W64" s="49">
        <f t="shared" si="22"/>
        <v>5.5349072110505446E-3</v>
      </c>
      <c r="X64" s="44">
        <f t="shared" si="23"/>
        <v>15661.295315301266</v>
      </c>
      <c r="Y64" s="44">
        <f t="shared" si="24"/>
        <v>11498.39</v>
      </c>
      <c r="Z64" s="44">
        <f t="shared" si="25"/>
        <v>59550.726333934217</v>
      </c>
      <c r="AA64" s="50">
        <f t="shared" si="26"/>
        <v>64654.435315301263</v>
      </c>
      <c r="AB64" s="51">
        <f t="shared" si="27"/>
        <v>55670.492973669454</v>
      </c>
      <c r="AC64" s="44">
        <f t="shared" si="28"/>
        <v>60441.652159765596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3.1346149049506007</v>
      </c>
      <c r="AG64" s="44">
        <f t="shared" si="31"/>
        <v>250734.08470911265</v>
      </c>
      <c r="AH64" s="52">
        <f>HLOOKUP(I64,ElecAvoidedCostsWOCC!$A$5:$Q$50,T64+1,FALSE)</f>
        <v>3.1346149049506007</v>
      </c>
      <c r="AI64" s="44">
        <f t="shared" si="32"/>
        <v>0</v>
      </c>
      <c r="AJ64" s="44">
        <f t="shared" si="33"/>
        <v>250734.08470911265</v>
      </c>
      <c r="AK64" s="44">
        <f>HLOOKUP(I64,ElecAvoidedCostsWOCC!$A$5:$Q$50,G64+1,FALSE)*J64*L64</f>
        <v>0</v>
      </c>
      <c r="AL64" s="44">
        <f t="shared" si="34"/>
        <v>250734.08470911265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250734.08470911265</v>
      </c>
      <c r="AN64" s="48">
        <f t="shared" si="35"/>
        <v>275807.49318002391</v>
      </c>
      <c r="AO64" s="47">
        <f t="shared" si="36"/>
        <v>4.5038955345285459</v>
      </c>
      <c r="AP64" s="47">
        <f t="shared" si="37"/>
        <v>4.5632024162903617</v>
      </c>
      <c r="AQ64">
        <v>2020</v>
      </c>
    </row>
    <row r="65" spans="2:43">
      <c r="B65" s="97" t="s">
        <v>39</v>
      </c>
      <c r="C65" s="61">
        <v>18230407</v>
      </c>
      <c r="D65" s="61" t="s">
        <v>40</v>
      </c>
      <c r="E65" s="38" t="s">
        <v>2038</v>
      </c>
      <c r="F65" s="39" t="s">
        <v>2039</v>
      </c>
      <c r="G65" s="39">
        <v>45</v>
      </c>
      <c r="H65" s="39"/>
      <c r="I65" s="40" t="s">
        <v>267</v>
      </c>
      <c r="J65" s="41">
        <v>66626</v>
      </c>
      <c r="K65" s="41">
        <v>0.72</v>
      </c>
      <c r="L65" s="41"/>
      <c r="M65" s="42">
        <v>0.75</v>
      </c>
      <c r="N65" s="42">
        <v>1.47</v>
      </c>
      <c r="O65" s="43">
        <v>47970.720000000001</v>
      </c>
      <c r="P65" s="44">
        <v>49969.5</v>
      </c>
      <c r="Q65" s="44">
        <v>97940.22</v>
      </c>
      <c r="R65" s="45">
        <v>0</v>
      </c>
      <c r="S65" s="46">
        <v>0</v>
      </c>
      <c r="T65" s="39">
        <f t="shared" si="19"/>
        <v>45</v>
      </c>
      <c r="U65" s="47">
        <f t="shared" si="20"/>
        <v>0.14937224689116346</v>
      </c>
      <c r="V65" s="48">
        <f t="shared" si="21"/>
        <v>0.72</v>
      </c>
      <c r="W65" s="49">
        <f t="shared" si="22"/>
        <v>3.3193832642480769E-3</v>
      </c>
      <c r="X65" s="44">
        <f t="shared" si="23"/>
        <v>9392.360085507331</v>
      </c>
      <c r="Y65" s="44">
        <f t="shared" si="24"/>
        <v>47970.720000000001</v>
      </c>
      <c r="Z65" s="44">
        <f t="shared" si="25"/>
        <v>35713.640144142497</v>
      </c>
      <c r="AA65" s="50">
        <f t="shared" si="26"/>
        <v>107332.58008550733</v>
      </c>
      <c r="AB65" s="51">
        <f t="shared" si="27"/>
        <v>33386.594507004294</v>
      </c>
      <c r="AC65" s="44">
        <f t="shared" si="28"/>
        <v>100338.9549270892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3.1346149049506007</v>
      </c>
      <c r="AG65" s="44">
        <f t="shared" si="31"/>
        <v>150369.73391321188</v>
      </c>
      <c r="AH65" s="52">
        <f>HLOOKUP(I65,ElecAvoidedCostsWOCC!$A$5:$Q$50,T65+1,FALSE)</f>
        <v>3.1346149049506007</v>
      </c>
      <c r="AI65" s="44">
        <f t="shared" si="32"/>
        <v>0</v>
      </c>
      <c r="AJ65" s="44">
        <f t="shared" si="33"/>
        <v>150369.73391321188</v>
      </c>
      <c r="AK65" s="44">
        <f>HLOOKUP(I65,ElecAvoidedCostsWOCC!$A$5:$Q$50,G65+1,FALSE)*J65*L65</f>
        <v>0</v>
      </c>
      <c r="AL65" s="44">
        <f t="shared" si="34"/>
        <v>150369.73391321188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150369.73391321188</v>
      </c>
      <c r="AN65" s="48">
        <f t="shared" si="35"/>
        <v>165406.70730453308</v>
      </c>
      <c r="AO65" s="47">
        <f t="shared" si="36"/>
        <v>4.503895534528545</v>
      </c>
      <c r="AP65" s="47">
        <f t="shared" si="37"/>
        <v>1.6484794706574832</v>
      </c>
      <c r="AQ65">
        <v>2020</v>
      </c>
    </row>
    <row r="66" spans="2:43">
      <c r="B66" s="97" t="s">
        <v>39</v>
      </c>
      <c r="C66" s="61">
        <v>18230407</v>
      </c>
      <c r="D66" s="61" t="s">
        <v>40</v>
      </c>
      <c r="E66" s="38" t="s">
        <v>2042</v>
      </c>
      <c r="F66" s="39" t="s">
        <v>893</v>
      </c>
      <c r="G66" s="39">
        <v>12</v>
      </c>
      <c r="H66" s="39"/>
      <c r="I66" s="40" t="s">
        <v>248</v>
      </c>
      <c r="J66" s="41">
        <v>7676</v>
      </c>
      <c r="K66" s="41">
        <v>22.1</v>
      </c>
      <c r="L66" s="41"/>
      <c r="M66" s="42">
        <v>8.1300000000000008</v>
      </c>
      <c r="N66" s="42">
        <v>8.1300000000000008</v>
      </c>
      <c r="O66" s="43">
        <v>169639.6</v>
      </c>
      <c r="P66" s="44">
        <v>62405.88</v>
      </c>
      <c r="Q66" s="44">
        <v>62405.88</v>
      </c>
      <c r="R66" s="45">
        <v>0</v>
      </c>
      <c r="S66" s="46">
        <v>0</v>
      </c>
      <c r="T66" s="39">
        <f t="shared" si="19"/>
        <v>12</v>
      </c>
      <c r="U66" s="47">
        <f t="shared" si="20"/>
        <v>0.14086063728717971</v>
      </c>
      <c r="V66" s="48">
        <f t="shared" si="21"/>
        <v>0</v>
      </c>
      <c r="W66" s="49">
        <f t="shared" si="22"/>
        <v>1.173838644059831E-2</v>
      </c>
      <c r="X66" s="44">
        <f t="shared" si="23"/>
        <v>33214.348418398338</v>
      </c>
      <c r="Y66" s="44">
        <f t="shared" si="24"/>
        <v>0</v>
      </c>
      <c r="Z66" s="44">
        <f t="shared" si="25"/>
        <v>126294.69869529321</v>
      </c>
      <c r="AA66" s="50">
        <f t="shared" si="26"/>
        <v>95620.228418398328</v>
      </c>
      <c r="AB66" s="51">
        <f t="shared" si="27"/>
        <v>118065.53117256539</v>
      </c>
      <c r="AC66" s="44">
        <f t="shared" si="28"/>
        <v>89389.762006542325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0.91115730059915656</v>
      </c>
      <c r="AG66" s="44">
        <f t="shared" si="31"/>
        <v>154568.36001072067</v>
      </c>
      <c r="AH66" s="52">
        <f>HLOOKUP(I66,ElecAvoidedCostsWOCC!$A$5:$Q$50,T66+1,FALSE)</f>
        <v>0.91115730059915656</v>
      </c>
      <c r="AI66" s="44">
        <f t="shared" si="32"/>
        <v>0</v>
      </c>
      <c r="AJ66" s="44">
        <f t="shared" si="33"/>
        <v>154568.36001072067</v>
      </c>
      <c r="AK66" s="44">
        <f>HLOOKUP(I66,ElecAvoidedCostsWOCC!$A$5:$Q$50,G66+1,FALSE)*J66*L66</f>
        <v>0</v>
      </c>
      <c r="AL66" s="44">
        <f t="shared" si="34"/>
        <v>154568.36001072067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154568.3600107207</v>
      </c>
      <c r="AN66" s="48">
        <f t="shared" si="35"/>
        <v>170025.19601179278</v>
      </c>
      <c r="AO66" s="47">
        <f t="shared" si="36"/>
        <v>1.3091743074852433</v>
      </c>
      <c r="AP66" s="47">
        <f t="shared" si="37"/>
        <v>1.902065652656608</v>
      </c>
      <c r="AQ66">
        <v>2020</v>
      </c>
    </row>
    <row r="67" spans="2:43">
      <c r="B67" s="97" t="s">
        <v>39</v>
      </c>
      <c r="C67" s="61">
        <v>18230407</v>
      </c>
      <c r="D67" s="61" t="s">
        <v>40</v>
      </c>
      <c r="E67" s="38" t="s">
        <v>892</v>
      </c>
      <c r="F67" s="39" t="s">
        <v>893</v>
      </c>
      <c r="G67" s="39">
        <v>1</v>
      </c>
      <c r="H67" s="39">
        <v>11</v>
      </c>
      <c r="I67" s="40" t="s">
        <v>248</v>
      </c>
      <c r="J67" s="41">
        <v>46488</v>
      </c>
      <c r="K67" s="41">
        <v>38</v>
      </c>
      <c r="L67" s="41">
        <v>5</v>
      </c>
      <c r="M67" s="42">
        <v>8.1300000000000008</v>
      </c>
      <c r="N67" s="42">
        <v>8.1300000000000008</v>
      </c>
      <c r="O67" s="43">
        <v>1766544</v>
      </c>
      <c r="P67" s="44">
        <v>328475.34000000003</v>
      </c>
      <c r="Q67" s="44">
        <v>377947.44</v>
      </c>
      <c r="R67" s="45">
        <v>0.65</v>
      </c>
      <c r="S67" s="46">
        <v>0</v>
      </c>
      <c r="T67" s="39">
        <f t="shared" si="19"/>
        <v>12</v>
      </c>
      <c r="U67" s="47">
        <f t="shared" si="20"/>
        <v>1.466853928185657</v>
      </c>
      <c r="V67" s="48">
        <f t="shared" si="21"/>
        <v>0</v>
      </c>
      <c r="W67" s="49">
        <f t="shared" si="22"/>
        <v>0.12223782734880474</v>
      </c>
      <c r="X67" s="44">
        <f t="shared" si="23"/>
        <v>345878.01381535362</v>
      </c>
      <c r="Y67" s="44">
        <f t="shared" si="24"/>
        <v>49472.099999999977</v>
      </c>
      <c r="Z67" s="44">
        <f t="shared" si="25"/>
        <v>1315171.3527500536</v>
      </c>
      <c r="AA67" s="50">
        <f t="shared" si="26"/>
        <v>723825.45381535357</v>
      </c>
      <c r="AB67" s="51">
        <f t="shared" si="27"/>
        <v>1229476.8185005642</v>
      </c>
      <c r="AC67" s="44">
        <f t="shared" si="28"/>
        <v>676662.1050905427</v>
      </c>
      <c r="AD67" s="44">
        <f t="shared" si="29"/>
        <v>240389.94006419351</v>
      </c>
      <c r="AE67" s="44">
        <f t="shared" si="30"/>
        <v>0</v>
      </c>
      <c r="AF67" s="52">
        <f>HLOOKUP(I67,ElecAvoidedCostsWOCC!$A$5:$Q$50,G67+1,FALSE)</f>
        <v>8.6279755452712409E-2</v>
      </c>
      <c r="AG67" s="44">
        <f t="shared" si="31"/>
        <v>152416.98431645639</v>
      </c>
      <c r="AH67" s="52">
        <f>HLOOKUP(I67,ElecAvoidedCostsWOCC!$A$5:$Q$50,T67+1,FALSE)</f>
        <v>0.91115730059915656</v>
      </c>
      <c r="AI67" s="44">
        <f t="shared" si="32"/>
        <v>211789.40295126796</v>
      </c>
      <c r="AJ67" s="44">
        <f t="shared" si="33"/>
        <v>364206.38726772438</v>
      </c>
      <c r="AK67" s="44">
        <f>HLOOKUP(I67,ElecAvoidedCostsWOCC!$A$5:$Q$50,G67+1,FALSE)*J67*L67</f>
        <v>20054.866357428473</v>
      </c>
      <c r="AL67" s="44">
        <f t="shared" si="34"/>
        <v>344151.52091029589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344151.52091029589</v>
      </c>
      <c r="AN67" s="48">
        <f t="shared" si="35"/>
        <v>618956.61306551902</v>
      </c>
      <c r="AO67" s="47">
        <f t="shared" si="36"/>
        <v>0.27991704742348339</v>
      </c>
      <c r="AP67" s="47">
        <f t="shared" si="37"/>
        <v>0.91472037285536745</v>
      </c>
      <c r="AQ67">
        <v>2020</v>
      </c>
    </row>
    <row r="68" spans="2:43">
      <c r="B68" s="97" t="s">
        <v>39</v>
      </c>
      <c r="C68" s="61">
        <v>18230407</v>
      </c>
      <c r="D68" s="61" t="s">
        <v>40</v>
      </c>
      <c r="E68" s="38" t="s">
        <v>2043</v>
      </c>
      <c r="F68" s="39" t="s">
        <v>895</v>
      </c>
      <c r="G68" s="39">
        <v>12</v>
      </c>
      <c r="H68" s="39"/>
      <c r="I68" s="40" t="s">
        <v>248</v>
      </c>
      <c r="J68" s="41">
        <v>124</v>
      </c>
      <c r="K68" s="41">
        <v>18.2</v>
      </c>
      <c r="L68" s="41"/>
      <c r="M68" s="42">
        <v>9.23</v>
      </c>
      <c r="N68" s="42">
        <v>9.23</v>
      </c>
      <c r="O68" s="43">
        <v>2256.8000000000002</v>
      </c>
      <c r="P68" s="44">
        <v>1144.52</v>
      </c>
      <c r="Q68" s="44">
        <v>1144.52</v>
      </c>
      <c r="R68" s="45">
        <v>0</v>
      </c>
      <c r="S68" s="46">
        <v>0</v>
      </c>
      <c r="T68" s="39">
        <f t="shared" si="19"/>
        <v>12</v>
      </c>
      <c r="U68" s="47">
        <f t="shared" si="20"/>
        <v>1.8739391405645095E-3</v>
      </c>
      <c r="V68" s="48">
        <f t="shared" si="21"/>
        <v>0</v>
      </c>
      <c r="W68" s="49">
        <f t="shared" si="22"/>
        <v>1.5616159504704247E-4</v>
      </c>
      <c r="X68" s="44">
        <f t="shared" si="23"/>
        <v>441.86700222496023</v>
      </c>
      <c r="Y68" s="44">
        <f t="shared" si="24"/>
        <v>0</v>
      </c>
      <c r="Z68" s="44">
        <f t="shared" si="25"/>
        <v>1680.1612124500275</v>
      </c>
      <c r="AA68" s="50">
        <f t="shared" si="26"/>
        <v>1586.3870022249603</v>
      </c>
      <c r="AB68" s="51">
        <f t="shared" si="27"/>
        <v>1570.684502617582</v>
      </c>
      <c r="AC68" s="44">
        <f t="shared" si="28"/>
        <v>1483.0204751098065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0.91115730059915656</v>
      </c>
      <c r="AG68" s="44">
        <f t="shared" si="31"/>
        <v>2056.2997959921763</v>
      </c>
      <c r="AH68" s="52">
        <f>HLOOKUP(I68,ElecAvoidedCostsWOCC!$A$5:$Q$50,T68+1,FALSE)</f>
        <v>0.91115730059915656</v>
      </c>
      <c r="AI68" s="44">
        <f t="shared" si="32"/>
        <v>0</v>
      </c>
      <c r="AJ68" s="44">
        <f t="shared" si="33"/>
        <v>2056.2997959921763</v>
      </c>
      <c r="AK68" s="44">
        <f>HLOOKUP(I68,ElecAvoidedCostsWOCC!$A$5:$Q$50,G68+1,FALSE)*J68*L68</f>
        <v>0</v>
      </c>
      <c r="AL68" s="44">
        <f t="shared" si="34"/>
        <v>2056.2997959921763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2056.2997959921763</v>
      </c>
      <c r="AN68" s="48">
        <f t="shared" si="35"/>
        <v>2261.929775591394</v>
      </c>
      <c r="AO68" s="47">
        <f t="shared" si="36"/>
        <v>1.3091743074852431</v>
      </c>
      <c r="AP68" s="47">
        <f t="shared" si="37"/>
        <v>1.5252181703181913</v>
      </c>
      <c r="AQ68">
        <v>2020</v>
      </c>
    </row>
    <row r="69" spans="2:43">
      <c r="B69" s="97" t="s">
        <v>39</v>
      </c>
      <c r="C69" s="61">
        <v>18230407</v>
      </c>
      <c r="D69" s="61" t="s">
        <v>40</v>
      </c>
      <c r="E69" s="38" t="s">
        <v>894</v>
      </c>
      <c r="F69" s="39" t="s">
        <v>895</v>
      </c>
      <c r="G69" s="39">
        <v>1</v>
      </c>
      <c r="H69" s="39">
        <v>11</v>
      </c>
      <c r="I69" s="40" t="s">
        <v>248</v>
      </c>
      <c r="J69" s="41">
        <v>1623</v>
      </c>
      <c r="K69" s="41">
        <v>37</v>
      </c>
      <c r="L69" s="41">
        <v>5</v>
      </c>
      <c r="M69" s="42">
        <v>9.23</v>
      </c>
      <c r="N69" s="42">
        <v>9.23</v>
      </c>
      <c r="O69" s="43">
        <v>60051</v>
      </c>
      <c r="P69" s="44">
        <v>13590.08</v>
      </c>
      <c r="Q69" s="44">
        <v>14980.29</v>
      </c>
      <c r="R69" s="45">
        <v>0.67</v>
      </c>
      <c r="S69" s="46">
        <v>0</v>
      </c>
      <c r="T69" s="39">
        <f t="shared" si="19"/>
        <v>12</v>
      </c>
      <c r="U69" s="47">
        <f t="shared" si="20"/>
        <v>4.9863487827915345E-2</v>
      </c>
      <c r="V69" s="48">
        <f t="shared" si="21"/>
        <v>0</v>
      </c>
      <c r="W69" s="49">
        <f t="shared" si="22"/>
        <v>4.1552906523262788E-3</v>
      </c>
      <c r="X69" s="44">
        <f t="shared" si="23"/>
        <v>11757.60162646716</v>
      </c>
      <c r="Y69" s="44">
        <f t="shared" si="24"/>
        <v>1390.2100000000009</v>
      </c>
      <c r="Z69" s="44">
        <f t="shared" si="25"/>
        <v>44707.267355918375</v>
      </c>
      <c r="AA69" s="50">
        <f t="shared" si="26"/>
        <v>26737.891626467161</v>
      </c>
      <c r="AB69" s="51">
        <f t="shared" si="27"/>
        <v>41794.210859043073</v>
      </c>
      <c r="AC69" s="44">
        <f t="shared" si="28"/>
        <v>24995.691900969578</v>
      </c>
      <c r="AD69" s="44">
        <f t="shared" si="29"/>
        <v>8650.7824922628388</v>
      </c>
      <c r="AE69" s="44">
        <f t="shared" si="30"/>
        <v>0</v>
      </c>
      <c r="AF69" s="52">
        <f>HLOOKUP(I69,ElecAvoidedCostsWOCC!$A$5:$Q$50,G69+1,FALSE)</f>
        <v>8.6279755452712409E-2</v>
      </c>
      <c r="AG69" s="44">
        <f t="shared" si="31"/>
        <v>5181.1855946908327</v>
      </c>
      <c r="AH69" s="52">
        <f>HLOOKUP(I69,ElecAvoidedCostsWOCC!$A$5:$Q$50,T69+1,FALSE)</f>
        <v>0.91115730059915656</v>
      </c>
      <c r="AI69" s="44">
        <f t="shared" si="32"/>
        <v>7394.0414943621554</v>
      </c>
      <c r="AJ69" s="44">
        <f t="shared" si="33"/>
        <v>12575.227089052987</v>
      </c>
      <c r="AK69" s="44">
        <f>HLOOKUP(I69,ElecAvoidedCostsWOCC!$A$5:$Q$50,G69+1,FALSE)*J69*L69</f>
        <v>700.16021549876109</v>
      </c>
      <c r="AL69" s="44">
        <f t="shared" si="34"/>
        <v>11875.066873554226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11875.066873554228</v>
      </c>
      <c r="AN69" s="48">
        <f t="shared" si="35"/>
        <v>21713.356053172491</v>
      </c>
      <c r="AO69" s="47">
        <f t="shared" si="36"/>
        <v>0.28413186011824892</v>
      </c>
      <c r="AP69" s="47">
        <f t="shared" si="37"/>
        <v>0.86868393718400061</v>
      </c>
      <c r="AQ69">
        <v>2020</v>
      </c>
    </row>
    <row r="70" spans="2:43">
      <c r="B70" s="97" t="s">
        <v>39</v>
      </c>
      <c r="C70" s="61">
        <v>18230407</v>
      </c>
      <c r="D70" s="61" t="s">
        <v>40</v>
      </c>
      <c r="E70" s="38" t="s">
        <v>2044</v>
      </c>
      <c r="F70" s="39" t="s">
        <v>2045</v>
      </c>
      <c r="G70" s="39">
        <v>1</v>
      </c>
      <c r="H70" s="39">
        <v>11</v>
      </c>
      <c r="I70" s="40" t="s">
        <v>248</v>
      </c>
      <c r="J70" s="41">
        <v>26</v>
      </c>
      <c r="K70" s="41">
        <v>37</v>
      </c>
      <c r="L70" s="41">
        <v>5</v>
      </c>
      <c r="M70" s="42">
        <v>6.75</v>
      </c>
      <c r="N70" s="42">
        <v>6.75</v>
      </c>
      <c r="O70" s="43">
        <v>962</v>
      </c>
      <c r="P70" s="44">
        <v>148.5</v>
      </c>
      <c r="Q70" s="44">
        <v>175.5</v>
      </c>
      <c r="R70" s="45">
        <v>0.67</v>
      </c>
      <c r="S70" s="46">
        <v>0</v>
      </c>
      <c r="T70" s="39">
        <f t="shared" si="19"/>
        <v>12</v>
      </c>
      <c r="U70" s="47">
        <f t="shared" si="20"/>
        <v>7.987989424065305E-4</v>
      </c>
      <c r="V70" s="48">
        <f t="shared" si="21"/>
        <v>0</v>
      </c>
      <c r="W70" s="49">
        <f t="shared" si="22"/>
        <v>6.6566578533877542E-5</v>
      </c>
      <c r="X70" s="44">
        <f t="shared" si="23"/>
        <v>188.35344564888857</v>
      </c>
      <c r="Y70" s="44">
        <f t="shared" si="24"/>
        <v>27</v>
      </c>
      <c r="Z70" s="44">
        <f t="shared" si="25"/>
        <v>716.19775185081812</v>
      </c>
      <c r="AA70" s="50">
        <f t="shared" si="26"/>
        <v>363.85344564888857</v>
      </c>
      <c r="AB70" s="51">
        <f t="shared" si="27"/>
        <v>669.53141240611205</v>
      </c>
      <c r="AC70" s="44">
        <f t="shared" si="28"/>
        <v>340.14531705047074</v>
      </c>
      <c r="AD70" s="44">
        <f t="shared" si="29"/>
        <v>138.58308367149343</v>
      </c>
      <c r="AE70" s="44">
        <f t="shared" si="30"/>
        <v>0</v>
      </c>
      <c r="AF70" s="52">
        <f>HLOOKUP(I70,ElecAvoidedCostsWOCC!$A$5:$Q$50,G70+1,FALSE)</f>
        <v>8.6279755452712409E-2</v>
      </c>
      <c r="AG70" s="44">
        <f t="shared" si="31"/>
        <v>83.001124745509344</v>
      </c>
      <c r="AH70" s="52">
        <f>HLOOKUP(I70,ElecAvoidedCostsWOCC!$A$5:$Q$50,T70+1,FALSE)</f>
        <v>0.91115730059915656</v>
      </c>
      <c r="AI70" s="44">
        <f t="shared" si="32"/>
        <v>118.45044907789034</v>
      </c>
      <c r="AJ70" s="44">
        <f t="shared" si="33"/>
        <v>201.45157382339968</v>
      </c>
      <c r="AK70" s="44">
        <f>HLOOKUP(I70,ElecAvoidedCostsWOCC!$A$5:$Q$50,G70+1,FALSE)*J70*L70</f>
        <v>11.216368208852614</v>
      </c>
      <c r="AL70" s="44">
        <f t="shared" si="34"/>
        <v>190.23520561454706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190.23520561454711</v>
      </c>
      <c r="AN70" s="48">
        <f t="shared" si="35"/>
        <v>347.84180984749526</v>
      </c>
      <c r="AO70" s="47">
        <f t="shared" si="36"/>
        <v>0.28413186011824898</v>
      </c>
      <c r="AP70" s="47">
        <f t="shared" si="37"/>
        <v>1.0226270726399049</v>
      </c>
      <c r="AQ70">
        <v>2020</v>
      </c>
    </row>
    <row r="71" spans="2:43">
      <c r="B71" s="97" t="s">
        <v>39</v>
      </c>
      <c r="C71" s="61">
        <v>18230407</v>
      </c>
      <c r="D71" s="61" t="s">
        <v>40</v>
      </c>
      <c r="E71" s="38" t="s">
        <v>2046</v>
      </c>
      <c r="F71" s="39" t="s">
        <v>897</v>
      </c>
      <c r="G71" s="39">
        <v>12</v>
      </c>
      <c r="H71" s="39"/>
      <c r="I71" s="40" t="s">
        <v>248</v>
      </c>
      <c r="J71" s="41">
        <v>27</v>
      </c>
      <c r="K71" s="41">
        <v>27.6</v>
      </c>
      <c r="L71" s="41"/>
      <c r="M71" s="42">
        <v>10.49</v>
      </c>
      <c r="N71" s="42">
        <v>10.49</v>
      </c>
      <c r="O71" s="43">
        <v>745.2</v>
      </c>
      <c r="P71" s="44">
        <v>283.23</v>
      </c>
      <c r="Q71" s="44">
        <v>283.23</v>
      </c>
      <c r="R71" s="45">
        <v>0</v>
      </c>
      <c r="S71" s="46">
        <v>0</v>
      </c>
      <c r="T71" s="39">
        <f t="shared" si="19"/>
        <v>12</v>
      </c>
      <c r="U71" s="47">
        <f t="shared" si="20"/>
        <v>6.1877855704921682E-4</v>
      </c>
      <c r="V71" s="48">
        <f t="shared" si="21"/>
        <v>0</v>
      </c>
      <c r="W71" s="49">
        <f t="shared" si="22"/>
        <v>5.1564879754101399E-5</v>
      </c>
      <c r="X71" s="44">
        <f t="shared" si="23"/>
        <v>145.90539261699769</v>
      </c>
      <c r="Y71" s="44">
        <f t="shared" si="24"/>
        <v>0</v>
      </c>
      <c r="Z71" s="44">
        <f t="shared" si="25"/>
        <v>554.792686776746</v>
      </c>
      <c r="AA71" s="50">
        <f t="shared" si="26"/>
        <v>429.13539261699771</v>
      </c>
      <c r="AB71" s="51">
        <f t="shared" si="27"/>
        <v>518.64325210502568</v>
      </c>
      <c r="AC71" s="44">
        <f t="shared" si="28"/>
        <v>401.17359317285002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0.91115730059915656</v>
      </c>
      <c r="AG71" s="44">
        <f t="shared" si="31"/>
        <v>678.99442040649149</v>
      </c>
      <c r="AH71" s="52">
        <f>HLOOKUP(I71,ElecAvoidedCostsWOCC!$A$5:$Q$50,T71+1,FALSE)</f>
        <v>0.91115730059915656</v>
      </c>
      <c r="AI71" s="44">
        <f t="shared" si="32"/>
        <v>0</v>
      </c>
      <c r="AJ71" s="44">
        <f t="shared" si="33"/>
        <v>678.99442040649149</v>
      </c>
      <c r="AK71" s="44">
        <f>HLOOKUP(I71,ElecAvoidedCostsWOCC!$A$5:$Q$50,G71+1,FALSE)*J71*L71</f>
        <v>0</v>
      </c>
      <c r="AL71" s="44">
        <f t="shared" si="34"/>
        <v>678.99442040649149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678.9944204064916</v>
      </c>
      <c r="AN71" s="48">
        <f t="shared" si="35"/>
        <v>746.8938624471408</v>
      </c>
      <c r="AO71" s="47">
        <f t="shared" si="36"/>
        <v>1.3091743074852435</v>
      </c>
      <c r="AP71" s="47">
        <f t="shared" si="37"/>
        <v>1.8617722481183687</v>
      </c>
      <c r="AQ71">
        <v>2020</v>
      </c>
    </row>
    <row r="72" spans="2:43">
      <c r="B72" s="97" t="s">
        <v>39</v>
      </c>
      <c r="C72" s="61">
        <v>18230407</v>
      </c>
      <c r="D72" s="61" t="s">
        <v>40</v>
      </c>
      <c r="E72" s="38" t="s">
        <v>896</v>
      </c>
      <c r="F72" s="39" t="s">
        <v>897</v>
      </c>
      <c r="G72" s="39">
        <v>1</v>
      </c>
      <c r="H72" s="39">
        <v>11</v>
      </c>
      <c r="I72" s="40" t="s">
        <v>248</v>
      </c>
      <c r="J72" s="41">
        <v>1323</v>
      </c>
      <c r="K72" s="41">
        <v>16</v>
      </c>
      <c r="L72" s="41">
        <v>3</v>
      </c>
      <c r="M72" s="42">
        <v>10.49</v>
      </c>
      <c r="N72" s="42">
        <v>10.49</v>
      </c>
      <c r="O72" s="43">
        <v>21168</v>
      </c>
      <c r="P72" s="44">
        <v>12372.84</v>
      </c>
      <c r="Q72" s="44">
        <v>13878.27</v>
      </c>
      <c r="R72" s="45">
        <v>0.91</v>
      </c>
      <c r="S72" s="46">
        <v>0</v>
      </c>
      <c r="T72" s="39">
        <f t="shared" si="19"/>
        <v>12</v>
      </c>
      <c r="U72" s="47">
        <f t="shared" si="20"/>
        <v>1.7576898142267608E-2</v>
      </c>
      <c r="V72" s="48">
        <f t="shared" si="21"/>
        <v>0</v>
      </c>
      <c r="W72" s="49">
        <f t="shared" si="22"/>
        <v>1.4647415118556339E-3</v>
      </c>
      <c r="X72" s="44">
        <f t="shared" si="23"/>
        <v>4144.5589786857308</v>
      </c>
      <c r="Y72" s="44">
        <f t="shared" si="24"/>
        <v>1505.4300000000003</v>
      </c>
      <c r="Z72" s="44">
        <f t="shared" si="25"/>
        <v>15759.328493948147</v>
      </c>
      <c r="AA72" s="50">
        <f t="shared" si="26"/>
        <v>18022.828978685731</v>
      </c>
      <c r="AB72" s="51">
        <f t="shared" si="27"/>
        <v>14732.474987331163</v>
      </c>
      <c r="AC72" s="44">
        <f t="shared" si="28"/>
        <v>16848.489276138851</v>
      </c>
      <c r="AD72" s="44">
        <f t="shared" si="29"/>
        <v>9577.7458050873174</v>
      </c>
      <c r="AE72" s="44">
        <f t="shared" si="30"/>
        <v>0</v>
      </c>
      <c r="AF72" s="52">
        <f>HLOOKUP(I72,ElecAvoidedCostsWOCC!$A$5:$Q$50,G72+1,FALSE)</f>
        <v>8.6279755452712409E-2</v>
      </c>
      <c r="AG72" s="44">
        <f t="shared" si="31"/>
        <v>1826.3698634230163</v>
      </c>
      <c r="AH72" s="52">
        <f>HLOOKUP(I72,ElecAvoidedCostsWOCC!$A$5:$Q$50,T72+1,FALSE)</f>
        <v>0.91115730059915656</v>
      </c>
      <c r="AI72" s="44">
        <f t="shared" si="32"/>
        <v>3616.3833260780521</v>
      </c>
      <c r="AJ72" s="44">
        <f t="shared" si="33"/>
        <v>5442.7531895010688</v>
      </c>
      <c r="AK72" s="44">
        <f>HLOOKUP(I72,ElecAvoidedCostsWOCC!$A$5:$Q$50,G72+1,FALSE)*J72*L72</f>
        <v>342.44434939181554</v>
      </c>
      <c r="AL72" s="44">
        <f t="shared" si="34"/>
        <v>5100.3088401092537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5100.3088401092537</v>
      </c>
      <c r="AN72" s="48">
        <f t="shared" si="35"/>
        <v>15188.085529207496</v>
      </c>
      <c r="AO72" s="47">
        <f t="shared" si="36"/>
        <v>0.34619497704867253</v>
      </c>
      <c r="AP72" s="47">
        <f t="shared" si="37"/>
        <v>0.90145088264484041</v>
      </c>
      <c r="AQ72">
        <v>2020</v>
      </c>
    </row>
    <row r="73" spans="2:43">
      <c r="B73" s="97" t="s">
        <v>39</v>
      </c>
      <c r="C73" s="61">
        <v>18230407</v>
      </c>
      <c r="D73" s="61" t="s">
        <v>40</v>
      </c>
      <c r="E73" s="38" t="s">
        <v>2047</v>
      </c>
      <c r="F73" s="39" t="s">
        <v>2048</v>
      </c>
      <c r="G73" s="39">
        <v>1</v>
      </c>
      <c r="H73" s="39">
        <v>11</v>
      </c>
      <c r="I73" s="40" t="s">
        <v>248</v>
      </c>
      <c r="J73" s="41">
        <v>48</v>
      </c>
      <c r="K73" s="41">
        <v>16</v>
      </c>
      <c r="L73" s="41">
        <v>3</v>
      </c>
      <c r="M73" s="42">
        <v>6.75</v>
      </c>
      <c r="N73" s="42">
        <v>6.75</v>
      </c>
      <c r="O73" s="43">
        <v>768</v>
      </c>
      <c r="P73" s="44">
        <v>324</v>
      </c>
      <c r="Q73" s="44">
        <v>324</v>
      </c>
      <c r="R73" s="45">
        <v>0.91</v>
      </c>
      <c r="S73" s="46">
        <v>0</v>
      </c>
      <c r="T73" s="39">
        <f t="shared" si="19"/>
        <v>12</v>
      </c>
      <c r="U73" s="47">
        <f t="shared" si="20"/>
        <v>6.3771059019565005E-4</v>
      </c>
      <c r="V73" s="48">
        <f t="shared" si="21"/>
        <v>0</v>
      </c>
      <c r="W73" s="49">
        <f t="shared" si="22"/>
        <v>5.3142549182970842E-5</v>
      </c>
      <c r="X73" s="44">
        <f t="shared" si="23"/>
        <v>150.36948675503785</v>
      </c>
      <c r="Y73" s="44">
        <f t="shared" si="24"/>
        <v>0</v>
      </c>
      <c r="Z73" s="44">
        <f t="shared" si="25"/>
        <v>571.76702018859487</v>
      </c>
      <c r="AA73" s="50">
        <f t="shared" si="26"/>
        <v>474.36948675503788</v>
      </c>
      <c r="AB73" s="51">
        <f t="shared" si="27"/>
        <v>534.51156416620995</v>
      </c>
      <c r="AC73" s="44">
        <f t="shared" si="28"/>
        <v>443.46030359450111</v>
      </c>
      <c r="AD73" s="44">
        <f t="shared" si="29"/>
        <v>347.49191129568499</v>
      </c>
      <c r="AE73" s="44">
        <f t="shared" si="30"/>
        <v>0</v>
      </c>
      <c r="AF73" s="52">
        <f>HLOOKUP(I73,ElecAvoidedCostsWOCC!$A$5:$Q$50,G73+1,FALSE)</f>
        <v>8.6279755452712409E-2</v>
      </c>
      <c r="AG73" s="44">
        <f t="shared" si="31"/>
        <v>66.262852187683137</v>
      </c>
      <c r="AH73" s="52">
        <f>HLOOKUP(I73,ElecAvoidedCostsWOCC!$A$5:$Q$50,T73+1,FALSE)</f>
        <v>0.91115730059915656</v>
      </c>
      <c r="AI73" s="44">
        <f t="shared" si="32"/>
        <v>131.20665128627854</v>
      </c>
      <c r="AJ73" s="44">
        <f t="shared" si="33"/>
        <v>197.46950347396168</v>
      </c>
      <c r="AK73" s="44">
        <f>HLOOKUP(I73,ElecAvoidedCostsWOCC!$A$5:$Q$50,G73+1,FALSE)*J73*L73</f>
        <v>12.424284785190588</v>
      </c>
      <c r="AL73" s="44">
        <f t="shared" si="34"/>
        <v>185.04521868877109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185.04521868877109</v>
      </c>
      <c r="AN73" s="48">
        <f t="shared" si="35"/>
        <v>551.04165185333318</v>
      </c>
      <c r="AO73" s="47">
        <f t="shared" si="36"/>
        <v>0.34619497704867247</v>
      </c>
      <c r="AP73" s="47">
        <f t="shared" si="37"/>
        <v>1.2425952162726253</v>
      </c>
      <c r="AQ73">
        <v>2020</v>
      </c>
    </row>
    <row r="74" spans="2:43">
      <c r="B74" s="97" t="s">
        <v>39</v>
      </c>
      <c r="C74" s="61">
        <v>18230407</v>
      </c>
      <c r="D74" s="61" t="s">
        <v>40</v>
      </c>
      <c r="E74" s="38" t="s">
        <v>2049</v>
      </c>
      <c r="F74" s="39" t="s">
        <v>899</v>
      </c>
      <c r="G74" s="39">
        <v>12</v>
      </c>
      <c r="H74" s="39"/>
      <c r="I74" s="40" t="s">
        <v>248</v>
      </c>
      <c r="J74" s="41">
        <v>447</v>
      </c>
      <c r="K74" s="41">
        <v>19.5</v>
      </c>
      <c r="L74" s="41"/>
      <c r="M74" s="42">
        <v>9</v>
      </c>
      <c r="N74" s="42">
        <v>9</v>
      </c>
      <c r="O74" s="43">
        <v>8716.5</v>
      </c>
      <c r="P74" s="44">
        <v>4023</v>
      </c>
      <c r="Q74" s="44">
        <v>4023</v>
      </c>
      <c r="R74" s="45">
        <v>0</v>
      </c>
      <c r="S74" s="46">
        <v>0</v>
      </c>
      <c r="T74" s="39">
        <f t="shared" si="19"/>
        <v>12</v>
      </c>
      <c r="U74" s="47">
        <f t="shared" si="20"/>
        <v>7.2377660930213333E-3</v>
      </c>
      <c r="V74" s="48">
        <f t="shared" si="21"/>
        <v>0</v>
      </c>
      <c r="W74" s="49">
        <f t="shared" si="22"/>
        <v>6.0314717441844448E-4</v>
      </c>
      <c r="X74" s="44">
        <f t="shared" si="23"/>
        <v>1706.6349365889159</v>
      </c>
      <c r="Y74" s="44">
        <f t="shared" si="24"/>
        <v>0</v>
      </c>
      <c r="Z74" s="44">
        <f t="shared" si="25"/>
        <v>6489.3323326482914</v>
      </c>
      <c r="AA74" s="50">
        <f t="shared" si="26"/>
        <v>5729.6349365889164</v>
      </c>
      <c r="AB74" s="51">
        <f t="shared" si="27"/>
        <v>6066.4974597067312</v>
      </c>
      <c r="AC74" s="44">
        <f t="shared" si="28"/>
        <v>5356.300772729659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0.91115730059915656</v>
      </c>
      <c r="AG74" s="44">
        <f t="shared" si="31"/>
        <v>7942.1026106725485</v>
      </c>
      <c r="AH74" s="52">
        <f>HLOOKUP(I74,ElecAvoidedCostsWOCC!$A$5:$Q$50,T74+1,FALSE)</f>
        <v>0.91115730059915656</v>
      </c>
      <c r="AI74" s="44">
        <f t="shared" si="32"/>
        <v>0</v>
      </c>
      <c r="AJ74" s="44">
        <f t="shared" si="33"/>
        <v>7942.1026106725485</v>
      </c>
      <c r="AK74" s="44">
        <f>HLOOKUP(I74,ElecAvoidedCostsWOCC!$A$5:$Q$50,G74+1,FALSE)*J74*L74</f>
        <v>0</v>
      </c>
      <c r="AL74" s="44">
        <f t="shared" si="34"/>
        <v>7942.1026106725485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7942.1026106725485</v>
      </c>
      <c r="AN74" s="48">
        <f t="shared" si="35"/>
        <v>8736.3128717398049</v>
      </c>
      <c r="AO74" s="47">
        <f t="shared" si="36"/>
        <v>1.3091743074852435</v>
      </c>
      <c r="AP74" s="47">
        <f t="shared" si="37"/>
        <v>1.6310347835989121</v>
      </c>
      <c r="AQ74">
        <v>2020</v>
      </c>
    </row>
    <row r="75" spans="2:43">
      <c r="B75" s="97" t="s">
        <v>39</v>
      </c>
      <c r="C75" s="61">
        <v>18230407</v>
      </c>
      <c r="D75" s="61" t="s">
        <v>40</v>
      </c>
      <c r="E75" s="38" t="s">
        <v>898</v>
      </c>
      <c r="F75" s="39" t="s">
        <v>899</v>
      </c>
      <c r="G75" s="39">
        <v>1</v>
      </c>
      <c r="H75" s="39">
        <v>11</v>
      </c>
      <c r="I75" s="40" t="s">
        <v>248</v>
      </c>
      <c r="J75" s="41">
        <v>5474</v>
      </c>
      <c r="K75" s="41">
        <v>40</v>
      </c>
      <c r="L75" s="41">
        <v>5</v>
      </c>
      <c r="M75" s="42">
        <v>9</v>
      </c>
      <c r="N75" s="42">
        <v>9</v>
      </c>
      <c r="O75" s="43">
        <v>218960</v>
      </c>
      <c r="P75" s="44">
        <v>47224.5</v>
      </c>
      <c r="Q75" s="44">
        <v>49266</v>
      </c>
      <c r="R75" s="45">
        <v>0.75</v>
      </c>
      <c r="S75" s="46">
        <v>0</v>
      </c>
      <c r="T75" s="39">
        <f t="shared" si="19"/>
        <v>12</v>
      </c>
      <c r="U75" s="47">
        <f t="shared" si="20"/>
        <v>0.181813946392239</v>
      </c>
      <c r="V75" s="48">
        <f t="shared" si="21"/>
        <v>0</v>
      </c>
      <c r="W75" s="49">
        <f t="shared" si="22"/>
        <v>1.515116219935325E-2</v>
      </c>
      <c r="X75" s="44">
        <f t="shared" si="23"/>
        <v>42870.967213389442</v>
      </c>
      <c r="Y75" s="44">
        <f t="shared" si="24"/>
        <v>2041.5</v>
      </c>
      <c r="Z75" s="44">
        <f t="shared" si="25"/>
        <v>163013.15981835255</v>
      </c>
      <c r="AA75" s="50">
        <f t="shared" si="26"/>
        <v>92136.967213389435</v>
      </c>
      <c r="AB75" s="51">
        <f t="shared" si="27"/>
        <v>152391.47407530385</v>
      </c>
      <c r="AC75" s="44">
        <f t="shared" si="28"/>
        <v>86133.464722248696</v>
      </c>
      <c r="AD75" s="44">
        <f t="shared" si="29"/>
        <v>32660.898393416544</v>
      </c>
      <c r="AE75" s="44">
        <f t="shared" si="30"/>
        <v>0</v>
      </c>
      <c r="AF75" s="52">
        <f>HLOOKUP(I75,ElecAvoidedCostsWOCC!$A$5:$Q$50,G75+1,FALSE)</f>
        <v>8.6279755452712409E-2</v>
      </c>
      <c r="AG75" s="44">
        <f t="shared" si="31"/>
        <v>18891.81525392591</v>
      </c>
      <c r="AH75" s="52">
        <f>HLOOKUP(I75,ElecAvoidedCostsWOCC!$A$5:$Q$50,T75+1,FALSE)</f>
        <v>0.91115730059915656</v>
      </c>
      <c r="AI75" s="44">
        <f t="shared" si="32"/>
        <v>24938.375317398913</v>
      </c>
      <c r="AJ75" s="44">
        <f t="shared" si="33"/>
        <v>43830.190571324827</v>
      </c>
      <c r="AK75" s="44">
        <f>HLOOKUP(I75,ElecAvoidedCostsWOCC!$A$5:$Q$50,G75+1,FALSE)*J75*L75</f>
        <v>2361.4769067407387</v>
      </c>
      <c r="AL75" s="44">
        <f t="shared" si="34"/>
        <v>41468.713664584087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41468.713664584087</v>
      </c>
      <c r="AN75" s="48">
        <f t="shared" si="35"/>
        <v>78276.483424459046</v>
      </c>
      <c r="AO75" s="47">
        <f t="shared" si="36"/>
        <v>0.27211964393816696</v>
      </c>
      <c r="AP75" s="47">
        <f t="shared" si="37"/>
        <v>0.90878131602942291</v>
      </c>
      <c r="AQ75">
        <v>2020</v>
      </c>
    </row>
    <row r="76" spans="2:43">
      <c r="B76" s="97" t="s">
        <v>39</v>
      </c>
      <c r="C76" s="61">
        <v>18230407</v>
      </c>
      <c r="D76" s="61" t="s">
        <v>40</v>
      </c>
      <c r="E76" s="38" t="s">
        <v>900</v>
      </c>
      <c r="F76" s="39" t="s">
        <v>901</v>
      </c>
      <c r="G76" s="39">
        <v>1</v>
      </c>
      <c r="H76" s="39">
        <v>11</v>
      </c>
      <c r="I76" s="40" t="s">
        <v>248</v>
      </c>
      <c r="J76" s="41">
        <v>3882</v>
      </c>
      <c r="K76" s="41">
        <v>75</v>
      </c>
      <c r="L76" s="41">
        <v>7</v>
      </c>
      <c r="M76" s="42">
        <v>9.1</v>
      </c>
      <c r="N76" s="42">
        <v>9.1</v>
      </c>
      <c r="O76" s="43">
        <v>291150</v>
      </c>
      <c r="P76" s="44">
        <v>34907.699999999997</v>
      </c>
      <c r="Q76" s="44">
        <v>35326.199999999997</v>
      </c>
      <c r="R76" s="45">
        <v>0.89</v>
      </c>
      <c r="S76" s="46">
        <v>0</v>
      </c>
      <c r="T76" s="39">
        <f t="shared" si="19"/>
        <v>12</v>
      </c>
      <c r="U76" s="47">
        <f t="shared" si="20"/>
        <v>0.24175708116596817</v>
      </c>
      <c r="V76" s="48">
        <f t="shared" si="21"/>
        <v>0</v>
      </c>
      <c r="W76" s="49">
        <f t="shared" si="22"/>
        <v>2.0146423430497346E-2</v>
      </c>
      <c r="X76" s="44">
        <f t="shared" si="23"/>
        <v>57005.307381157909</v>
      </c>
      <c r="Y76" s="44">
        <f t="shared" si="24"/>
        <v>418.5</v>
      </c>
      <c r="Z76" s="44">
        <f t="shared" si="25"/>
        <v>216757.7707394654</v>
      </c>
      <c r="AA76" s="50">
        <f t="shared" si="26"/>
        <v>92331.507381157906</v>
      </c>
      <c r="AB76" s="51">
        <f t="shared" si="27"/>
        <v>202634.16914972925</v>
      </c>
      <c r="AC76" s="44">
        <f t="shared" si="28"/>
        <v>86315.328953125078</v>
      </c>
      <c r="AD76" s="44">
        <f t="shared" si="29"/>
        <v>27485.751000191518</v>
      </c>
      <c r="AE76" s="44">
        <f t="shared" si="30"/>
        <v>0</v>
      </c>
      <c r="AF76" s="52">
        <f>HLOOKUP(I76,ElecAvoidedCostsWOCC!$A$5:$Q$50,G76+1,FALSE)</f>
        <v>8.6279755452712409E-2</v>
      </c>
      <c r="AG76" s="44">
        <f t="shared" si="31"/>
        <v>25120.350800057218</v>
      </c>
      <c r="AH76" s="52">
        <f>HLOOKUP(I76,ElecAvoidedCostsWOCC!$A$5:$Q$50,T76+1,FALSE)</f>
        <v>0.91115730059915656</v>
      </c>
      <c r="AI76" s="44">
        <f t="shared" si="32"/>
        <v>24759.788486481481</v>
      </c>
      <c r="AJ76" s="44">
        <f t="shared" si="33"/>
        <v>49880.139286538702</v>
      </c>
      <c r="AK76" s="44">
        <f>HLOOKUP(I76,ElecAvoidedCostsWOCC!$A$5:$Q$50,G76+1,FALSE)*J76*L76</f>
        <v>2344.5660746720068</v>
      </c>
      <c r="AL76" s="44">
        <f t="shared" si="34"/>
        <v>47535.573211866693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47535.573211866693</v>
      </c>
      <c r="AN76" s="48">
        <f t="shared" si="35"/>
        <v>79774.881533244887</v>
      </c>
      <c r="AO76" s="47">
        <f t="shared" si="36"/>
        <v>0.23458814182884422</v>
      </c>
      <c r="AP76" s="47">
        <f t="shared" si="37"/>
        <v>0.92422611951775002</v>
      </c>
      <c r="AQ76">
        <v>2020</v>
      </c>
    </row>
    <row r="77" spans="2:43">
      <c r="B77" s="97" t="s">
        <v>39</v>
      </c>
      <c r="C77" s="61">
        <v>18230407</v>
      </c>
      <c r="D77" s="61" t="s">
        <v>40</v>
      </c>
      <c r="E77" s="38" t="s">
        <v>902</v>
      </c>
      <c r="F77" s="39" t="s">
        <v>903</v>
      </c>
      <c r="G77" s="39">
        <v>1</v>
      </c>
      <c r="H77" s="39">
        <v>11</v>
      </c>
      <c r="I77" s="40" t="s">
        <v>248</v>
      </c>
      <c r="J77" s="41">
        <v>1098</v>
      </c>
      <c r="K77" s="41">
        <v>75</v>
      </c>
      <c r="L77" s="41">
        <v>7</v>
      </c>
      <c r="M77" s="42">
        <v>6.75</v>
      </c>
      <c r="N77" s="42">
        <v>6.75</v>
      </c>
      <c r="O77" s="43">
        <v>82350</v>
      </c>
      <c r="P77" s="44">
        <v>7249.5</v>
      </c>
      <c r="Q77" s="44">
        <v>7411.5</v>
      </c>
      <c r="R77" s="45">
        <v>0.89</v>
      </c>
      <c r="S77" s="46">
        <v>0</v>
      </c>
      <c r="T77" s="39">
        <f t="shared" si="19"/>
        <v>12</v>
      </c>
      <c r="U77" s="47">
        <f t="shared" si="20"/>
        <v>6.8379514456525764E-2</v>
      </c>
      <c r="V77" s="48">
        <f t="shared" si="21"/>
        <v>0</v>
      </c>
      <c r="W77" s="49">
        <f t="shared" si="22"/>
        <v>5.6982928713771473E-3</v>
      </c>
      <c r="X77" s="44">
        <f t="shared" si="23"/>
        <v>16123.60316963199</v>
      </c>
      <c r="Y77" s="44">
        <f t="shared" si="24"/>
        <v>162</v>
      </c>
      <c r="Z77" s="44">
        <f t="shared" si="25"/>
        <v>61308.612125691136</v>
      </c>
      <c r="AA77" s="50">
        <f t="shared" si="26"/>
        <v>23535.103169631991</v>
      </c>
      <c r="AB77" s="51">
        <f t="shared" si="27"/>
        <v>57313.837642040882</v>
      </c>
      <c r="AC77" s="44">
        <f t="shared" si="28"/>
        <v>22001.592193729073</v>
      </c>
      <c r="AD77" s="44">
        <f t="shared" si="29"/>
        <v>7774.1768671329955</v>
      </c>
      <c r="AE77" s="44">
        <f t="shared" si="30"/>
        <v>0</v>
      </c>
      <c r="AF77" s="52">
        <f>HLOOKUP(I77,ElecAvoidedCostsWOCC!$A$5:$Q$50,G77+1,FALSE)</f>
        <v>8.6279755452712409E-2</v>
      </c>
      <c r="AG77" s="44">
        <f t="shared" si="31"/>
        <v>7105.1378615308668</v>
      </c>
      <c r="AH77" s="52">
        <f>HLOOKUP(I77,ElecAvoidedCostsWOCC!$A$5:$Q$50,T77+1,FALSE)</f>
        <v>0.91115730059915656</v>
      </c>
      <c r="AI77" s="44">
        <f t="shared" si="32"/>
        <v>7003.1550124051173</v>
      </c>
      <c r="AJ77" s="44">
        <f t="shared" si="33"/>
        <v>14108.292873935985</v>
      </c>
      <c r="AK77" s="44">
        <f>HLOOKUP(I77,ElecAvoidedCostsWOCC!$A$5:$Q$50,G77+1,FALSE)*J77*L77</f>
        <v>663.14620040954753</v>
      </c>
      <c r="AL77" s="44">
        <f t="shared" si="34"/>
        <v>13445.146673526437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13445.146673526437</v>
      </c>
      <c r="AN77" s="48">
        <f t="shared" si="35"/>
        <v>22563.838208012079</v>
      </c>
      <c r="AO77" s="47">
        <f t="shared" si="36"/>
        <v>0.23458814182884422</v>
      </c>
      <c r="AP77" s="47">
        <f t="shared" si="37"/>
        <v>1.0255547875504782</v>
      </c>
      <c r="AQ77">
        <v>2020</v>
      </c>
    </row>
    <row r="78" spans="2:43">
      <c r="B78" s="97" t="s">
        <v>39</v>
      </c>
      <c r="C78" s="61">
        <v>18230407</v>
      </c>
      <c r="D78" s="61" t="s">
        <v>40</v>
      </c>
      <c r="E78" s="38" t="s">
        <v>2052</v>
      </c>
      <c r="F78" s="39" t="s">
        <v>2053</v>
      </c>
      <c r="G78" s="39">
        <v>3</v>
      </c>
      <c r="H78" s="39">
        <v>7</v>
      </c>
      <c r="I78" s="40" t="s">
        <v>265</v>
      </c>
      <c r="J78" s="41">
        <v>214</v>
      </c>
      <c r="K78" s="41">
        <v>243</v>
      </c>
      <c r="L78" s="41">
        <v>135</v>
      </c>
      <c r="M78" s="42">
        <v>18.059999999999999</v>
      </c>
      <c r="N78" s="42">
        <v>18.059999999999999</v>
      </c>
      <c r="O78" s="43">
        <v>52002</v>
      </c>
      <c r="P78" s="44">
        <v>3864.84</v>
      </c>
      <c r="Q78" s="44">
        <v>3864.84</v>
      </c>
      <c r="R78" s="45">
        <v>20.34</v>
      </c>
      <c r="S78" s="46">
        <v>0</v>
      </c>
      <c r="T78" s="39">
        <f t="shared" si="19"/>
        <v>10</v>
      </c>
      <c r="U78" s="47">
        <f t="shared" si="20"/>
        <v>3.5983318263188145E-2</v>
      </c>
      <c r="V78" s="48">
        <f t="shared" si="21"/>
        <v>0</v>
      </c>
      <c r="W78" s="49">
        <f t="shared" si="22"/>
        <v>3.5983318263188148E-3</v>
      </c>
      <c r="X78" s="44">
        <f t="shared" si="23"/>
        <v>10181.658919577445</v>
      </c>
      <c r="Y78" s="44">
        <f t="shared" si="24"/>
        <v>0</v>
      </c>
      <c r="Z78" s="44">
        <f t="shared" si="25"/>
        <v>38714.880968551188</v>
      </c>
      <c r="AA78" s="50">
        <f t="shared" si="26"/>
        <v>14046.498919577445</v>
      </c>
      <c r="AB78" s="51">
        <f t="shared" si="27"/>
        <v>36192.279114285484</v>
      </c>
      <c r="AC78" s="44">
        <f t="shared" si="28"/>
        <v>13131.250742804004</v>
      </c>
      <c r="AD78" s="44">
        <f t="shared" si="29"/>
        <v>30614.405493744864</v>
      </c>
      <c r="AE78" s="44">
        <f t="shared" si="30"/>
        <v>0</v>
      </c>
      <c r="AF78" s="52">
        <f>HLOOKUP(I78,ElecAvoidedCostsWOCC!$A$5:$Q$50,G78+1,FALSE)</f>
        <v>0.2337612554483032</v>
      </c>
      <c r="AG78" s="44">
        <f t="shared" si="31"/>
        <v>12156.052805822663</v>
      </c>
      <c r="AH78" s="52">
        <f>HLOOKUP(I78,ElecAvoidedCostsWOCC!$A$5:$Q$50,T78+1,FALSE)</f>
        <v>0.74487332198138856</v>
      </c>
      <c r="AI78" s="44">
        <f t="shared" si="32"/>
        <v>21519.390272042314</v>
      </c>
      <c r="AJ78" s="44">
        <f t="shared" si="33"/>
        <v>33675.443077864977</v>
      </c>
      <c r="AK78" s="44">
        <f>HLOOKUP(I78,ElecAvoidedCostsWOCC!$A$5:$Q$50,G78+1,FALSE)*J78*L78</f>
        <v>6753.3626699014794</v>
      </c>
      <c r="AL78" s="44">
        <f t="shared" si="34"/>
        <v>26922.080407963498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26922.080407963505</v>
      </c>
      <c r="AN78" s="48">
        <f t="shared" si="35"/>
        <v>60228.693942504717</v>
      </c>
      <c r="AO78" s="47">
        <f t="shared" si="36"/>
        <v>0.743862532750447</v>
      </c>
      <c r="AP78" s="47">
        <f t="shared" si="37"/>
        <v>4.5866684843795529</v>
      </c>
      <c r="AQ78">
        <v>2020</v>
      </c>
    </row>
    <row r="79" spans="2:43">
      <c r="B79" s="97" t="s">
        <v>39</v>
      </c>
      <c r="C79" s="61">
        <v>18230407</v>
      </c>
      <c r="D79" s="61" t="s">
        <v>40</v>
      </c>
      <c r="E79" s="38" t="s">
        <v>2054</v>
      </c>
      <c r="F79" s="39" t="s">
        <v>2053</v>
      </c>
      <c r="G79" s="39">
        <v>3</v>
      </c>
      <c r="H79" s="39">
        <v>7</v>
      </c>
      <c r="I79" s="40" t="s">
        <v>265</v>
      </c>
      <c r="J79" s="41">
        <v>73</v>
      </c>
      <c r="K79" s="41">
        <v>227</v>
      </c>
      <c r="L79" s="41">
        <v>150</v>
      </c>
      <c r="M79" s="42">
        <v>18.059999999999999</v>
      </c>
      <c r="N79" s="42">
        <v>18.059999999999999</v>
      </c>
      <c r="O79" s="43">
        <v>16571</v>
      </c>
      <c r="P79" s="44">
        <v>1318.38</v>
      </c>
      <c r="Q79" s="44">
        <v>1318.38</v>
      </c>
      <c r="R79" s="45">
        <v>14.24</v>
      </c>
      <c r="S79" s="46">
        <v>0</v>
      </c>
      <c r="T79" s="39">
        <f t="shared" si="19"/>
        <v>10</v>
      </c>
      <c r="U79" s="47">
        <f t="shared" si="20"/>
        <v>1.1466473730612109E-2</v>
      </c>
      <c r="V79" s="48">
        <f t="shared" si="21"/>
        <v>0</v>
      </c>
      <c r="W79" s="49">
        <f t="shared" si="22"/>
        <v>1.1466473730612108E-3</v>
      </c>
      <c r="X79" s="44">
        <f t="shared" si="23"/>
        <v>3244.4957877835059</v>
      </c>
      <c r="Y79" s="44">
        <f t="shared" si="24"/>
        <v>0</v>
      </c>
      <c r="Z79" s="44">
        <f t="shared" si="25"/>
        <v>12336.915744199488</v>
      </c>
      <c r="AA79" s="50">
        <f t="shared" si="26"/>
        <v>4562.875787783506</v>
      </c>
      <c r="AB79" s="51">
        <f t="shared" si="27"/>
        <v>11533.061366924827</v>
      </c>
      <c r="AC79" s="44">
        <f t="shared" si="28"/>
        <v>4265.5658481663131</v>
      </c>
      <c r="AD79" s="44">
        <f t="shared" si="29"/>
        <v>7311.2891128519968</v>
      </c>
      <c r="AE79" s="44">
        <f t="shared" si="30"/>
        <v>0</v>
      </c>
      <c r="AF79" s="52">
        <f>HLOOKUP(I79,ElecAvoidedCostsWOCC!$A$5:$Q$50,G79+1,FALSE)</f>
        <v>0.2337612554483032</v>
      </c>
      <c r="AG79" s="44">
        <f t="shared" si="31"/>
        <v>3873.6577640338323</v>
      </c>
      <c r="AH79" s="52">
        <f>HLOOKUP(I79,ElecAvoidedCostsWOCC!$A$5:$Q$50,T79+1,FALSE)</f>
        <v>0.74487332198138856</v>
      </c>
      <c r="AI79" s="44">
        <f t="shared" si="32"/>
        <v>8156.3628756962044</v>
      </c>
      <c r="AJ79" s="44">
        <f t="shared" si="33"/>
        <v>12030.020639730037</v>
      </c>
      <c r="AK79" s="44">
        <f>HLOOKUP(I79,ElecAvoidedCostsWOCC!$A$5:$Q$50,G79+1,FALSE)*J79*L79</f>
        <v>2559.6857471589201</v>
      </c>
      <c r="AL79" s="44">
        <f t="shared" si="34"/>
        <v>9470.334892571118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9470.334892571118</v>
      </c>
      <c r="AN79" s="48">
        <f t="shared" si="35"/>
        <v>17728.657494680228</v>
      </c>
      <c r="AO79" s="47">
        <f t="shared" si="36"/>
        <v>0.82114666620353605</v>
      </c>
      <c r="AP79" s="47">
        <f t="shared" si="37"/>
        <v>4.156226424754748</v>
      </c>
      <c r="AQ79">
        <v>2020</v>
      </c>
    </row>
    <row r="80" spans="2:43">
      <c r="B80" s="97" t="s">
        <v>39</v>
      </c>
      <c r="C80" s="61">
        <v>18230407</v>
      </c>
      <c r="D80" s="61" t="s">
        <v>40</v>
      </c>
      <c r="E80" s="38" t="s">
        <v>2058</v>
      </c>
      <c r="F80" s="39" t="s">
        <v>2059</v>
      </c>
      <c r="G80" s="39">
        <v>10</v>
      </c>
      <c r="H80" s="39"/>
      <c r="I80" s="40" t="s">
        <v>265</v>
      </c>
      <c r="J80" s="41">
        <v>317</v>
      </c>
      <c r="K80" s="41">
        <v>325</v>
      </c>
      <c r="L80" s="41"/>
      <c r="M80" s="42">
        <v>40.4</v>
      </c>
      <c r="N80" s="42">
        <v>40.4</v>
      </c>
      <c r="O80" s="43">
        <v>103025</v>
      </c>
      <c r="P80" s="44">
        <v>12806.8</v>
      </c>
      <c r="Q80" s="44">
        <v>12806.8</v>
      </c>
      <c r="R80" s="45">
        <v>24.9</v>
      </c>
      <c r="S80" s="46">
        <v>0</v>
      </c>
      <c r="T80" s="39">
        <f t="shared" si="19"/>
        <v>10</v>
      </c>
      <c r="U80" s="47">
        <f t="shared" si="20"/>
        <v>7.1289207416348588E-2</v>
      </c>
      <c r="V80" s="48">
        <f t="shared" si="21"/>
        <v>0</v>
      </c>
      <c r="W80" s="49">
        <f t="shared" si="22"/>
        <v>7.1289207416348581E-3</v>
      </c>
      <c r="X80" s="44">
        <f t="shared" si="23"/>
        <v>20171.635902262726</v>
      </c>
      <c r="Y80" s="44">
        <f t="shared" si="24"/>
        <v>0</v>
      </c>
      <c r="Z80" s="44">
        <f t="shared" si="25"/>
        <v>76700.907884023429</v>
      </c>
      <c r="AA80" s="50">
        <f t="shared" si="26"/>
        <v>32978.435902262725</v>
      </c>
      <c r="AB80" s="51">
        <f t="shared" si="27"/>
        <v>71703.195179978895</v>
      </c>
      <c r="AC80" s="44">
        <f t="shared" si="28"/>
        <v>30829.611949390222</v>
      </c>
      <c r="AD80" s="44">
        <f t="shared" si="29"/>
        <v>55516.198201549436</v>
      </c>
      <c r="AE80" s="44">
        <f t="shared" si="30"/>
        <v>0</v>
      </c>
      <c r="AF80" s="52">
        <f>HLOOKUP(I80,ElecAvoidedCostsWOCC!$A$5:$Q$50,G80+1,FALSE)</f>
        <v>0.74487332198138856</v>
      </c>
      <c r="AG80" s="44">
        <f t="shared" si="31"/>
        <v>76740.573997132553</v>
      </c>
      <c r="AH80" s="52">
        <f>HLOOKUP(I80,ElecAvoidedCostsWOCC!$A$5:$Q$50,T80+1,FALSE)</f>
        <v>0.74487332198138856</v>
      </c>
      <c r="AI80" s="44">
        <f t="shared" si="32"/>
        <v>0</v>
      </c>
      <c r="AJ80" s="44">
        <f t="shared" si="33"/>
        <v>76740.573997132553</v>
      </c>
      <c r="AK80" s="44">
        <f>HLOOKUP(I80,ElecAvoidedCostsWOCC!$A$5:$Q$50,G80+1,FALSE)*J80*L80</f>
        <v>0</v>
      </c>
      <c r="AL80" s="44">
        <f t="shared" si="34"/>
        <v>76740.573997132553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76740.573997132553</v>
      </c>
      <c r="AN80" s="48">
        <f t="shared" si="35"/>
        <v>139930.82959839524</v>
      </c>
      <c r="AO80" s="47">
        <f t="shared" si="36"/>
        <v>1.0702531986825632</v>
      </c>
      <c r="AP80" s="47">
        <f t="shared" si="37"/>
        <v>4.5388449854025144</v>
      </c>
      <c r="AQ80">
        <v>2020</v>
      </c>
    </row>
    <row r="81" spans="2:43">
      <c r="B81" s="97" t="s">
        <v>39</v>
      </c>
      <c r="C81" s="61">
        <v>18230407</v>
      </c>
      <c r="D81" s="61" t="s">
        <v>40</v>
      </c>
      <c r="E81" s="38" t="s">
        <v>2060</v>
      </c>
      <c r="F81" s="39" t="s">
        <v>2059</v>
      </c>
      <c r="G81" s="39">
        <v>10</v>
      </c>
      <c r="H81" s="39"/>
      <c r="I81" s="40" t="s">
        <v>265</v>
      </c>
      <c r="J81" s="41">
        <v>1084</v>
      </c>
      <c r="K81" s="41">
        <v>273</v>
      </c>
      <c r="L81" s="41"/>
      <c r="M81" s="42">
        <v>40.4</v>
      </c>
      <c r="N81" s="42">
        <v>40.4</v>
      </c>
      <c r="O81" s="43">
        <v>295932</v>
      </c>
      <c r="P81" s="44">
        <v>43793.599999999999</v>
      </c>
      <c r="Q81" s="44">
        <v>43793.599999999999</v>
      </c>
      <c r="R81" s="45">
        <v>21.41</v>
      </c>
      <c r="S81" s="46">
        <v>0</v>
      </c>
      <c r="T81" s="39">
        <f t="shared" ref="T81:T133" si="38">G81+H81</f>
        <v>10</v>
      </c>
      <c r="U81" s="47">
        <f t="shared" ref="U81:U133" si="39">(O81/$A$10)*T81</f>
        <v>0.20477318834394437</v>
      </c>
      <c r="V81" s="48">
        <f t="shared" ref="V81:V133" si="40">N81-M81</f>
        <v>0</v>
      </c>
      <c r="W81" s="49">
        <f t="shared" ref="W81:W133" si="41">(O81/A$10)</f>
        <v>2.0477318834394437E-2</v>
      </c>
      <c r="X81" s="44">
        <f t="shared" ref="X81:X133" si="42">W81*A$8</f>
        <v>57941.592388531069</v>
      </c>
      <c r="Y81" s="44">
        <f t="shared" ref="Y81:Y133" si="43">Q81-P81</f>
        <v>0</v>
      </c>
      <c r="Z81" s="44">
        <f t="shared" ref="Z81:Z133" si="44">X81+(A$6*W81)</f>
        <v>220317.91382610842</v>
      </c>
      <c r="AA81" s="50">
        <f t="shared" ref="AA81:AA133" si="45">Q81+X81</f>
        <v>101735.19238853107</v>
      </c>
      <c r="AB81" s="51">
        <f t="shared" ref="AB81:AB133" si="46">Z81/(1+ElecDiscountRate)^1</f>
        <v>205962.33881098288</v>
      </c>
      <c r="AC81" s="44">
        <f t="shared" ref="AC81:AC133" si="47">AA81/(1+ElecDiscountRate)^1</f>
        <v>95106.284368076158</v>
      </c>
      <c r="AD81" s="44">
        <f t="shared" ref="AD81:AD133" si="48">-PV(ElecDiscountRate,T81,R81)*J81</f>
        <v>163232.65997602625</v>
      </c>
      <c r="AE81" s="44">
        <f t="shared" ref="AE81:AE133" si="49">-PV(ElecDiscountRate,T81,S81)*J81</f>
        <v>0</v>
      </c>
      <c r="AF81" s="52">
        <f>HLOOKUP(I81,ElecAvoidedCostsWOCC!$A$5:$Q$50,G81+1,FALSE)</f>
        <v>0.74487332198138856</v>
      </c>
      <c r="AG81" s="44">
        <f t="shared" ref="AG81:AG133" si="50">AF81*J81*K81</f>
        <v>220431.85192059627</v>
      </c>
      <c r="AH81" s="52">
        <f>HLOOKUP(I81,ElecAvoidedCostsWOCC!$A$5:$Q$50,T81+1,FALSE)</f>
        <v>0.74487332198138856</v>
      </c>
      <c r="AI81" s="44">
        <f t="shared" ref="AI81:AI133" si="51">AH81*J81*L81</f>
        <v>0</v>
      </c>
      <c r="AJ81" s="44">
        <f t="shared" ref="AJ81:AJ133" si="52">AG81+AI81</f>
        <v>220431.85192059627</v>
      </c>
      <c r="AK81" s="44">
        <f>HLOOKUP(I81,ElecAvoidedCostsWOCC!$A$5:$Q$50,G81+1,FALSE)*J81*L81</f>
        <v>0</v>
      </c>
      <c r="AL81" s="44">
        <f t="shared" ref="AL81:AL133" si="53">AG81+AI81-AK81</f>
        <v>220431.85192059627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220431.85192059627</v>
      </c>
      <c r="AN81" s="48">
        <f t="shared" ref="AN81:AN133" si="54">AM81*1.1+AD81+AE81</f>
        <v>405707.69708868215</v>
      </c>
      <c r="AO81" s="47">
        <f t="shared" ref="AO81:AO133" si="55">IFERROR(AM81/AB81,0)</f>
        <v>1.0702531986825632</v>
      </c>
      <c r="AP81" s="47">
        <f t="shared" ref="AP81:AP133" si="56">AN81/AC81</f>
        <v>4.2658347950859907</v>
      </c>
      <c r="AQ81">
        <v>2020</v>
      </c>
    </row>
    <row r="82" spans="2:43">
      <c r="B82" s="97" t="s">
        <v>39</v>
      </c>
      <c r="C82" s="61">
        <v>18230407</v>
      </c>
      <c r="D82" s="61" t="s">
        <v>40</v>
      </c>
      <c r="E82" s="38" t="s">
        <v>2061</v>
      </c>
      <c r="F82" s="39" t="s">
        <v>2062</v>
      </c>
      <c r="G82" s="39">
        <v>10</v>
      </c>
      <c r="H82" s="39"/>
      <c r="I82" s="40" t="s">
        <v>265</v>
      </c>
      <c r="J82" s="41">
        <v>30</v>
      </c>
      <c r="K82" s="41">
        <v>54</v>
      </c>
      <c r="L82" s="41"/>
      <c r="M82" s="42">
        <v>33</v>
      </c>
      <c r="N82" s="42">
        <v>33</v>
      </c>
      <c r="O82" s="43">
        <v>1620</v>
      </c>
      <c r="P82" s="44">
        <v>990</v>
      </c>
      <c r="Q82" s="44">
        <v>990</v>
      </c>
      <c r="R82" s="45">
        <v>3.74</v>
      </c>
      <c r="S82" s="46">
        <v>0</v>
      </c>
      <c r="T82" s="39">
        <f t="shared" si="38"/>
        <v>10</v>
      </c>
      <c r="U82" s="47">
        <f t="shared" si="39"/>
        <v>1.1209756468282912E-3</v>
      </c>
      <c r="V82" s="48">
        <f t="shared" si="40"/>
        <v>0</v>
      </c>
      <c r="W82" s="49">
        <f t="shared" si="41"/>
        <v>1.1209756468282912E-4</v>
      </c>
      <c r="X82" s="44">
        <f t="shared" si="42"/>
        <v>317.18563612390795</v>
      </c>
      <c r="Y82" s="44">
        <f t="shared" si="43"/>
        <v>0</v>
      </c>
      <c r="Z82" s="44">
        <f t="shared" si="44"/>
        <v>1206.0710582103175</v>
      </c>
      <c r="AA82" s="50">
        <f t="shared" si="45"/>
        <v>1307.1856361239079</v>
      </c>
      <c r="AB82" s="51">
        <f t="shared" si="46"/>
        <v>1127.4853306630994</v>
      </c>
      <c r="AC82" s="44">
        <f t="shared" si="47"/>
        <v>1222.0114388369709</v>
      </c>
      <c r="AD82" s="44">
        <f t="shared" si="48"/>
        <v>789.13983228989741</v>
      </c>
      <c r="AE82" s="44">
        <f t="shared" si="49"/>
        <v>0</v>
      </c>
      <c r="AF82" s="52">
        <f>HLOOKUP(I82,ElecAvoidedCostsWOCC!$A$5:$Q$50,G82+1,FALSE)</f>
        <v>0.74487332198138856</v>
      </c>
      <c r="AG82" s="44">
        <f t="shared" si="50"/>
        <v>1206.6947816098493</v>
      </c>
      <c r="AH82" s="52">
        <f>HLOOKUP(I82,ElecAvoidedCostsWOCC!$A$5:$Q$50,T82+1,FALSE)</f>
        <v>0.74487332198138856</v>
      </c>
      <c r="AI82" s="44">
        <f t="shared" si="51"/>
        <v>0</v>
      </c>
      <c r="AJ82" s="44">
        <f t="shared" si="52"/>
        <v>1206.6947816098493</v>
      </c>
      <c r="AK82" s="44">
        <f>HLOOKUP(I82,ElecAvoidedCostsWOCC!$A$5:$Q$50,G82+1,FALSE)*J82*L82</f>
        <v>0</v>
      </c>
      <c r="AL82" s="44">
        <f t="shared" si="53"/>
        <v>1206.6947816098493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1206.6947816098493</v>
      </c>
      <c r="AN82" s="48">
        <f t="shared" si="54"/>
        <v>2116.5040920607316</v>
      </c>
      <c r="AO82" s="47">
        <f t="shared" si="55"/>
        <v>1.070253198682563</v>
      </c>
      <c r="AP82" s="47">
        <f t="shared" si="56"/>
        <v>1.7319838626675044</v>
      </c>
      <c r="AQ82">
        <v>2020</v>
      </c>
    </row>
    <row r="83" spans="2:43">
      <c r="B83" s="97" t="s">
        <v>39</v>
      </c>
      <c r="C83" s="61">
        <v>18230407</v>
      </c>
      <c r="D83" s="61" t="s">
        <v>40</v>
      </c>
      <c r="E83" s="38" t="s">
        <v>2065</v>
      </c>
      <c r="F83" s="39" t="s">
        <v>2066</v>
      </c>
      <c r="G83" s="39">
        <v>15</v>
      </c>
      <c r="H83" s="39"/>
      <c r="I83" s="40" t="s">
        <v>265</v>
      </c>
      <c r="J83" s="41">
        <v>90</v>
      </c>
      <c r="K83" s="41">
        <v>20</v>
      </c>
      <c r="L83" s="41"/>
      <c r="M83" s="42">
        <v>4.5</v>
      </c>
      <c r="N83" s="42">
        <v>4.5</v>
      </c>
      <c r="O83" s="43">
        <v>1800</v>
      </c>
      <c r="P83" s="44">
        <v>405</v>
      </c>
      <c r="Q83" s="44">
        <v>405</v>
      </c>
      <c r="R83" s="45">
        <v>0</v>
      </c>
      <c r="S83" s="46"/>
      <c r="T83" s="39">
        <f t="shared" si="38"/>
        <v>15</v>
      </c>
      <c r="U83" s="47">
        <f t="shared" si="39"/>
        <v>1.8682927447138185E-3</v>
      </c>
      <c r="V83" s="48">
        <f t="shared" si="40"/>
        <v>0</v>
      </c>
      <c r="W83" s="49">
        <f t="shared" si="41"/>
        <v>1.245528496475879E-4</v>
      </c>
      <c r="X83" s="44">
        <f t="shared" si="42"/>
        <v>352.42848458211995</v>
      </c>
      <c r="Y83" s="44">
        <f t="shared" si="43"/>
        <v>0</v>
      </c>
      <c r="Z83" s="44">
        <f t="shared" si="44"/>
        <v>1340.0789535670192</v>
      </c>
      <c r="AA83" s="50">
        <f t="shared" si="45"/>
        <v>757.42848458211995</v>
      </c>
      <c r="AB83" s="51">
        <f t="shared" si="46"/>
        <v>1252.7614785145547</v>
      </c>
      <c r="AC83" s="44">
        <f t="shared" si="47"/>
        <v>708.0756142676637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1.0786528141421943</v>
      </c>
      <c r="AG83" s="44">
        <f t="shared" si="50"/>
        <v>1941.5750654559497</v>
      </c>
      <c r="AH83" s="52">
        <f>HLOOKUP(I83,ElecAvoidedCostsWOCC!$A$5:$Q$50,T83+1,FALSE)</f>
        <v>1.0786528141421943</v>
      </c>
      <c r="AI83" s="44">
        <f t="shared" si="51"/>
        <v>0</v>
      </c>
      <c r="AJ83" s="44">
        <f t="shared" si="52"/>
        <v>1941.5750654559497</v>
      </c>
      <c r="AK83" s="44">
        <f>HLOOKUP(I83,ElecAvoidedCostsWOCC!$A$5:$Q$50,G83+1,FALSE)*J83*L83</f>
        <v>0</v>
      </c>
      <c r="AL83" s="44">
        <f t="shared" si="53"/>
        <v>1941.5750654559497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1941.5750654559497</v>
      </c>
      <c r="AN83" s="48">
        <f t="shared" si="54"/>
        <v>2135.7325720015447</v>
      </c>
      <c r="AO83" s="47">
        <f t="shared" si="55"/>
        <v>1.549836180913023</v>
      </c>
      <c r="AP83" s="47">
        <f t="shared" si="56"/>
        <v>3.0162492945198425</v>
      </c>
      <c r="AQ83">
        <v>2020</v>
      </c>
    </row>
    <row r="84" spans="2:43">
      <c r="B84" s="97" t="s">
        <v>39</v>
      </c>
      <c r="C84" s="61">
        <v>18230407</v>
      </c>
      <c r="D84" s="61" t="s">
        <v>40</v>
      </c>
      <c r="E84" s="38" t="s">
        <v>2067</v>
      </c>
      <c r="F84" s="39" t="s">
        <v>2066</v>
      </c>
      <c r="G84" s="39">
        <v>15</v>
      </c>
      <c r="H84" s="39"/>
      <c r="I84" s="40" t="s">
        <v>265</v>
      </c>
      <c r="J84" s="41">
        <v>199</v>
      </c>
      <c r="K84" s="41">
        <v>21</v>
      </c>
      <c r="L84" s="41"/>
      <c r="M84" s="42">
        <v>4.5</v>
      </c>
      <c r="N84" s="42">
        <v>4.5</v>
      </c>
      <c r="O84" s="43">
        <v>4179</v>
      </c>
      <c r="P84" s="44">
        <v>895.5</v>
      </c>
      <c r="Q84" s="44">
        <v>895.5</v>
      </c>
      <c r="R84" s="45">
        <v>0</v>
      </c>
      <c r="S84" s="46">
        <v>0</v>
      </c>
      <c r="T84" s="39">
        <f t="shared" si="38"/>
        <v>15</v>
      </c>
      <c r="U84" s="47">
        <f t="shared" si="39"/>
        <v>4.3375529889772496E-3</v>
      </c>
      <c r="V84" s="48">
        <f t="shared" si="40"/>
        <v>0</v>
      </c>
      <c r="W84" s="49">
        <f t="shared" si="41"/>
        <v>2.8917019926514995E-4</v>
      </c>
      <c r="X84" s="44">
        <f t="shared" si="42"/>
        <v>818.2214650381552</v>
      </c>
      <c r="Y84" s="44">
        <f t="shared" si="43"/>
        <v>0</v>
      </c>
      <c r="Z84" s="44">
        <f t="shared" si="44"/>
        <v>3111.2166371980966</v>
      </c>
      <c r="AA84" s="50">
        <f t="shared" si="45"/>
        <v>1713.7214650381552</v>
      </c>
      <c r="AB84" s="51">
        <f t="shared" si="46"/>
        <v>2908.4945659512914</v>
      </c>
      <c r="AC84" s="44">
        <f t="shared" si="47"/>
        <v>1602.0580209761195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1.0786528141421943</v>
      </c>
      <c r="AG84" s="44">
        <f t="shared" si="50"/>
        <v>4507.6901103002292</v>
      </c>
      <c r="AH84" s="52">
        <f>HLOOKUP(I84,ElecAvoidedCostsWOCC!$A$5:$Q$50,T84+1,FALSE)</f>
        <v>1.0786528141421943</v>
      </c>
      <c r="AI84" s="44">
        <f t="shared" si="51"/>
        <v>0</v>
      </c>
      <c r="AJ84" s="44">
        <f t="shared" si="52"/>
        <v>4507.6901103002292</v>
      </c>
      <c r="AK84" s="44">
        <f>HLOOKUP(I84,ElecAvoidedCostsWOCC!$A$5:$Q$50,G84+1,FALSE)*J84*L84</f>
        <v>0</v>
      </c>
      <c r="AL84" s="44">
        <f t="shared" si="53"/>
        <v>4507.6901103002292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4507.6901103002292</v>
      </c>
      <c r="AN84" s="48">
        <f t="shared" si="54"/>
        <v>4958.4591213302529</v>
      </c>
      <c r="AO84" s="47">
        <f t="shared" si="55"/>
        <v>1.5498361809130228</v>
      </c>
      <c r="AP84" s="47">
        <f t="shared" si="56"/>
        <v>3.0950558946105513</v>
      </c>
      <c r="AQ84">
        <v>2020</v>
      </c>
    </row>
    <row r="85" spans="2:43">
      <c r="B85" s="97" t="s">
        <v>39</v>
      </c>
      <c r="C85" s="61">
        <v>18230407</v>
      </c>
      <c r="D85" s="61" t="s">
        <v>40</v>
      </c>
      <c r="E85" s="38" t="s">
        <v>2068</v>
      </c>
      <c r="F85" s="39" t="s">
        <v>2069</v>
      </c>
      <c r="G85" s="39">
        <v>45</v>
      </c>
      <c r="H85" s="39"/>
      <c r="I85" s="40" t="s">
        <v>267</v>
      </c>
      <c r="J85" s="41">
        <v>19618</v>
      </c>
      <c r="K85" s="41">
        <v>12.3</v>
      </c>
      <c r="L85" s="41"/>
      <c r="M85" s="42">
        <v>5</v>
      </c>
      <c r="N85" s="42">
        <v>17.809999999999999</v>
      </c>
      <c r="O85" s="43">
        <v>241301.4</v>
      </c>
      <c r="P85" s="44">
        <v>98090</v>
      </c>
      <c r="Q85" s="44">
        <v>349396.58</v>
      </c>
      <c r="R85" s="45">
        <v>0</v>
      </c>
      <c r="S85" s="46">
        <v>0</v>
      </c>
      <c r="T85" s="39">
        <f t="shared" si="38"/>
        <v>45</v>
      </c>
      <c r="U85" s="47">
        <f t="shared" si="39"/>
        <v>0.75136942484881175</v>
      </c>
      <c r="V85" s="48">
        <f t="shared" si="40"/>
        <v>12.809999999999999</v>
      </c>
      <c r="W85" s="49">
        <f t="shared" si="41"/>
        <v>1.6697098329973594E-2</v>
      </c>
      <c r="X85" s="44">
        <f t="shared" si="42"/>
        <v>47245.270405302203</v>
      </c>
      <c r="Y85" s="44">
        <f t="shared" si="43"/>
        <v>251306.58000000002</v>
      </c>
      <c r="Z85" s="44">
        <f t="shared" si="44"/>
        <v>179646.07089236486</v>
      </c>
      <c r="AA85" s="50">
        <f t="shared" si="45"/>
        <v>396641.85040530225</v>
      </c>
      <c r="AB85" s="51">
        <f t="shared" si="46"/>
        <v>167940.61035090665</v>
      </c>
      <c r="AC85" s="44">
        <f t="shared" si="47"/>
        <v>370797.27998999925</v>
      </c>
      <c r="AD85" s="44">
        <f t="shared" si="48"/>
        <v>0</v>
      </c>
      <c r="AE85" s="44">
        <f t="shared" si="49"/>
        <v>0</v>
      </c>
      <c r="AF85" s="52">
        <f>HLOOKUP(I85,ElecAvoidedCostsWOCC!$A$5:$Q$50,G85+1,FALSE)</f>
        <v>3.1346149049506007</v>
      </c>
      <c r="AG85" s="44">
        <f t="shared" si="50"/>
        <v>756386.96502544684</v>
      </c>
      <c r="AH85" s="52">
        <f>HLOOKUP(I85,ElecAvoidedCostsWOCC!$A$5:$Q$50,T85+1,FALSE)</f>
        <v>3.1346149049506007</v>
      </c>
      <c r="AI85" s="44">
        <f t="shared" si="51"/>
        <v>0</v>
      </c>
      <c r="AJ85" s="44">
        <f t="shared" si="52"/>
        <v>756386.96502544684</v>
      </c>
      <c r="AK85" s="44">
        <f>HLOOKUP(I85,ElecAvoidedCostsWOCC!$A$5:$Q$50,G85+1,FALSE)*J85*L85</f>
        <v>0</v>
      </c>
      <c r="AL85" s="44">
        <f t="shared" si="53"/>
        <v>756386.96502544684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756386.96502544684</v>
      </c>
      <c r="AN85" s="48">
        <f t="shared" si="54"/>
        <v>832025.66152799164</v>
      </c>
      <c r="AO85" s="47">
        <f t="shared" si="55"/>
        <v>4.503895534528545</v>
      </c>
      <c r="AP85" s="47">
        <f t="shared" si="56"/>
        <v>2.2438828611429731</v>
      </c>
      <c r="AQ85">
        <v>2020</v>
      </c>
    </row>
    <row r="86" spans="2:43">
      <c r="B86" s="97" t="s">
        <v>39</v>
      </c>
      <c r="C86" s="61">
        <v>18230407</v>
      </c>
      <c r="D86" s="61" t="s">
        <v>40</v>
      </c>
      <c r="E86" s="38" t="s">
        <v>2072</v>
      </c>
      <c r="F86" s="39" t="s">
        <v>2073</v>
      </c>
      <c r="G86" s="39">
        <v>45</v>
      </c>
      <c r="H86" s="39"/>
      <c r="I86" s="40" t="s">
        <v>267</v>
      </c>
      <c r="J86" s="41">
        <v>281</v>
      </c>
      <c r="K86" s="41">
        <v>24.2</v>
      </c>
      <c r="L86" s="41"/>
      <c r="M86" s="42">
        <v>7</v>
      </c>
      <c r="N86" s="42">
        <v>17.809999999999999</v>
      </c>
      <c r="O86" s="43">
        <v>6800.2</v>
      </c>
      <c r="P86" s="44">
        <v>1967</v>
      </c>
      <c r="Q86" s="44">
        <v>5004.6099999999997</v>
      </c>
      <c r="R86" s="45">
        <v>0</v>
      </c>
      <c r="S86" s="46">
        <v>0</v>
      </c>
      <c r="T86" s="39">
        <f t="shared" si="38"/>
        <v>45</v>
      </c>
      <c r="U86" s="47">
        <f t="shared" si="39"/>
        <v>2.1174607204338183E-2</v>
      </c>
      <c r="V86" s="48">
        <f t="shared" si="40"/>
        <v>10.809999999999999</v>
      </c>
      <c r="W86" s="49">
        <f t="shared" si="41"/>
        <v>4.7054682676307073E-4</v>
      </c>
      <c r="X86" s="44">
        <f t="shared" si="42"/>
        <v>1331.4356560307401</v>
      </c>
      <c r="Y86" s="44">
        <f t="shared" si="43"/>
        <v>3037.6099999999997</v>
      </c>
      <c r="Z86" s="44">
        <f t="shared" si="44"/>
        <v>5062.6693889146918</v>
      </c>
      <c r="AA86" s="50">
        <f t="shared" si="45"/>
        <v>6336.0456560307393</v>
      </c>
      <c r="AB86" s="51">
        <f t="shared" si="46"/>
        <v>4732.7936701081535</v>
      </c>
      <c r="AC86" s="44">
        <f t="shared" si="47"/>
        <v>5923.1987062080389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3.1346149049506007</v>
      </c>
      <c r="AG86" s="44">
        <f t="shared" si="50"/>
        <v>21316.008276645072</v>
      </c>
      <c r="AH86" s="52">
        <f>HLOOKUP(I86,ElecAvoidedCostsWOCC!$A$5:$Q$50,T86+1,FALSE)</f>
        <v>3.1346149049506007</v>
      </c>
      <c r="AI86" s="44">
        <f t="shared" si="51"/>
        <v>0</v>
      </c>
      <c r="AJ86" s="44">
        <f t="shared" si="52"/>
        <v>21316.008276645072</v>
      </c>
      <c r="AK86" s="44">
        <f>HLOOKUP(I86,ElecAvoidedCostsWOCC!$A$5:$Q$50,G86+1,FALSE)*J86*L86</f>
        <v>0</v>
      </c>
      <c r="AL86" s="44">
        <f t="shared" si="53"/>
        <v>21316.008276645072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21316.008276645072</v>
      </c>
      <c r="AN86" s="48">
        <f t="shared" si="54"/>
        <v>23447.60910430958</v>
      </c>
      <c r="AO86" s="47">
        <f t="shared" si="55"/>
        <v>4.5038955345285441</v>
      </c>
      <c r="AP86" s="47">
        <f t="shared" si="56"/>
        <v>3.9586058593196278</v>
      </c>
      <c r="AQ86">
        <v>2020</v>
      </c>
    </row>
    <row r="87" spans="2:43">
      <c r="B87" s="97" t="s">
        <v>39</v>
      </c>
      <c r="C87" s="61">
        <v>18230407</v>
      </c>
      <c r="D87" s="61" t="s">
        <v>40</v>
      </c>
      <c r="E87" s="38" t="s">
        <v>2074</v>
      </c>
      <c r="F87" s="39" t="s">
        <v>907</v>
      </c>
      <c r="G87" s="39">
        <v>45</v>
      </c>
      <c r="H87" s="39"/>
      <c r="I87" s="40" t="s">
        <v>267</v>
      </c>
      <c r="J87" s="41">
        <v>1</v>
      </c>
      <c r="K87" s="41">
        <v>1116142.8</v>
      </c>
      <c r="L87" s="41"/>
      <c r="M87" s="42">
        <v>1.21</v>
      </c>
      <c r="N87" s="42">
        <v>1.35</v>
      </c>
      <c r="O87" s="43">
        <v>1116142.8</v>
      </c>
      <c r="P87" s="44">
        <v>1413169.5</v>
      </c>
      <c r="Q87" s="44">
        <v>1603682.32</v>
      </c>
      <c r="R87" s="45">
        <v>0</v>
      </c>
      <c r="S87" s="46">
        <v>0</v>
      </c>
      <c r="T87" s="39">
        <f t="shared" si="38"/>
        <v>45</v>
      </c>
      <c r="U87" s="47">
        <f t="shared" si="39"/>
        <v>3.4754691588409448</v>
      </c>
      <c r="V87" s="48">
        <f t="shared" si="40"/>
        <v>0.14000000000000012</v>
      </c>
      <c r="W87" s="49">
        <f t="shared" si="41"/>
        <v>7.7232647974243215E-2</v>
      </c>
      <c r="X87" s="44">
        <f t="shared" si="42"/>
        <v>218533.61976735789</v>
      </c>
      <c r="Y87" s="44">
        <f t="shared" si="43"/>
        <v>190512.82000000007</v>
      </c>
      <c r="Z87" s="44">
        <f t="shared" si="44"/>
        <v>830955.26414186833</v>
      </c>
      <c r="AA87" s="50">
        <f t="shared" si="45"/>
        <v>1822215.9397673579</v>
      </c>
      <c r="AB87" s="51">
        <f t="shared" si="46"/>
        <v>776811.50242298609</v>
      </c>
      <c r="AC87" s="44">
        <f t="shared" si="47"/>
        <v>1703483.1632863025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3.1346149049506007</v>
      </c>
      <c r="AG87" s="44">
        <f t="shared" si="50"/>
        <v>3498677.8569332976</v>
      </c>
      <c r="AH87" s="52">
        <f>HLOOKUP(I87,ElecAvoidedCostsWOCC!$A$5:$Q$50,T87+1,FALSE)</f>
        <v>3.1346149049506007</v>
      </c>
      <c r="AI87" s="44">
        <f t="shared" si="51"/>
        <v>0</v>
      </c>
      <c r="AJ87" s="44">
        <f t="shared" si="52"/>
        <v>3498677.8569332976</v>
      </c>
      <c r="AK87" s="44">
        <f>HLOOKUP(I87,ElecAvoidedCostsWOCC!$A$5:$Q$50,G87+1,FALSE)*J87*L87</f>
        <v>0</v>
      </c>
      <c r="AL87" s="44">
        <f t="shared" si="53"/>
        <v>3498677.8569332976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3498677.8569332976</v>
      </c>
      <c r="AN87" s="48">
        <f t="shared" si="54"/>
        <v>3848545.6426266278</v>
      </c>
      <c r="AO87" s="47">
        <f t="shared" si="55"/>
        <v>4.5038955345285459</v>
      </c>
      <c r="AP87" s="47">
        <f t="shared" si="56"/>
        <v>2.2592214150224668</v>
      </c>
      <c r="AQ87">
        <v>2020</v>
      </c>
    </row>
    <row r="88" spans="2:43">
      <c r="B88" s="97" t="s">
        <v>39</v>
      </c>
      <c r="C88" s="61">
        <v>18230407</v>
      </c>
      <c r="D88" s="61" t="s">
        <v>40</v>
      </c>
      <c r="E88" s="38" t="s">
        <v>912</v>
      </c>
      <c r="F88" s="39" t="s">
        <v>913</v>
      </c>
      <c r="G88" s="39">
        <v>15</v>
      </c>
      <c r="H88" s="39"/>
      <c r="I88" s="40" t="s">
        <v>257</v>
      </c>
      <c r="J88" s="41">
        <v>1</v>
      </c>
      <c r="K88" s="41">
        <v>1686964</v>
      </c>
      <c r="L88" s="41"/>
      <c r="M88" s="42">
        <v>8000</v>
      </c>
      <c r="N88" s="42">
        <v>160555</v>
      </c>
      <c r="O88" s="43">
        <v>1686964</v>
      </c>
      <c r="P88" s="44">
        <v>292565.58</v>
      </c>
      <c r="Q88" s="44">
        <v>896918.81</v>
      </c>
      <c r="R88" s="45">
        <v>0</v>
      </c>
      <c r="S88" s="46">
        <v>0</v>
      </c>
      <c r="T88" s="39">
        <f t="shared" si="38"/>
        <v>15</v>
      </c>
      <c r="U88" s="47">
        <f t="shared" si="39"/>
        <v>1.7509681121074459</v>
      </c>
      <c r="V88" s="48">
        <f t="shared" si="40"/>
        <v>152555</v>
      </c>
      <c r="W88" s="49">
        <f t="shared" si="41"/>
        <v>0.11673120747382973</v>
      </c>
      <c r="X88" s="44">
        <f t="shared" si="42"/>
        <v>330296.75892477302</v>
      </c>
      <c r="Y88" s="44">
        <f t="shared" si="43"/>
        <v>604353.23</v>
      </c>
      <c r="Z88" s="44">
        <f t="shared" si="44"/>
        <v>1255924.9732362407</v>
      </c>
      <c r="AA88" s="50">
        <f t="shared" si="45"/>
        <v>1227215.568924773</v>
      </c>
      <c r="AB88" s="51">
        <f t="shared" si="46"/>
        <v>1174090.8415782375</v>
      </c>
      <c r="AC88" s="44">
        <f t="shared" si="47"/>
        <v>1147252.0977141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1.0545904948077327</v>
      </c>
      <c r="AG88" s="44">
        <f t="shared" si="50"/>
        <v>1779056.1994828321</v>
      </c>
      <c r="AH88" s="52">
        <f>HLOOKUP(I88,ElecAvoidedCostsWOCC!$A$5:$Q$50,T88+1,FALSE)</f>
        <v>1.0545904948077327</v>
      </c>
      <c r="AI88" s="44">
        <f t="shared" si="51"/>
        <v>0</v>
      </c>
      <c r="AJ88" s="44">
        <f t="shared" si="52"/>
        <v>1779056.1994828321</v>
      </c>
      <c r="AK88" s="44">
        <f>HLOOKUP(I88,ElecAvoidedCostsWOCC!$A$5:$Q$50,G88+1,FALSE)*J88*L88</f>
        <v>0</v>
      </c>
      <c r="AL88" s="44">
        <f t="shared" si="53"/>
        <v>1779056.1994828321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1779056.1994828321</v>
      </c>
      <c r="AN88" s="48">
        <f t="shared" si="54"/>
        <v>1956961.8194311154</v>
      </c>
      <c r="AO88" s="47">
        <f t="shared" si="55"/>
        <v>1.5152628199461871</v>
      </c>
      <c r="AP88" s="47">
        <f t="shared" si="56"/>
        <v>1.7057818620078029</v>
      </c>
      <c r="AQ88">
        <v>2020</v>
      </c>
    </row>
    <row r="89" spans="2:43">
      <c r="B89" s="97" t="s">
        <v>39</v>
      </c>
      <c r="C89" s="61">
        <v>18230407</v>
      </c>
      <c r="D89" s="61" t="s">
        <v>40</v>
      </c>
      <c r="E89" s="38" t="s">
        <v>2078</v>
      </c>
      <c r="F89" s="39" t="s">
        <v>2079</v>
      </c>
      <c r="G89" s="39">
        <v>15</v>
      </c>
      <c r="H89" s="39"/>
      <c r="I89" s="40" t="s">
        <v>267</v>
      </c>
      <c r="J89" s="41">
        <v>5</v>
      </c>
      <c r="K89" s="41">
        <v>1997</v>
      </c>
      <c r="L89" s="41"/>
      <c r="M89" s="42">
        <v>800</v>
      </c>
      <c r="N89" s="42">
        <v>3953.13</v>
      </c>
      <c r="O89" s="43">
        <v>9985</v>
      </c>
      <c r="P89" s="44">
        <v>4000</v>
      </c>
      <c r="Q89" s="44">
        <v>19765.650000000001</v>
      </c>
      <c r="R89" s="45">
        <v>109.84</v>
      </c>
      <c r="S89" s="46">
        <v>0</v>
      </c>
      <c r="T89" s="39">
        <f t="shared" si="38"/>
        <v>15</v>
      </c>
      <c r="U89" s="47">
        <f t="shared" si="39"/>
        <v>1.0363835031093045E-2</v>
      </c>
      <c r="V89" s="48">
        <f t="shared" si="40"/>
        <v>3153.13</v>
      </c>
      <c r="W89" s="49">
        <f t="shared" si="41"/>
        <v>6.9092233540620298E-4</v>
      </c>
      <c r="X89" s="44">
        <f t="shared" si="42"/>
        <v>1954.9991214180377</v>
      </c>
      <c r="Y89" s="44">
        <f t="shared" si="43"/>
        <v>15765.650000000001</v>
      </c>
      <c r="Z89" s="44">
        <f t="shared" si="44"/>
        <v>7433.715750759271</v>
      </c>
      <c r="AA89" s="50">
        <f t="shared" si="45"/>
        <v>21720.649121418039</v>
      </c>
      <c r="AB89" s="51">
        <f t="shared" si="46"/>
        <v>6949.3463127599052</v>
      </c>
      <c r="AC89" s="44">
        <f t="shared" si="47"/>
        <v>20305.365169129698</v>
      </c>
      <c r="AD89" s="44">
        <f t="shared" si="48"/>
        <v>5011.5583446727242</v>
      </c>
      <c r="AE89" s="44">
        <f t="shared" si="49"/>
        <v>0</v>
      </c>
      <c r="AF89" s="52">
        <f>HLOOKUP(I89,ElecAvoidedCostsWOCC!$A$5:$Q$50,G89+1,FALSE)</f>
        <v>1.3893373920773078</v>
      </c>
      <c r="AG89" s="44">
        <f t="shared" si="50"/>
        <v>13872.533859891919</v>
      </c>
      <c r="AH89" s="52">
        <f>HLOOKUP(I89,ElecAvoidedCostsWOCC!$A$5:$Q$50,T89+1,FALSE)</f>
        <v>1.3893373920773078</v>
      </c>
      <c r="AI89" s="44">
        <f t="shared" si="51"/>
        <v>0</v>
      </c>
      <c r="AJ89" s="44">
        <f t="shared" si="52"/>
        <v>13872.533859891919</v>
      </c>
      <c r="AK89" s="44">
        <f>HLOOKUP(I89,ElecAvoidedCostsWOCC!$A$5:$Q$50,G89+1,FALSE)*J89*L89</f>
        <v>0</v>
      </c>
      <c r="AL89" s="44">
        <f t="shared" si="53"/>
        <v>13872.533859891919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13872.533859891919</v>
      </c>
      <c r="AN89" s="48">
        <f t="shared" si="54"/>
        <v>20271.345590553836</v>
      </c>
      <c r="AO89" s="47">
        <f t="shared" si="55"/>
        <v>1.996235794785495</v>
      </c>
      <c r="AP89" s="47">
        <f t="shared" si="56"/>
        <v>0.99832460148869506</v>
      </c>
      <c r="AQ89">
        <v>2020</v>
      </c>
    </row>
    <row r="90" spans="2:43">
      <c r="B90" s="97" t="s">
        <v>39</v>
      </c>
      <c r="C90" s="61">
        <v>18230407</v>
      </c>
      <c r="D90" s="61" t="s">
        <v>40</v>
      </c>
      <c r="E90" s="38" t="s">
        <v>915</v>
      </c>
      <c r="F90" s="39" t="s">
        <v>916</v>
      </c>
      <c r="G90" s="39">
        <v>15</v>
      </c>
      <c r="H90" s="39"/>
      <c r="I90" s="40" t="s">
        <v>267</v>
      </c>
      <c r="J90" s="41">
        <v>560</v>
      </c>
      <c r="K90" s="41">
        <v>59</v>
      </c>
      <c r="L90" s="41"/>
      <c r="M90" s="42">
        <v>35</v>
      </c>
      <c r="N90" s="42">
        <v>57.99</v>
      </c>
      <c r="O90" s="43">
        <v>33040</v>
      </c>
      <c r="P90" s="44">
        <v>19600</v>
      </c>
      <c r="Q90" s="44">
        <v>32474.400000000001</v>
      </c>
      <c r="R90" s="45">
        <v>0</v>
      </c>
      <c r="S90" s="46">
        <v>0</v>
      </c>
      <c r="T90" s="39">
        <f t="shared" si="38"/>
        <v>15</v>
      </c>
      <c r="U90" s="47">
        <f t="shared" si="39"/>
        <v>3.4293551269635868E-2</v>
      </c>
      <c r="V90" s="48">
        <f t="shared" si="40"/>
        <v>22.990000000000002</v>
      </c>
      <c r="W90" s="49">
        <f t="shared" si="41"/>
        <v>2.286236751309058E-3</v>
      </c>
      <c r="X90" s="44">
        <f t="shared" si="42"/>
        <v>6469.020628107357</v>
      </c>
      <c r="Y90" s="44">
        <f t="shared" si="43"/>
        <v>12874.400000000001</v>
      </c>
      <c r="Z90" s="44">
        <f t="shared" si="44"/>
        <v>24597.893681030175</v>
      </c>
      <c r="AA90" s="50">
        <f t="shared" si="45"/>
        <v>38943.420628107357</v>
      </c>
      <c r="AB90" s="51">
        <f t="shared" si="46"/>
        <v>22995.132916733826</v>
      </c>
      <c r="AC90" s="44">
        <f t="shared" si="47"/>
        <v>36405.927482572079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45903.707434234253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45903.707434234253</v>
      </c>
      <c r="AK90" s="44">
        <f>HLOOKUP(I90,ElecAvoidedCostsWOCC!$A$5:$Q$50,G90+1,FALSE)*J90*L90</f>
        <v>0</v>
      </c>
      <c r="AL90" s="44">
        <f t="shared" si="53"/>
        <v>45903.707434234253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45903.707434234246</v>
      </c>
      <c r="AN90" s="48">
        <f t="shared" si="54"/>
        <v>50494.078177657677</v>
      </c>
      <c r="AO90" s="47">
        <f t="shared" si="55"/>
        <v>1.996235794785495</v>
      </c>
      <c r="AP90" s="47">
        <f t="shared" si="56"/>
        <v>1.386974091013881</v>
      </c>
      <c r="AQ90">
        <v>2020</v>
      </c>
    </row>
    <row r="91" spans="2:43">
      <c r="B91" s="97" t="s">
        <v>39</v>
      </c>
      <c r="C91" s="61">
        <v>18230407</v>
      </c>
      <c r="D91" s="61" t="s">
        <v>40</v>
      </c>
      <c r="E91" s="38" t="s">
        <v>919</v>
      </c>
      <c r="F91" s="39" t="s">
        <v>920</v>
      </c>
      <c r="G91" s="39">
        <v>15</v>
      </c>
      <c r="H91" s="39"/>
      <c r="I91" s="40" t="s">
        <v>267</v>
      </c>
      <c r="J91" s="41">
        <v>17</v>
      </c>
      <c r="K91" s="41">
        <v>1300</v>
      </c>
      <c r="L91" s="41"/>
      <c r="M91" s="42">
        <v>800</v>
      </c>
      <c r="N91" s="42">
        <v>3758.92</v>
      </c>
      <c r="O91" s="43">
        <v>22100</v>
      </c>
      <c r="P91" s="44">
        <v>13600</v>
      </c>
      <c r="Q91" s="44">
        <v>63901.64</v>
      </c>
      <c r="R91" s="45">
        <v>0</v>
      </c>
      <c r="S91" s="46">
        <v>0</v>
      </c>
      <c r="T91" s="39">
        <f t="shared" si="38"/>
        <v>15</v>
      </c>
      <c r="U91" s="47">
        <f t="shared" si="39"/>
        <v>2.2938483143430777E-2</v>
      </c>
      <c r="V91" s="48">
        <f t="shared" si="40"/>
        <v>2958.92</v>
      </c>
      <c r="W91" s="49">
        <f t="shared" si="41"/>
        <v>1.5292322095620517E-3</v>
      </c>
      <c r="X91" s="44">
        <f t="shared" si="42"/>
        <v>4327.0386162582508</v>
      </c>
      <c r="Y91" s="44">
        <f t="shared" si="43"/>
        <v>50301.64</v>
      </c>
      <c r="Z91" s="44">
        <f t="shared" si="44"/>
        <v>16453.191596572848</v>
      </c>
      <c r="AA91" s="50">
        <f t="shared" si="45"/>
        <v>68228.678616258258</v>
      </c>
      <c r="AB91" s="51">
        <f t="shared" si="46"/>
        <v>15381.127041762033</v>
      </c>
      <c r="AC91" s="44">
        <f t="shared" si="47"/>
        <v>63783.003287144296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1.3893373920773078</v>
      </c>
      <c r="AG91" s="44">
        <f t="shared" si="50"/>
        <v>30704.356364908504</v>
      </c>
      <c r="AH91" s="52">
        <f>HLOOKUP(I91,ElecAvoidedCostsWOCC!$A$5:$Q$50,T91+1,FALSE)</f>
        <v>1.3893373920773078</v>
      </c>
      <c r="AI91" s="44">
        <f t="shared" si="51"/>
        <v>0</v>
      </c>
      <c r="AJ91" s="44">
        <f t="shared" si="52"/>
        <v>30704.356364908504</v>
      </c>
      <c r="AK91" s="44">
        <f>HLOOKUP(I91,ElecAvoidedCostsWOCC!$A$5:$Q$50,G91+1,FALSE)*J91*L91</f>
        <v>0</v>
      </c>
      <c r="AL91" s="44">
        <f t="shared" si="53"/>
        <v>30704.356364908504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30704.356364908504</v>
      </c>
      <c r="AN91" s="48">
        <f t="shared" si="54"/>
        <v>33774.792001399357</v>
      </c>
      <c r="AO91" s="47">
        <f t="shared" si="55"/>
        <v>1.9962357947854952</v>
      </c>
      <c r="AP91" s="47">
        <f t="shared" si="56"/>
        <v>0.5295265236939195</v>
      </c>
      <c r="AQ91">
        <v>2020</v>
      </c>
    </row>
    <row r="92" spans="2:43">
      <c r="B92" s="97" t="s">
        <v>39</v>
      </c>
      <c r="C92" s="61">
        <v>18230407</v>
      </c>
      <c r="D92" s="61" t="s">
        <v>40</v>
      </c>
      <c r="E92" s="38" t="s">
        <v>921</v>
      </c>
      <c r="F92" s="39" t="s">
        <v>922</v>
      </c>
      <c r="G92" s="39">
        <v>15</v>
      </c>
      <c r="H92" s="39"/>
      <c r="I92" s="40" t="s">
        <v>266</v>
      </c>
      <c r="J92" s="41">
        <v>1</v>
      </c>
      <c r="K92" s="41">
        <v>3711</v>
      </c>
      <c r="L92" s="41"/>
      <c r="M92" s="42">
        <v>1500</v>
      </c>
      <c r="N92" s="42">
        <v>3190.37</v>
      </c>
      <c r="O92" s="43">
        <v>3711</v>
      </c>
      <c r="P92" s="44">
        <v>1500</v>
      </c>
      <c r="Q92" s="44">
        <v>3190.37</v>
      </c>
      <c r="R92" s="45">
        <v>0</v>
      </c>
      <c r="S92" s="46">
        <v>0</v>
      </c>
      <c r="T92" s="39">
        <f t="shared" si="38"/>
        <v>15</v>
      </c>
      <c r="U92" s="47">
        <f t="shared" si="39"/>
        <v>3.851796875351656E-3</v>
      </c>
      <c r="V92" s="48">
        <f t="shared" si="40"/>
        <v>1690.37</v>
      </c>
      <c r="W92" s="49">
        <f t="shared" si="41"/>
        <v>2.5678645835677707E-4</v>
      </c>
      <c r="X92" s="44">
        <f t="shared" si="42"/>
        <v>726.59005904680396</v>
      </c>
      <c r="Y92" s="44">
        <f t="shared" si="43"/>
        <v>1690.37</v>
      </c>
      <c r="Z92" s="44">
        <f t="shared" si="44"/>
        <v>2762.7961092706714</v>
      </c>
      <c r="AA92" s="50">
        <f t="shared" si="45"/>
        <v>3916.960059046804</v>
      </c>
      <c r="AB92" s="51">
        <f t="shared" si="46"/>
        <v>2582.7765815375069</v>
      </c>
      <c r="AC92" s="44">
        <f t="shared" si="47"/>
        <v>3661.7369907888228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1.3961506916040443</v>
      </c>
      <c r="AG92" s="44">
        <f t="shared" si="50"/>
        <v>5181.1152165426083</v>
      </c>
      <c r="AH92" s="52">
        <f>HLOOKUP(I92,ElecAvoidedCostsWOCC!$A$5:$Q$50,T92+1,FALSE)</f>
        <v>1.3961506916040443</v>
      </c>
      <c r="AI92" s="44">
        <f t="shared" si="51"/>
        <v>0</v>
      </c>
      <c r="AJ92" s="44">
        <f t="shared" si="52"/>
        <v>5181.1152165426083</v>
      </c>
      <c r="AK92" s="44">
        <f>HLOOKUP(I92,ElecAvoidedCostsWOCC!$A$5:$Q$50,G92+1,FALSE)*J92*L92</f>
        <v>0</v>
      </c>
      <c r="AL92" s="44">
        <f t="shared" si="53"/>
        <v>5181.1152165426083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5181.1152165426083</v>
      </c>
      <c r="AN92" s="48">
        <f t="shared" si="54"/>
        <v>5699.2267381968695</v>
      </c>
      <c r="AO92" s="47">
        <f t="shared" si="55"/>
        <v>2.0060253192548041</v>
      </c>
      <c r="AP92" s="47">
        <f t="shared" si="56"/>
        <v>1.5564271143813428</v>
      </c>
      <c r="AQ92">
        <v>2020</v>
      </c>
    </row>
    <row r="93" spans="2:43">
      <c r="B93" s="97" t="s">
        <v>39</v>
      </c>
      <c r="C93" s="61">
        <v>18230407</v>
      </c>
      <c r="D93" s="61" t="s">
        <v>40</v>
      </c>
      <c r="E93" s="38" t="s">
        <v>923</v>
      </c>
      <c r="F93" s="39" t="s">
        <v>924</v>
      </c>
      <c r="G93" s="39">
        <v>10</v>
      </c>
      <c r="H93" s="39"/>
      <c r="I93" s="40" t="s">
        <v>263</v>
      </c>
      <c r="J93" s="41">
        <v>611</v>
      </c>
      <c r="K93" s="41">
        <v>131</v>
      </c>
      <c r="L93" s="41"/>
      <c r="M93" s="42">
        <v>200</v>
      </c>
      <c r="N93" s="42">
        <v>250</v>
      </c>
      <c r="O93" s="43">
        <v>80041</v>
      </c>
      <c r="P93" s="44">
        <v>122200</v>
      </c>
      <c r="Q93" s="44">
        <v>152750</v>
      </c>
      <c r="R93" s="45">
        <v>0</v>
      </c>
      <c r="S93" s="46">
        <v>0</v>
      </c>
      <c r="T93" s="39">
        <f t="shared" si="38"/>
        <v>10</v>
      </c>
      <c r="U93" s="47">
        <f t="shared" si="39"/>
        <v>5.5385192436903243E-2</v>
      </c>
      <c r="V93" s="48">
        <f t="shared" si="40"/>
        <v>50</v>
      </c>
      <c r="W93" s="49">
        <f t="shared" si="41"/>
        <v>5.5385192436903244E-3</v>
      </c>
      <c r="X93" s="44">
        <f t="shared" si="42"/>
        <v>15671.515741354147</v>
      </c>
      <c r="Y93" s="44">
        <f t="shared" si="43"/>
        <v>30550</v>
      </c>
      <c r="Z93" s="44">
        <f t="shared" si="44"/>
        <v>59589.588623587661</v>
      </c>
      <c r="AA93" s="50">
        <f t="shared" si="45"/>
        <v>168421.51574135415</v>
      </c>
      <c r="AB93" s="51">
        <f t="shared" si="46"/>
        <v>55706.823056546375</v>
      </c>
      <c r="AC93" s="44">
        <f t="shared" si="47"/>
        <v>157447.42987880166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0.73512510012695687</v>
      </c>
      <c r="AG93" s="44">
        <f t="shared" si="50"/>
        <v>58840.14813926175</v>
      </c>
      <c r="AH93" s="52">
        <f>HLOOKUP(I93,ElecAvoidedCostsWOCC!$A$5:$Q$50,T93+1,FALSE)</f>
        <v>0.73512510012695687</v>
      </c>
      <c r="AI93" s="44">
        <f t="shared" si="51"/>
        <v>0</v>
      </c>
      <c r="AJ93" s="44">
        <f t="shared" si="52"/>
        <v>58840.14813926175</v>
      </c>
      <c r="AK93" s="44">
        <f>HLOOKUP(I93,ElecAvoidedCostsWOCC!$A$5:$Q$50,G93+1,FALSE)*J93*L93</f>
        <v>0</v>
      </c>
      <c r="AL93" s="44">
        <f t="shared" si="53"/>
        <v>58840.14813926175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58840.14813926175</v>
      </c>
      <c r="AN93" s="48">
        <f t="shared" si="54"/>
        <v>64724.16295318793</v>
      </c>
      <c r="AO93" s="47">
        <f t="shared" si="55"/>
        <v>1.0562467021236308</v>
      </c>
      <c r="AP93" s="47">
        <f t="shared" si="56"/>
        <v>0.41108427748239945</v>
      </c>
      <c r="AQ93">
        <v>2020</v>
      </c>
    </row>
    <row r="94" spans="2:43">
      <c r="B94" s="97" t="s">
        <v>39</v>
      </c>
      <c r="C94" s="61">
        <v>18230407</v>
      </c>
      <c r="D94" s="61" t="s">
        <v>40</v>
      </c>
      <c r="E94" s="38" t="s">
        <v>925</v>
      </c>
      <c r="F94" s="39" t="s">
        <v>926</v>
      </c>
      <c r="G94" s="39">
        <v>45</v>
      </c>
      <c r="H94" s="39"/>
      <c r="I94" s="40" t="s">
        <v>267</v>
      </c>
      <c r="J94" s="41">
        <v>40612</v>
      </c>
      <c r="K94" s="41">
        <v>12.3</v>
      </c>
      <c r="L94" s="41"/>
      <c r="M94" s="42">
        <v>5</v>
      </c>
      <c r="N94" s="42">
        <v>17.809999999999999</v>
      </c>
      <c r="O94" s="43">
        <v>499527.61</v>
      </c>
      <c r="P94" s="44">
        <v>252320</v>
      </c>
      <c r="Q94" s="44">
        <v>723299.71</v>
      </c>
      <c r="R94" s="45">
        <v>0</v>
      </c>
      <c r="S94" s="46">
        <v>0</v>
      </c>
      <c r="T94" s="39">
        <f t="shared" si="38"/>
        <v>45</v>
      </c>
      <c r="U94" s="47">
        <f t="shared" si="39"/>
        <v>1.5554396825787233</v>
      </c>
      <c r="V94" s="48">
        <f t="shared" si="40"/>
        <v>12.809999999999999</v>
      </c>
      <c r="W94" s="49">
        <f t="shared" si="41"/>
        <v>3.4565326279527187E-2</v>
      </c>
      <c r="X94" s="44">
        <f t="shared" si="42"/>
        <v>97804.310332904584</v>
      </c>
      <c r="Y94" s="44">
        <f t="shared" si="43"/>
        <v>470979.70999999996</v>
      </c>
      <c r="Z94" s="44">
        <f t="shared" si="44"/>
        <v>371892.46493701899</v>
      </c>
      <c r="AA94" s="50">
        <f t="shared" si="45"/>
        <v>821104.02033290453</v>
      </c>
      <c r="AB94" s="51">
        <f t="shared" si="46"/>
        <v>347660.52625691216</v>
      </c>
      <c r="AC94" s="44">
        <f t="shared" si="47"/>
        <v>767602.15044676489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3.1346149049506007</v>
      </c>
      <c r="AG94" s="44">
        <f t="shared" si="50"/>
        <v>1565826.6603942018</v>
      </c>
      <c r="AH94" s="52">
        <f>HLOOKUP(I94,ElecAvoidedCostsWOCC!$A$5:$Q$50,T94+1,FALSE)</f>
        <v>3.1346149049506007</v>
      </c>
      <c r="AI94" s="44">
        <f t="shared" si="51"/>
        <v>0</v>
      </c>
      <c r="AJ94" s="44">
        <f t="shared" si="52"/>
        <v>1565826.6603942018</v>
      </c>
      <c r="AK94" s="44">
        <f>HLOOKUP(I94,ElecAvoidedCostsWOCC!$A$5:$Q$50,G94+1,FALSE)*J94*L94</f>
        <v>0</v>
      </c>
      <c r="AL94" s="44">
        <f t="shared" si="53"/>
        <v>1565826.6603942018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1565826.6603942018</v>
      </c>
      <c r="AN94" s="48">
        <f t="shared" si="54"/>
        <v>1722409.326433622</v>
      </c>
      <c r="AO94" s="47">
        <f t="shared" si="55"/>
        <v>4.5038954443654502</v>
      </c>
      <c r="AP94" s="47">
        <f t="shared" si="56"/>
        <v>2.2438828831200301</v>
      </c>
      <c r="AQ94">
        <v>2020</v>
      </c>
    </row>
    <row r="95" spans="2:43">
      <c r="B95" s="97" t="s">
        <v>39</v>
      </c>
      <c r="C95" s="61">
        <v>18230407</v>
      </c>
      <c r="D95" s="61" t="s">
        <v>40</v>
      </c>
      <c r="E95" s="38" t="s">
        <v>928</v>
      </c>
      <c r="F95" s="39" t="s">
        <v>929</v>
      </c>
      <c r="G95" s="39">
        <v>45</v>
      </c>
      <c r="H95" s="39"/>
      <c r="I95" s="40" t="s">
        <v>267</v>
      </c>
      <c r="J95" s="41">
        <v>10852</v>
      </c>
      <c r="K95" s="41">
        <v>24.2</v>
      </c>
      <c r="L95" s="41"/>
      <c r="M95" s="42">
        <v>7</v>
      </c>
      <c r="N95" s="42">
        <v>17.809999999999999</v>
      </c>
      <c r="O95" s="43">
        <v>262618.40000000002</v>
      </c>
      <c r="P95" s="44">
        <v>84861</v>
      </c>
      <c r="Q95" s="44">
        <v>193274.13</v>
      </c>
      <c r="R95" s="45">
        <v>0</v>
      </c>
      <c r="S95" s="46">
        <v>0</v>
      </c>
      <c r="T95" s="39">
        <f t="shared" si="38"/>
        <v>45</v>
      </c>
      <c r="U95" s="47">
        <f t="shared" si="39"/>
        <v>0.81774675224725257</v>
      </c>
      <c r="V95" s="48">
        <f t="shared" si="40"/>
        <v>10.809999999999999</v>
      </c>
      <c r="W95" s="49">
        <f t="shared" si="41"/>
        <v>1.8172150049938947E-2</v>
      </c>
      <c r="X95" s="44">
        <f t="shared" si="42"/>
        <v>51419.002630767238</v>
      </c>
      <c r="Y95" s="44">
        <f t="shared" si="43"/>
        <v>108413.13</v>
      </c>
      <c r="Z95" s="44">
        <f t="shared" si="44"/>
        <v>195516.32814413609</v>
      </c>
      <c r="AA95" s="50">
        <f t="shared" si="45"/>
        <v>244693.13263076724</v>
      </c>
      <c r="AB95" s="51">
        <f t="shared" si="46"/>
        <v>182776.7861495149</v>
      </c>
      <c r="AC95" s="44">
        <f t="shared" si="47"/>
        <v>228749.30600239994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3.1346149049506007</v>
      </c>
      <c r="AG95" s="44">
        <f t="shared" si="50"/>
        <v>823207.55095427879</v>
      </c>
      <c r="AH95" s="52">
        <f>HLOOKUP(I95,ElecAvoidedCostsWOCC!$A$5:$Q$50,T95+1,FALSE)</f>
        <v>3.1346149049506007</v>
      </c>
      <c r="AI95" s="44">
        <f t="shared" si="51"/>
        <v>0</v>
      </c>
      <c r="AJ95" s="44">
        <f t="shared" si="52"/>
        <v>823207.55095427879</v>
      </c>
      <c r="AK95" s="44">
        <f>HLOOKUP(I95,ElecAvoidedCostsWOCC!$A$5:$Q$50,G95+1,FALSE)*J95*L95</f>
        <v>0</v>
      </c>
      <c r="AL95" s="44">
        <f t="shared" si="53"/>
        <v>823207.55095427879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823207.55095427879</v>
      </c>
      <c r="AN95" s="48">
        <f t="shared" si="54"/>
        <v>905528.30604970676</v>
      </c>
      <c r="AO95" s="47">
        <f t="shared" si="55"/>
        <v>4.5038955345285441</v>
      </c>
      <c r="AP95" s="47">
        <f t="shared" si="56"/>
        <v>3.9586056975412478</v>
      </c>
      <c r="AQ95">
        <v>2020</v>
      </c>
    </row>
    <row r="96" spans="2:43">
      <c r="B96" s="97" t="s">
        <v>39</v>
      </c>
      <c r="C96" s="61">
        <v>18230407</v>
      </c>
      <c r="D96" s="61" t="s">
        <v>40</v>
      </c>
      <c r="E96" s="38" t="s">
        <v>2081</v>
      </c>
      <c r="F96" s="39" t="s">
        <v>934</v>
      </c>
      <c r="G96" s="39">
        <v>45</v>
      </c>
      <c r="H96" s="39"/>
      <c r="I96" s="40" t="s">
        <v>267</v>
      </c>
      <c r="J96" s="41">
        <v>16146</v>
      </c>
      <c r="K96" s="41">
        <v>15.1</v>
      </c>
      <c r="L96" s="41"/>
      <c r="M96" s="42">
        <v>7</v>
      </c>
      <c r="N96" s="42">
        <v>19.87</v>
      </c>
      <c r="O96" s="43">
        <v>243804.6</v>
      </c>
      <c r="P96" s="44">
        <v>226044</v>
      </c>
      <c r="Q96" s="44">
        <v>320821.02</v>
      </c>
      <c r="R96" s="45">
        <v>0</v>
      </c>
      <c r="S96" s="46">
        <v>0</v>
      </c>
      <c r="T96" s="39">
        <f t="shared" si="38"/>
        <v>45</v>
      </c>
      <c r="U96" s="47">
        <f t="shared" si="39"/>
        <v>0.75916394217975791</v>
      </c>
      <c r="V96" s="48">
        <f t="shared" si="40"/>
        <v>12.870000000000001</v>
      </c>
      <c r="W96" s="49">
        <f t="shared" si="41"/>
        <v>1.6870309826216841E-2</v>
      </c>
      <c r="X96" s="44">
        <f t="shared" si="42"/>
        <v>47735.380951194405</v>
      </c>
      <c r="Y96" s="44">
        <f t="shared" si="43"/>
        <v>94777.020000000019</v>
      </c>
      <c r="Z96" s="44">
        <f t="shared" si="44"/>
        <v>181509.67402379209</v>
      </c>
      <c r="AA96" s="50">
        <f t="shared" si="45"/>
        <v>368556.4009511944</v>
      </c>
      <c r="AB96" s="51">
        <f t="shared" si="46"/>
        <v>169682.78398036092</v>
      </c>
      <c r="AC96" s="44">
        <f t="shared" si="47"/>
        <v>344541.83504832606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3.1346149049506007</v>
      </c>
      <c r="AG96" s="44">
        <f t="shared" si="50"/>
        <v>764233.53305551922</v>
      </c>
      <c r="AH96" s="52">
        <f>HLOOKUP(I96,ElecAvoidedCostsWOCC!$A$5:$Q$50,T96+1,FALSE)</f>
        <v>3.1346149049506007</v>
      </c>
      <c r="AI96" s="44">
        <f t="shared" si="51"/>
        <v>0</v>
      </c>
      <c r="AJ96" s="44">
        <f t="shared" si="52"/>
        <v>764233.53305551922</v>
      </c>
      <c r="AK96" s="44">
        <f>HLOOKUP(I96,ElecAvoidedCostsWOCC!$A$5:$Q$50,G96+1,FALSE)*J96*L96</f>
        <v>0</v>
      </c>
      <c r="AL96" s="44">
        <f t="shared" si="53"/>
        <v>764233.53305551922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764233.5330555191</v>
      </c>
      <c r="AN96" s="48">
        <f t="shared" si="54"/>
        <v>840656.88636107103</v>
      </c>
      <c r="AO96" s="47">
        <f t="shared" si="55"/>
        <v>4.5038955345285441</v>
      </c>
      <c r="AP96" s="47">
        <f t="shared" si="56"/>
        <v>2.4399268850563791</v>
      </c>
      <c r="AQ96">
        <v>2020</v>
      </c>
    </row>
    <row r="97" spans="2:43">
      <c r="B97" s="97" t="s">
        <v>39</v>
      </c>
      <c r="C97" s="61">
        <v>18230407</v>
      </c>
      <c r="D97" s="61" t="s">
        <v>40</v>
      </c>
      <c r="E97" s="38" t="s">
        <v>598</v>
      </c>
      <c r="F97" s="39" t="s">
        <v>599</v>
      </c>
      <c r="G97" s="39">
        <v>13</v>
      </c>
      <c r="H97" s="39"/>
      <c r="I97" s="40" t="s">
        <v>265</v>
      </c>
      <c r="J97" s="41">
        <v>1</v>
      </c>
      <c r="K97" s="41">
        <v>1225</v>
      </c>
      <c r="L97" s="41"/>
      <c r="M97" s="42">
        <v>500</v>
      </c>
      <c r="N97" s="42">
        <v>629.16999999999996</v>
      </c>
      <c r="O97" s="43">
        <v>1225</v>
      </c>
      <c r="P97" s="44">
        <v>500</v>
      </c>
      <c r="Q97" s="44">
        <v>629.16999999999996</v>
      </c>
      <c r="R97" s="45">
        <v>0</v>
      </c>
      <c r="S97" s="46">
        <v>0</v>
      </c>
      <c r="T97" s="39">
        <f t="shared" si="38"/>
        <v>13</v>
      </c>
      <c r="U97" s="47">
        <f t="shared" si="39"/>
        <v>1.1019467392432431E-3</v>
      </c>
      <c r="V97" s="48">
        <f t="shared" si="40"/>
        <v>129.16999999999996</v>
      </c>
      <c r="W97" s="49">
        <f t="shared" si="41"/>
        <v>8.4765133787941777E-5</v>
      </c>
      <c r="X97" s="44">
        <f t="shared" si="42"/>
        <v>239.84716311838721</v>
      </c>
      <c r="Y97" s="44">
        <f t="shared" si="43"/>
        <v>129.16999999999996</v>
      </c>
      <c r="Z97" s="44">
        <f t="shared" si="44"/>
        <v>911.99817673311043</v>
      </c>
      <c r="AA97" s="50">
        <f t="shared" si="45"/>
        <v>869.0171631183872</v>
      </c>
      <c r="AB97" s="51">
        <f t="shared" si="46"/>
        <v>852.57378398907201</v>
      </c>
      <c r="AC97" s="44">
        <f t="shared" si="47"/>
        <v>812.39334684340201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0.95298626106018935</v>
      </c>
      <c r="AG97" s="44">
        <f t="shared" si="50"/>
        <v>1167.4081697987319</v>
      </c>
      <c r="AH97" s="52">
        <f>HLOOKUP(I97,ElecAvoidedCostsWOCC!$A$5:$Q$50,T97+1,FALSE)</f>
        <v>0.95298626106018935</v>
      </c>
      <c r="AI97" s="44">
        <f t="shared" si="51"/>
        <v>0</v>
      </c>
      <c r="AJ97" s="44">
        <f t="shared" si="52"/>
        <v>1167.4081697987319</v>
      </c>
      <c r="AK97" s="44">
        <f>HLOOKUP(I97,ElecAvoidedCostsWOCC!$A$5:$Q$50,G97+1,FALSE)*J97*L97</f>
        <v>0</v>
      </c>
      <c r="AL97" s="44">
        <f t="shared" si="53"/>
        <v>1167.4081697987319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1167.4081697987319</v>
      </c>
      <c r="AN97" s="48">
        <f t="shared" si="54"/>
        <v>1284.1489867786051</v>
      </c>
      <c r="AO97" s="47">
        <f t="shared" si="55"/>
        <v>1.3692752366095453</v>
      </c>
      <c r="AP97" s="47">
        <f t="shared" si="56"/>
        <v>1.580698551715416</v>
      </c>
      <c r="AQ97">
        <v>2020</v>
      </c>
    </row>
    <row r="98" spans="2:43">
      <c r="B98" s="97" t="s">
        <v>39</v>
      </c>
      <c r="C98" s="61">
        <v>18230407</v>
      </c>
      <c r="D98" s="61" t="s">
        <v>40</v>
      </c>
      <c r="E98" s="38" t="s">
        <v>2082</v>
      </c>
      <c r="F98" s="39" t="s">
        <v>945</v>
      </c>
      <c r="G98" s="39">
        <v>10</v>
      </c>
      <c r="H98" s="39"/>
      <c r="I98" s="40" t="s">
        <v>265</v>
      </c>
      <c r="J98" s="41">
        <v>350</v>
      </c>
      <c r="K98" s="41">
        <v>50</v>
      </c>
      <c r="L98" s="41"/>
      <c r="M98" s="42">
        <v>33</v>
      </c>
      <c r="N98" s="42">
        <v>33</v>
      </c>
      <c r="O98" s="43">
        <v>17500</v>
      </c>
      <c r="P98" s="44">
        <v>11550</v>
      </c>
      <c r="Q98" s="44">
        <v>11550</v>
      </c>
      <c r="R98" s="45">
        <v>3.52</v>
      </c>
      <c r="S98" s="46">
        <v>0</v>
      </c>
      <c r="T98" s="39">
        <f t="shared" si="38"/>
        <v>10</v>
      </c>
      <c r="U98" s="47">
        <f t="shared" si="39"/>
        <v>1.2109304826848825E-2</v>
      </c>
      <c r="V98" s="48">
        <f t="shared" si="40"/>
        <v>0</v>
      </c>
      <c r="W98" s="49">
        <f t="shared" si="41"/>
        <v>1.2109304826848826E-3</v>
      </c>
      <c r="X98" s="44">
        <f t="shared" si="42"/>
        <v>3426.3880445483887</v>
      </c>
      <c r="Y98" s="44">
        <f t="shared" si="43"/>
        <v>0</v>
      </c>
      <c r="Z98" s="44">
        <f t="shared" si="44"/>
        <v>13028.545381901577</v>
      </c>
      <c r="AA98" s="50">
        <f t="shared" si="45"/>
        <v>14976.388044548388</v>
      </c>
      <c r="AB98" s="51">
        <f t="shared" si="46"/>
        <v>12179.62548555817</v>
      </c>
      <c r="AC98" s="44">
        <f t="shared" si="47"/>
        <v>14000.549728473765</v>
      </c>
      <c r="AD98" s="44">
        <f t="shared" si="48"/>
        <v>8665.0648251439707</v>
      </c>
      <c r="AE98" s="44">
        <f t="shared" si="49"/>
        <v>0</v>
      </c>
      <c r="AF98" s="52">
        <f>HLOOKUP(I98,ElecAvoidedCostsWOCC!$A$5:$Q$50,G98+1,FALSE)</f>
        <v>0.74487332198138856</v>
      </c>
      <c r="AG98" s="44">
        <f t="shared" si="50"/>
        <v>13035.283134674299</v>
      </c>
      <c r="AH98" s="52">
        <f>HLOOKUP(I98,ElecAvoidedCostsWOCC!$A$5:$Q$50,T98+1,FALSE)</f>
        <v>0.74487332198138856</v>
      </c>
      <c r="AI98" s="44">
        <f t="shared" si="51"/>
        <v>0</v>
      </c>
      <c r="AJ98" s="44">
        <f t="shared" si="52"/>
        <v>13035.283134674299</v>
      </c>
      <c r="AK98" s="44">
        <f>HLOOKUP(I98,ElecAvoidedCostsWOCC!$A$5:$Q$50,G98+1,FALSE)*J98*L98</f>
        <v>0</v>
      </c>
      <c r="AL98" s="44">
        <f t="shared" si="53"/>
        <v>13035.283134674299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13035.283134674301</v>
      </c>
      <c r="AN98" s="48">
        <f t="shared" si="54"/>
        <v>23003.876273285703</v>
      </c>
      <c r="AO98" s="47">
        <f t="shared" si="55"/>
        <v>1.0702531986825634</v>
      </c>
      <c r="AP98" s="47">
        <f t="shared" si="56"/>
        <v>1.6430695022282824</v>
      </c>
      <c r="AQ98">
        <v>2020</v>
      </c>
    </row>
    <row r="99" spans="2:43">
      <c r="B99" s="97" t="s">
        <v>39</v>
      </c>
      <c r="C99" s="61">
        <v>18230407</v>
      </c>
      <c r="D99" s="61" t="s">
        <v>40</v>
      </c>
      <c r="E99" s="38" t="s">
        <v>2085</v>
      </c>
      <c r="F99" s="39" t="s">
        <v>2086</v>
      </c>
      <c r="G99" s="39">
        <v>15</v>
      </c>
      <c r="H99" s="39"/>
      <c r="I99" s="40" t="s">
        <v>267</v>
      </c>
      <c r="J99" s="41">
        <v>1</v>
      </c>
      <c r="K99" s="41">
        <v>49</v>
      </c>
      <c r="L99" s="41"/>
      <c r="M99" s="42">
        <v>50</v>
      </c>
      <c r="N99" s="42">
        <v>100</v>
      </c>
      <c r="O99" s="43">
        <v>49</v>
      </c>
      <c r="P99" s="44">
        <v>50</v>
      </c>
      <c r="Q99" s="44">
        <v>100</v>
      </c>
      <c r="R99" s="45">
        <v>0</v>
      </c>
      <c r="S99" s="46">
        <v>0</v>
      </c>
      <c r="T99" s="39">
        <f t="shared" si="38"/>
        <v>15</v>
      </c>
      <c r="U99" s="47">
        <f t="shared" si="39"/>
        <v>5.0859080272765068E-5</v>
      </c>
      <c r="V99" s="48">
        <f t="shared" si="40"/>
        <v>50</v>
      </c>
      <c r="W99" s="49">
        <f t="shared" si="41"/>
        <v>3.3906053515176712E-6</v>
      </c>
      <c r="X99" s="44">
        <f t="shared" si="42"/>
        <v>9.5938865247354883</v>
      </c>
      <c r="Y99" s="44">
        <f t="shared" si="43"/>
        <v>50</v>
      </c>
      <c r="Z99" s="44">
        <f t="shared" si="44"/>
        <v>36.479927069324418</v>
      </c>
      <c r="AA99" s="50">
        <f t="shared" si="45"/>
        <v>109.5938865247355</v>
      </c>
      <c r="AB99" s="51">
        <f t="shared" si="46"/>
        <v>34.10295135956288</v>
      </c>
      <c r="AC99" s="44">
        <f t="shared" si="47"/>
        <v>102.45291813100448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1.3893373920773078</v>
      </c>
      <c r="AG99" s="44">
        <f t="shared" si="50"/>
        <v>68.077532211788082</v>
      </c>
      <c r="AH99" s="52">
        <f>HLOOKUP(I99,ElecAvoidedCostsWOCC!$A$5:$Q$50,T99+1,FALSE)</f>
        <v>1.3893373920773078</v>
      </c>
      <c r="AI99" s="44">
        <f t="shared" si="51"/>
        <v>0</v>
      </c>
      <c r="AJ99" s="44">
        <f t="shared" si="52"/>
        <v>68.077532211788082</v>
      </c>
      <c r="AK99" s="44">
        <f>HLOOKUP(I99,ElecAvoidedCostsWOCC!$A$5:$Q$50,G99+1,FALSE)*J99*L99</f>
        <v>0</v>
      </c>
      <c r="AL99" s="44">
        <f t="shared" si="53"/>
        <v>68.077532211788082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68.077532211788082</v>
      </c>
      <c r="AN99" s="48">
        <f t="shared" si="54"/>
        <v>74.885285432966896</v>
      </c>
      <c r="AO99" s="47">
        <f t="shared" si="55"/>
        <v>1.996235794785495</v>
      </c>
      <c r="AP99" s="47">
        <f t="shared" si="56"/>
        <v>0.73092388971500633</v>
      </c>
      <c r="AQ99">
        <v>2020</v>
      </c>
    </row>
    <row r="100" spans="2:43">
      <c r="B100" s="97" t="s">
        <v>39</v>
      </c>
      <c r="C100" s="61">
        <v>18230407</v>
      </c>
      <c r="D100" s="61" t="s">
        <v>40</v>
      </c>
      <c r="E100" s="38" t="s">
        <v>2087</v>
      </c>
      <c r="F100" s="39" t="s">
        <v>949</v>
      </c>
      <c r="G100" s="39">
        <v>12</v>
      </c>
      <c r="H100" s="39"/>
      <c r="I100" s="40" t="s">
        <v>248</v>
      </c>
      <c r="J100" s="41">
        <v>16</v>
      </c>
      <c r="K100" s="41">
        <v>99</v>
      </c>
      <c r="L100" s="41">
        <v>0</v>
      </c>
      <c r="M100" s="42">
        <v>70</v>
      </c>
      <c r="N100" s="42">
        <v>70</v>
      </c>
      <c r="O100" s="43">
        <v>1584</v>
      </c>
      <c r="P100" s="44">
        <v>1120</v>
      </c>
      <c r="Q100" s="44">
        <v>1120</v>
      </c>
      <c r="R100" s="45">
        <v>0</v>
      </c>
      <c r="S100" s="46">
        <v>0</v>
      </c>
      <c r="T100" s="39">
        <f t="shared" si="38"/>
        <v>12</v>
      </c>
      <c r="U100" s="47">
        <f t="shared" si="39"/>
        <v>1.3152780922785284E-3</v>
      </c>
      <c r="V100" s="48">
        <f t="shared" si="40"/>
        <v>0</v>
      </c>
      <c r="W100" s="49">
        <f t="shared" si="41"/>
        <v>1.0960650768987737E-4</v>
      </c>
      <c r="X100" s="44">
        <f t="shared" si="42"/>
        <v>310.13706643226561</v>
      </c>
      <c r="Y100" s="44">
        <f t="shared" si="43"/>
        <v>0</v>
      </c>
      <c r="Z100" s="44">
        <f t="shared" si="44"/>
        <v>1179.269479138977</v>
      </c>
      <c r="AA100" s="50">
        <f t="shared" si="45"/>
        <v>1430.1370664322656</v>
      </c>
      <c r="AB100" s="51">
        <f t="shared" si="46"/>
        <v>1102.4301010928082</v>
      </c>
      <c r="AC100" s="44">
        <f t="shared" si="47"/>
        <v>1336.9515438274893</v>
      </c>
      <c r="AD100" s="44">
        <f t="shared" si="48"/>
        <v>0</v>
      </c>
      <c r="AE100" s="44">
        <f t="shared" si="49"/>
        <v>0</v>
      </c>
      <c r="AF100" s="52">
        <f>HLOOKUP(I100,ElecAvoidedCostsWOCC!$A$5:$Q$50,G100+1,FALSE)</f>
        <v>0.91115730059915656</v>
      </c>
      <c r="AG100" s="44">
        <f t="shared" si="50"/>
        <v>1443.2731641490641</v>
      </c>
      <c r="AH100" s="52">
        <f>HLOOKUP(I100,ElecAvoidedCostsWOCC!$A$5:$Q$50,T100+1,FALSE)</f>
        <v>0.91115730059915656</v>
      </c>
      <c r="AI100" s="44">
        <f t="shared" si="51"/>
        <v>0</v>
      </c>
      <c r="AJ100" s="44">
        <f t="shared" si="52"/>
        <v>1443.2731641490641</v>
      </c>
      <c r="AK100" s="44">
        <f>HLOOKUP(I100,ElecAvoidedCostsWOCC!$A$5:$Q$50,G100+1,FALSE)*J100*L100</f>
        <v>0</v>
      </c>
      <c r="AL100" s="44">
        <f t="shared" si="53"/>
        <v>1443.2731641490641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1443.2731641490641</v>
      </c>
      <c r="AN100" s="48">
        <f t="shared" si="54"/>
        <v>1587.6004805639707</v>
      </c>
      <c r="AO100" s="47">
        <f t="shared" si="55"/>
        <v>1.3091743074852435</v>
      </c>
      <c r="AP100" s="47">
        <f t="shared" si="56"/>
        <v>1.1874779515336147</v>
      </c>
      <c r="AQ100">
        <v>2020</v>
      </c>
    </row>
    <row r="101" spans="2:43">
      <c r="B101" s="97" t="s">
        <v>39</v>
      </c>
      <c r="C101" s="61">
        <v>18230407</v>
      </c>
      <c r="D101" s="61" t="s">
        <v>40</v>
      </c>
      <c r="E101" s="38" t="s">
        <v>954</v>
      </c>
      <c r="F101" s="39" t="s">
        <v>955</v>
      </c>
      <c r="G101" s="39">
        <v>4</v>
      </c>
      <c r="H101" s="39"/>
      <c r="I101" s="40" t="s">
        <v>263</v>
      </c>
      <c r="J101" s="41">
        <v>3</v>
      </c>
      <c r="K101" s="41">
        <v>65</v>
      </c>
      <c r="L101" s="41"/>
      <c r="M101" s="42">
        <v>14</v>
      </c>
      <c r="N101" s="42">
        <v>14</v>
      </c>
      <c r="O101" s="43">
        <v>195</v>
      </c>
      <c r="P101" s="44">
        <v>42</v>
      </c>
      <c r="Q101" s="44">
        <v>42</v>
      </c>
      <c r="R101" s="45">
        <v>0</v>
      </c>
      <c r="S101" s="46">
        <v>0</v>
      </c>
      <c r="T101" s="39">
        <f t="shared" si="38"/>
        <v>4</v>
      </c>
      <c r="U101" s="47">
        <f t="shared" si="39"/>
        <v>5.3972901513954766E-5</v>
      </c>
      <c r="V101" s="48">
        <f t="shared" si="40"/>
        <v>0</v>
      </c>
      <c r="W101" s="49">
        <f t="shared" si="41"/>
        <v>1.3493225378488692E-5</v>
      </c>
      <c r="X101" s="44">
        <f t="shared" si="42"/>
        <v>38.179752496396333</v>
      </c>
      <c r="Y101" s="44">
        <f t="shared" si="43"/>
        <v>0</v>
      </c>
      <c r="Z101" s="44">
        <f t="shared" si="44"/>
        <v>145.17521996976043</v>
      </c>
      <c r="AA101" s="50">
        <f t="shared" si="45"/>
        <v>80.179752496396333</v>
      </c>
      <c r="AB101" s="51">
        <f t="shared" si="46"/>
        <v>135.71582683907678</v>
      </c>
      <c r="AC101" s="44">
        <f t="shared" si="47"/>
        <v>74.955363649991895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0.29675644721194466</v>
      </c>
      <c r="AG101" s="44">
        <f t="shared" si="50"/>
        <v>57.867507206329215</v>
      </c>
      <c r="AH101" s="52">
        <f>HLOOKUP(I101,ElecAvoidedCostsWOCC!$A$5:$Q$50,T101+1,FALSE)</f>
        <v>0.29675644721194466</v>
      </c>
      <c r="AI101" s="44">
        <f t="shared" si="51"/>
        <v>0</v>
      </c>
      <c r="AJ101" s="44">
        <f t="shared" si="52"/>
        <v>57.867507206329215</v>
      </c>
      <c r="AK101" s="44">
        <f>HLOOKUP(I101,ElecAvoidedCostsWOCC!$A$5:$Q$50,G101+1,FALSE)*J101*L101</f>
        <v>0</v>
      </c>
      <c r="AL101" s="44">
        <f t="shared" si="53"/>
        <v>57.867507206329215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57.867507206329208</v>
      </c>
      <c r="AN101" s="48">
        <f t="shared" si="54"/>
        <v>63.654257926962131</v>
      </c>
      <c r="AO101" s="47">
        <f t="shared" si="55"/>
        <v>0.42638731645458583</v>
      </c>
      <c r="AP101" s="47">
        <f t="shared" si="56"/>
        <v>0.84922885871382225</v>
      </c>
      <c r="AQ101">
        <v>2020</v>
      </c>
    </row>
    <row r="102" spans="2:43">
      <c r="B102" s="97" t="s">
        <v>39</v>
      </c>
      <c r="C102" s="61">
        <v>18230407</v>
      </c>
      <c r="D102" s="61" t="s">
        <v>40</v>
      </c>
      <c r="E102" s="38" t="s">
        <v>956</v>
      </c>
      <c r="F102" s="39" t="s">
        <v>957</v>
      </c>
      <c r="G102" s="39">
        <v>5</v>
      </c>
      <c r="H102" s="39"/>
      <c r="I102" s="40" t="s">
        <v>263</v>
      </c>
      <c r="J102" s="41">
        <v>123</v>
      </c>
      <c r="K102" s="41">
        <v>45</v>
      </c>
      <c r="L102" s="41"/>
      <c r="M102" s="42">
        <v>14</v>
      </c>
      <c r="N102" s="42">
        <v>14</v>
      </c>
      <c r="O102" s="43">
        <v>5535</v>
      </c>
      <c r="P102" s="44">
        <v>1722</v>
      </c>
      <c r="Q102" s="44">
        <v>1722</v>
      </c>
      <c r="R102" s="45">
        <v>0</v>
      </c>
      <c r="S102" s="46">
        <v>0</v>
      </c>
      <c r="T102" s="39">
        <f t="shared" si="38"/>
        <v>5</v>
      </c>
      <c r="U102" s="47">
        <f t="shared" si="39"/>
        <v>1.9150000633316644E-3</v>
      </c>
      <c r="V102" s="48">
        <f t="shared" si="40"/>
        <v>0</v>
      </c>
      <c r="W102" s="49">
        <f t="shared" si="41"/>
        <v>3.8300001266633287E-4</v>
      </c>
      <c r="X102" s="44">
        <f t="shared" si="42"/>
        <v>1083.717590090019</v>
      </c>
      <c r="Y102" s="44">
        <f t="shared" si="43"/>
        <v>0</v>
      </c>
      <c r="Z102" s="44">
        <f t="shared" si="44"/>
        <v>4120.7427822185846</v>
      </c>
      <c r="AA102" s="50">
        <f t="shared" si="45"/>
        <v>2805.7175900900193</v>
      </c>
      <c r="AB102" s="51">
        <f t="shared" si="46"/>
        <v>3852.2415464322557</v>
      </c>
      <c r="AC102" s="44">
        <f t="shared" si="47"/>
        <v>2622.9013649528083</v>
      </c>
      <c r="AD102" s="44">
        <f t="shared" si="48"/>
        <v>0</v>
      </c>
      <c r="AE102" s="44">
        <f t="shared" si="49"/>
        <v>0</v>
      </c>
      <c r="AF102" s="52">
        <f>HLOOKUP(I102,ElecAvoidedCostsWOCC!$A$5:$Q$50,G102+1,FALSE)</f>
        <v>0.37292142124911032</v>
      </c>
      <c r="AG102" s="44">
        <f t="shared" si="50"/>
        <v>2064.1200666138257</v>
      </c>
      <c r="AH102" s="52">
        <f>HLOOKUP(I102,ElecAvoidedCostsWOCC!$A$5:$Q$50,T102+1,FALSE)</f>
        <v>0.37292142124911032</v>
      </c>
      <c r="AI102" s="44">
        <f t="shared" si="51"/>
        <v>0</v>
      </c>
      <c r="AJ102" s="44">
        <f t="shared" si="52"/>
        <v>2064.1200666138257</v>
      </c>
      <c r="AK102" s="44">
        <f>HLOOKUP(I102,ElecAvoidedCostsWOCC!$A$5:$Q$50,G102+1,FALSE)*J102*L102</f>
        <v>0</v>
      </c>
      <c r="AL102" s="44">
        <f t="shared" si="53"/>
        <v>2064.1200666138257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2064.1200666138257</v>
      </c>
      <c r="AN102" s="48">
        <f t="shared" si="54"/>
        <v>2270.5320732752084</v>
      </c>
      <c r="AO102" s="47">
        <f t="shared" si="55"/>
        <v>0.53582311538213523</v>
      </c>
      <c r="AP102" s="47">
        <f t="shared" si="56"/>
        <v>0.86565667455667372</v>
      </c>
      <c r="AQ102">
        <v>2020</v>
      </c>
    </row>
    <row r="103" spans="2:43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3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3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3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</sheetData>
  <conditionalFormatting sqref="J5:L133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133 R5:S133">
    <cfRule type="expression" dxfId="257" priority="2">
      <formula>ISTEXT(M5)</formula>
    </cfRule>
  </conditionalFormatting>
  <conditionalFormatting sqref="M5:N133 R5:S133">
    <cfRule type="notContainsBlanks" dxfId="256" priority="3">
      <formula>LEN(TRIM(M5))&gt;0</formula>
    </cfRule>
  </conditionalFormatting>
  <conditionalFormatting sqref="R5:S133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1227245</v>
      </c>
      <c r="B6" s="97" t="s">
        <v>59</v>
      </c>
      <c r="C6" s="61">
        <v>18230486</v>
      </c>
      <c r="D6" s="61" t="s">
        <v>60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0.15120240363717835</v>
      </c>
      <c r="V6" s="48">
        <f t="shared" si="2"/>
        <v>0</v>
      </c>
      <c r="W6" s="49">
        <f t="shared" si="3"/>
        <v>1.0080160242478558E-2</v>
      </c>
      <c r="X6" s="44">
        <f t="shared" si="4"/>
        <v>8766.1738566753756</v>
      </c>
      <c r="Y6" s="44">
        <f t="shared" si="5"/>
        <v>0</v>
      </c>
      <c r="Z6" s="44">
        <f t="shared" si="6"/>
        <v>21137.000113455972</v>
      </c>
      <c r="AA6" s="50">
        <f t="shared" si="7"/>
        <v>29001.173856675377</v>
      </c>
      <c r="AB6" s="51">
        <f t="shared" si="8"/>
        <v>19759.74582916329</v>
      </c>
      <c r="AC6" s="44">
        <f t="shared" si="8"/>
        <v>27111.502156375969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2.4234886523486932</v>
      </c>
      <c r="AP6" s="47">
        <f t="shared" ref="AP6:AP24" si="16">AN6/AC6</f>
        <v>1.9429492126798529</v>
      </c>
      <c r="AQ6">
        <v>2021</v>
      </c>
    </row>
    <row r="7" spans="1:43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1.3034251743117993</v>
      </c>
      <c r="V7" s="48">
        <f t="shared" si="2"/>
        <v>0</v>
      </c>
      <c r="W7" s="49">
        <f t="shared" si="3"/>
        <v>8.6895011620786625E-2</v>
      </c>
      <c r="X7" s="44">
        <f t="shared" si="4"/>
        <v>75567.923606573866</v>
      </c>
      <c r="Y7" s="44">
        <f t="shared" si="5"/>
        <v>0</v>
      </c>
      <c r="Z7" s="44">
        <f t="shared" si="6"/>
        <v>182209.39214312614</v>
      </c>
      <c r="AA7" s="50">
        <f t="shared" si="7"/>
        <v>185884.92360657387</v>
      </c>
      <c r="AB7" s="51">
        <f t="shared" si="8"/>
        <v>170336.90954765459</v>
      </c>
      <c r="AC7" s="44">
        <f t="shared" si="8"/>
        <v>173772.94905728134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2.4234886523486932</v>
      </c>
      <c r="AP7" s="47">
        <f t="shared" si="16"/>
        <v>2.6131254983288112</v>
      </c>
      <c r="AQ7">
        <v>2021</v>
      </c>
    </row>
    <row r="8" spans="1:43" ht="13.5" customHeight="1">
      <c r="A8" s="53">
        <f>SUMIF('Program Costs'!D:D,C2,'Program Costs'!O:O)</f>
        <v>869646.28</v>
      </c>
      <c r="B8" s="97" t="s">
        <v>59</v>
      </c>
      <c r="C8" s="61">
        <v>18230486</v>
      </c>
      <c r="D8" s="61" t="s">
        <v>60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0.86217222686167683</v>
      </c>
      <c r="V8" s="48">
        <f t="shared" si="2"/>
        <v>0</v>
      </c>
      <c r="W8" s="49">
        <f t="shared" si="3"/>
        <v>5.7478148457445123E-2</v>
      </c>
      <c r="X8" s="44">
        <f t="shared" si="4"/>
        <v>49985.65798730489</v>
      </c>
      <c r="Y8" s="44">
        <f t="shared" si="5"/>
        <v>0</v>
      </c>
      <c r="Z8" s="44">
        <f t="shared" si="6"/>
        <v>120525.42829096213</v>
      </c>
      <c r="AA8" s="50">
        <f t="shared" si="7"/>
        <v>119055.65798730489</v>
      </c>
      <c r="AB8" s="51">
        <f t="shared" si="8"/>
        <v>112672.17751796028</v>
      </c>
      <c r="AC8" s="44">
        <f t="shared" si="8"/>
        <v>111298.17517743749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2.4234886523486932</v>
      </c>
      <c r="AP8" s="47">
        <f t="shared" si="16"/>
        <v>2.6987479133090435</v>
      </c>
      <c r="AQ8">
        <v>2021</v>
      </c>
    </row>
    <row r="9" spans="1:43" ht="13.5" customHeight="1">
      <c r="A9" s="36" t="s">
        <v>250</v>
      </c>
      <c r="B9" s="97" t="s">
        <v>59</v>
      </c>
      <c r="C9" s="61">
        <v>18230486</v>
      </c>
      <c r="D9" s="61" t="s">
        <v>60</v>
      </c>
      <c r="E9" s="38" t="s">
        <v>974</v>
      </c>
      <c r="F9" s="39" t="s">
        <v>975</v>
      </c>
      <c r="G9" s="39">
        <v>15</v>
      </c>
      <c r="H9" s="39"/>
      <c r="I9" s="40" t="s">
        <v>256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0.35127906659276281</v>
      </c>
      <c r="V9" s="48">
        <f t="shared" si="2"/>
        <v>0</v>
      </c>
      <c r="W9" s="49">
        <f t="shared" si="3"/>
        <v>2.3418604439517522E-2</v>
      </c>
      <c r="X9" s="44">
        <f t="shared" si="4"/>
        <v>20365.9022336179</v>
      </c>
      <c r="Y9" s="44">
        <f t="shared" si="5"/>
        <v>0</v>
      </c>
      <c r="Z9" s="44">
        <f t="shared" si="6"/>
        <v>49106.267438993586</v>
      </c>
      <c r="AA9" s="50">
        <f t="shared" si="7"/>
        <v>47843.902233617904</v>
      </c>
      <c r="AB9" s="51">
        <f t="shared" si="8"/>
        <v>45906.578890337085</v>
      </c>
      <c r="AC9" s="44">
        <f t="shared" si="8"/>
        <v>44726.467452199591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2.4234886523486932</v>
      </c>
      <c r="AP9" s="47">
        <f t="shared" si="16"/>
        <v>2.7361758547231685</v>
      </c>
      <c r="AQ9">
        <v>2021</v>
      </c>
    </row>
    <row r="10" spans="1:43" ht="13.5" customHeight="1">
      <c r="A10" s="54">
        <f>SUM(O5:O999)</f>
        <v>4615006</v>
      </c>
      <c r="B10" s="97" t="s">
        <v>59</v>
      </c>
      <c r="C10" s="61">
        <v>18230486</v>
      </c>
      <c r="D10" s="61" t="s">
        <v>60</v>
      </c>
      <c r="E10" s="38" t="s">
        <v>976</v>
      </c>
      <c r="F10" s="39" t="s">
        <v>977</v>
      </c>
      <c r="G10" s="39">
        <v>15</v>
      </c>
      <c r="H10" s="39"/>
      <c r="I10" s="40" t="s">
        <v>257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7.6803800471765368E-2</v>
      </c>
      <c r="V10" s="48">
        <f t="shared" si="2"/>
        <v>0</v>
      </c>
      <c r="W10" s="49">
        <f t="shared" si="3"/>
        <v>5.1202533647843581E-3</v>
      </c>
      <c r="X10" s="44">
        <f t="shared" si="4"/>
        <v>4452.8092913421997</v>
      </c>
      <c r="Y10" s="44">
        <f t="shared" si="5"/>
        <v>0</v>
      </c>
      <c r="Z10" s="44">
        <f t="shared" si="6"/>
        <v>10736.614632006978</v>
      </c>
      <c r="AA10" s="50">
        <f t="shared" si="7"/>
        <v>9769.8092913422006</v>
      </c>
      <c r="AB10" s="51">
        <f t="shared" si="8"/>
        <v>10037.033403764586</v>
      </c>
      <c r="AC10" s="44">
        <f t="shared" si="8"/>
        <v>9133.2236060037394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2.482802675834475</v>
      </c>
      <c r="AP10" s="47">
        <f t="shared" si="16"/>
        <v>3.0013467220399703</v>
      </c>
      <c r="AQ10">
        <v>2021</v>
      </c>
    </row>
    <row r="11" spans="1:43" ht="13.5" customHeight="1">
      <c r="A11" s="36" t="s">
        <v>251</v>
      </c>
      <c r="B11" s="97" t="s">
        <v>59</v>
      </c>
      <c r="C11" s="100">
        <v>18230486</v>
      </c>
      <c r="D11" s="100" t="s">
        <v>60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15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1.3893373920773078</v>
      </c>
      <c r="AG11" s="44">
        <f t="shared" si="10"/>
        <v>0</v>
      </c>
      <c r="AH11" s="52">
        <f>HLOOKUP(I11,ElecAvoidedCostsWOCC!$A$5:$Q$50,T11+1,FALSE)</f>
        <v>1.3893373920773078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2020</v>
      </c>
    </row>
    <row r="12" spans="1:43" ht="13.5" customHeight="1">
      <c r="A12" s="55">
        <f>SUM(P5:P1000)</f>
        <v>1217245</v>
      </c>
      <c r="B12" s="97" t="s">
        <v>59</v>
      </c>
      <c r="C12" s="100">
        <v>18230486</v>
      </c>
      <c r="D12" s="100" t="s">
        <v>60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17146</v>
      </c>
      <c r="L12" s="41"/>
      <c r="M12" s="42">
        <v>5636</v>
      </c>
      <c r="N12" s="42">
        <v>5636</v>
      </c>
      <c r="O12" s="43">
        <v>17146</v>
      </c>
      <c r="P12" s="44">
        <v>5636</v>
      </c>
      <c r="Q12" s="44">
        <v>5636</v>
      </c>
      <c r="R12" s="45"/>
      <c r="S12" s="46"/>
      <c r="T12" s="39">
        <f t="shared" si="0"/>
        <v>15</v>
      </c>
      <c r="U12" s="47">
        <f t="shared" si="1"/>
        <v>5.5729071641510322E-2</v>
      </c>
      <c r="V12" s="48">
        <f t="shared" si="2"/>
        <v>0</v>
      </c>
      <c r="W12" s="49">
        <f t="shared" si="3"/>
        <v>3.7152714427673549E-3</v>
      </c>
      <c r="X12" s="44">
        <f t="shared" si="4"/>
        <v>3230.9719893928632</v>
      </c>
      <c r="Y12" s="44">
        <f t="shared" si="5"/>
        <v>0</v>
      </c>
      <c r="Z12" s="44">
        <f t="shared" si="6"/>
        <v>7790.5202911718852</v>
      </c>
      <c r="AA12" s="50">
        <f t="shared" si="7"/>
        <v>8866.9719893928632</v>
      </c>
      <c r="AB12" s="51">
        <f t="shared" si="8"/>
        <v>7282.9020203532618</v>
      </c>
      <c r="AC12" s="44">
        <f t="shared" si="8"/>
        <v>8289.2137883452015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1.3893373920773078</v>
      </c>
      <c r="AG12" s="44">
        <f t="shared" si="10"/>
        <v>23821.578924557518</v>
      </c>
      <c r="AH12" s="52">
        <f>HLOOKUP(I12,ElecAvoidedCostsWOCC!$A$5:$Q$50,T12+1,FALSE)</f>
        <v>1.3893373920773078</v>
      </c>
      <c r="AI12" s="44">
        <f t="shared" si="11"/>
        <v>0</v>
      </c>
      <c r="AJ12" s="44">
        <f t="shared" si="12"/>
        <v>23821.578924557518</v>
      </c>
      <c r="AK12" s="44">
        <f>HLOOKUP(I12,ElecAvoidedCostsWOCC!$A$5:$Q$50,G12+1,FALSE)*J12*L12</f>
        <v>0</v>
      </c>
      <c r="AL12" s="44">
        <f t="shared" si="13"/>
        <v>23821.578924557518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23821.578924557518</v>
      </c>
      <c r="AN12" s="48">
        <f t="shared" si="14"/>
        <v>26203.736817013272</v>
      </c>
      <c r="AO12" s="47">
        <f t="shared" si="15"/>
        <v>3.2708910346430882</v>
      </c>
      <c r="AP12" s="47">
        <f t="shared" si="16"/>
        <v>3.1611848223599015</v>
      </c>
      <c r="AQ12">
        <v>2020</v>
      </c>
    </row>
    <row r="13" spans="1:43" ht="13.5" customHeight="1">
      <c r="A13" s="56" t="s">
        <v>252</v>
      </c>
      <c r="B13" s="97" t="s">
        <v>59</v>
      </c>
      <c r="C13" s="100">
        <v>18230486</v>
      </c>
      <c r="D13" s="100" t="s">
        <v>60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338569</v>
      </c>
      <c r="L13" s="41"/>
      <c r="M13" s="42">
        <v>73160</v>
      </c>
      <c r="N13" s="42">
        <v>73160</v>
      </c>
      <c r="O13" s="43">
        <v>338569</v>
      </c>
      <c r="P13" s="44">
        <v>73160</v>
      </c>
      <c r="Q13" s="44">
        <v>73160</v>
      </c>
      <c r="R13" s="45"/>
      <c r="S13" s="46"/>
      <c r="T13" s="39">
        <f t="shared" si="0"/>
        <v>15</v>
      </c>
      <c r="U13" s="47">
        <f t="shared" si="1"/>
        <v>1.1004395227221806</v>
      </c>
      <c r="V13" s="48">
        <f t="shared" si="2"/>
        <v>0</v>
      </c>
      <c r="W13" s="49">
        <f t="shared" si="3"/>
        <v>7.3362634848145369E-2</v>
      </c>
      <c r="X13" s="44">
        <f t="shared" si="4"/>
        <v>63799.542486687984</v>
      </c>
      <c r="Y13" s="44">
        <f t="shared" si="5"/>
        <v>0</v>
      </c>
      <c r="Z13" s="44">
        <f t="shared" si="6"/>
        <v>153833.46929090016</v>
      </c>
      <c r="AA13" s="50">
        <f t="shared" si="7"/>
        <v>136959.54248668798</v>
      </c>
      <c r="AB13" s="51">
        <f t="shared" si="8"/>
        <v>143809.91800588963</v>
      </c>
      <c r="AC13" s="44">
        <f t="shared" si="8"/>
        <v>128035.47021285217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1.3893373920773078</v>
      </c>
      <c r="AG13" s="44">
        <f t="shared" si="10"/>
        <v>470386.57149822201</v>
      </c>
      <c r="AH13" s="52">
        <f>HLOOKUP(I13,ElecAvoidedCostsWOCC!$A$5:$Q$50,T13+1,FALSE)</f>
        <v>1.3893373920773078</v>
      </c>
      <c r="AI13" s="44">
        <f t="shared" si="11"/>
        <v>0</v>
      </c>
      <c r="AJ13" s="44">
        <f t="shared" si="12"/>
        <v>470386.57149822201</v>
      </c>
      <c r="AK13" s="44">
        <f>HLOOKUP(I13,ElecAvoidedCostsWOCC!$A$5:$Q$50,G13+1,FALSE)*J13*L13</f>
        <v>0</v>
      </c>
      <c r="AL13" s="44">
        <f t="shared" si="13"/>
        <v>470386.57149822201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470386.57149822201</v>
      </c>
      <c r="AN13" s="48">
        <f t="shared" si="14"/>
        <v>517425.22864804423</v>
      </c>
      <c r="AO13" s="47">
        <f t="shared" si="15"/>
        <v>3.2708910346430882</v>
      </c>
      <c r="AP13" s="47">
        <f t="shared" si="16"/>
        <v>4.0412647197518954</v>
      </c>
      <c r="AQ13">
        <v>2020</v>
      </c>
    </row>
    <row r="14" spans="1:43" ht="13.5" customHeight="1">
      <c r="A14" s="55">
        <f>SUM(Y5:Y1000)</f>
        <v>0</v>
      </c>
      <c r="B14" s="97" t="s">
        <v>59</v>
      </c>
      <c r="C14" s="100">
        <v>18230486</v>
      </c>
      <c r="D14" s="100" t="s">
        <v>60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117987</v>
      </c>
      <c r="L14" s="41"/>
      <c r="M14" s="42">
        <v>26892</v>
      </c>
      <c r="N14" s="42">
        <v>26892</v>
      </c>
      <c r="O14" s="43">
        <v>117987</v>
      </c>
      <c r="P14" s="44">
        <v>26892</v>
      </c>
      <c r="Q14" s="44">
        <v>26892</v>
      </c>
      <c r="R14" s="45"/>
      <c r="S14" s="46"/>
      <c r="T14" s="39">
        <f t="shared" si="0"/>
        <v>15</v>
      </c>
      <c r="U14" s="47">
        <f t="shared" si="1"/>
        <v>0.38348920889810328</v>
      </c>
      <c r="V14" s="48">
        <f t="shared" si="2"/>
        <v>0</v>
      </c>
      <c r="W14" s="49">
        <f t="shared" si="3"/>
        <v>2.5565947259873552E-2</v>
      </c>
      <c r="X14" s="44">
        <f t="shared" si="4"/>
        <v>22233.330929225227</v>
      </c>
      <c r="Y14" s="44">
        <f t="shared" si="5"/>
        <v>0</v>
      </c>
      <c r="Z14" s="44">
        <f t="shared" si="6"/>
        <v>53609.011874168747</v>
      </c>
      <c r="AA14" s="50">
        <f t="shared" si="7"/>
        <v>49125.330929225223</v>
      </c>
      <c r="AB14" s="51">
        <f t="shared" si="8"/>
        <v>50115.931451966666</v>
      </c>
      <c r="AC14" s="44">
        <f t="shared" si="8"/>
        <v>45924.400232986089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1.3893373920773078</v>
      </c>
      <c r="AG14" s="44">
        <f t="shared" si="10"/>
        <v>163923.75087902532</v>
      </c>
      <c r="AH14" s="52">
        <f>HLOOKUP(I14,ElecAvoidedCostsWOCC!$A$5:$Q$50,T14+1,FALSE)</f>
        <v>1.3893373920773078</v>
      </c>
      <c r="AI14" s="44">
        <f t="shared" si="11"/>
        <v>0</v>
      </c>
      <c r="AJ14" s="44">
        <f t="shared" si="12"/>
        <v>163923.75087902532</v>
      </c>
      <c r="AK14" s="44">
        <f>HLOOKUP(I14,ElecAvoidedCostsWOCC!$A$5:$Q$50,G14+1,FALSE)*J14*L14</f>
        <v>0</v>
      </c>
      <c r="AL14" s="44">
        <f t="shared" si="13"/>
        <v>163923.75087902532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163923.75087902532</v>
      </c>
      <c r="AN14" s="48">
        <f t="shared" si="14"/>
        <v>180316.12596692788</v>
      </c>
      <c r="AO14" s="47">
        <f t="shared" si="15"/>
        <v>3.2708910346430877</v>
      </c>
      <c r="AP14" s="47">
        <f t="shared" si="16"/>
        <v>3.92636866354571</v>
      </c>
      <c r="AQ14">
        <v>2020</v>
      </c>
    </row>
    <row r="15" spans="1:43" ht="13.5" customHeight="1">
      <c r="A15" s="57" t="s">
        <v>253</v>
      </c>
      <c r="B15" s="97" t="s">
        <v>59</v>
      </c>
      <c r="C15" s="100">
        <v>18230486</v>
      </c>
      <c r="D15" s="100" t="s">
        <v>60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407074</v>
      </c>
      <c r="L15" s="41"/>
      <c r="M15" s="42">
        <v>114370</v>
      </c>
      <c r="N15" s="42">
        <v>114370</v>
      </c>
      <c r="O15" s="43">
        <v>407074</v>
      </c>
      <c r="P15" s="44">
        <v>114370</v>
      </c>
      <c r="Q15" s="44">
        <v>114370</v>
      </c>
      <c r="R15" s="45"/>
      <c r="S15" s="46"/>
      <c r="T15" s="39">
        <f t="shared" si="0"/>
        <v>15</v>
      </c>
      <c r="U15" s="47">
        <f t="shared" si="1"/>
        <v>1.3230990382244356</v>
      </c>
      <c r="V15" s="48">
        <f t="shared" si="2"/>
        <v>0</v>
      </c>
      <c r="W15" s="49">
        <f t="shared" si="3"/>
        <v>8.8206602548295709E-2</v>
      </c>
      <c r="X15" s="44">
        <f t="shared" si="4"/>
        <v>76708.543777563886</v>
      </c>
      <c r="Y15" s="44">
        <f t="shared" si="5"/>
        <v>0</v>
      </c>
      <c r="Z15" s="44">
        <f t="shared" si="6"/>
        <v>184959.65572194706</v>
      </c>
      <c r="AA15" s="50">
        <f t="shared" si="7"/>
        <v>191078.5437775639</v>
      </c>
      <c r="AB15" s="51">
        <f t="shared" si="8"/>
        <v>172907.97019907174</v>
      </c>
      <c r="AC15" s="44">
        <f t="shared" si="8"/>
        <v>178628.16095873973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565563.12954247801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565563.12954247801</v>
      </c>
      <c r="AK15" s="44">
        <f>HLOOKUP(I15,ElecAvoidedCostsWOCC!$A$5:$Q$50,G15+1,FALSE)*J15*L15</f>
        <v>0</v>
      </c>
      <c r="AL15" s="44">
        <f t="shared" si="13"/>
        <v>565563.12954247801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565563.12954247801</v>
      </c>
      <c r="AN15" s="48">
        <f t="shared" si="14"/>
        <v>622119.44249672582</v>
      </c>
      <c r="AO15" s="47">
        <f t="shared" si="15"/>
        <v>3.2708910346430882</v>
      </c>
      <c r="AP15" s="47">
        <f t="shared" si="16"/>
        <v>3.4827623995996104</v>
      </c>
      <c r="AQ15">
        <v>2020</v>
      </c>
    </row>
    <row r="16" spans="1:43" ht="13.5" customHeight="1">
      <c r="A16" s="54">
        <f>SUM(U5:U999)</f>
        <v>15.000000000000002</v>
      </c>
      <c r="B16" s="97" t="s">
        <v>59</v>
      </c>
      <c r="C16" s="100">
        <v>18230486</v>
      </c>
      <c r="D16" s="100" t="s">
        <v>60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43548</v>
      </c>
      <c r="L16" s="41"/>
      <c r="M16" s="42">
        <v>13064</v>
      </c>
      <c r="N16" s="42">
        <v>13064</v>
      </c>
      <c r="O16" s="43">
        <v>43548</v>
      </c>
      <c r="P16" s="44">
        <v>13064</v>
      </c>
      <c r="Q16" s="44">
        <v>13064</v>
      </c>
      <c r="R16" s="45"/>
      <c r="S16" s="46"/>
      <c r="T16" s="39">
        <f t="shared" si="0"/>
        <v>15</v>
      </c>
      <c r="U16" s="47">
        <f t="shared" si="1"/>
        <v>0.14154261121220643</v>
      </c>
      <c r="V16" s="48">
        <f t="shared" si="2"/>
        <v>0</v>
      </c>
      <c r="W16" s="49">
        <f t="shared" si="3"/>
        <v>9.4361740808137622E-3</v>
      </c>
      <c r="X16" s="44">
        <f t="shared" si="4"/>
        <v>8206.1336868121089</v>
      </c>
      <c r="Y16" s="44">
        <f t="shared" si="5"/>
        <v>0</v>
      </c>
      <c r="Z16" s="44">
        <f t="shared" si="6"/>
        <v>19786.631146620395</v>
      </c>
      <c r="AA16" s="50">
        <f t="shared" si="7"/>
        <v>21270.133686812107</v>
      </c>
      <c r="AB16" s="51">
        <f t="shared" si="8"/>
        <v>18497.364818753289</v>
      </c>
      <c r="AC16" s="44">
        <f t="shared" si="8"/>
        <v>19884.204624485468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1.3893373920773078</v>
      </c>
      <c r="AG16" s="44">
        <f t="shared" si="10"/>
        <v>60502.864750182598</v>
      </c>
      <c r="AH16" s="52">
        <f>HLOOKUP(I16,ElecAvoidedCostsWOCC!$A$5:$Q$50,T16+1,FALSE)</f>
        <v>1.3893373920773078</v>
      </c>
      <c r="AI16" s="44">
        <f t="shared" si="11"/>
        <v>0</v>
      </c>
      <c r="AJ16" s="44">
        <f t="shared" si="12"/>
        <v>60502.864750182598</v>
      </c>
      <c r="AK16" s="44">
        <f>HLOOKUP(I16,ElecAvoidedCostsWOCC!$A$5:$Q$50,G16+1,FALSE)*J16*L16</f>
        <v>0</v>
      </c>
      <c r="AL16" s="44">
        <f t="shared" si="13"/>
        <v>60502.864750182598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60502.864750182598</v>
      </c>
      <c r="AN16" s="48">
        <f t="shared" si="14"/>
        <v>66553.151225200869</v>
      </c>
      <c r="AO16" s="47">
        <f t="shared" si="15"/>
        <v>3.2708910346430877</v>
      </c>
      <c r="AP16" s="47">
        <f t="shared" si="16"/>
        <v>3.3470361265165778</v>
      </c>
      <c r="AQ16">
        <v>2020</v>
      </c>
    </row>
    <row r="17" spans="1:43" ht="13.5" customHeight="1">
      <c r="A17" s="58" t="s">
        <v>254</v>
      </c>
      <c r="B17" s="97" t="s">
        <v>59</v>
      </c>
      <c r="C17" s="100">
        <v>18230486</v>
      </c>
      <c r="D17" s="100" t="s">
        <v>60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197635</v>
      </c>
      <c r="L17" s="41"/>
      <c r="M17" s="42">
        <v>46027</v>
      </c>
      <c r="N17" s="42">
        <v>46027</v>
      </c>
      <c r="O17" s="43">
        <v>197635</v>
      </c>
      <c r="P17" s="44">
        <v>46027</v>
      </c>
      <c r="Q17" s="44">
        <v>46027</v>
      </c>
      <c r="R17" s="45"/>
      <c r="S17" s="46"/>
      <c r="T17" s="39">
        <f t="shared" si="0"/>
        <v>15</v>
      </c>
      <c r="U17" s="47">
        <f t="shared" si="1"/>
        <v>0.64236644546074262</v>
      </c>
      <c r="V17" s="48">
        <f t="shared" si="2"/>
        <v>0</v>
      </c>
      <c r="W17" s="49">
        <f t="shared" si="3"/>
        <v>4.2824429697382843E-2</v>
      </c>
      <c r="X17" s="44">
        <f t="shared" si="4"/>
        <v>37242.10597945052</v>
      </c>
      <c r="Y17" s="44">
        <f t="shared" si="5"/>
        <v>0</v>
      </c>
      <c r="Z17" s="44">
        <f t="shared" si="6"/>
        <v>89798.173203415121</v>
      </c>
      <c r="AA17" s="50">
        <f t="shared" si="7"/>
        <v>83269.105979450513</v>
      </c>
      <c r="AB17" s="51">
        <f t="shared" si="8"/>
        <v>83947.062918028518</v>
      </c>
      <c r="AC17" s="44">
        <f t="shared" si="8"/>
        <v>77843.419631158744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1.3893373920773078</v>
      </c>
      <c r="AG17" s="44">
        <f t="shared" si="10"/>
        <v>274581.69548319874</v>
      </c>
      <c r="AH17" s="52">
        <f>HLOOKUP(I17,ElecAvoidedCostsWOCC!$A$5:$Q$50,T17+1,FALSE)</f>
        <v>1.3893373920773078</v>
      </c>
      <c r="AI17" s="44">
        <f t="shared" si="11"/>
        <v>0</v>
      </c>
      <c r="AJ17" s="44">
        <f t="shared" si="12"/>
        <v>274581.69548319874</v>
      </c>
      <c r="AK17" s="44">
        <f>HLOOKUP(I17,ElecAvoidedCostsWOCC!$A$5:$Q$50,G17+1,FALSE)*J17*L17</f>
        <v>0</v>
      </c>
      <c r="AL17" s="44">
        <f t="shared" si="13"/>
        <v>274581.69548319874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274581.69548319874</v>
      </c>
      <c r="AN17" s="48">
        <f t="shared" si="14"/>
        <v>302039.86503151862</v>
      </c>
      <c r="AO17" s="47">
        <f t="shared" si="15"/>
        <v>3.2708910346430886</v>
      </c>
      <c r="AP17" s="47">
        <f t="shared" si="16"/>
        <v>3.8800950223237591</v>
      </c>
      <c r="AQ17">
        <v>2020</v>
      </c>
    </row>
    <row r="18" spans="1:43" ht="13.5" customHeight="1">
      <c r="A18" s="59">
        <f>A6+A8</f>
        <v>2096891.28</v>
      </c>
      <c r="B18" s="97" t="s">
        <v>59</v>
      </c>
      <c r="C18" s="100">
        <v>18230486</v>
      </c>
      <c r="D18" s="100" t="s">
        <v>60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1.3893373920773078</v>
      </c>
      <c r="AG18" s="44">
        <f t="shared" si="10"/>
        <v>0</v>
      </c>
      <c r="AH18" s="52">
        <f>HLOOKUP(I18,ElecAvoidedCostsWOCC!$A$5:$Q$50,T18+1,FALSE)</f>
        <v>1.3893373920773078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  <c r="AQ18">
        <v>2020</v>
      </c>
    </row>
    <row r="19" spans="1:43" ht="13.5" customHeight="1">
      <c r="A19" s="58" t="s">
        <v>231</v>
      </c>
      <c r="B19" s="97" t="s">
        <v>59</v>
      </c>
      <c r="C19" s="100">
        <v>18230486</v>
      </c>
      <c r="D19" s="100" t="s">
        <v>60</v>
      </c>
      <c r="E19" s="38" t="s">
        <v>974</v>
      </c>
      <c r="F19" s="39" t="s">
        <v>975</v>
      </c>
      <c r="G19" s="39">
        <v>15</v>
      </c>
      <c r="H19" s="39"/>
      <c r="I19" s="40" t="s">
        <v>269</v>
      </c>
      <c r="J19" s="41">
        <v>1</v>
      </c>
      <c r="K19" s="41">
        <v>1243490</v>
      </c>
      <c r="L19" s="41"/>
      <c r="M19" s="42">
        <v>354659</v>
      </c>
      <c r="N19" s="42">
        <v>354659</v>
      </c>
      <c r="O19" s="43">
        <v>1243490</v>
      </c>
      <c r="P19" s="44">
        <v>354659</v>
      </c>
      <c r="Q19" s="44">
        <v>354659</v>
      </c>
      <c r="R19" s="45"/>
      <c r="S19" s="46"/>
      <c r="T19" s="39">
        <f t="shared" si="0"/>
        <v>15</v>
      </c>
      <c r="U19" s="47">
        <f t="shared" si="1"/>
        <v>4.0416740519947325</v>
      </c>
      <c r="V19" s="48">
        <f t="shared" si="2"/>
        <v>0</v>
      </c>
      <c r="W19" s="49">
        <f t="shared" si="3"/>
        <v>0.26944493679964882</v>
      </c>
      <c r="X19" s="44">
        <f t="shared" si="4"/>
        <v>234321.78695264971</v>
      </c>
      <c r="Y19" s="44">
        <f t="shared" si="5"/>
        <v>0</v>
      </c>
      <c r="Z19" s="44">
        <f t="shared" si="6"/>
        <v>564996.73841533472</v>
      </c>
      <c r="AA19" s="50">
        <f t="shared" si="7"/>
        <v>588980.78695264971</v>
      </c>
      <c r="AB19" s="51">
        <f t="shared" si="8"/>
        <v>528182.42349755508</v>
      </c>
      <c r="AC19" s="44">
        <f t="shared" si="8"/>
        <v>550603.70847214141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1.3893373920773078</v>
      </c>
      <c r="AG19" s="44">
        <f t="shared" si="10"/>
        <v>1727627.1536742114</v>
      </c>
      <c r="AH19" s="52">
        <f>HLOOKUP(I19,ElecAvoidedCostsWOCC!$A$5:$Q$50,T19+1,FALSE)</f>
        <v>1.3893373920773078</v>
      </c>
      <c r="AI19" s="44">
        <f t="shared" si="11"/>
        <v>0</v>
      </c>
      <c r="AJ19" s="44">
        <f t="shared" si="12"/>
        <v>1727627.1536742114</v>
      </c>
      <c r="AK19" s="44">
        <f>HLOOKUP(I19,ElecAvoidedCostsWOCC!$A$5:$Q$50,G19+1,FALSE)*J19*L19</f>
        <v>0</v>
      </c>
      <c r="AL19" s="44">
        <f t="shared" si="13"/>
        <v>1727627.1536742114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1727627.1536742114</v>
      </c>
      <c r="AN19" s="48">
        <f t="shared" si="14"/>
        <v>1900389.8690416326</v>
      </c>
      <c r="AO19" s="47">
        <f t="shared" si="15"/>
        <v>3.2708910346430877</v>
      </c>
      <c r="AP19" s="47">
        <f t="shared" si="16"/>
        <v>3.4514657998126896</v>
      </c>
      <c r="AQ19">
        <v>2020</v>
      </c>
    </row>
    <row r="20" spans="1:43" ht="13.5" customHeight="1">
      <c r="A20" s="59">
        <f>A8+SUM(Q5:Q906)</f>
        <v>2086891.28</v>
      </c>
      <c r="B20" s="97" t="s">
        <v>59</v>
      </c>
      <c r="C20" s="100">
        <v>18230486</v>
      </c>
      <c r="D20" s="100" t="s">
        <v>60</v>
      </c>
      <c r="E20" s="38" t="s">
        <v>974</v>
      </c>
      <c r="F20" s="39" t="s">
        <v>975</v>
      </c>
      <c r="G20" s="39">
        <v>15</v>
      </c>
      <c r="H20" s="39"/>
      <c r="I20" s="40" t="s">
        <v>269</v>
      </c>
      <c r="J20" s="41">
        <v>1</v>
      </c>
      <c r="K20" s="41">
        <v>1179955</v>
      </c>
      <c r="L20" s="41"/>
      <c r="M20" s="42">
        <v>315323</v>
      </c>
      <c r="N20" s="42">
        <v>315323</v>
      </c>
      <c r="O20" s="43">
        <v>1179955</v>
      </c>
      <c r="P20" s="44">
        <v>315323</v>
      </c>
      <c r="Q20" s="44">
        <v>315323</v>
      </c>
      <c r="R20" s="45"/>
      <c r="S20" s="46"/>
      <c r="T20" s="39">
        <f t="shared" si="0"/>
        <v>15</v>
      </c>
      <c r="U20" s="47">
        <f t="shared" si="1"/>
        <v>3.8351683616446004</v>
      </c>
      <c r="V20" s="48">
        <f t="shared" si="2"/>
        <v>0</v>
      </c>
      <c r="W20" s="49">
        <f t="shared" si="3"/>
        <v>0.2556778907763067</v>
      </c>
      <c r="X20" s="44">
        <f t="shared" si="4"/>
        <v>222349.32659186143</v>
      </c>
      <c r="Y20" s="44">
        <f t="shared" si="5"/>
        <v>0</v>
      </c>
      <c r="Z20" s="44">
        <f t="shared" si="6"/>
        <v>536128.73965762998</v>
      </c>
      <c r="AA20" s="50">
        <f t="shared" si="7"/>
        <v>537672.32659186143</v>
      </c>
      <c r="AB20" s="51">
        <f t="shared" si="8"/>
        <v>501195.41895637091</v>
      </c>
      <c r="AC20" s="44">
        <f t="shared" si="8"/>
        <v>502638.42814981902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1639355.6024685798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1639355.6024685798</v>
      </c>
      <c r="AK20" s="44">
        <f>HLOOKUP(I20,ElecAvoidedCostsWOCC!$A$5:$Q$50,G20+1,FALSE)*J20*L20</f>
        <v>0</v>
      </c>
      <c r="AL20" s="44">
        <f t="shared" si="13"/>
        <v>1639355.6024685798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1639355.6024685798</v>
      </c>
      <c r="AN20" s="48">
        <f t="shared" si="14"/>
        <v>1803291.1627154378</v>
      </c>
      <c r="AO20" s="47">
        <f t="shared" si="15"/>
        <v>3.2708910346430877</v>
      </c>
      <c r="AP20" s="47">
        <f t="shared" si="16"/>
        <v>3.5876508076655442</v>
      </c>
      <c r="AQ20">
        <v>2020</v>
      </c>
    </row>
    <row r="21" spans="1:43" ht="13.5" customHeight="1">
      <c r="A21" s="58" t="s">
        <v>245</v>
      </c>
      <c r="B21" s="97" t="s">
        <v>59</v>
      </c>
      <c r="C21" s="100">
        <v>18230486</v>
      </c>
      <c r="D21" s="100" t="s">
        <v>60</v>
      </c>
      <c r="E21" s="38" t="s">
        <v>976</v>
      </c>
      <c r="F21" s="39" t="s">
        <v>977</v>
      </c>
      <c r="G21" s="39">
        <v>15</v>
      </c>
      <c r="H21" s="39"/>
      <c r="I21" s="40" t="s">
        <v>248</v>
      </c>
      <c r="J21" s="41">
        <v>1</v>
      </c>
      <c r="K21" s="41">
        <v>2123</v>
      </c>
      <c r="L21" s="41"/>
      <c r="M21" s="42">
        <v>372</v>
      </c>
      <c r="N21" s="42">
        <v>372</v>
      </c>
      <c r="O21" s="43">
        <v>2123</v>
      </c>
      <c r="P21" s="44">
        <v>372</v>
      </c>
      <c r="Q21" s="44">
        <v>372</v>
      </c>
      <c r="R21" s="45"/>
      <c r="S21" s="46"/>
      <c r="T21" s="39">
        <f t="shared" si="0"/>
        <v>15</v>
      </c>
      <c r="U21" s="47">
        <f t="shared" si="1"/>
        <v>6.9003160559271207E-3</v>
      </c>
      <c r="V21" s="48">
        <f t="shared" si="2"/>
        <v>0</v>
      </c>
      <c r="W21" s="49">
        <f t="shared" si="3"/>
        <v>4.600210703951414E-4</v>
      </c>
      <c r="X21" s="44">
        <f t="shared" si="4"/>
        <v>400.05561259075284</v>
      </c>
      <c r="Y21" s="44">
        <f t="shared" si="5"/>
        <v>0</v>
      </c>
      <c r="Z21" s="44">
        <f t="shared" si="6"/>
        <v>964.61417112783818</v>
      </c>
      <c r="AA21" s="50">
        <f t="shared" si="7"/>
        <v>772.05561259075284</v>
      </c>
      <c r="AB21" s="51">
        <f t="shared" ref="AB21:AC24" si="18">Z21/(1+ElecDiscountRate)^1</f>
        <v>901.76140144698331</v>
      </c>
      <c r="AC21" s="44">
        <f t="shared" si="18"/>
        <v>721.74966120477961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1.107650050703576</v>
      </c>
      <c r="AG21" s="44">
        <f t="shared" si="10"/>
        <v>2351.5410576436921</v>
      </c>
      <c r="AH21" s="52">
        <f>HLOOKUP(I21,ElecAvoidedCostsWOCC!$A$5:$Q$50,T21+1,FALSE)</f>
        <v>1.107650050703576</v>
      </c>
      <c r="AI21" s="44">
        <f t="shared" si="11"/>
        <v>0</v>
      </c>
      <c r="AJ21" s="44">
        <f t="shared" si="12"/>
        <v>2351.5410576436921</v>
      </c>
      <c r="AK21" s="44">
        <f>HLOOKUP(I21,ElecAvoidedCostsWOCC!$A$5:$Q$50,G21+1,FALSE)*J21*L21</f>
        <v>0</v>
      </c>
      <c r="AL21" s="44">
        <f t="shared" si="13"/>
        <v>2351.5410576436921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2351.5410576436921</v>
      </c>
      <c r="AN21" s="48">
        <f t="shared" si="14"/>
        <v>2586.6951634080615</v>
      </c>
      <c r="AO21" s="47">
        <f t="shared" si="15"/>
        <v>2.6077197958022653</v>
      </c>
      <c r="AP21" s="47">
        <f t="shared" si="16"/>
        <v>3.5839229340131924</v>
      </c>
      <c r="AQ21">
        <v>2020</v>
      </c>
    </row>
    <row r="22" spans="1:43" ht="13.5" customHeight="1">
      <c r="A22" s="60">
        <f>(SUM(AM5:AM1000)/(SUM(AB5:AB1000)))</f>
        <v>3.0837812592734282</v>
      </c>
      <c r="B22" s="97" t="s">
        <v>59</v>
      </c>
      <c r="C22" s="100">
        <v>18230486</v>
      </c>
      <c r="D22" s="100" t="s">
        <v>60</v>
      </c>
      <c r="E22" s="38" t="s">
        <v>976</v>
      </c>
      <c r="F22" s="39" t="s">
        <v>977</v>
      </c>
      <c r="G22" s="39">
        <v>15</v>
      </c>
      <c r="H22" s="39"/>
      <c r="I22" s="40" t="s">
        <v>248</v>
      </c>
      <c r="J22" s="41">
        <v>1</v>
      </c>
      <c r="K22" s="41">
        <v>222969</v>
      </c>
      <c r="L22" s="41"/>
      <c r="M22" s="42">
        <v>35325</v>
      </c>
      <c r="N22" s="42">
        <v>35325</v>
      </c>
      <c r="O22" s="43">
        <v>222969</v>
      </c>
      <c r="P22" s="44">
        <v>35325</v>
      </c>
      <c r="Q22" s="44">
        <v>35325</v>
      </c>
      <c r="R22" s="45"/>
      <c r="S22" s="46"/>
      <c r="T22" s="39">
        <f t="shared" si="0"/>
        <v>15</v>
      </c>
      <c r="U22" s="47">
        <f t="shared" si="1"/>
        <v>0.72470870027037881</v>
      </c>
      <c r="V22" s="48">
        <f t="shared" si="2"/>
        <v>0</v>
      </c>
      <c r="W22" s="49">
        <f t="shared" si="3"/>
        <v>4.8313913351358588E-2</v>
      </c>
      <c r="X22" s="44">
        <f t="shared" si="4"/>
        <v>42016.015018251332</v>
      </c>
      <c r="Y22" s="44">
        <f t="shared" si="5"/>
        <v>0</v>
      </c>
      <c r="Z22" s="44">
        <f t="shared" si="6"/>
        <v>101309.0236091394</v>
      </c>
      <c r="AA22" s="50">
        <f t="shared" si="7"/>
        <v>77341.015018251332</v>
      </c>
      <c r="AB22" s="51">
        <f t="shared" si="18"/>
        <v>94707.884088192382</v>
      </c>
      <c r="AC22" s="44">
        <f t="shared" si="18"/>
        <v>72301.593921895226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1.107650050703576</v>
      </c>
      <c r="AG22" s="44">
        <f t="shared" si="10"/>
        <v>246971.62415532564</v>
      </c>
      <c r="AH22" s="52">
        <f>HLOOKUP(I22,ElecAvoidedCostsWOCC!$A$5:$Q$50,T22+1,FALSE)</f>
        <v>1.107650050703576</v>
      </c>
      <c r="AI22" s="44">
        <f t="shared" si="11"/>
        <v>0</v>
      </c>
      <c r="AJ22" s="44">
        <f t="shared" si="12"/>
        <v>246971.62415532564</v>
      </c>
      <c r="AK22" s="44">
        <f>HLOOKUP(I22,ElecAvoidedCostsWOCC!$A$5:$Q$50,G22+1,FALSE)*J22*L22</f>
        <v>0</v>
      </c>
      <c r="AL22" s="44">
        <f t="shared" si="13"/>
        <v>246971.62415532564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246971.62415532564</v>
      </c>
      <c r="AN22" s="48">
        <f t="shared" si="14"/>
        <v>271668.78657085821</v>
      </c>
      <c r="AO22" s="47">
        <f t="shared" si="15"/>
        <v>2.6077197958022653</v>
      </c>
      <c r="AP22" s="47">
        <f t="shared" si="16"/>
        <v>3.7574384164245687</v>
      </c>
      <c r="AQ22">
        <v>2020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3.4084139904009088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10"/>
  <sheetViews>
    <sheetView zoomScale="85" zoomScaleNormal="85" workbookViewId="0">
      <selection activeCell="F20" sqref="F2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36" si="0">G5+H5</f>
        <v>24</v>
      </c>
      <c r="U5" s="47">
        <f t="shared" ref="U5:U36" si="1">(O5/$A$10)*T5</f>
        <v>0</v>
      </c>
      <c r="V5" s="48">
        <f t="shared" ref="V5:V36" si="2">N5-M5</f>
        <v>0</v>
      </c>
      <c r="W5" s="49">
        <f t="shared" ref="W5:W36" si="3">(O5/A$10)</f>
        <v>0</v>
      </c>
      <c r="X5" s="44">
        <f t="shared" ref="X5:X36" si="4">W5*A$8</f>
        <v>0</v>
      </c>
      <c r="Y5" s="44">
        <f t="shared" ref="Y5:Y36" si="5">Q5-P5</f>
        <v>0</v>
      </c>
      <c r="Z5" s="44">
        <f t="shared" ref="Z5:Z36" si="6">X5+(A$6*W5)</f>
        <v>0</v>
      </c>
      <c r="AA5" s="50">
        <f t="shared" ref="AA5:AA36" si="7">Q5+X5</f>
        <v>0</v>
      </c>
      <c r="AB5" s="51">
        <f t="shared" ref="AB5:AB36" si="8">Z5/(1+ElecDiscountRate)^1</f>
        <v>0</v>
      </c>
      <c r="AC5" s="44">
        <f t="shared" ref="AC5:AC36" si="9">AA5/(1+ElecDiscountRate)^1</f>
        <v>0</v>
      </c>
      <c r="AD5" s="44">
        <f t="shared" ref="AD5:AD36" si="10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36" si="11">AF5*J5*K5</f>
        <v>0</v>
      </c>
      <c r="AH5" s="52">
        <f>HLOOKUP(I5,ElecAvoidedCostsWOCC!$A$5:$Q$50,T5+1,FALSE)</f>
        <v>1.9068512770864423</v>
      </c>
      <c r="AI5" s="44">
        <f t="shared" ref="AI5:AI36" si="12">AH5*J5*L5</f>
        <v>0</v>
      </c>
      <c r="AJ5" s="44">
        <f t="shared" ref="AJ5:AJ36" si="13">AG5+AI5</f>
        <v>0</v>
      </c>
      <c r="AK5" s="44">
        <f>HLOOKUP(I5,ElecAvoidedCostsWOCC!$A$5:$Q$50,G5+1,FALSE)*J5*L5</f>
        <v>0</v>
      </c>
      <c r="AL5" s="44">
        <f t="shared" ref="AL5:AL36" si="14"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 t="shared" ref="AN5:AN36" si="15">AM5*1.1+AD5+AE5</f>
        <v>0</v>
      </c>
      <c r="AO5" s="47">
        <f t="shared" ref="AO5:AO36" si="16">IFERROR(AM5/AB5,0)</f>
        <v>0</v>
      </c>
      <c r="AP5" s="47" t="e">
        <f t="shared" ref="AP5:AP36" si="17">AN5/AC5</f>
        <v>#DIV/0!</v>
      </c>
      <c r="AQ5">
        <v>2021</v>
      </c>
    </row>
    <row r="6" spans="1:43" ht="13.5" customHeight="1">
      <c r="A6" s="53">
        <f>SUMIF('Program Costs'!D:D,C2,'Program Costs'!L:L)+SUMIF('Program Costs'!C:C,"Industrial System Optimization {E}",'Program Costs'!L:L)+SUMIF('Program Costs'!C:C,"Data Center Efficiency {E}",'Program Costs'!L:L)</f>
        <v>4165561.0100000002</v>
      </c>
      <c r="B6" s="97" t="s">
        <v>65</v>
      </c>
      <c r="C6" s="98">
        <v>18230711</v>
      </c>
      <c r="D6" s="61" t="s">
        <v>125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HLOOKUP(I6,ElecAvoidedCostsWOCC!$A$5:$Q$50,G6+1,FALSE)</f>
        <v>1.3787827893853604</v>
      </c>
      <c r="AG6" s="44">
        <f t="shared" si="11"/>
        <v>0</v>
      </c>
      <c r="AH6" s="52">
        <f>HLOOKUP(I6,ElecAvoidedCostsWOCC!$A$5:$Q$50,T6+1,FALSE)</f>
        <v>1.3787827893853604</v>
      </c>
      <c r="AI6" s="44">
        <f t="shared" si="12"/>
        <v>0</v>
      </c>
      <c r="AJ6" s="44">
        <f t="shared" si="13"/>
        <v>0</v>
      </c>
      <c r="AK6" s="44">
        <f>HLOOKUP(I6,ElecAvoidedCostsWOCC!$A$5:$Q$50,G6+1,FALSE)*J6*L6</f>
        <v>0</v>
      </c>
      <c r="AL6" s="44">
        <f t="shared" si="14"/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si="15"/>
        <v>0</v>
      </c>
      <c r="AO6" s="47">
        <f t="shared" si="16"/>
        <v>0</v>
      </c>
      <c r="AP6" s="47" t="e">
        <f t="shared" si="17"/>
        <v>#DIV/0!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HLOOKUP(I7,ElecAvoidedCostsWOCC!$A$5:$Q$50,G7+1,FALSE)</f>
        <v>1.0293963841416951</v>
      </c>
      <c r="AG7" s="44">
        <f t="shared" si="11"/>
        <v>0</v>
      </c>
      <c r="AH7" s="52">
        <f>HLOOKUP(I7,ElecAvoidedCostsWOCC!$A$5:$Q$50,T7+1,FALSE)</f>
        <v>1.0293963841416951</v>
      </c>
      <c r="AI7" s="44">
        <f t="shared" si="12"/>
        <v>0</v>
      </c>
      <c r="AJ7" s="44">
        <f t="shared" si="13"/>
        <v>0</v>
      </c>
      <c r="AK7" s="44">
        <f>HLOOKUP(I7,ElecAvoidedCostsWOCC!$A$5:$Q$50,G7+1,FALSE)*J7*L7</f>
        <v>0</v>
      </c>
      <c r="AL7" s="44">
        <f t="shared" si="14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Costs'!O:O)+SUMIF('Program Costs'!C:C,"Industrial System Optimization {E}",'Program Costs'!O:O)+SUMIF('Program Costs'!C:C,"Data Center Efficiency {E}",'Program Costs'!O:O)</f>
        <v>2278481.61</v>
      </c>
      <c r="B8" s="97" t="s">
        <v>65</v>
      </c>
      <c r="C8" s="98">
        <v>18230711</v>
      </c>
      <c r="D8" s="61" t="s">
        <v>125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HLOOKUP(I8,ElecAvoidedCostsWOCC!$A$5:$Q$50,G8+1,FALSE)</f>
        <v>1.0293963841416951</v>
      </c>
      <c r="AG8" s="44">
        <f t="shared" si="11"/>
        <v>0</v>
      </c>
      <c r="AH8" s="52">
        <f>HLOOKUP(I8,ElecAvoidedCostsWOCC!$A$5:$Q$50,T8+1,FALSE)</f>
        <v>1.0293963841416951</v>
      </c>
      <c r="AI8" s="44">
        <f t="shared" si="12"/>
        <v>0</v>
      </c>
      <c r="AJ8" s="44">
        <f t="shared" si="13"/>
        <v>0</v>
      </c>
      <c r="AK8" s="44">
        <f>HLOOKUP(I8,ElecAvoidedCostsWOCC!$A$5:$Q$50,G8+1,FALSE)*J8*L8</f>
        <v>0</v>
      </c>
      <c r="AL8" s="44">
        <f t="shared" si="14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18230711</v>
      </c>
      <c r="D9" s="61" t="s">
        <v>125</v>
      </c>
      <c r="E9" s="38" t="s">
        <v>982</v>
      </c>
      <c r="F9" s="39" t="s">
        <v>983</v>
      </c>
      <c r="G9" s="39">
        <v>10</v>
      </c>
      <c r="H9" s="39"/>
      <c r="I9" s="40" t="s">
        <v>256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1.1418228576351195E-2</v>
      </c>
      <c r="V9" s="48">
        <f t="shared" si="2"/>
        <v>1088.8400000000001</v>
      </c>
      <c r="W9" s="49">
        <f t="shared" si="3"/>
        <v>1.1418228576351194E-3</v>
      </c>
      <c r="X9" s="44">
        <f t="shared" si="4"/>
        <v>2601.6223829992673</v>
      </c>
      <c r="Y9" s="44">
        <f t="shared" si="5"/>
        <v>1088.8400000000001</v>
      </c>
      <c r="Z9" s="44">
        <f t="shared" si="6"/>
        <v>7357.9551590909014</v>
      </c>
      <c r="AA9" s="50">
        <f t="shared" si="7"/>
        <v>6232.462382999267</v>
      </c>
      <c r="AB9" s="51">
        <f t="shared" si="8"/>
        <v>6878.5221642431534</v>
      </c>
      <c r="AC9" s="44">
        <f t="shared" si="9"/>
        <v>5826.3647592776169</v>
      </c>
      <c r="AD9" s="44">
        <f t="shared" si="10"/>
        <v>0</v>
      </c>
      <c r="AE9" s="44">
        <f t="shared" ref="AE9:AE40" si="18">-PV(ElecDiscountRate,T9,S9)*J9</f>
        <v>0</v>
      </c>
      <c r="AF9" s="52">
        <f>HLOOKUP(I9,ElecAvoidedCostsWOCC!$A$5:$Q$50,G9+1,FALSE)</f>
        <v>0.70839718084543712</v>
      </c>
      <c r="AG9" s="44">
        <f t="shared" si="11"/>
        <v>15567.736446259327</v>
      </c>
      <c r="AH9" s="52">
        <f>HLOOKUP(I9,ElecAvoidedCostsWOCC!$A$5:$Q$50,T9+1,FALSE)</f>
        <v>0.70839718084543712</v>
      </c>
      <c r="AI9" s="44">
        <f t="shared" si="12"/>
        <v>0</v>
      </c>
      <c r="AJ9" s="44">
        <f t="shared" si="13"/>
        <v>15567.736446259327</v>
      </c>
      <c r="AK9" s="44">
        <f>HLOOKUP(I9,ElecAvoidedCostsWOCC!$A$5:$Q$50,G9+1,FALSE)*J9*L9</f>
        <v>0</v>
      </c>
      <c r="AL9" s="44">
        <f t="shared" si="14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5"/>
        <v>17124.510090885262</v>
      </c>
      <c r="AO9" s="47">
        <f t="shared" si="16"/>
        <v>2.263238537950143</v>
      </c>
      <c r="AP9" s="47">
        <f t="shared" si="17"/>
        <v>2.9391414369684004</v>
      </c>
      <c r="AQ9">
        <v>2021</v>
      </c>
    </row>
    <row r="10" spans="1:43" ht="13.5" customHeight="1">
      <c r="A10" s="54">
        <f>SUM(O5:O972)</f>
        <v>19246418</v>
      </c>
      <c r="B10" s="97" t="s">
        <v>65</v>
      </c>
      <c r="C10" s="98">
        <v>18230711</v>
      </c>
      <c r="D10" s="61" t="s">
        <v>125</v>
      </c>
      <c r="E10" s="38" t="s">
        <v>982</v>
      </c>
      <c r="F10" s="39" t="s">
        <v>983</v>
      </c>
      <c r="G10" s="39">
        <v>15</v>
      </c>
      <c r="H10" s="39"/>
      <c r="I10" s="40" t="s">
        <v>256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8.5035823289299858E-2</v>
      </c>
      <c r="V10" s="48">
        <f t="shared" si="2"/>
        <v>156483</v>
      </c>
      <c r="W10" s="49">
        <f t="shared" si="3"/>
        <v>5.6690548859533235E-3</v>
      </c>
      <c r="X10" s="44">
        <f t="shared" si="4"/>
        <v>12916.837303725295</v>
      </c>
      <c r="Y10" s="44">
        <f t="shared" si="5"/>
        <v>156483</v>
      </c>
      <c r="Z10" s="44">
        <f t="shared" si="6"/>
        <v>36531.631300202454</v>
      </c>
      <c r="AA10" s="50">
        <f t="shared" si="7"/>
        <v>246025.8373037253</v>
      </c>
      <c r="AB10" s="51">
        <f t="shared" si="8"/>
        <v>34151.286622606764</v>
      </c>
      <c r="AC10" s="44">
        <f t="shared" si="9"/>
        <v>229995.17369704149</v>
      </c>
      <c r="AD10" s="44">
        <f t="shared" si="10"/>
        <v>0</v>
      </c>
      <c r="AE10" s="44">
        <f t="shared" si="18"/>
        <v>0</v>
      </c>
      <c r="AF10" s="52">
        <f>HLOOKUP(I10,ElecAvoidedCostsWOCC!$A$5:$Q$50,G10+1,FALSE)</f>
        <v>1.0293963841416951</v>
      </c>
      <c r="AG10" s="44">
        <f t="shared" si="11"/>
        <v>112316.41007731621</v>
      </c>
      <c r="AH10" s="52">
        <f>HLOOKUP(I10,ElecAvoidedCostsWOCC!$A$5:$Q$50,T10+1,FALSE)</f>
        <v>1.0293963841416951</v>
      </c>
      <c r="AI10" s="44">
        <f t="shared" si="12"/>
        <v>0</v>
      </c>
      <c r="AJ10" s="44">
        <f t="shared" si="13"/>
        <v>112316.41007731621</v>
      </c>
      <c r="AK10" s="44">
        <f>HLOOKUP(I10,ElecAvoidedCostsWOCC!$A$5:$Q$50,G10+1,FALSE)*J10*L10</f>
        <v>0</v>
      </c>
      <c r="AL10" s="44">
        <f t="shared" si="14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5"/>
        <v>123548.05108504783</v>
      </c>
      <c r="AO10" s="47">
        <f t="shared" si="16"/>
        <v>3.2887900042678715</v>
      </c>
      <c r="AP10" s="47">
        <f t="shared" si="17"/>
        <v>0.53717671157652236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18230711</v>
      </c>
      <c r="D11" s="61" t="s">
        <v>125</v>
      </c>
      <c r="E11" s="38" t="s">
        <v>982</v>
      </c>
      <c r="F11" s="39" t="s">
        <v>983</v>
      </c>
      <c r="G11" s="39">
        <v>15</v>
      </c>
      <c r="H11" s="39"/>
      <c r="I11" s="40" t="s">
        <v>256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2.3842358614470496E-2</v>
      </c>
      <c r="V11" s="48">
        <f t="shared" si="2"/>
        <v>5820</v>
      </c>
      <c r="W11" s="49">
        <f t="shared" si="3"/>
        <v>1.589490574298033E-3</v>
      </c>
      <c r="X11" s="44">
        <f t="shared" si="4"/>
        <v>3621.6250428064068</v>
      </c>
      <c r="Y11" s="44">
        <f t="shared" si="5"/>
        <v>5820</v>
      </c>
      <c r="Z11" s="44">
        <f t="shared" si="6"/>
        <v>10242.745004864802</v>
      </c>
      <c r="AA11" s="50">
        <f t="shared" si="7"/>
        <v>16823.625042806409</v>
      </c>
      <c r="AB11" s="51">
        <f t="shared" si="8"/>
        <v>9575.3435588153698</v>
      </c>
      <c r="AC11" s="44">
        <f t="shared" si="9"/>
        <v>15727.423616720956</v>
      </c>
      <c r="AD11" s="44">
        <f t="shared" si="10"/>
        <v>0</v>
      </c>
      <c r="AE11" s="44">
        <f t="shared" si="18"/>
        <v>0</v>
      </c>
      <c r="AF11" s="52">
        <f>HLOOKUP(I11,ElecAvoidedCostsWOCC!$A$5:$Q$50,G11+1,FALSE)</f>
        <v>1.0293963841416951</v>
      </c>
      <c r="AG11" s="44">
        <f t="shared" si="11"/>
        <v>31491.294183662736</v>
      </c>
      <c r="AH11" s="52">
        <f>HLOOKUP(I11,ElecAvoidedCostsWOCC!$A$5:$Q$50,T11+1,FALSE)</f>
        <v>1.0293963841416951</v>
      </c>
      <c r="AI11" s="44">
        <f t="shared" si="12"/>
        <v>0</v>
      </c>
      <c r="AJ11" s="44">
        <f t="shared" si="13"/>
        <v>31491.294183662736</v>
      </c>
      <c r="AK11" s="44">
        <f>HLOOKUP(I11,ElecAvoidedCostsWOCC!$A$5:$Q$50,G11+1,FALSE)*J11*L11</f>
        <v>0</v>
      </c>
      <c r="AL11" s="44">
        <f t="shared" si="14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5"/>
        <v>34640.423602029012</v>
      </c>
      <c r="AO11" s="47">
        <f t="shared" si="16"/>
        <v>3.2887900042678715</v>
      </c>
      <c r="AP11" s="47">
        <f t="shared" si="17"/>
        <v>2.2025491552984104</v>
      </c>
      <c r="AQ11">
        <v>2021</v>
      </c>
    </row>
    <row r="12" spans="1:43" ht="13.5" customHeight="1">
      <c r="A12" s="55">
        <f>SUM(P5:P973)</f>
        <v>4137381.4200000004</v>
      </c>
      <c r="B12" s="97" t="s">
        <v>65</v>
      </c>
      <c r="C12" s="98">
        <v>18230711</v>
      </c>
      <c r="D12" s="61" t="s">
        <v>125</v>
      </c>
      <c r="E12" s="38" t="s">
        <v>984</v>
      </c>
      <c r="F12" s="39" t="s">
        <v>985</v>
      </c>
      <c r="G12" s="39">
        <v>30</v>
      </c>
      <c r="H12" s="39"/>
      <c r="I12" s="40" t="s">
        <v>261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HLOOKUP(I12,ElecAvoidedCostsWOCC!$A$5:$Q$50,G12+1,FALSE)</f>
        <v>2.1380389294172497</v>
      </c>
      <c r="AG12" s="44">
        <f t="shared" si="11"/>
        <v>0</v>
      </c>
      <c r="AH12" s="52">
        <f>HLOOKUP(I12,ElecAvoidedCostsWOCC!$A$5:$Q$50,T12+1,FALSE)</f>
        <v>2.1380389294172497</v>
      </c>
      <c r="AI12" s="44">
        <f t="shared" si="12"/>
        <v>0</v>
      </c>
      <c r="AJ12" s="44">
        <f t="shared" si="13"/>
        <v>0</v>
      </c>
      <c r="AK12" s="44">
        <f>HLOOKUP(I12,ElecAvoidedCostsWOCC!$A$5:$Q$50,G12+1,FALSE)*J12*L12</f>
        <v>0</v>
      </c>
      <c r="AL12" s="44">
        <f t="shared" si="14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18230711</v>
      </c>
      <c r="D13" s="61" t="s">
        <v>125</v>
      </c>
      <c r="E13" s="38" t="s">
        <v>986</v>
      </c>
      <c r="F13" s="39" t="s">
        <v>987</v>
      </c>
      <c r="G13" s="39">
        <v>15</v>
      </c>
      <c r="H13" s="39"/>
      <c r="I13" s="40" t="s">
        <v>256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HLOOKUP(I13,ElecAvoidedCostsWOCC!$A$5:$Q$50,G13+1,FALSE)</f>
        <v>1.0293963841416951</v>
      </c>
      <c r="AG13" s="44">
        <f t="shared" si="11"/>
        <v>0</v>
      </c>
      <c r="AH13" s="52">
        <f>HLOOKUP(I13,ElecAvoidedCostsWOCC!$A$5:$Q$50,T13+1,FALSE)</f>
        <v>1.0293963841416951</v>
      </c>
      <c r="AI13" s="44">
        <f t="shared" si="12"/>
        <v>0</v>
      </c>
      <c r="AJ13" s="44">
        <f t="shared" si="13"/>
        <v>0</v>
      </c>
      <c r="AK13" s="44">
        <f>HLOOKUP(I13,ElecAvoidedCostsWOCC!$A$5:$Q$50,G13+1,FALSE)*J13*L13</f>
        <v>0</v>
      </c>
      <c r="AL13" s="44">
        <f t="shared" si="14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SUM(Y5:Y973)</f>
        <v>3362814.1599999997</v>
      </c>
      <c r="B14" s="97" t="s">
        <v>65</v>
      </c>
      <c r="C14" s="98">
        <v>18230711</v>
      </c>
      <c r="D14" s="61" t="s">
        <v>125</v>
      </c>
      <c r="E14" s="38" t="s">
        <v>988</v>
      </c>
      <c r="F14" s="39" t="s">
        <v>989</v>
      </c>
      <c r="G14" s="39">
        <v>10</v>
      </c>
      <c r="H14" s="39"/>
      <c r="I14" s="40" t="s">
        <v>256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1.9136028324855045E-2</v>
      </c>
      <c r="V14" s="48">
        <f t="shared" si="2"/>
        <v>0</v>
      </c>
      <c r="W14" s="49">
        <f t="shared" si="3"/>
        <v>1.9136028324855045E-3</v>
      </c>
      <c r="X14" s="44">
        <f t="shared" si="4"/>
        <v>4360.1088626621322</v>
      </c>
      <c r="Y14" s="44">
        <f t="shared" si="5"/>
        <v>0</v>
      </c>
      <c r="Z14" s="44">
        <f t="shared" si="6"/>
        <v>12331.338210289312</v>
      </c>
      <c r="AA14" s="50">
        <f t="shared" si="7"/>
        <v>17251.108862662131</v>
      </c>
      <c r="AB14" s="51">
        <f t="shared" si="8"/>
        <v>11527.847256510528</v>
      </c>
      <c r="AC14" s="44">
        <f t="shared" si="9"/>
        <v>16127.053251063036</v>
      </c>
      <c r="AD14" s="44">
        <f t="shared" si="10"/>
        <v>0</v>
      </c>
      <c r="AE14" s="44">
        <f t="shared" si="18"/>
        <v>0</v>
      </c>
      <c r="AF14" s="52">
        <f>HLOOKUP(I14,ElecAvoidedCostsWOCC!$A$5:$Q$50,G14+1,FALSE)</f>
        <v>0.70839718084543712</v>
      </c>
      <c r="AG14" s="44">
        <f t="shared" si="11"/>
        <v>26090.268170537449</v>
      </c>
      <c r="AH14" s="52">
        <f>HLOOKUP(I14,ElecAvoidedCostsWOCC!$A$5:$Q$50,T14+1,FALSE)</f>
        <v>0.70839718084543712</v>
      </c>
      <c r="AI14" s="44">
        <f t="shared" si="12"/>
        <v>0</v>
      </c>
      <c r="AJ14" s="44">
        <f t="shared" si="13"/>
        <v>26090.268170537449</v>
      </c>
      <c r="AK14" s="44">
        <f>HLOOKUP(I14,ElecAvoidedCostsWOCC!$A$5:$Q$50,G14+1,FALSE)*J14*L14</f>
        <v>0</v>
      </c>
      <c r="AL14" s="44">
        <f t="shared" si="14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5"/>
        <v>28699.294987591195</v>
      </c>
      <c r="AO14" s="47">
        <f t="shared" si="16"/>
        <v>2.2632385379501425</v>
      </c>
      <c r="AP14" s="47">
        <f t="shared" si="17"/>
        <v>1.7795746402523624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18230711</v>
      </c>
      <c r="D15" s="61" t="s">
        <v>125</v>
      </c>
      <c r="E15" s="38" t="s">
        <v>988</v>
      </c>
      <c r="F15" s="39" t="s">
        <v>989</v>
      </c>
      <c r="G15" s="39">
        <v>10</v>
      </c>
      <c r="H15" s="39"/>
      <c r="I15" s="40" t="s">
        <v>256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0.11697657195224587</v>
      </c>
      <c r="V15" s="48">
        <f t="shared" si="2"/>
        <v>0</v>
      </c>
      <c r="W15" s="49">
        <f t="shared" si="3"/>
        <v>1.1697657195224587E-2</v>
      </c>
      <c r="X15" s="44">
        <f t="shared" si="4"/>
        <v>26652.896799403399</v>
      </c>
      <c r="Y15" s="44">
        <f t="shared" si="5"/>
        <v>0</v>
      </c>
      <c r="Z15" s="44">
        <f t="shared" si="6"/>
        <v>75380.201520176895</v>
      </c>
      <c r="AA15" s="50">
        <f t="shared" si="7"/>
        <v>101760.8967994034</v>
      </c>
      <c r="AB15" s="51">
        <f t="shared" si="8"/>
        <v>70468.544003156858</v>
      </c>
      <c r="AC15" s="44">
        <f t="shared" si="9"/>
        <v>95130.313919232867</v>
      </c>
      <c r="AD15" s="44">
        <f t="shared" si="10"/>
        <v>0</v>
      </c>
      <c r="AE15" s="44">
        <f t="shared" si="18"/>
        <v>0</v>
      </c>
      <c r="AF15" s="52">
        <f>HLOOKUP(I15,ElecAvoidedCostsWOCC!$A$5:$Q$50,G15+1,FALSE)</f>
        <v>0.70839718084543712</v>
      </c>
      <c r="AG15" s="44">
        <f t="shared" si="11"/>
        <v>159487.12450118002</v>
      </c>
      <c r="AH15" s="52">
        <f>HLOOKUP(I15,ElecAvoidedCostsWOCC!$A$5:$Q$50,T15+1,FALSE)</f>
        <v>0.70839718084543712</v>
      </c>
      <c r="AI15" s="44">
        <f t="shared" si="12"/>
        <v>0</v>
      </c>
      <c r="AJ15" s="44">
        <f t="shared" si="13"/>
        <v>159487.12450118002</v>
      </c>
      <c r="AK15" s="44">
        <f>HLOOKUP(I15,ElecAvoidedCostsWOCC!$A$5:$Q$50,G15+1,FALSE)*J15*L15</f>
        <v>0</v>
      </c>
      <c r="AL15" s="44">
        <f t="shared" si="14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5"/>
        <v>175435.83695129803</v>
      </c>
      <c r="AO15" s="47">
        <f t="shared" si="16"/>
        <v>2.2632385379501425</v>
      </c>
      <c r="AP15" s="47">
        <f t="shared" si="17"/>
        <v>1.844163334730986</v>
      </c>
      <c r="AQ15">
        <v>2021</v>
      </c>
    </row>
    <row r="16" spans="1:43" ht="13.5" customHeight="1">
      <c r="A16" s="54">
        <f>SUM(U5:U972)</f>
        <v>12.392142111846477</v>
      </c>
      <c r="B16" s="97" t="s">
        <v>65</v>
      </c>
      <c r="C16" s="98">
        <v>18230711</v>
      </c>
      <c r="D16" s="61" t="s">
        <v>125</v>
      </c>
      <c r="E16" s="38" t="s">
        <v>988</v>
      </c>
      <c r="F16" s="39" t="s">
        <v>989</v>
      </c>
      <c r="G16" s="39">
        <v>10</v>
      </c>
      <c r="H16" s="39"/>
      <c r="I16" s="40" t="s">
        <v>256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0.1899927560546591</v>
      </c>
      <c r="V16" s="48">
        <f t="shared" si="2"/>
        <v>0</v>
      </c>
      <c r="W16" s="49">
        <f t="shared" si="3"/>
        <v>1.899927560546591E-2</v>
      </c>
      <c r="X16" s="44">
        <f t="shared" si="4"/>
        <v>43289.500070375689</v>
      </c>
      <c r="Y16" s="44">
        <f t="shared" si="5"/>
        <v>0</v>
      </c>
      <c r="Z16" s="44">
        <f t="shared" si="6"/>
        <v>122432.14175074862</v>
      </c>
      <c r="AA16" s="50">
        <f t="shared" si="7"/>
        <v>139351.50007037568</v>
      </c>
      <c r="AB16" s="51">
        <f t="shared" si="8"/>
        <v>114454.65247335572</v>
      </c>
      <c r="AC16" s="44">
        <f t="shared" si="9"/>
        <v>130271.57153442617</v>
      </c>
      <c r="AD16" s="44">
        <f t="shared" si="10"/>
        <v>0</v>
      </c>
      <c r="AE16" s="44">
        <f t="shared" si="18"/>
        <v>0</v>
      </c>
      <c r="AF16" s="52">
        <f>HLOOKUP(I16,ElecAvoidedCostsWOCC!$A$5:$Q$50,G16+1,FALSE)</f>
        <v>0.70839718084543712</v>
      </c>
      <c r="AG16" s="44">
        <f t="shared" si="11"/>
        <v>259038.18032538932</v>
      </c>
      <c r="AH16" s="52">
        <f>HLOOKUP(I16,ElecAvoidedCostsWOCC!$A$5:$Q$50,T16+1,FALSE)</f>
        <v>0.70839718084543712</v>
      </c>
      <c r="AI16" s="44">
        <f t="shared" si="12"/>
        <v>0</v>
      </c>
      <c r="AJ16" s="44">
        <f t="shared" si="13"/>
        <v>259038.18032538932</v>
      </c>
      <c r="AK16" s="44">
        <f>HLOOKUP(I16,ElecAvoidedCostsWOCC!$A$5:$Q$50,G16+1,FALSE)*J16*L16</f>
        <v>0</v>
      </c>
      <c r="AL16" s="44">
        <f t="shared" si="14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5"/>
        <v>284941.99835792824</v>
      </c>
      <c r="AO16" s="47">
        <f t="shared" si="16"/>
        <v>2.263238537950143</v>
      </c>
      <c r="AP16" s="47">
        <f t="shared" si="17"/>
        <v>2.1872922465100388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18230711</v>
      </c>
      <c r="D17" s="61" t="s">
        <v>125</v>
      </c>
      <c r="E17" s="38" t="s">
        <v>990</v>
      </c>
      <c r="F17" s="39" t="s">
        <v>991</v>
      </c>
      <c r="G17" s="39">
        <v>15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HLOOKUP(I17,ElecAvoidedCostsWOCC!$A$5:$Q$50,G17+1,FALSE)</f>
        <v>1.3787827893853604</v>
      </c>
      <c r="AG17" s="44">
        <f t="shared" si="11"/>
        <v>0</v>
      </c>
      <c r="AH17" s="52">
        <f>HLOOKUP(I17,ElecAvoidedCostsWOCC!$A$5:$Q$50,T17+1,FALSE)</f>
        <v>1.3787827893853604</v>
      </c>
      <c r="AI17" s="44">
        <f t="shared" si="12"/>
        <v>0</v>
      </c>
      <c r="AJ17" s="44">
        <f t="shared" si="13"/>
        <v>0</v>
      </c>
      <c r="AK17" s="44">
        <f>HLOOKUP(I17,ElecAvoidedCostsWOCC!$A$5:$Q$50,G17+1,FALSE)*J17*L17</f>
        <v>0</v>
      </c>
      <c r="AL17" s="44">
        <f t="shared" si="14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6444042.6200000001</v>
      </c>
      <c r="B18" s="97" t="s">
        <v>65</v>
      </c>
      <c r="C18" s="98">
        <v>18230711</v>
      </c>
      <c r="D18" s="61" t="s">
        <v>125</v>
      </c>
      <c r="E18" s="38" t="s">
        <v>990</v>
      </c>
      <c r="F18" s="39" t="s">
        <v>991</v>
      </c>
      <c r="G18" s="39">
        <v>15</v>
      </c>
      <c r="H18" s="39"/>
      <c r="I18" s="40" t="s">
        <v>261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0.19076770545043759</v>
      </c>
      <c r="V18" s="48">
        <f t="shared" si="2"/>
        <v>121335</v>
      </c>
      <c r="W18" s="49">
        <f t="shared" si="3"/>
        <v>1.2717847030029173E-2</v>
      </c>
      <c r="X18" s="44">
        <f t="shared" si="4"/>
        <v>28977.380576714586</v>
      </c>
      <c r="Y18" s="44">
        <f t="shared" si="5"/>
        <v>121335</v>
      </c>
      <c r="Z18" s="44">
        <f t="shared" si="6"/>
        <v>81954.348296148411</v>
      </c>
      <c r="AA18" s="50">
        <f t="shared" si="7"/>
        <v>235983.38057671458</v>
      </c>
      <c r="AB18" s="51">
        <f t="shared" si="8"/>
        <v>76614.32952804376</v>
      </c>
      <c r="AC18" s="44">
        <f t="shared" si="9"/>
        <v>220607.06794121207</v>
      </c>
      <c r="AD18" s="44">
        <f t="shared" si="10"/>
        <v>0</v>
      </c>
      <c r="AE18" s="44">
        <f t="shared" si="18"/>
        <v>0</v>
      </c>
      <c r="AF18" s="52">
        <f>HLOOKUP(I18,ElecAvoidedCostsWOCC!$A$5:$Q$50,G18+1,FALSE)</f>
        <v>1.3787827893853604</v>
      </c>
      <c r="AG18" s="44">
        <f t="shared" si="11"/>
        <v>337488.79970622284</v>
      </c>
      <c r="AH18" s="52">
        <f>HLOOKUP(I18,ElecAvoidedCostsWOCC!$A$5:$Q$50,T18+1,FALSE)</f>
        <v>1.3787827893853604</v>
      </c>
      <c r="AI18" s="44">
        <f t="shared" si="12"/>
        <v>0</v>
      </c>
      <c r="AJ18" s="44">
        <f t="shared" si="13"/>
        <v>337488.79970622284</v>
      </c>
      <c r="AK18" s="44">
        <f>HLOOKUP(I18,ElecAvoidedCostsWOCC!$A$5:$Q$50,G18+1,FALSE)*J18*L18</f>
        <v>0</v>
      </c>
      <c r="AL18" s="44">
        <f t="shared" si="14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5"/>
        <v>371237.67967684515</v>
      </c>
      <c r="AO18" s="47">
        <f t="shared" si="16"/>
        <v>4.4050349560611775</v>
      </c>
      <c r="AP18" s="47">
        <f t="shared" si="17"/>
        <v>1.6828004793381031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990</v>
      </c>
      <c r="F19" s="39" t="s">
        <v>991</v>
      </c>
      <c r="G19" s="39">
        <v>15</v>
      </c>
      <c r="H19" s="39"/>
      <c r="I19" s="40" t="s">
        <v>261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6.390799576315966E-4</v>
      </c>
      <c r="V19" s="48">
        <f t="shared" si="2"/>
        <v>510</v>
      </c>
      <c r="W19" s="49">
        <f t="shared" si="3"/>
        <v>4.260533050877311E-5</v>
      </c>
      <c r="X19" s="44">
        <f t="shared" si="4"/>
        <v>97.075462052211464</v>
      </c>
      <c r="Y19" s="44">
        <f t="shared" si="5"/>
        <v>510</v>
      </c>
      <c r="Z19" s="44">
        <f t="shared" si="6"/>
        <v>274.55056563772018</v>
      </c>
      <c r="AA19" s="50">
        <f t="shared" si="7"/>
        <v>1107.0754620522114</v>
      </c>
      <c r="AB19" s="51">
        <f t="shared" si="8"/>
        <v>256.66127478519223</v>
      </c>
      <c r="AC19" s="44">
        <f t="shared" si="9"/>
        <v>1034.9401346659918</v>
      </c>
      <c r="AD19" s="44">
        <f t="shared" si="10"/>
        <v>0</v>
      </c>
      <c r="AE19" s="44">
        <f t="shared" si="18"/>
        <v>0</v>
      </c>
      <c r="AF19" s="52">
        <f>HLOOKUP(I19,ElecAvoidedCostsWOCC!$A$5:$Q$50,G19+1,FALSE)</f>
        <v>1.3787827893853604</v>
      </c>
      <c r="AG19" s="44">
        <f t="shared" si="11"/>
        <v>1130.6018872959955</v>
      </c>
      <c r="AH19" s="52">
        <f>HLOOKUP(I19,ElecAvoidedCostsWOCC!$A$5:$Q$50,T19+1,FALSE)</f>
        <v>1.3787827893853604</v>
      </c>
      <c r="AI19" s="44">
        <f t="shared" si="12"/>
        <v>0</v>
      </c>
      <c r="AJ19" s="44">
        <f t="shared" si="13"/>
        <v>1130.6018872959955</v>
      </c>
      <c r="AK19" s="44">
        <f>HLOOKUP(I19,ElecAvoidedCostsWOCC!$A$5:$Q$50,G19+1,FALSE)*J19*L19</f>
        <v>0</v>
      </c>
      <c r="AL19" s="44">
        <f t="shared" si="14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5"/>
        <v>1243.6620760255953</v>
      </c>
      <c r="AO19" s="47">
        <f t="shared" si="16"/>
        <v>4.4050349560611792</v>
      </c>
      <c r="AP19" s="47">
        <f t="shared" si="17"/>
        <v>1.20167537654433</v>
      </c>
      <c r="AQ19">
        <v>2021</v>
      </c>
    </row>
    <row r="20" spans="1:43" ht="13.5" customHeight="1">
      <c r="A20" s="59">
        <f>A8+SUM(Q5:Q879)</f>
        <v>9778677.1900000013</v>
      </c>
      <c r="B20" s="97" t="s">
        <v>65</v>
      </c>
      <c r="C20" s="98">
        <v>18230711</v>
      </c>
      <c r="D20" s="61" t="s">
        <v>125</v>
      </c>
      <c r="E20" s="38" t="s">
        <v>990</v>
      </c>
      <c r="F20" s="39" t="s">
        <v>991</v>
      </c>
      <c r="G20" s="39">
        <v>15</v>
      </c>
      <c r="H20" s="39"/>
      <c r="I20" s="40" t="s">
        <v>261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9.1341671993198943E-3</v>
      </c>
      <c r="V20" s="48">
        <f t="shared" si="2"/>
        <v>13464</v>
      </c>
      <c r="W20" s="49">
        <f t="shared" si="3"/>
        <v>6.0894447995465961E-4</v>
      </c>
      <c r="X20" s="44">
        <f t="shared" si="4"/>
        <v>1387.4687990877055</v>
      </c>
      <c r="Y20" s="44">
        <f t="shared" si="5"/>
        <v>13464</v>
      </c>
      <c r="Z20" s="44">
        <f t="shared" si="6"/>
        <v>3924.0641820415622</v>
      </c>
      <c r="AA20" s="50">
        <f t="shared" si="7"/>
        <v>25664.468799087706</v>
      </c>
      <c r="AB20" s="51">
        <f t="shared" si="8"/>
        <v>3668.3782201005533</v>
      </c>
      <c r="AC20" s="44">
        <f t="shared" si="9"/>
        <v>23992.21164727279</v>
      </c>
      <c r="AD20" s="44">
        <f t="shared" si="10"/>
        <v>0</v>
      </c>
      <c r="AE20" s="44">
        <f t="shared" si="18"/>
        <v>0</v>
      </c>
      <c r="AF20" s="52">
        <f>HLOOKUP(I20,ElecAvoidedCostsWOCC!$A$5:$Q$50,G20+1,FALSE)</f>
        <v>1.3787827893853604</v>
      </c>
      <c r="AG20" s="44">
        <f t="shared" si="11"/>
        <v>16159.334291596424</v>
      </c>
      <c r="AH20" s="52">
        <f>HLOOKUP(I20,ElecAvoidedCostsWOCC!$A$5:$Q$50,T20+1,FALSE)</f>
        <v>1.3787827893853604</v>
      </c>
      <c r="AI20" s="44">
        <f t="shared" si="12"/>
        <v>0</v>
      </c>
      <c r="AJ20" s="44">
        <f t="shared" si="13"/>
        <v>16159.334291596424</v>
      </c>
      <c r="AK20" s="44">
        <f>HLOOKUP(I20,ElecAvoidedCostsWOCC!$A$5:$Q$50,G20+1,FALSE)*J20*L20</f>
        <v>0</v>
      </c>
      <c r="AL20" s="44">
        <f t="shared" si="14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5"/>
        <v>17775.267720756066</v>
      </c>
      <c r="AO20" s="47">
        <f t="shared" si="16"/>
        <v>4.4050349560611783</v>
      </c>
      <c r="AP20" s="47">
        <f t="shared" si="17"/>
        <v>0.74087658037047166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992</v>
      </c>
      <c r="F21" s="39" t="s">
        <v>993</v>
      </c>
      <c r="G21" s="39">
        <v>10</v>
      </c>
      <c r="H21" s="39"/>
      <c r="I21" s="40" t="s">
        <v>256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>
        <f>HLOOKUP(I21,ElecAvoidedCostsWOCC!$A$5:$Q$50,G21+1,FALSE)</f>
        <v>0.70839718084543712</v>
      </c>
      <c r="AG21" s="44">
        <f t="shared" si="11"/>
        <v>0</v>
      </c>
      <c r="AH21" s="52">
        <f>HLOOKUP(I21,ElecAvoidedCostsWOCC!$A$5:$Q$50,T21+1,FALSE)</f>
        <v>0.70839718084543712</v>
      </c>
      <c r="AI21" s="44">
        <f t="shared" si="12"/>
        <v>0</v>
      </c>
      <c r="AJ21" s="44">
        <f t="shared" si="13"/>
        <v>0</v>
      </c>
      <c r="AK21" s="44">
        <f>HLOOKUP(I21,ElecAvoidedCostsWOCC!$A$5:$Q$50,G21+1,FALSE)*J21*L21</f>
        <v>0</v>
      </c>
      <c r="AL21" s="44">
        <f t="shared" si="1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  <c r="AQ21">
        <v>2021</v>
      </c>
    </row>
    <row r="22" spans="1:43" ht="13.5" customHeight="1">
      <c r="A22" s="60">
        <f>(SUM(AM5:AM973)/(SUM(AB5:AB973)))</f>
        <v>3.1533302344525094</v>
      </c>
      <c r="B22" s="97" t="s">
        <v>65</v>
      </c>
      <c r="C22" s="98">
        <v>18230711</v>
      </c>
      <c r="D22" s="61" t="s">
        <v>125</v>
      </c>
      <c r="E22" s="38" t="s">
        <v>992</v>
      </c>
      <c r="F22" s="39" t="s">
        <v>993</v>
      </c>
      <c r="G22" s="39">
        <v>7</v>
      </c>
      <c r="H22" s="39"/>
      <c r="I22" s="40" t="s">
        <v>256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7.837858452414366E-2</v>
      </c>
      <c r="V22" s="48">
        <f t="shared" si="2"/>
        <v>10051</v>
      </c>
      <c r="W22" s="49">
        <f t="shared" si="3"/>
        <v>1.1196940646306237E-2</v>
      </c>
      <c r="X22" s="44">
        <f t="shared" si="4"/>
        <v>25512.023350870273</v>
      </c>
      <c r="Y22" s="44">
        <f t="shared" si="5"/>
        <v>10051</v>
      </c>
      <c r="Z22" s="44">
        <f t="shared" si="6"/>
        <v>72153.562738407738</v>
      </c>
      <c r="AA22" s="50">
        <f t="shared" si="7"/>
        <v>59017.023350870273</v>
      </c>
      <c r="AB22" s="51">
        <f t="shared" si="8"/>
        <v>67452.148021321613</v>
      </c>
      <c r="AC22" s="44">
        <f t="shared" si="9"/>
        <v>55171.56525275336</v>
      </c>
      <c r="AD22" s="44">
        <f t="shared" si="10"/>
        <v>0</v>
      </c>
      <c r="AE22" s="44">
        <f t="shared" si="18"/>
        <v>0</v>
      </c>
      <c r="AF22" s="52">
        <f>HLOOKUP(I22,ElecAvoidedCostsWOCC!$A$5:$Q$50,G22+1,FALSE)</f>
        <v>0.49980838947667638</v>
      </c>
      <c r="AG22" s="44">
        <f t="shared" si="11"/>
        <v>107709.20774061324</v>
      </c>
      <c r="AH22" s="52">
        <f>HLOOKUP(I22,ElecAvoidedCostsWOCC!$A$5:$Q$50,T22+1,FALSE)</f>
        <v>0.49980838947667638</v>
      </c>
      <c r="AI22" s="44">
        <f t="shared" si="12"/>
        <v>0</v>
      </c>
      <c r="AJ22" s="44">
        <f t="shared" si="13"/>
        <v>107709.20774061324</v>
      </c>
      <c r="AK22" s="44">
        <f>HLOOKUP(I22,ElecAvoidedCostsWOCC!$A$5:$Q$50,G22+1,FALSE)*J22*L22</f>
        <v>0</v>
      </c>
      <c r="AL22" s="44">
        <f t="shared" si="14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5"/>
        <v>118480.12851467458</v>
      </c>
      <c r="AO22" s="47">
        <f t="shared" si="16"/>
        <v>1.5968239841163603</v>
      </c>
      <c r="AP22" s="47">
        <f t="shared" si="17"/>
        <v>2.1474853572105563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992</v>
      </c>
      <c r="F23" s="39" t="s">
        <v>993</v>
      </c>
      <c r="G23" s="39">
        <v>10</v>
      </c>
      <c r="H23" s="39"/>
      <c r="I23" s="40" t="s">
        <v>256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1.8274569325055705E-2</v>
      </c>
      <c r="V23" s="48">
        <f t="shared" si="2"/>
        <v>3967</v>
      </c>
      <c r="W23" s="49">
        <f t="shared" si="3"/>
        <v>1.8274569325055707E-3</v>
      </c>
      <c r="X23" s="44">
        <f t="shared" si="4"/>
        <v>4163.8270137809541</v>
      </c>
      <c r="Y23" s="44">
        <f t="shared" si="5"/>
        <v>3967</v>
      </c>
      <c r="Z23" s="44">
        <f t="shared" si="6"/>
        <v>11776.210359280361</v>
      </c>
      <c r="AA23" s="50">
        <f t="shared" si="7"/>
        <v>17385.827013780952</v>
      </c>
      <c r="AB23" s="51">
        <f t="shared" si="8"/>
        <v>11008.890678957054</v>
      </c>
      <c r="AC23" s="44">
        <f t="shared" si="9"/>
        <v>16252.99337550804</v>
      </c>
      <c r="AD23" s="44">
        <f t="shared" si="10"/>
        <v>0</v>
      </c>
      <c r="AE23" s="44">
        <f t="shared" si="18"/>
        <v>0</v>
      </c>
      <c r="AF23" s="52">
        <f>HLOOKUP(I23,ElecAvoidedCostsWOCC!$A$5:$Q$50,G23+1,FALSE)</f>
        <v>0.70839718084543712</v>
      </c>
      <c r="AG23" s="44">
        <f t="shared" si="11"/>
        <v>24915.745644695715</v>
      </c>
      <c r="AH23" s="52">
        <f>HLOOKUP(I23,ElecAvoidedCostsWOCC!$A$5:$Q$50,T23+1,FALSE)</f>
        <v>0.70839718084543712</v>
      </c>
      <c r="AI23" s="44">
        <f t="shared" si="12"/>
        <v>0</v>
      </c>
      <c r="AJ23" s="44">
        <f t="shared" si="13"/>
        <v>24915.745644695715</v>
      </c>
      <c r="AK23" s="44">
        <f>HLOOKUP(I23,ElecAvoidedCostsWOCC!$A$5:$Q$50,G23+1,FALSE)*J23*L23</f>
        <v>0</v>
      </c>
      <c r="AL23" s="44">
        <f t="shared" si="14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5"/>
        <v>27407.320209165289</v>
      </c>
      <c r="AO23" s="47">
        <f t="shared" si="16"/>
        <v>2.2632385379501425</v>
      </c>
      <c r="AP23" s="47">
        <f t="shared" si="17"/>
        <v>1.6862936922416967</v>
      </c>
      <c r="AQ23">
        <v>2021</v>
      </c>
    </row>
    <row r="24" spans="1:43" ht="13.5" customHeight="1">
      <c r="A24" s="60">
        <f>(SUM(AN5:AN973)/SUM(AC5:AC973))</f>
        <v>2.2858116117361273</v>
      </c>
      <c r="B24" s="97" t="s">
        <v>65</v>
      </c>
      <c r="C24" s="98">
        <v>18230711</v>
      </c>
      <c r="D24" s="61" t="s">
        <v>125</v>
      </c>
      <c r="E24" s="38" t="s">
        <v>994</v>
      </c>
      <c r="F24" s="39" t="s">
        <v>995</v>
      </c>
      <c r="G24" s="39">
        <v>15</v>
      </c>
      <c r="H24" s="39"/>
      <c r="I24" s="40" t="s">
        <v>256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0.20247533852792762</v>
      </c>
      <c r="V24" s="48">
        <f t="shared" si="2"/>
        <v>25039</v>
      </c>
      <c r="W24" s="49">
        <f t="shared" si="3"/>
        <v>1.3498355901861842E-2</v>
      </c>
      <c r="X24" s="44">
        <f t="shared" si="4"/>
        <v>30755.75568762717</v>
      </c>
      <c r="Y24" s="44">
        <f t="shared" si="5"/>
        <v>25039</v>
      </c>
      <c r="Z24" s="44">
        <f t="shared" si="6"/>
        <v>86983.980731526244</v>
      </c>
      <c r="AA24" s="50">
        <f t="shared" si="7"/>
        <v>114219.75568762717</v>
      </c>
      <c r="AB24" s="51">
        <f t="shared" si="8"/>
        <v>81316.238881486614</v>
      </c>
      <c r="AC24" s="44">
        <f t="shared" si="9"/>
        <v>106777.37280324125</v>
      </c>
      <c r="AD24" s="44">
        <f t="shared" si="10"/>
        <v>0</v>
      </c>
      <c r="AE24" s="44">
        <f t="shared" si="18"/>
        <v>0</v>
      </c>
      <c r="AF24" s="52">
        <f>HLOOKUP(I24,ElecAvoidedCostsWOCC!$A$5:$Q$50,G24+1,FALSE)</f>
        <v>1.0293963841416951</v>
      </c>
      <c r="AG24" s="44">
        <f t="shared" si="11"/>
        <v>267432.03361809166</v>
      </c>
      <c r="AH24" s="52">
        <f>HLOOKUP(I24,ElecAvoidedCostsWOCC!$A$5:$Q$50,T24+1,FALSE)</f>
        <v>1.0293963841416951</v>
      </c>
      <c r="AI24" s="44">
        <f t="shared" si="12"/>
        <v>0</v>
      </c>
      <c r="AJ24" s="44">
        <f t="shared" si="13"/>
        <v>267432.03361809166</v>
      </c>
      <c r="AK24" s="44">
        <f>HLOOKUP(I24,ElecAvoidedCostsWOCC!$A$5:$Q$50,G24+1,FALSE)*J24*L24</f>
        <v>0</v>
      </c>
      <c r="AL24" s="44">
        <f t="shared" si="14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5"/>
        <v>294175.23697990086</v>
      </c>
      <c r="AO24" s="47">
        <f t="shared" si="16"/>
        <v>3.2887900042678719</v>
      </c>
      <c r="AP24" s="47">
        <f t="shared" si="17"/>
        <v>2.7550334800049616</v>
      </c>
      <c r="AQ24">
        <v>2021</v>
      </c>
    </row>
    <row r="25" spans="1:43" ht="13.5" customHeight="1">
      <c r="B25" s="97" t="s">
        <v>65</v>
      </c>
      <c r="C25" s="98">
        <v>18230711</v>
      </c>
      <c r="D25" s="61" t="s">
        <v>125</v>
      </c>
      <c r="E25" s="38" t="s">
        <v>994</v>
      </c>
      <c r="F25" s="39" t="s">
        <v>995</v>
      </c>
      <c r="G25" s="39">
        <v>15</v>
      </c>
      <c r="H25" s="39"/>
      <c r="I25" s="40" t="s">
        <v>256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si="0"/>
        <v>15</v>
      </c>
      <c r="U25" s="47">
        <f t="shared" si="1"/>
        <v>9.4003206206993942E-2</v>
      </c>
      <c r="V25" s="48">
        <f t="shared" si="2"/>
        <v>18852</v>
      </c>
      <c r="W25" s="49">
        <f t="shared" si="3"/>
        <v>6.266880413799596E-3</v>
      </c>
      <c r="X25" s="44">
        <f t="shared" si="4"/>
        <v>14278.971774911568</v>
      </c>
      <c r="Y25" s="44">
        <f t="shared" si="5"/>
        <v>18852</v>
      </c>
      <c r="Z25" s="44">
        <f t="shared" si="6"/>
        <v>40384.04448096783</v>
      </c>
      <c r="AA25" s="50">
        <f t="shared" si="7"/>
        <v>69315.971774911566</v>
      </c>
      <c r="AB25" s="51">
        <f t="shared" si="8"/>
        <v>37752.682510019469</v>
      </c>
      <c r="AC25" s="44">
        <f t="shared" si="9"/>
        <v>64799.450102749892</v>
      </c>
      <c r="AD25" s="44">
        <f t="shared" si="10"/>
        <v>0</v>
      </c>
      <c r="AE25" s="44">
        <f t="shared" si="18"/>
        <v>0</v>
      </c>
      <c r="AF25" s="52">
        <f>HLOOKUP(I25,ElecAvoidedCostsWOCC!$A$5:$Q$50,G25+1,FALSE)</f>
        <v>1.0293963841416951</v>
      </c>
      <c r="AG25" s="44">
        <f t="shared" si="11"/>
        <v>124160.64487325055</v>
      </c>
      <c r="AH25" s="52">
        <f>HLOOKUP(I25,ElecAvoidedCostsWOCC!$A$5:$Q$50,T25+1,FALSE)</f>
        <v>1.0293963841416951</v>
      </c>
      <c r="AI25" s="44">
        <f t="shared" si="12"/>
        <v>0</v>
      </c>
      <c r="AJ25" s="44">
        <f t="shared" si="13"/>
        <v>124160.64487325055</v>
      </c>
      <c r="AK25" s="44">
        <f>HLOOKUP(I25,ElecAvoidedCostsWOCC!$A$5:$Q$50,G25+1,FALSE)*J25*L25</f>
        <v>0</v>
      </c>
      <c r="AL25" s="44">
        <f t="shared" si="14"/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si="15"/>
        <v>136576.70936057562</v>
      </c>
      <c r="AO25" s="47">
        <f t="shared" si="16"/>
        <v>3.2887900042678719</v>
      </c>
      <c r="AP25" s="47">
        <f t="shared" si="17"/>
        <v>2.1076831538541052</v>
      </c>
      <c r="AQ25">
        <v>2021</v>
      </c>
    </row>
    <row r="26" spans="1:43" ht="13.5" customHeight="1">
      <c r="B26" s="97" t="s">
        <v>65</v>
      </c>
      <c r="C26" s="98">
        <v>18230711</v>
      </c>
      <c r="D26" s="61" t="s">
        <v>125</v>
      </c>
      <c r="E26" s="38" t="s">
        <v>996</v>
      </c>
      <c r="F26" s="39" t="s">
        <v>997</v>
      </c>
      <c r="G26" s="39">
        <v>7</v>
      </c>
      <c r="H26" s="39"/>
      <c r="I26" s="40" t="s">
        <v>257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0"/>
        <v>7</v>
      </c>
      <c r="U26" s="47">
        <f t="shared" si="1"/>
        <v>0.20277591393889502</v>
      </c>
      <c r="V26" s="48">
        <f t="shared" si="2"/>
        <v>88958</v>
      </c>
      <c r="W26" s="49">
        <f t="shared" si="3"/>
        <v>2.896798770555643E-2</v>
      </c>
      <c r="X26" s="44">
        <f t="shared" si="4"/>
        <v>66003.027265816418</v>
      </c>
      <c r="Y26" s="44">
        <f t="shared" si="5"/>
        <v>88958</v>
      </c>
      <c r="Z26" s="44">
        <f t="shared" si="6"/>
        <v>186670.94739024166</v>
      </c>
      <c r="AA26" s="50">
        <f t="shared" si="7"/>
        <v>266161.0272658164</v>
      </c>
      <c r="AB26" s="51">
        <f t="shared" si="8"/>
        <v>174507.75674510765</v>
      </c>
      <c r="AC26" s="44">
        <f t="shared" si="9"/>
        <v>248818.38577714909</v>
      </c>
      <c r="AD26" s="44">
        <f t="shared" si="10"/>
        <v>0</v>
      </c>
      <c r="AE26" s="44">
        <f t="shared" si="18"/>
        <v>0</v>
      </c>
      <c r="AF26" s="52">
        <f>HLOOKUP(I26,ElecAvoidedCostsWOCC!$A$5:$Q$50,G26+1,FALSE)</f>
        <v>0.51471879727314174</v>
      </c>
      <c r="AG26" s="44">
        <f t="shared" si="11"/>
        <v>286971.17104369472</v>
      </c>
      <c r="AH26" s="52">
        <f>HLOOKUP(I26,ElecAvoidedCostsWOCC!$A$5:$Q$50,T26+1,FALSE)</f>
        <v>0.51471879727314174</v>
      </c>
      <c r="AI26" s="44">
        <f t="shared" si="12"/>
        <v>0</v>
      </c>
      <c r="AJ26" s="44">
        <f t="shared" si="13"/>
        <v>286971.17104369472</v>
      </c>
      <c r="AK26" s="44">
        <f>HLOOKUP(I26,ElecAvoidedCostsWOCC!$A$5:$Q$50,G26+1,FALSE)*J26*L26</f>
        <v>0</v>
      </c>
      <c r="AL26" s="44">
        <f t="shared" si="1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15"/>
        <v>315668.28814806422</v>
      </c>
      <c r="AO26" s="47">
        <f t="shared" si="16"/>
        <v>1.6444608331241986</v>
      </c>
      <c r="AP26" s="47">
        <f t="shared" si="17"/>
        <v>1.2686694641238785</v>
      </c>
      <c r="AQ26">
        <v>2021</v>
      </c>
    </row>
    <row r="27" spans="1:43" ht="13.5" customHeight="1">
      <c r="B27" s="97" t="s">
        <v>65</v>
      </c>
      <c r="C27" s="98">
        <v>18230711</v>
      </c>
      <c r="D27" s="61" t="s">
        <v>125</v>
      </c>
      <c r="E27" s="38" t="s">
        <v>998</v>
      </c>
      <c r="F27" s="39" t="s">
        <v>999</v>
      </c>
      <c r="G27" s="39">
        <v>15</v>
      </c>
      <c r="H27" s="39"/>
      <c r="I27" s="40" t="s">
        <v>256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0"/>
        <v>15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4">
        <f t="shared" si="4"/>
        <v>0</v>
      </c>
      <c r="Y27" s="44">
        <f t="shared" si="5"/>
        <v>0</v>
      </c>
      <c r="Z27" s="44">
        <f t="shared" si="6"/>
        <v>0</v>
      </c>
      <c r="AA27" s="50">
        <f t="shared" si="7"/>
        <v>0</v>
      </c>
      <c r="AB27" s="51">
        <f t="shared" si="8"/>
        <v>0</v>
      </c>
      <c r="AC27" s="44">
        <f t="shared" si="9"/>
        <v>0</v>
      </c>
      <c r="AD27" s="44">
        <f t="shared" si="10"/>
        <v>0</v>
      </c>
      <c r="AE27" s="44">
        <f t="shared" si="18"/>
        <v>0</v>
      </c>
      <c r="AF27" s="52">
        <f>HLOOKUP(I27,ElecAvoidedCostsWOCC!$A$5:$Q$50,G27+1,FALSE)</f>
        <v>1.0293963841416951</v>
      </c>
      <c r="AG27" s="44">
        <f t="shared" si="11"/>
        <v>0</v>
      </c>
      <c r="AH27" s="52">
        <f>HLOOKUP(I27,ElecAvoidedCostsWOCC!$A$5:$Q$50,T27+1,FALSE)</f>
        <v>1.0293963841416951</v>
      </c>
      <c r="AI27" s="44">
        <f t="shared" si="12"/>
        <v>0</v>
      </c>
      <c r="AJ27" s="44">
        <f t="shared" si="13"/>
        <v>0</v>
      </c>
      <c r="AK27" s="44">
        <f>HLOOKUP(I27,ElecAvoidedCostsWOCC!$A$5:$Q$50,G27+1,FALSE)*J27*L27</f>
        <v>0</v>
      </c>
      <c r="AL27" s="44">
        <f t="shared" si="1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5"/>
        <v>0</v>
      </c>
      <c r="AO27" s="47">
        <f t="shared" si="16"/>
        <v>0</v>
      </c>
      <c r="AP27" s="47" t="e">
        <f t="shared" si="17"/>
        <v>#DIV/0!</v>
      </c>
      <c r="AQ27">
        <v>2021</v>
      </c>
    </row>
    <row r="28" spans="1:43" ht="13.5" customHeight="1">
      <c r="B28" s="97" t="s">
        <v>65</v>
      </c>
      <c r="C28" s="98">
        <v>18230711</v>
      </c>
      <c r="D28" s="61" t="s">
        <v>125</v>
      </c>
      <c r="E28" s="38" t="s">
        <v>1000</v>
      </c>
      <c r="F28" s="39" t="s">
        <v>1001</v>
      </c>
      <c r="G28" s="39">
        <v>15</v>
      </c>
      <c r="H28" s="39"/>
      <c r="I28" s="40" t="s">
        <v>256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0"/>
        <v>15</v>
      </c>
      <c r="U28" s="47">
        <f t="shared" si="1"/>
        <v>1.5021496467550481E-2</v>
      </c>
      <c r="V28" s="48">
        <f t="shared" si="2"/>
        <v>2054.16</v>
      </c>
      <c r="W28" s="49">
        <f t="shared" si="3"/>
        <v>1.0014330978366987E-3</v>
      </c>
      <c r="X28" s="44">
        <f t="shared" si="4"/>
        <v>2281.7468970662489</v>
      </c>
      <c r="Y28" s="44">
        <f t="shared" si="5"/>
        <v>2054.16</v>
      </c>
      <c r="Z28" s="44">
        <f t="shared" si="6"/>
        <v>6453.2775635383168</v>
      </c>
      <c r="AA28" s="50">
        <f t="shared" si="7"/>
        <v>8988.9068970662483</v>
      </c>
      <c r="AB28" s="51">
        <f t="shared" si="8"/>
        <v>6032.7919636704837</v>
      </c>
      <c r="AC28" s="44">
        <f t="shared" si="9"/>
        <v>8403.2036057457681</v>
      </c>
      <c r="AD28" s="44">
        <f t="shared" si="10"/>
        <v>0</v>
      </c>
      <c r="AE28" s="44">
        <f t="shared" si="18"/>
        <v>0</v>
      </c>
      <c r="AF28" s="52">
        <f>HLOOKUP(I28,ElecAvoidedCostsWOCC!$A$5:$Q$50,G28+1,FALSE)</f>
        <v>1.0293963841416951</v>
      </c>
      <c r="AG28" s="44">
        <f t="shared" si="11"/>
        <v>19840.585907947032</v>
      </c>
      <c r="AH28" s="52">
        <f>HLOOKUP(I28,ElecAvoidedCostsWOCC!$A$5:$Q$50,T28+1,FALSE)</f>
        <v>1.0293963841416951</v>
      </c>
      <c r="AI28" s="44">
        <f t="shared" si="12"/>
        <v>0</v>
      </c>
      <c r="AJ28" s="44">
        <f t="shared" si="13"/>
        <v>19840.585907947032</v>
      </c>
      <c r="AK28" s="44">
        <f>HLOOKUP(I28,ElecAvoidedCostsWOCC!$A$5:$Q$50,G28+1,FALSE)*J28*L28</f>
        <v>0</v>
      </c>
      <c r="AL28" s="44">
        <f t="shared" si="1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15"/>
        <v>21824.644498741738</v>
      </c>
      <c r="AO28" s="47">
        <f t="shared" si="16"/>
        <v>3.2887900042678715</v>
      </c>
      <c r="AP28" s="47">
        <f t="shared" si="17"/>
        <v>2.5971814468257004</v>
      </c>
      <c r="AQ28">
        <v>2021</v>
      </c>
    </row>
    <row r="29" spans="1:43">
      <c r="B29" s="97" t="s">
        <v>65</v>
      </c>
      <c r="C29" s="98">
        <v>18230711</v>
      </c>
      <c r="D29" s="61" t="s">
        <v>125</v>
      </c>
      <c r="E29" s="38" t="s">
        <v>1002</v>
      </c>
      <c r="F29" s="39" t="s">
        <v>1003</v>
      </c>
      <c r="G29" s="39">
        <v>15</v>
      </c>
      <c r="H29" s="39"/>
      <c r="I29" s="40" t="s">
        <v>256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0"/>
        <v>15</v>
      </c>
      <c r="U29" s="47">
        <f t="shared" si="1"/>
        <v>6.6129967664632458E-2</v>
      </c>
      <c r="V29" s="48">
        <f t="shared" si="2"/>
        <v>3423</v>
      </c>
      <c r="W29" s="49">
        <f t="shared" si="3"/>
        <v>4.4086645109754968E-3</v>
      </c>
      <c r="X29" s="44">
        <f t="shared" si="4"/>
        <v>10045.061012917313</v>
      </c>
      <c r="Y29" s="44">
        <f t="shared" si="5"/>
        <v>3423</v>
      </c>
      <c r="Z29" s="44">
        <f t="shared" si="6"/>
        <v>28409.622006007558</v>
      </c>
      <c r="AA29" s="50">
        <f t="shared" si="7"/>
        <v>21455.061012917315</v>
      </c>
      <c r="AB29" s="51">
        <f t="shared" si="8"/>
        <v>26558.494910729696</v>
      </c>
      <c r="AC29" s="44">
        <f t="shared" si="9"/>
        <v>20057.082371615699</v>
      </c>
      <c r="AD29" s="44">
        <f t="shared" si="10"/>
        <v>0</v>
      </c>
      <c r="AE29" s="44">
        <f t="shared" si="18"/>
        <v>0</v>
      </c>
      <c r="AF29" s="52">
        <f>HLOOKUP(I29,ElecAvoidedCostsWOCC!$A$5:$Q$50,G29+1,FALSE)</f>
        <v>1.0293963841416951</v>
      </c>
      <c r="AG29" s="44">
        <f t="shared" si="11"/>
        <v>87345.312590806978</v>
      </c>
      <c r="AH29" s="52">
        <f>HLOOKUP(I29,ElecAvoidedCostsWOCC!$A$5:$Q$50,T29+1,FALSE)</f>
        <v>1.0293963841416951</v>
      </c>
      <c r="AI29" s="44">
        <f t="shared" si="12"/>
        <v>0</v>
      </c>
      <c r="AJ29" s="44">
        <f t="shared" si="13"/>
        <v>87345.312590806978</v>
      </c>
      <c r="AK29" s="44">
        <f>HLOOKUP(I29,ElecAvoidedCostsWOCC!$A$5:$Q$50,G29+1,FALSE)*J29*L29</f>
        <v>0</v>
      </c>
      <c r="AL29" s="44">
        <f t="shared" si="1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15"/>
        <v>96079.843849887679</v>
      </c>
      <c r="AO29" s="47">
        <f t="shared" si="16"/>
        <v>3.2887900042678719</v>
      </c>
      <c r="AP29" s="47">
        <f t="shared" si="17"/>
        <v>4.7903200510288357</v>
      </c>
      <c r="AQ29">
        <v>2021</v>
      </c>
    </row>
    <row r="30" spans="1:43">
      <c r="B30" s="97" t="s">
        <v>65</v>
      </c>
      <c r="C30" s="98">
        <v>18230711</v>
      </c>
      <c r="D30" s="61" t="s">
        <v>125</v>
      </c>
      <c r="E30" s="38" t="s">
        <v>1002</v>
      </c>
      <c r="F30" s="39" t="s">
        <v>1003</v>
      </c>
      <c r="G30" s="39">
        <v>15</v>
      </c>
      <c r="H30" s="39"/>
      <c r="I30" s="40" t="s">
        <v>256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0"/>
        <v>15</v>
      </c>
      <c r="U30" s="47">
        <f t="shared" si="1"/>
        <v>0.14727753496780543</v>
      </c>
      <c r="V30" s="48">
        <f t="shared" si="2"/>
        <v>19076</v>
      </c>
      <c r="W30" s="49">
        <f t="shared" si="3"/>
        <v>9.818502331187029E-3</v>
      </c>
      <c r="X30" s="44">
        <f t="shared" si="4"/>
        <v>22371.276999351772</v>
      </c>
      <c r="Y30" s="44">
        <f t="shared" si="5"/>
        <v>19076</v>
      </c>
      <c r="Z30" s="44">
        <f t="shared" si="6"/>
        <v>63270.847486738567</v>
      </c>
      <c r="AA30" s="50">
        <f t="shared" si="7"/>
        <v>79850.276999351772</v>
      </c>
      <c r="AB30" s="51">
        <f t="shared" si="8"/>
        <v>59148.216777356793</v>
      </c>
      <c r="AC30" s="44">
        <f t="shared" si="9"/>
        <v>74647.356267506562</v>
      </c>
      <c r="AD30" s="44">
        <f t="shared" si="10"/>
        <v>0</v>
      </c>
      <c r="AE30" s="44">
        <f t="shared" si="18"/>
        <v>0</v>
      </c>
      <c r="AF30" s="52">
        <f>HLOOKUP(I30,ElecAvoidedCostsWOCC!$A$5:$Q$50,G30+1,FALSE)</f>
        <v>1.0293963841416951</v>
      </c>
      <c r="AG30" s="44">
        <f t="shared" si="11"/>
        <v>194526.06410764027</v>
      </c>
      <c r="AH30" s="52">
        <f>HLOOKUP(I30,ElecAvoidedCostsWOCC!$A$5:$Q$50,T30+1,FALSE)</f>
        <v>1.0293963841416951</v>
      </c>
      <c r="AI30" s="44">
        <f t="shared" si="12"/>
        <v>0</v>
      </c>
      <c r="AJ30" s="44">
        <f t="shared" si="13"/>
        <v>194526.06410764027</v>
      </c>
      <c r="AK30" s="44">
        <f>HLOOKUP(I30,ElecAvoidedCostsWOCC!$A$5:$Q$50,G30+1,FALSE)*J30*L30</f>
        <v>0</v>
      </c>
      <c r="AL30" s="44">
        <f t="shared" si="1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15"/>
        <v>213978.67051840431</v>
      </c>
      <c r="AO30" s="47">
        <f t="shared" si="16"/>
        <v>3.2887900042678719</v>
      </c>
      <c r="AP30" s="47">
        <f t="shared" si="17"/>
        <v>2.8665271111757731</v>
      </c>
      <c r="AQ30">
        <v>2021</v>
      </c>
    </row>
    <row r="31" spans="1:43">
      <c r="B31" s="97" t="s">
        <v>65</v>
      </c>
      <c r="C31" s="98">
        <v>18230711</v>
      </c>
      <c r="D31" s="61" t="s">
        <v>125</v>
      </c>
      <c r="E31" s="38" t="s">
        <v>1004</v>
      </c>
      <c r="F31" s="39" t="s">
        <v>1005</v>
      </c>
      <c r="G31" s="39">
        <v>20</v>
      </c>
      <c r="H31" s="39"/>
      <c r="I31" s="40" t="s">
        <v>259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0"/>
        <v>20</v>
      </c>
      <c r="U31" s="47">
        <f t="shared" si="1"/>
        <v>0.22284146587692316</v>
      </c>
      <c r="V31" s="48">
        <f t="shared" si="2"/>
        <v>82244</v>
      </c>
      <c r="W31" s="49">
        <f t="shared" si="3"/>
        <v>1.1142073293846158E-2</v>
      </c>
      <c r="X31" s="44">
        <f t="shared" si="4"/>
        <v>25387.009097300597</v>
      </c>
      <c r="Y31" s="44">
        <f t="shared" si="5"/>
        <v>82244</v>
      </c>
      <c r="Z31" s="44">
        <f t="shared" si="6"/>
        <v>71799.995180708429</v>
      </c>
      <c r="AA31" s="50">
        <f t="shared" si="7"/>
        <v>182687.00909730059</v>
      </c>
      <c r="AB31" s="51">
        <f t="shared" si="8"/>
        <v>67121.618379647029</v>
      </c>
      <c r="AC31" s="44">
        <f t="shared" si="9"/>
        <v>170783.40571870672</v>
      </c>
      <c r="AD31" s="44">
        <f t="shared" si="10"/>
        <v>0</v>
      </c>
      <c r="AE31" s="44">
        <f t="shared" si="18"/>
        <v>0</v>
      </c>
      <c r="AF31" s="52">
        <f>HLOOKUP(I31,ElecAvoidedCostsWOCC!$A$5:$Q$50,G31+1,FALSE)</f>
        <v>1.1073323783937479</v>
      </c>
      <c r="AG31" s="44">
        <f t="shared" si="11"/>
        <v>237461.89188464725</v>
      </c>
      <c r="AH31" s="52">
        <f>HLOOKUP(I31,ElecAvoidedCostsWOCC!$A$5:$Q$50,T31+1,FALSE)</f>
        <v>1.1073323783937479</v>
      </c>
      <c r="AI31" s="44">
        <f t="shared" si="12"/>
        <v>0</v>
      </c>
      <c r="AJ31" s="44">
        <f t="shared" si="13"/>
        <v>237461.89188464725</v>
      </c>
      <c r="AK31" s="44">
        <f>HLOOKUP(I31,ElecAvoidedCostsWOCC!$A$5:$Q$50,G31+1,FALSE)*J31*L31</f>
        <v>0</v>
      </c>
      <c r="AL31" s="44">
        <f t="shared" si="1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15"/>
        <v>261208.081073112</v>
      </c>
      <c r="AO31" s="47">
        <f t="shared" si="16"/>
        <v>3.5377855542984302</v>
      </c>
      <c r="AP31" s="47">
        <f t="shared" si="17"/>
        <v>1.5294699152641422</v>
      </c>
      <c r="AQ31">
        <v>2021</v>
      </c>
    </row>
    <row r="32" spans="1:43">
      <c r="B32" s="97" t="s">
        <v>65</v>
      </c>
      <c r="C32" s="98">
        <v>18230711</v>
      </c>
      <c r="D32" s="61" t="s">
        <v>125</v>
      </c>
      <c r="E32" s="38" t="s">
        <v>1006</v>
      </c>
      <c r="F32" s="39" t="s">
        <v>1007</v>
      </c>
      <c r="G32" s="39">
        <v>24</v>
      </c>
      <c r="H32" s="39"/>
      <c r="I32" s="40" t="s">
        <v>255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0"/>
        <v>24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4">
        <f t="shared" si="4"/>
        <v>0</v>
      </c>
      <c r="Y32" s="44">
        <f t="shared" si="5"/>
        <v>0</v>
      </c>
      <c r="Z32" s="44">
        <f t="shared" si="6"/>
        <v>0</v>
      </c>
      <c r="AA32" s="50">
        <f t="shared" si="7"/>
        <v>0</v>
      </c>
      <c r="AB32" s="51">
        <f t="shared" si="8"/>
        <v>0</v>
      </c>
      <c r="AC32" s="44">
        <f t="shared" si="9"/>
        <v>0</v>
      </c>
      <c r="AD32" s="44">
        <f t="shared" si="10"/>
        <v>0</v>
      </c>
      <c r="AE32" s="44">
        <f t="shared" si="18"/>
        <v>0</v>
      </c>
      <c r="AF32" s="52">
        <f>HLOOKUP(I32,ElecAvoidedCostsWOCC!$A$5:$Q$50,G32+1,FALSE)</f>
        <v>1.4345808139443847</v>
      </c>
      <c r="AG32" s="44">
        <f t="shared" si="11"/>
        <v>0</v>
      </c>
      <c r="AH32" s="52">
        <f>HLOOKUP(I32,ElecAvoidedCostsWOCC!$A$5:$Q$50,T32+1,FALSE)</f>
        <v>1.4345808139443847</v>
      </c>
      <c r="AI32" s="44">
        <f t="shared" si="12"/>
        <v>0</v>
      </c>
      <c r="AJ32" s="44">
        <f t="shared" si="13"/>
        <v>0</v>
      </c>
      <c r="AK32" s="44">
        <f>HLOOKUP(I32,ElecAvoidedCostsWOCC!$A$5:$Q$50,G32+1,FALSE)*J32*L32</f>
        <v>0</v>
      </c>
      <c r="AL32" s="44">
        <f t="shared" si="1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5"/>
        <v>0</v>
      </c>
      <c r="AO32" s="47">
        <f t="shared" si="16"/>
        <v>0</v>
      </c>
      <c r="AP32" s="47" t="e">
        <f t="shared" si="17"/>
        <v>#DIV/0!</v>
      </c>
      <c r="AQ32">
        <v>2021</v>
      </c>
    </row>
    <row r="33" spans="2:43">
      <c r="B33" s="97" t="s">
        <v>65</v>
      </c>
      <c r="C33" s="98">
        <v>18230711</v>
      </c>
      <c r="D33" s="61" t="s">
        <v>125</v>
      </c>
      <c r="E33" s="38" t="s">
        <v>1006</v>
      </c>
      <c r="F33" s="39" t="s">
        <v>1007</v>
      </c>
      <c r="G33" s="39">
        <v>24</v>
      </c>
      <c r="H33" s="39"/>
      <c r="I33" s="40" t="s">
        <v>255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0"/>
        <v>24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4">
        <f t="shared" si="4"/>
        <v>0</v>
      </c>
      <c r="Y33" s="44">
        <f t="shared" si="5"/>
        <v>0</v>
      </c>
      <c r="Z33" s="44">
        <f t="shared" si="6"/>
        <v>0</v>
      </c>
      <c r="AA33" s="50">
        <f t="shared" si="7"/>
        <v>0</v>
      </c>
      <c r="AB33" s="51">
        <f t="shared" si="8"/>
        <v>0</v>
      </c>
      <c r="AC33" s="44">
        <f t="shared" si="9"/>
        <v>0</v>
      </c>
      <c r="AD33" s="44">
        <f t="shared" si="10"/>
        <v>0</v>
      </c>
      <c r="AE33" s="44">
        <f t="shared" si="18"/>
        <v>0</v>
      </c>
      <c r="AF33" s="52">
        <f>HLOOKUP(I33,ElecAvoidedCostsWOCC!$A$5:$Q$50,G33+1,FALSE)</f>
        <v>1.4345808139443847</v>
      </c>
      <c r="AG33" s="44">
        <f t="shared" si="11"/>
        <v>0</v>
      </c>
      <c r="AH33" s="52">
        <f>HLOOKUP(I33,ElecAvoidedCostsWOCC!$A$5:$Q$50,T33+1,FALSE)</f>
        <v>1.4345808139443847</v>
      </c>
      <c r="AI33" s="44">
        <f t="shared" si="12"/>
        <v>0</v>
      </c>
      <c r="AJ33" s="44">
        <f t="shared" si="13"/>
        <v>0</v>
      </c>
      <c r="AK33" s="44">
        <f>HLOOKUP(I33,ElecAvoidedCostsWOCC!$A$5:$Q$50,G33+1,FALSE)*J33*L33</f>
        <v>0</v>
      </c>
      <c r="AL33" s="44">
        <f t="shared" si="1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5"/>
        <v>0</v>
      </c>
      <c r="AO33" s="47">
        <f t="shared" si="16"/>
        <v>0</v>
      </c>
      <c r="AP33" s="47" t="e">
        <f t="shared" si="17"/>
        <v>#DIV/0!</v>
      </c>
      <c r="AQ33">
        <v>2021</v>
      </c>
    </row>
    <row r="34" spans="2:43">
      <c r="B34" s="97" t="s">
        <v>65</v>
      </c>
      <c r="C34" s="98">
        <v>18230711</v>
      </c>
      <c r="D34" s="61" t="s">
        <v>125</v>
      </c>
      <c r="E34" s="38" t="s">
        <v>1006</v>
      </c>
      <c r="F34" s="39" t="s">
        <v>1007</v>
      </c>
      <c r="G34" s="39">
        <v>24</v>
      </c>
      <c r="H34" s="39"/>
      <c r="I34" s="40" t="s">
        <v>255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0"/>
        <v>24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4">
        <f t="shared" si="4"/>
        <v>0</v>
      </c>
      <c r="Y34" s="44">
        <f t="shared" si="5"/>
        <v>0</v>
      </c>
      <c r="Z34" s="44">
        <f t="shared" si="6"/>
        <v>0</v>
      </c>
      <c r="AA34" s="50">
        <f t="shared" si="7"/>
        <v>0</v>
      </c>
      <c r="AB34" s="51">
        <f t="shared" si="8"/>
        <v>0</v>
      </c>
      <c r="AC34" s="44">
        <f t="shared" si="9"/>
        <v>0</v>
      </c>
      <c r="AD34" s="44">
        <f t="shared" si="10"/>
        <v>0</v>
      </c>
      <c r="AE34" s="44">
        <f t="shared" si="18"/>
        <v>0</v>
      </c>
      <c r="AF34" s="52">
        <f>HLOOKUP(I34,ElecAvoidedCostsWOCC!$A$5:$Q$50,G34+1,FALSE)</f>
        <v>1.4345808139443847</v>
      </c>
      <c r="AG34" s="44">
        <f t="shared" si="11"/>
        <v>0</v>
      </c>
      <c r="AH34" s="52">
        <f>HLOOKUP(I34,ElecAvoidedCostsWOCC!$A$5:$Q$50,T34+1,FALSE)</f>
        <v>1.4345808139443847</v>
      </c>
      <c r="AI34" s="44">
        <f t="shared" si="12"/>
        <v>0</v>
      </c>
      <c r="AJ34" s="44">
        <f t="shared" si="13"/>
        <v>0</v>
      </c>
      <c r="AK34" s="44">
        <f>HLOOKUP(I34,ElecAvoidedCostsWOCC!$A$5:$Q$50,G34+1,FALSE)*J34*L34</f>
        <v>0</v>
      </c>
      <c r="AL34" s="44">
        <f t="shared" si="1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5"/>
        <v>0</v>
      </c>
      <c r="AO34" s="47">
        <f t="shared" si="16"/>
        <v>0</v>
      </c>
      <c r="AP34" s="47" t="e">
        <f t="shared" si="17"/>
        <v>#DIV/0!</v>
      </c>
      <c r="AQ34">
        <v>2021</v>
      </c>
    </row>
    <row r="35" spans="2:43">
      <c r="B35" s="97" t="s">
        <v>65</v>
      </c>
      <c r="C35" s="98">
        <v>18230711</v>
      </c>
      <c r="D35" s="61" t="s">
        <v>125</v>
      </c>
      <c r="E35" s="38" t="s">
        <v>1006</v>
      </c>
      <c r="F35" s="39" t="s">
        <v>1007</v>
      </c>
      <c r="G35" s="39">
        <v>24</v>
      </c>
      <c r="H35" s="39"/>
      <c r="I35" s="40" t="s">
        <v>255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0"/>
        <v>24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4">
        <f t="shared" si="4"/>
        <v>0</v>
      </c>
      <c r="Y35" s="44">
        <f t="shared" si="5"/>
        <v>0</v>
      </c>
      <c r="Z35" s="44">
        <f t="shared" si="6"/>
        <v>0</v>
      </c>
      <c r="AA35" s="50">
        <f t="shared" si="7"/>
        <v>0</v>
      </c>
      <c r="AB35" s="51">
        <f t="shared" si="8"/>
        <v>0</v>
      </c>
      <c r="AC35" s="44">
        <f t="shared" si="9"/>
        <v>0</v>
      </c>
      <c r="AD35" s="44">
        <f t="shared" si="10"/>
        <v>0</v>
      </c>
      <c r="AE35" s="44">
        <f t="shared" si="18"/>
        <v>0</v>
      </c>
      <c r="AF35" s="52">
        <f>HLOOKUP(I35,ElecAvoidedCostsWOCC!$A$5:$Q$50,G35+1,FALSE)</f>
        <v>1.4345808139443847</v>
      </c>
      <c r="AG35" s="44">
        <f t="shared" si="11"/>
        <v>0</v>
      </c>
      <c r="AH35" s="52">
        <f>HLOOKUP(I35,ElecAvoidedCostsWOCC!$A$5:$Q$50,T35+1,FALSE)</f>
        <v>1.4345808139443847</v>
      </c>
      <c r="AI35" s="44">
        <f t="shared" si="12"/>
        <v>0</v>
      </c>
      <c r="AJ35" s="44">
        <f t="shared" si="13"/>
        <v>0</v>
      </c>
      <c r="AK35" s="44">
        <f>HLOOKUP(I35,ElecAvoidedCostsWOCC!$A$5:$Q$50,G35+1,FALSE)*J35*L35</f>
        <v>0</v>
      </c>
      <c r="AL35" s="44">
        <f t="shared" si="1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5"/>
        <v>0</v>
      </c>
      <c r="AO35" s="47">
        <f t="shared" si="16"/>
        <v>0</v>
      </c>
      <c r="AP35" s="47" t="e">
        <f t="shared" si="17"/>
        <v>#DIV/0!</v>
      </c>
      <c r="AQ35">
        <v>2021</v>
      </c>
    </row>
    <row r="36" spans="2:43">
      <c r="B36" s="97" t="s">
        <v>65</v>
      </c>
      <c r="C36" s="98">
        <v>18230711</v>
      </c>
      <c r="D36" s="61" t="s">
        <v>125</v>
      </c>
      <c r="E36" s="38" t="s">
        <v>1008</v>
      </c>
      <c r="F36" s="39" t="s">
        <v>1009</v>
      </c>
      <c r="G36" s="39">
        <v>30</v>
      </c>
      <c r="H36" s="39"/>
      <c r="I36" s="40" t="s">
        <v>255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0"/>
        <v>30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4">
        <f t="shared" si="4"/>
        <v>0</v>
      </c>
      <c r="Y36" s="44">
        <f t="shared" si="5"/>
        <v>0</v>
      </c>
      <c r="Z36" s="44">
        <f t="shared" si="6"/>
        <v>0</v>
      </c>
      <c r="AA36" s="50">
        <f t="shared" si="7"/>
        <v>0</v>
      </c>
      <c r="AB36" s="51">
        <f t="shared" si="8"/>
        <v>0</v>
      </c>
      <c r="AC36" s="44">
        <f t="shared" si="9"/>
        <v>0</v>
      </c>
      <c r="AD36" s="44">
        <f t="shared" si="10"/>
        <v>0</v>
      </c>
      <c r="AE36" s="44">
        <f t="shared" si="18"/>
        <v>0</v>
      </c>
      <c r="AF36" s="52">
        <f>HLOOKUP(I36,ElecAvoidedCostsWOCC!$A$5:$Q$50,G36+1,FALSE)</f>
        <v>1.6159766001539988</v>
      </c>
      <c r="AG36" s="44">
        <f t="shared" si="11"/>
        <v>0</v>
      </c>
      <c r="AH36" s="52">
        <f>HLOOKUP(I36,ElecAvoidedCostsWOCC!$A$5:$Q$50,T36+1,FALSE)</f>
        <v>1.6159766001539988</v>
      </c>
      <c r="AI36" s="44">
        <f t="shared" si="12"/>
        <v>0</v>
      </c>
      <c r="AJ36" s="44">
        <f t="shared" si="13"/>
        <v>0</v>
      </c>
      <c r="AK36" s="44">
        <f>HLOOKUP(I36,ElecAvoidedCostsWOCC!$A$5:$Q$50,G36+1,FALSE)*J36*L36</f>
        <v>0</v>
      </c>
      <c r="AL36" s="44">
        <f t="shared" si="1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5"/>
        <v>0</v>
      </c>
      <c r="AO36" s="47">
        <f t="shared" si="16"/>
        <v>0</v>
      </c>
      <c r="AP36" s="47" t="e">
        <f t="shared" si="17"/>
        <v>#DIV/0!</v>
      </c>
      <c r="AQ36">
        <v>2021</v>
      </c>
    </row>
    <row r="37" spans="2:43">
      <c r="B37" s="97" t="s">
        <v>65</v>
      </c>
      <c r="C37" s="98">
        <v>18230711</v>
      </c>
      <c r="D37" s="61" t="s">
        <v>125</v>
      </c>
      <c r="E37" s="38" t="s">
        <v>1010</v>
      </c>
      <c r="F37" s="39" t="s">
        <v>1011</v>
      </c>
      <c r="G37" s="39">
        <v>15</v>
      </c>
      <c r="H37" s="39"/>
      <c r="I37" s="40" t="s">
        <v>256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ref="T37:T68" si="19">G37+H37</f>
        <v>15</v>
      </c>
      <c r="U37" s="47">
        <f t="shared" ref="U37:U68" si="20">(O37/$A$10)*T37</f>
        <v>0</v>
      </c>
      <c r="V37" s="48">
        <f t="shared" ref="V37:V68" si="21">N37-M37</f>
        <v>0</v>
      </c>
      <c r="W37" s="49">
        <f t="shared" ref="W37:W68" si="22">(O37/A$10)</f>
        <v>0</v>
      </c>
      <c r="X37" s="44">
        <f t="shared" ref="X37:X68" si="23">W37*A$8</f>
        <v>0</v>
      </c>
      <c r="Y37" s="44">
        <f t="shared" ref="Y37:Y68" si="24">Q37-P37</f>
        <v>0</v>
      </c>
      <c r="Z37" s="44">
        <f t="shared" ref="Z37:Z68" si="25">X37+(A$6*W37)</f>
        <v>0</v>
      </c>
      <c r="AA37" s="50">
        <f t="shared" ref="AA37:AA68" si="26">Q37+X37</f>
        <v>0</v>
      </c>
      <c r="AB37" s="51">
        <f t="shared" ref="AB37:AB65" si="27">Z37/(1+ElecDiscountRate)^1</f>
        <v>0</v>
      </c>
      <c r="AC37" s="44">
        <f t="shared" ref="AC37:AC65" si="28">AA37/(1+ElecDiscountRate)^1</f>
        <v>0</v>
      </c>
      <c r="AD37" s="44">
        <f t="shared" ref="AD37:AD68" si="29">-PV(ElecDiscountRate,T37,R37)*J37</f>
        <v>0</v>
      </c>
      <c r="AE37" s="44">
        <f t="shared" si="18"/>
        <v>0</v>
      </c>
      <c r="AF37" s="52">
        <f>HLOOKUP(I37,ElecAvoidedCostsWOCC!$A$5:$Q$50,G37+1,FALSE)</f>
        <v>1.0293963841416951</v>
      </c>
      <c r="AG37" s="44">
        <f t="shared" ref="AG37:AG68" si="30">AF37*J37*K37</f>
        <v>0</v>
      </c>
      <c r="AH37" s="52">
        <f>HLOOKUP(I37,ElecAvoidedCostsWOCC!$A$5:$Q$50,T37+1,FALSE)</f>
        <v>1.0293963841416951</v>
      </c>
      <c r="AI37" s="44">
        <f t="shared" ref="AI37:AI68" si="31">AH37*J37*L37</f>
        <v>0</v>
      </c>
      <c r="AJ37" s="44">
        <f t="shared" ref="AJ37:AJ68" si="32">AG37+AI37</f>
        <v>0</v>
      </c>
      <c r="AK37" s="44">
        <f>HLOOKUP(I37,ElecAvoidedCostsWOCC!$A$5:$Q$50,G37+1,FALSE)*J37*L37</f>
        <v>0</v>
      </c>
      <c r="AL37" s="44">
        <f t="shared" ref="AL37:AL68" si="33">AG37+AI37-AK37</f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ref="AN37:AN68" si="34">AM37*1.1+AD37+AE37</f>
        <v>0</v>
      </c>
      <c r="AO37" s="47">
        <f t="shared" ref="AO37:AO68" si="35">IFERROR(AM37/AB37,0)</f>
        <v>0</v>
      </c>
      <c r="AP37" s="47" t="e">
        <f t="shared" ref="AP37:AP68" si="36">AN37/AC37</f>
        <v>#DIV/0!</v>
      </c>
      <c r="AQ37">
        <v>2021</v>
      </c>
    </row>
    <row r="38" spans="2:43">
      <c r="B38" s="97" t="s">
        <v>65</v>
      </c>
      <c r="C38" s="98">
        <v>18230711</v>
      </c>
      <c r="D38" s="61" t="s">
        <v>125</v>
      </c>
      <c r="E38" s="38" t="s">
        <v>1010</v>
      </c>
      <c r="F38" s="39" t="s">
        <v>1011</v>
      </c>
      <c r="G38" s="39">
        <v>15</v>
      </c>
      <c r="H38" s="39"/>
      <c r="I38" s="40" t="s">
        <v>256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18"/>
        <v>0</v>
      </c>
      <c r="AF38" s="52">
        <f>HLOOKUP(I38,ElecAvoidedCostsWOCC!$A$5:$Q$50,G38+1,FALSE)</f>
        <v>1.0293963841416951</v>
      </c>
      <c r="AG38" s="44">
        <f t="shared" si="30"/>
        <v>0</v>
      </c>
      <c r="AH38" s="52">
        <f>HLOOKUP(I38,ElecAvoidedCostsWOCC!$A$5:$Q$50,T38+1,FALSE)</f>
        <v>1.0293963841416951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 t="e">
        <f t="shared" si="36"/>
        <v>#DIV/0!</v>
      </c>
      <c r="AQ38">
        <v>2021</v>
      </c>
    </row>
    <row r="39" spans="2:43">
      <c r="B39" s="97" t="s">
        <v>65</v>
      </c>
      <c r="C39" s="98">
        <v>18230711</v>
      </c>
      <c r="D39" s="61" t="s">
        <v>125</v>
      </c>
      <c r="E39" s="38" t="s">
        <v>1010</v>
      </c>
      <c r="F39" s="39" t="s">
        <v>1011</v>
      </c>
      <c r="G39" s="39">
        <v>15</v>
      </c>
      <c r="H39" s="39"/>
      <c r="I39" s="40" t="s">
        <v>256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2.5719071465661815E-3</v>
      </c>
      <c r="V39" s="48">
        <f t="shared" si="21"/>
        <v>781</v>
      </c>
      <c r="W39" s="49">
        <f t="shared" si="22"/>
        <v>1.7146047643774545E-4</v>
      </c>
      <c r="X39" s="44">
        <f t="shared" si="23"/>
        <v>390.66954240524126</v>
      </c>
      <c r="Y39" s="44">
        <f t="shared" si="24"/>
        <v>781</v>
      </c>
      <c r="Z39" s="44">
        <f t="shared" si="25"/>
        <v>1104.8986178103373</v>
      </c>
      <c r="AA39" s="50">
        <f t="shared" si="26"/>
        <v>2161.6695424052414</v>
      </c>
      <c r="AB39" s="51">
        <f t="shared" si="27"/>
        <v>1032.9051302330909</v>
      </c>
      <c r="AC39" s="44">
        <f t="shared" si="28"/>
        <v>2020.8184934142669</v>
      </c>
      <c r="AD39" s="44">
        <f t="shared" si="29"/>
        <v>0</v>
      </c>
      <c r="AE39" s="44">
        <f t="shared" si="18"/>
        <v>0</v>
      </c>
      <c r="AF39" s="52">
        <f>HLOOKUP(I39,ElecAvoidedCostsWOCC!$A$5:$Q$50,G39+1,FALSE)</f>
        <v>1.0293963841416951</v>
      </c>
      <c r="AG39" s="44">
        <f t="shared" si="30"/>
        <v>3397.0080676675939</v>
      </c>
      <c r="AH39" s="52">
        <f>HLOOKUP(I39,ElecAvoidedCostsWOCC!$A$5:$Q$50,T39+1,FALSE)</f>
        <v>1.0293963841416951</v>
      </c>
      <c r="AI39" s="44">
        <f t="shared" si="31"/>
        <v>0</v>
      </c>
      <c r="AJ39" s="44">
        <f t="shared" si="32"/>
        <v>3397.0080676675939</v>
      </c>
      <c r="AK39" s="44">
        <f>HLOOKUP(I39,ElecAvoidedCostsWOCC!$A$5:$Q$50,G39+1,FALSE)*J39*L39</f>
        <v>0</v>
      </c>
      <c r="AL39" s="44">
        <f t="shared" si="33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4"/>
        <v>3736.7088744343537</v>
      </c>
      <c r="AO39" s="47">
        <f t="shared" si="35"/>
        <v>3.2887900042678719</v>
      </c>
      <c r="AP39" s="47">
        <f t="shared" si="36"/>
        <v>1.849106630116498</v>
      </c>
      <c r="AQ39">
        <v>2021</v>
      </c>
    </row>
    <row r="40" spans="2:43">
      <c r="B40" s="97" t="s">
        <v>65</v>
      </c>
      <c r="C40" s="98">
        <v>18230711</v>
      </c>
      <c r="D40" s="61" t="s">
        <v>125</v>
      </c>
      <c r="E40" s="38" t="s">
        <v>1012</v>
      </c>
      <c r="F40" s="39" t="s">
        <v>1013</v>
      </c>
      <c r="G40" s="39">
        <v>20</v>
      </c>
      <c r="H40" s="39"/>
      <c r="I40" s="40" t="s">
        <v>260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18"/>
        <v>0</v>
      </c>
      <c r="AF40" s="52">
        <f>HLOOKUP(I40,ElecAvoidedCostsWOCC!$A$5:$Q$50,G40+1,FALSE)</f>
        <v>1.2592865625776986</v>
      </c>
      <c r="AG40" s="44">
        <f t="shared" si="30"/>
        <v>0</v>
      </c>
      <c r="AH40" s="52">
        <f>HLOOKUP(I40,ElecAvoidedCostsWOCC!$A$5:$Q$50,T40+1,FALSE)</f>
        <v>1.2592865625776986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  <c r="AQ40">
        <v>2021</v>
      </c>
    </row>
    <row r="41" spans="2:43">
      <c r="B41" s="97" t="s">
        <v>65</v>
      </c>
      <c r="C41" s="98">
        <v>18230711</v>
      </c>
      <c r="D41" s="61" t="s">
        <v>125</v>
      </c>
      <c r="E41" s="38" t="s">
        <v>1012</v>
      </c>
      <c r="F41" s="39" t="s">
        <v>1013</v>
      </c>
      <c r="G41" s="39">
        <v>10</v>
      </c>
      <c r="H41" s="39"/>
      <c r="I41" s="40" t="s">
        <v>260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0.13645604080717774</v>
      </c>
      <c r="V41" s="48">
        <f t="shared" si="21"/>
        <v>121995</v>
      </c>
      <c r="W41" s="49">
        <f t="shared" si="22"/>
        <v>1.3645604080717773E-2</v>
      </c>
      <c r="X41" s="44">
        <f t="shared" si="23"/>
        <v>31091.257955256398</v>
      </c>
      <c r="Y41" s="44">
        <f t="shared" si="24"/>
        <v>121995</v>
      </c>
      <c r="Z41" s="44">
        <f t="shared" si="25"/>
        <v>87932.85427179125</v>
      </c>
      <c r="AA41" s="50">
        <f t="shared" si="26"/>
        <v>245006.25795525638</v>
      </c>
      <c r="AB41" s="51">
        <f t="shared" si="27"/>
        <v>82203.28528726862</v>
      </c>
      <c r="AC41" s="44">
        <f t="shared" si="28"/>
        <v>229042.02856432306</v>
      </c>
      <c r="AD41" s="44">
        <f t="shared" si="29"/>
        <v>0</v>
      </c>
      <c r="AE41" s="44">
        <f t="shared" ref="AE41:AE68" si="37">-PV(ElecDiscountRate,T41,S41)*J41</f>
        <v>0</v>
      </c>
      <c r="AF41" s="52">
        <f>HLOOKUP(I41,ElecAvoidedCostsWOCC!$A$5:$Q$50,G41+1,FALSE)</f>
        <v>0.68726615252653023</v>
      </c>
      <c r="AG41" s="44">
        <f t="shared" si="30"/>
        <v>180496.02237189011</v>
      </c>
      <c r="AH41" s="52">
        <f>HLOOKUP(I41,ElecAvoidedCostsWOCC!$A$5:$Q$50,T41+1,FALSE)</f>
        <v>0.68726615252653023</v>
      </c>
      <c r="AI41" s="44">
        <f t="shared" si="31"/>
        <v>0</v>
      </c>
      <c r="AJ41" s="44">
        <f t="shared" si="32"/>
        <v>180496.02237189011</v>
      </c>
      <c r="AK41" s="44">
        <f>HLOOKUP(I41,ElecAvoidedCostsWOCC!$A$5:$Q$50,G41+1,FALSE)*J41*L41</f>
        <v>0</v>
      </c>
      <c r="AL41" s="44">
        <f t="shared" si="33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4"/>
        <v>198545.62460907912</v>
      </c>
      <c r="AO41" s="47">
        <f t="shared" si="35"/>
        <v>2.1957276006807573</v>
      </c>
      <c r="AP41" s="47">
        <f t="shared" si="36"/>
        <v>0.86685236702451107</v>
      </c>
      <c r="AQ41">
        <v>2021</v>
      </c>
    </row>
    <row r="42" spans="2:43">
      <c r="B42" s="97" t="s">
        <v>65</v>
      </c>
      <c r="C42" s="98">
        <v>18230711</v>
      </c>
      <c r="D42" s="61" t="s">
        <v>125</v>
      </c>
      <c r="E42" s="38" t="s">
        <v>1012</v>
      </c>
      <c r="F42" s="39" t="s">
        <v>1013</v>
      </c>
      <c r="G42" s="39">
        <v>20</v>
      </c>
      <c r="H42" s="39"/>
      <c r="I42" s="40" t="s">
        <v>260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0.22008147178347678</v>
      </c>
      <c r="V42" s="48">
        <f t="shared" si="21"/>
        <v>251336</v>
      </c>
      <c r="W42" s="49">
        <f t="shared" si="22"/>
        <v>1.100407358917384E-2</v>
      </c>
      <c r="X42" s="44">
        <f t="shared" si="23"/>
        <v>25072.579308019289</v>
      </c>
      <c r="Y42" s="44">
        <f t="shared" si="24"/>
        <v>251336</v>
      </c>
      <c r="Z42" s="44">
        <f t="shared" si="25"/>
        <v>70910.7192022526</v>
      </c>
      <c r="AA42" s="50">
        <f t="shared" si="26"/>
        <v>350534.57930801931</v>
      </c>
      <c r="AB42" s="51">
        <f t="shared" si="27"/>
        <v>66290.286250586694</v>
      </c>
      <c r="AC42" s="44">
        <f t="shared" si="28"/>
        <v>327694.28747127164</v>
      </c>
      <c r="AD42" s="44">
        <f t="shared" si="29"/>
        <v>0</v>
      </c>
      <c r="AE42" s="44">
        <f t="shared" si="37"/>
        <v>0</v>
      </c>
      <c r="AF42" s="52">
        <f>HLOOKUP(I42,ElecAvoidedCostsWOCC!$A$5:$Q$50,G42+1,FALSE)</f>
        <v>1.2592865625776986</v>
      </c>
      <c r="AG42" s="44">
        <f t="shared" si="30"/>
        <v>266703.04180176818</v>
      </c>
      <c r="AH42" s="52">
        <f>HLOOKUP(I42,ElecAvoidedCostsWOCC!$A$5:$Q$50,T42+1,FALSE)</f>
        <v>1.2592865625776986</v>
      </c>
      <c r="AI42" s="44">
        <f t="shared" si="31"/>
        <v>0</v>
      </c>
      <c r="AJ42" s="44">
        <f t="shared" si="32"/>
        <v>266703.04180176818</v>
      </c>
      <c r="AK42" s="44">
        <f>HLOOKUP(I42,ElecAvoidedCostsWOCC!$A$5:$Q$50,G42+1,FALSE)*J42*L42</f>
        <v>0</v>
      </c>
      <c r="AL42" s="44">
        <f t="shared" si="33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4"/>
        <v>293373.34598194505</v>
      </c>
      <c r="AO42" s="47">
        <f t="shared" si="35"/>
        <v>4.0232597698189565</v>
      </c>
      <c r="AP42" s="47">
        <f t="shared" si="36"/>
        <v>0.89526536530687784</v>
      </c>
      <c r="AQ42">
        <v>2021</v>
      </c>
    </row>
    <row r="43" spans="2:43">
      <c r="B43" s="97" t="s">
        <v>65</v>
      </c>
      <c r="C43" s="98">
        <v>18230711</v>
      </c>
      <c r="D43" s="61" t="s">
        <v>125</v>
      </c>
      <c r="E43" s="38" t="s">
        <v>1012</v>
      </c>
      <c r="F43" s="39" t="s">
        <v>1013</v>
      </c>
      <c r="G43" s="39">
        <v>20</v>
      </c>
      <c r="H43" s="39"/>
      <c r="I43" s="40" t="s">
        <v>260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0.47148825303492842</v>
      </c>
      <c r="V43" s="48">
        <f t="shared" si="21"/>
        <v>71442</v>
      </c>
      <c r="W43" s="49">
        <f t="shared" si="22"/>
        <v>2.357441265174642E-2</v>
      </c>
      <c r="X43" s="44">
        <f t="shared" si="23"/>
        <v>53713.865693555548</v>
      </c>
      <c r="Y43" s="44">
        <f t="shared" si="24"/>
        <v>71442</v>
      </c>
      <c r="Z43" s="44">
        <f t="shared" si="25"/>
        <v>151914.51986932114</v>
      </c>
      <c r="AA43" s="50">
        <f t="shared" si="26"/>
        <v>349131.86569355556</v>
      </c>
      <c r="AB43" s="51">
        <f t="shared" si="27"/>
        <v>142016.00436507538</v>
      </c>
      <c r="AC43" s="44">
        <f t="shared" si="28"/>
        <v>326382.97250963404</v>
      </c>
      <c r="AD43" s="44">
        <f t="shared" si="29"/>
        <v>0</v>
      </c>
      <c r="AE43" s="44">
        <f t="shared" si="37"/>
        <v>0</v>
      </c>
      <c r="AF43" s="52">
        <f>HLOOKUP(I43,ElecAvoidedCostsWOCC!$A$5:$Q$50,G43+1,FALSE)</f>
        <v>1.2592865625776986</v>
      </c>
      <c r="AG43" s="44">
        <f t="shared" si="30"/>
        <v>571367.27703244111</v>
      </c>
      <c r="AH43" s="52">
        <f>HLOOKUP(I43,ElecAvoidedCostsWOCC!$A$5:$Q$50,T43+1,FALSE)</f>
        <v>1.2592865625776986</v>
      </c>
      <c r="AI43" s="44">
        <f t="shared" si="31"/>
        <v>0</v>
      </c>
      <c r="AJ43" s="44">
        <f t="shared" si="32"/>
        <v>571367.27703244111</v>
      </c>
      <c r="AK43" s="44">
        <f>HLOOKUP(I43,ElecAvoidedCostsWOCC!$A$5:$Q$50,G43+1,FALSE)*J43*L43</f>
        <v>0</v>
      </c>
      <c r="AL43" s="44">
        <f t="shared" si="33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4"/>
        <v>628504.0047356853</v>
      </c>
      <c r="AO43" s="47">
        <f t="shared" si="35"/>
        <v>4.0232597698189565</v>
      </c>
      <c r="AP43" s="47">
        <f t="shared" si="36"/>
        <v>1.9256641971943969</v>
      </c>
      <c r="AQ43">
        <v>2021</v>
      </c>
    </row>
    <row r="44" spans="2:43">
      <c r="B44" s="97" t="s">
        <v>65</v>
      </c>
      <c r="C44" s="98">
        <v>18230711</v>
      </c>
      <c r="D44" s="61" t="s">
        <v>125</v>
      </c>
      <c r="E44" s="38" t="s">
        <v>1012</v>
      </c>
      <c r="F44" s="39" t="s">
        <v>1013</v>
      </c>
      <c r="G44" s="39">
        <v>20</v>
      </c>
      <c r="H44" s="39"/>
      <c r="I44" s="40" t="s">
        <v>260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0.16774965606587158</v>
      </c>
      <c r="V44" s="48">
        <f t="shared" si="21"/>
        <v>35129</v>
      </c>
      <c r="W44" s="49">
        <f t="shared" si="22"/>
        <v>8.3874828032935791E-3</v>
      </c>
      <c r="X44" s="44">
        <f t="shared" si="23"/>
        <v>19110.725321495665</v>
      </c>
      <c r="Y44" s="44">
        <f t="shared" si="24"/>
        <v>35129</v>
      </c>
      <c r="Z44" s="44">
        <f t="shared" si="25"/>
        <v>54049.296658940897</v>
      </c>
      <c r="AA44" s="50">
        <f t="shared" si="26"/>
        <v>82293.725321495673</v>
      </c>
      <c r="AB44" s="51">
        <f t="shared" si="27"/>
        <v>50527.527960120497</v>
      </c>
      <c r="AC44" s="44">
        <f t="shared" si="28"/>
        <v>76931.593270539088</v>
      </c>
      <c r="AD44" s="44">
        <f t="shared" si="29"/>
        <v>0</v>
      </c>
      <c r="AE44" s="44">
        <f t="shared" si="37"/>
        <v>0</v>
      </c>
      <c r="AF44" s="52">
        <f>HLOOKUP(I44,ElecAvoidedCostsWOCC!$A$5:$Q$50,G44+1,FALSE)</f>
        <v>1.2592865625776986</v>
      </c>
      <c r="AG44" s="44">
        <f t="shared" si="30"/>
        <v>203285.37051035531</v>
      </c>
      <c r="AH44" s="52">
        <f>HLOOKUP(I44,ElecAvoidedCostsWOCC!$A$5:$Q$50,T44+1,FALSE)</f>
        <v>1.2592865625776986</v>
      </c>
      <c r="AI44" s="44">
        <f t="shared" si="31"/>
        <v>0</v>
      </c>
      <c r="AJ44" s="44">
        <f t="shared" si="32"/>
        <v>203285.37051035531</v>
      </c>
      <c r="AK44" s="44">
        <f>HLOOKUP(I44,ElecAvoidedCostsWOCC!$A$5:$Q$50,G44+1,FALSE)*J44*L44</f>
        <v>0</v>
      </c>
      <c r="AL44" s="44">
        <f t="shared" si="33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4"/>
        <v>223613.90756139086</v>
      </c>
      <c r="AO44" s="47">
        <f t="shared" si="35"/>
        <v>4.0232597698189574</v>
      </c>
      <c r="AP44" s="47">
        <f t="shared" si="36"/>
        <v>2.9066589947646864</v>
      </c>
      <c r="AQ44">
        <v>2021</v>
      </c>
    </row>
    <row r="45" spans="2:43">
      <c r="B45" s="97" t="s">
        <v>65</v>
      </c>
      <c r="C45" s="98">
        <v>18230711</v>
      </c>
      <c r="D45" s="61" t="s">
        <v>125</v>
      </c>
      <c r="E45" s="38" t="s">
        <v>1014</v>
      </c>
      <c r="F45" s="39" t="s">
        <v>1015</v>
      </c>
      <c r="G45" s="39">
        <v>10</v>
      </c>
      <c r="H45" s="39"/>
      <c r="I45" s="40" t="s">
        <v>256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3.6014493709946444E-2</v>
      </c>
      <c r="V45" s="48">
        <f t="shared" si="21"/>
        <v>95708</v>
      </c>
      <c r="W45" s="49">
        <f t="shared" si="22"/>
        <v>3.6014493709946444E-3</v>
      </c>
      <c r="X45" s="44">
        <f t="shared" si="23"/>
        <v>8205.8361611573637</v>
      </c>
      <c r="Y45" s="44">
        <f t="shared" si="24"/>
        <v>95708</v>
      </c>
      <c r="Z45" s="44">
        <f t="shared" si="25"/>
        <v>23207.893240461679</v>
      </c>
      <c r="AA45" s="50">
        <f t="shared" si="26"/>
        <v>154619.83616115735</v>
      </c>
      <c r="AB45" s="51">
        <f t="shared" si="27"/>
        <v>21695.702758214149</v>
      </c>
      <c r="AC45" s="44">
        <f t="shared" si="28"/>
        <v>144545.04642531302</v>
      </c>
      <c r="AD45" s="44">
        <f t="shared" si="29"/>
        <v>0</v>
      </c>
      <c r="AE45" s="44">
        <f t="shared" si="37"/>
        <v>0</v>
      </c>
      <c r="AF45" s="52">
        <f>HLOOKUP(I45,ElecAvoidedCostsWOCC!$A$5:$Q$50,G45+1,FALSE)</f>
        <v>0.70839718084543712</v>
      </c>
      <c r="AG45" s="44">
        <f t="shared" si="30"/>
        <v>49102.550590301471</v>
      </c>
      <c r="AH45" s="52">
        <f>HLOOKUP(I45,ElecAvoidedCostsWOCC!$A$5:$Q$50,T45+1,FALSE)</f>
        <v>0.70839718084543712</v>
      </c>
      <c r="AI45" s="44">
        <f t="shared" si="31"/>
        <v>0</v>
      </c>
      <c r="AJ45" s="44">
        <f t="shared" si="32"/>
        <v>49102.550590301471</v>
      </c>
      <c r="AK45" s="44">
        <f>HLOOKUP(I45,ElecAvoidedCostsWOCC!$A$5:$Q$50,G45+1,FALSE)*J45*L45</f>
        <v>0</v>
      </c>
      <c r="AL45" s="44">
        <f t="shared" si="33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4"/>
        <v>54012.805649331625</v>
      </c>
      <c r="AO45" s="47">
        <f t="shared" si="35"/>
        <v>2.263238537950143</v>
      </c>
      <c r="AP45" s="47">
        <f t="shared" si="36"/>
        <v>0.37367455326281451</v>
      </c>
      <c r="AQ45">
        <v>2021</v>
      </c>
    </row>
    <row r="46" spans="2:43">
      <c r="B46" s="97" t="s">
        <v>65</v>
      </c>
      <c r="C46" s="98">
        <v>18230711</v>
      </c>
      <c r="D46" s="61" t="s">
        <v>125</v>
      </c>
      <c r="E46" s="38" t="s">
        <v>1014</v>
      </c>
      <c r="F46" s="39" t="s">
        <v>1015</v>
      </c>
      <c r="G46" s="39">
        <v>10</v>
      </c>
      <c r="H46" s="39"/>
      <c r="I46" s="40" t="s">
        <v>256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0.29769591411762958</v>
      </c>
      <c r="V46" s="48">
        <f t="shared" si="21"/>
        <v>17918</v>
      </c>
      <c r="W46" s="49">
        <f t="shared" si="22"/>
        <v>2.9769591411762959E-2</v>
      </c>
      <c r="X46" s="44">
        <f t="shared" si="23"/>
        <v>67829.466568915828</v>
      </c>
      <c r="Y46" s="44">
        <f t="shared" si="24"/>
        <v>17918</v>
      </c>
      <c r="Z46" s="44">
        <f t="shared" si="25"/>
        <v>191836.51583738648</v>
      </c>
      <c r="AA46" s="50">
        <f t="shared" si="26"/>
        <v>238416.46656891581</v>
      </c>
      <c r="AB46" s="51">
        <f t="shared" si="27"/>
        <v>179336.74472972465</v>
      </c>
      <c r="AC46" s="44">
        <f t="shared" si="28"/>
        <v>222881.61780771785</v>
      </c>
      <c r="AD46" s="44">
        <f t="shared" si="29"/>
        <v>0</v>
      </c>
      <c r="AE46" s="44">
        <f t="shared" si="37"/>
        <v>0</v>
      </c>
      <c r="AF46" s="52">
        <f>HLOOKUP(I46,ElecAvoidedCostsWOCC!$A$5:$Q$50,G46+1,FALSE)</f>
        <v>0.70839718084543712</v>
      </c>
      <c r="AG46" s="44">
        <f t="shared" si="30"/>
        <v>405881.83194283996</v>
      </c>
      <c r="AH46" s="52">
        <f>HLOOKUP(I46,ElecAvoidedCostsWOCC!$A$5:$Q$50,T46+1,FALSE)</f>
        <v>0.70839718084543712</v>
      </c>
      <c r="AI46" s="44">
        <f t="shared" si="31"/>
        <v>0</v>
      </c>
      <c r="AJ46" s="44">
        <f t="shared" si="32"/>
        <v>405881.83194283996</v>
      </c>
      <c r="AK46" s="44">
        <f>HLOOKUP(I46,ElecAvoidedCostsWOCC!$A$5:$Q$50,G46+1,FALSE)*J46*L46</f>
        <v>0</v>
      </c>
      <c r="AL46" s="44">
        <f t="shared" si="33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4"/>
        <v>446470.01513712399</v>
      </c>
      <c r="AO46" s="47">
        <f t="shared" si="35"/>
        <v>2.2632385379501425</v>
      </c>
      <c r="AP46" s="47">
        <f t="shared" si="36"/>
        <v>2.0031710983105753</v>
      </c>
      <c r="AQ46">
        <v>2021</v>
      </c>
    </row>
    <row r="47" spans="2:43">
      <c r="B47" s="97" t="s">
        <v>65</v>
      </c>
      <c r="C47" s="98">
        <v>18230711</v>
      </c>
      <c r="D47" s="61" t="s">
        <v>125</v>
      </c>
      <c r="E47" s="38" t="s">
        <v>1014</v>
      </c>
      <c r="F47" s="39" t="s">
        <v>1015</v>
      </c>
      <c r="G47" s="39">
        <v>10</v>
      </c>
      <c r="H47" s="39"/>
      <c r="I47" s="40" t="s">
        <v>256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0.40752102547081748</v>
      </c>
      <c r="V47" s="48">
        <f t="shared" si="21"/>
        <v>0</v>
      </c>
      <c r="W47" s="49">
        <f t="shared" si="22"/>
        <v>4.0752102547081746E-2</v>
      </c>
      <c r="X47" s="44">
        <f t="shared" si="23"/>
        <v>92852.916222359912</v>
      </c>
      <c r="Y47" s="44">
        <f t="shared" si="24"/>
        <v>0</v>
      </c>
      <c r="Z47" s="44">
        <f t="shared" si="25"/>
        <v>262608.28566800535</v>
      </c>
      <c r="AA47" s="50">
        <f t="shared" si="26"/>
        <v>135086.91622235993</v>
      </c>
      <c r="AB47" s="51">
        <f t="shared" si="27"/>
        <v>245497.13533514566</v>
      </c>
      <c r="AC47" s="44">
        <f t="shared" si="28"/>
        <v>126284.86138390195</v>
      </c>
      <c r="AD47" s="44">
        <f t="shared" si="29"/>
        <v>0</v>
      </c>
      <c r="AE47" s="44">
        <f t="shared" si="37"/>
        <v>0</v>
      </c>
      <c r="AF47" s="52">
        <f>HLOOKUP(I47,ElecAvoidedCostsWOCC!$A$5:$Q$50,G47+1,FALSE)</f>
        <v>0.70839718084543712</v>
      </c>
      <c r="AG47" s="44">
        <f t="shared" si="30"/>
        <v>555618.57764686341</v>
      </c>
      <c r="AH47" s="52">
        <f>HLOOKUP(I47,ElecAvoidedCostsWOCC!$A$5:$Q$50,T47+1,FALSE)</f>
        <v>0.70839718084543712</v>
      </c>
      <c r="AI47" s="44">
        <f t="shared" si="31"/>
        <v>0</v>
      </c>
      <c r="AJ47" s="44">
        <f t="shared" si="32"/>
        <v>555618.57764686341</v>
      </c>
      <c r="AK47" s="44">
        <f>HLOOKUP(I47,ElecAvoidedCostsWOCC!$A$5:$Q$50,G47+1,FALSE)*J47*L47</f>
        <v>0</v>
      </c>
      <c r="AL47" s="44">
        <f t="shared" si="33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4"/>
        <v>611180.43541154976</v>
      </c>
      <c r="AO47" s="47">
        <f t="shared" si="35"/>
        <v>2.263238537950143</v>
      </c>
      <c r="AP47" s="47">
        <f t="shared" si="36"/>
        <v>4.8396967674025531</v>
      </c>
      <c r="AQ47">
        <v>2021</v>
      </c>
    </row>
    <row r="48" spans="2:43">
      <c r="B48" s="97" t="s">
        <v>65</v>
      </c>
      <c r="C48" s="98">
        <v>18230711</v>
      </c>
      <c r="D48" s="61" t="s">
        <v>125</v>
      </c>
      <c r="E48" s="38" t="s">
        <v>1016</v>
      </c>
      <c r="F48" s="39" t="s">
        <v>1017</v>
      </c>
      <c r="G48" s="39">
        <v>10</v>
      </c>
      <c r="H48" s="39"/>
      <c r="I48" s="40" t="s">
        <v>256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0.10341820488363081</v>
      </c>
      <c r="V48" s="48">
        <f t="shared" si="21"/>
        <v>18387</v>
      </c>
      <c r="W48" s="49">
        <f t="shared" si="22"/>
        <v>1.0341820488363081E-2</v>
      </c>
      <c r="X48" s="44">
        <f t="shared" si="23"/>
        <v>23563.647796656496</v>
      </c>
      <c r="Y48" s="44">
        <f t="shared" si="24"/>
        <v>18387</v>
      </c>
      <c r="Z48" s="44">
        <f t="shared" si="25"/>
        <v>66643.131995400909</v>
      </c>
      <c r="AA48" s="50">
        <f t="shared" si="26"/>
        <v>84853.6477966565</v>
      </c>
      <c r="AB48" s="51">
        <f t="shared" si="27"/>
        <v>62300.768435450038</v>
      </c>
      <c r="AC48" s="44">
        <f t="shared" si="28"/>
        <v>79324.715150655786</v>
      </c>
      <c r="AD48" s="44">
        <f t="shared" si="29"/>
        <v>0</v>
      </c>
      <c r="AE48" s="44">
        <f t="shared" si="37"/>
        <v>0</v>
      </c>
      <c r="AF48" s="52">
        <f>HLOOKUP(I48,ElecAvoidedCostsWOCC!$A$5:$Q$50,G48+1,FALSE)</f>
        <v>0.70839718084543712</v>
      </c>
      <c r="AG48" s="44">
        <f t="shared" si="30"/>
        <v>141001.50006701835</v>
      </c>
      <c r="AH48" s="52">
        <f>HLOOKUP(I48,ElecAvoidedCostsWOCC!$A$5:$Q$50,T48+1,FALSE)</f>
        <v>0.70839718084543712</v>
      </c>
      <c r="AI48" s="44">
        <f t="shared" si="31"/>
        <v>0</v>
      </c>
      <c r="AJ48" s="44">
        <f t="shared" si="32"/>
        <v>141001.50006701835</v>
      </c>
      <c r="AK48" s="44">
        <f>HLOOKUP(I48,ElecAvoidedCostsWOCC!$A$5:$Q$50,G48+1,FALSE)*J48*L48</f>
        <v>0</v>
      </c>
      <c r="AL48" s="44">
        <f t="shared" si="33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4"/>
        <v>155101.6500737202</v>
      </c>
      <c r="AO48" s="47">
        <f t="shared" si="35"/>
        <v>2.263238537950143</v>
      </c>
      <c r="AP48" s="47">
        <f t="shared" si="36"/>
        <v>1.9552752225979844</v>
      </c>
      <c r="AQ48">
        <v>2021</v>
      </c>
    </row>
    <row r="49" spans="2:43">
      <c r="B49" s="97" t="s">
        <v>65</v>
      </c>
      <c r="C49" s="98">
        <v>18230711</v>
      </c>
      <c r="D49" s="61" t="s">
        <v>125</v>
      </c>
      <c r="E49" s="38" t="s">
        <v>1018</v>
      </c>
      <c r="F49" s="39" t="s">
        <v>1019</v>
      </c>
      <c r="G49" s="39">
        <v>20</v>
      </c>
      <c r="H49" s="39"/>
      <c r="I49" s="40" t="s">
        <v>261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0.12697323730576776</v>
      </c>
      <c r="V49" s="48">
        <f t="shared" si="21"/>
        <v>75479</v>
      </c>
      <c r="W49" s="49">
        <f t="shared" si="22"/>
        <v>6.3486618652883881E-3</v>
      </c>
      <c r="X49" s="44">
        <f t="shared" si="23"/>
        <v>14465.309308167889</v>
      </c>
      <c r="Y49" s="44">
        <f t="shared" si="24"/>
        <v>75479</v>
      </c>
      <c r="Z49" s="44">
        <f t="shared" si="25"/>
        <v>40911.047639887067</v>
      </c>
      <c r="AA49" s="50">
        <f t="shared" si="26"/>
        <v>120878.3093081679</v>
      </c>
      <c r="AB49" s="51">
        <f t="shared" si="27"/>
        <v>38245.346956985195</v>
      </c>
      <c r="AC49" s="44">
        <f t="shared" si="28"/>
        <v>113002.06535305963</v>
      </c>
      <c r="AD49" s="44">
        <f t="shared" si="29"/>
        <v>0</v>
      </c>
      <c r="AE49" s="44">
        <f t="shared" si="37"/>
        <v>0</v>
      </c>
      <c r="AF49" s="52">
        <f>HLOOKUP(I49,ElecAvoidedCostsWOCC!$A$5:$Q$50,G49+1,FALSE)</f>
        <v>1.7025958820263232</v>
      </c>
      <c r="AG49" s="44">
        <f t="shared" si="30"/>
        <v>208038.48822891442</v>
      </c>
      <c r="AH49" s="52">
        <f>HLOOKUP(I49,ElecAvoidedCostsWOCC!$A$5:$Q$50,T49+1,FALSE)</f>
        <v>1.7025958820263232</v>
      </c>
      <c r="AI49" s="44">
        <f t="shared" si="31"/>
        <v>0</v>
      </c>
      <c r="AJ49" s="44">
        <f t="shared" si="32"/>
        <v>208038.48822891442</v>
      </c>
      <c r="AK49" s="44">
        <f>HLOOKUP(I49,ElecAvoidedCostsWOCC!$A$5:$Q$50,G49+1,FALSE)*J49*L49</f>
        <v>0</v>
      </c>
      <c r="AL49" s="44">
        <f t="shared" si="33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4"/>
        <v>228842.33705180587</v>
      </c>
      <c r="AO49" s="47">
        <f t="shared" si="35"/>
        <v>5.4395764395312387</v>
      </c>
      <c r="AP49" s="47">
        <f t="shared" si="36"/>
        <v>2.0251164112515911</v>
      </c>
      <c r="AQ49">
        <v>2021</v>
      </c>
    </row>
    <row r="50" spans="2:43">
      <c r="B50" s="97" t="s">
        <v>65</v>
      </c>
      <c r="C50" s="98">
        <v>18230711</v>
      </c>
      <c r="D50" s="61" t="s">
        <v>125</v>
      </c>
      <c r="E50" s="38" t="s">
        <v>1020</v>
      </c>
      <c r="F50" s="39" t="s">
        <v>1021</v>
      </c>
      <c r="G50" s="39">
        <v>5</v>
      </c>
      <c r="H50" s="39"/>
      <c r="I50" s="40" t="s">
        <v>256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7"/>
        <v>0</v>
      </c>
      <c r="AF50" s="52">
        <f>HLOOKUP(I50,ElecAvoidedCostsWOCC!$A$5:$Q$50,G50+1,FALSE)</f>
        <v>0.35807218478063102</v>
      </c>
      <c r="AG50" s="44">
        <f t="shared" si="30"/>
        <v>0</v>
      </c>
      <c r="AH50" s="52">
        <f>HLOOKUP(I50,ElecAvoidedCostsWOCC!$A$5:$Q$50,T50+1,FALSE)</f>
        <v>0.35807218478063102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2021</v>
      </c>
    </row>
    <row r="51" spans="2:43">
      <c r="B51" s="97" t="s">
        <v>65</v>
      </c>
      <c r="C51" s="98">
        <v>18230711</v>
      </c>
      <c r="D51" s="61" t="s">
        <v>125</v>
      </c>
      <c r="E51" s="38" t="s">
        <v>1022</v>
      </c>
      <c r="F51" s="39" t="s">
        <v>1023</v>
      </c>
      <c r="G51" s="39">
        <v>15</v>
      </c>
      <c r="H51" s="39"/>
      <c r="I51" s="40" t="s">
        <v>256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0.63281463594940102</v>
      </c>
      <c r="V51" s="48">
        <f t="shared" si="21"/>
        <v>159211.40000000002</v>
      </c>
      <c r="W51" s="49">
        <f t="shared" si="22"/>
        <v>4.2187642396626736E-2</v>
      </c>
      <c r="X51" s="44">
        <f t="shared" si="23"/>
        <v>96123.767369970345</v>
      </c>
      <c r="Y51" s="44">
        <f t="shared" si="24"/>
        <v>159211.40000000002</v>
      </c>
      <c r="Z51" s="44">
        <f t="shared" si="25"/>
        <v>271858.96564118162</v>
      </c>
      <c r="AA51" s="50">
        <f t="shared" si="26"/>
        <v>640915.16736997035</v>
      </c>
      <c r="AB51" s="51">
        <f t="shared" si="27"/>
        <v>254145.05528763356</v>
      </c>
      <c r="AC51" s="44">
        <f t="shared" si="28"/>
        <v>599154.12486675731</v>
      </c>
      <c r="AD51" s="44">
        <f t="shared" si="29"/>
        <v>0</v>
      </c>
      <c r="AE51" s="44">
        <f t="shared" si="37"/>
        <v>0</v>
      </c>
      <c r="AF51" s="52">
        <f>HLOOKUP(I51,ElecAvoidedCostsWOCC!$A$5:$Q$50,G51+1,FALSE)</f>
        <v>1.0293963841416951</v>
      </c>
      <c r="AG51" s="44">
        <f t="shared" si="30"/>
        <v>835829.71746407484</v>
      </c>
      <c r="AH51" s="52">
        <f>HLOOKUP(I51,ElecAvoidedCostsWOCC!$A$5:$Q$50,T51+1,FALSE)</f>
        <v>1.0293963841416951</v>
      </c>
      <c r="AI51" s="44">
        <f t="shared" si="31"/>
        <v>0</v>
      </c>
      <c r="AJ51" s="44">
        <f t="shared" si="32"/>
        <v>835829.71746407484</v>
      </c>
      <c r="AK51" s="44">
        <f>HLOOKUP(I51,ElecAvoidedCostsWOCC!$A$5:$Q$50,G51+1,FALSE)*J51*L51</f>
        <v>0</v>
      </c>
      <c r="AL51" s="44">
        <f t="shared" si="33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4"/>
        <v>919412.68921048241</v>
      </c>
      <c r="AO51" s="47">
        <f t="shared" si="35"/>
        <v>3.2887900042678715</v>
      </c>
      <c r="AP51" s="47">
        <f t="shared" si="36"/>
        <v>1.5345178328112916</v>
      </c>
      <c r="AQ51">
        <v>2021</v>
      </c>
    </row>
    <row r="52" spans="2:43">
      <c r="B52" s="97" t="s">
        <v>65</v>
      </c>
      <c r="C52" s="98">
        <v>18230711</v>
      </c>
      <c r="D52" s="61" t="s">
        <v>125</v>
      </c>
      <c r="E52" s="38" t="s">
        <v>1024</v>
      </c>
      <c r="F52" s="39" t="s">
        <v>1025</v>
      </c>
      <c r="G52" s="39">
        <v>5</v>
      </c>
      <c r="H52" s="39"/>
      <c r="I52" s="40" t="s">
        <v>256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7"/>
        <v>0</v>
      </c>
      <c r="AF52" s="52">
        <f>HLOOKUP(I52,ElecAvoidedCostsWOCC!$A$5:$Q$50,G52+1,FALSE)</f>
        <v>0.35807218478063102</v>
      </c>
      <c r="AG52" s="44">
        <f t="shared" si="30"/>
        <v>0</v>
      </c>
      <c r="AH52" s="52">
        <f>HLOOKUP(I52,ElecAvoidedCostsWOCC!$A$5:$Q$50,T52+1,FALSE)</f>
        <v>0.35807218478063102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2021</v>
      </c>
    </row>
    <row r="53" spans="2:43">
      <c r="B53" s="97" t="s">
        <v>65</v>
      </c>
      <c r="C53" s="98">
        <v>18230711</v>
      </c>
      <c r="D53" s="61" t="s">
        <v>125</v>
      </c>
      <c r="E53" s="38" t="s">
        <v>1026</v>
      </c>
      <c r="F53" s="39" t="s">
        <v>1027</v>
      </c>
      <c r="G53" s="39">
        <v>5</v>
      </c>
      <c r="H53" s="39"/>
      <c r="I53" s="40" t="s">
        <v>256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7"/>
        <v>0</v>
      </c>
      <c r="AF53" s="52">
        <f>HLOOKUP(I53,ElecAvoidedCostsWOCC!$A$5:$Q$50,G53+1,FALSE)</f>
        <v>0.35807218478063102</v>
      </c>
      <c r="AG53" s="44">
        <f t="shared" si="30"/>
        <v>0</v>
      </c>
      <c r="AH53" s="52">
        <f>HLOOKUP(I53,ElecAvoidedCostsWOCC!$A$5:$Q$50,T53+1,FALSE)</f>
        <v>0.35807218478063102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  <c r="AQ53">
        <v>2021</v>
      </c>
    </row>
    <row r="54" spans="2:43">
      <c r="B54" s="97" t="s">
        <v>65</v>
      </c>
      <c r="C54" s="98">
        <v>18230711</v>
      </c>
      <c r="D54" s="61" t="s">
        <v>125</v>
      </c>
      <c r="E54" s="38" t="s">
        <v>980</v>
      </c>
      <c r="F54" s="39" t="s">
        <v>981</v>
      </c>
      <c r="G54" s="39">
        <v>15</v>
      </c>
      <c r="H54" s="39"/>
      <c r="I54" s="40" t="s">
        <v>261</v>
      </c>
      <c r="J54" s="41">
        <v>1</v>
      </c>
      <c r="K54" s="41"/>
      <c r="L54" s="41"/>
      <c r="M54" s="42"/>
      <c r="N54" s="42"/>
      <c r="O54" s="43">
        <v>0</v>
      </c>
      <c r="P54" s="44">
        <v>0</v>
      </c>
      <c r="Q54" s="44">
        <v>0</v>
      </c>
      <c r="R54" s="45"/>
      <c r="S54" s="46"/>
      <c r="T54" s="39">
        <f t="shared" si="19"/>
        <v>15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7"/>
        <v>0</v>
      </c>
      <c r="AF54" s="52">
        <f>HLOOKUP(I54,ElecAvoidedCostsWOCC!$A$5:$Q$50,G54+1,FALSE)</f>
        <v>1.3787827893853604</v>
      </c>
      <c r="AG54" s="44">
        <f t="shared" si="30"/>
        <v>0</v>
      </c>
      <c r="AH54" s="52">
        <f>HLOOKUP(I54,ElecAvoidedCostsWOCC!$A$5:$Q$50,T54+1,FALSE)</f>
        <v>1.3787827893853604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  <c r="AQ54">
        <v>2020</v>
      </c>
    </row>
    <row r="55" spans="2:43">
      <c r="B55" s="97" t="s">
        <v>65</v>
      </c>
      <c r="C55" s="98">
        <v>18230711</v>
      </c>
      <c r="D55" s="61" t="s">
        <v>125</v>
      </c>
      <c r="E55" s="38" t="s">
        <v>980</v>
      </c>
      <c r="F55" s="39" t="s">
        <v>981</v>
      </c>
      <c r="G55" s="39">
        <v>15</v>
      </c>
      <c r="H55" s="39"/>
      <c r="I55" s="40" t="s">
        <v>261</v>
      </c>
      <c r="J55" s="41">
        <v>1</v>
      </c>
      <c r="K55" s="41"/>
      <c r="L55" s="41"/>
      <c r="M55" s="42"/>
      <c r="N55" s="42"/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15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7"/>
        <v>0</v>
      </c>
      <c r="AF55" s="52">
        <f>HLOOKUP(I55,ElecAvoidedCostsWOCC!$A$5:$Q$50,G55+1,FALSE)</f>
        <v>1.3787827893853604</v>
      </c>
      <c r="AG55" s="44">
        <f t="shared" si="30"/>
        <v>0</v>
      </c>
      <c r="AH55" s="52">
        <f>HLOOKUP(I55,ElecAvoidedCostsWOCC!$A$5:$Q$50,T55+1,FALSE)</f>
        <v>1.3787827893853604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  <c r="AQ55">
        <v>2020</v>
      </c>
    </row>
    <row r="56" spans="2:43">
      <c r="B56" s="97" t="s">
        <v>65</v>
      </c>
      <c r="C56" s="98">
        <v>18230711</v>
      </c>
      <c r="D56" s="61" t="s">
        <v>125</v>
      </c>
      <c r="E56" s="38" t="s">
        <v>982</v>
      </c>
      <c r="F56" s="39" t="s">
        <v>983</v>
      </c>
      <c r="G56" s="39">
        <v>15</v>
      </c>
      <c r="H56" s="39"/>
      <c r="I56" s="40" t="s">
        <v>261</v>
      </c>
      <c r="J56" s="41">
        <v>1</v>
      </c>
      <c r="K56" s="41"/>
      <c r="L56" s="41"/>
      <c r="M56" s="42"/>
      <c r="N56" s="42"/>
      <c r="O56" s="43">
        <v>0</v>
      </c>
      <c r="P56" s="44">
        <v>0</v>
      </c>
      <c r="Q56" s="44">
        <v>0</v>
      </c>
      <c r="R56" s="45"/>
      <c r="S56" s="46"/>
      <c r="T56" s="39">
        <f t="shared" si="19"/>
        <v>15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7"/>
        <v>0</v>
      </c>
      <c r="AF56" s="52">
        <f>HLOOKUP(I56,ElecAvoidedCostsWOCC!$A$5:$Q$50,G56+1,FALSE)</f>
        <v>1.3787827893853604</v>
      </c>
      <c r="AG56" s="44">
        <f t="shared" si="30"/>
        <v>0</v>
      </c>
      <c r="AH56" s="52">
        <f>HLOOKUP(I56,ElecAvoidedCostsWOCC!$A$5:$Q$50,T56+1,FALSE)</f>
        <v>1.3787827893853604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  <c r="AQ56">
        <v>2020</v>
      </c>
    </row>
    <row r="57" spans="2:43">
      <c r="B57" s="97" t="s">
        <v>65</v>
      </c>
      <c r="C57" s="98">
        <v>18230711</v>
      </c>
      <c r="D57" s="61" t="s">
        <v>125</v>
      </c>
      <c r="E57" s="38" t="s">
        <v>982</v>
      </c>
      <c r="F57" s="39" t="s">
        <v>983</v>
      </c>
      <c r="G57" s="39">
        <v>15</v>
      </c>
      <c r="H57" s="39"/>
      <c r="I57" s="40" t="s">
        <v>261</v>
      </c>
      <c r="J57" s="41">
        <v>1</v>
      </c>
      <c r="K57" s="41">
        <v>30637</v>
      </c>
      <c r="L57" s="41"/>
      <c r="M57" s="42">
        <v>6085</v>
      </c>
      <c r="N57" s="42">
        <v>8693</v>
      </c>
      <c r="O57" s="43">
        <v>30637</v>
      </c>
      <c r="P57" s="44">
        <v>6085</v>
      </c>
      <c r="Q57" s="44">
        <v>8693</v>
      </c>
      <c r="R57" s="45"/>
      <c r="S57" s="46"/>
      <c r="T57" s="39">
        <f t="shared" si="19"/>
        <v>15</v>
      </c>
      <c r="U57" s="47">
        <f t="shared" si="20"/>
        <v>2.3877430075560035E-2</v>
      </c>
      <c r="V57" s="48">
        <f t="shared" si="21"/>
        <v>2608</v>
      </c>
      <c r="W57" s="49">
        <f t="shared" si="22"/>
        <v>1.5918286717040023E-3</v>
      </c>
      <c r="X57" s="44">
        <f t="shared" si="23"/>
        <v>3626.9523547482963</v>
      </c>
      <c r="Y57" s="44">
        <f t="shared" si="24"/>
        <v>2608</v>
      </c>
      <c r="Z57" s="44">
        <f t="shared" si="25"/>
        <v>10257.811804198578</v>
      </c>
      <c r="AA57" s="50">
        <f t="shared" si="26"/>
        <v>12319.952354748297</v>
      </c>
      <c r="AB57" s="51">
        <f t="shared" si="27"/>
        <v>9589.428628773092</v>
      </c>
      <c r="AC57" s="44">
        <f t="shared" si="28"/>
        <v>11517.203285732725</v>
      </c>
      <c r="AD57" s="44">
        <f t="shared" si="29"/>
        <v>0</v>
      </c>
      <c r="AE57" s="44">
        <f t="shared" si="37"/>
        <v>0</v>
      </c>
      <c r="AF57" s="52">
        <f>HLOOKUP(I57,ElecAvoidedCostsWOCC!$A$5:$Q$50,G57+1,FALSE)</f>
        <v>1.3787827893853604</v>
      </c>
      <c r="AG57" s="44">
        <f t="shared" si="30"/>
        <v>42241.768318399285</v>
      </c>
      <c r="AH57" s="52">
        <f>HLOOKUP(I57,ElecAvoidedCostsWOCC!$A$5:$Q$50,T57+1,FALSE)</f>
        <v>1.3787827893853604</v>
      </c>
      <c r="AI57" s="44">
        <f t="shared" si="31"/>
        <v>0</v>
      </c>
      <c r="AJ57" s="44">
        <f t="shared" si="32"/>
        <v>42241.768318399285</v>
      </c>
      <c r="AK57" s="44">
        <f>HLOOKUP(I57,ElecAvoidedCostsWOCC!$A$5:$Q$50,G57+1,FALSE)*J57*L57</f>
        <v>0</v>
      </c>
      <c r="AL57" s="44">
        <f t="shared" si="33"/>
        <v>42241.768318399285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42241.768318399285</v>
      </c>
      <c r="AN57" s="48">
        <f t="shared" si="34"/>
        <v>46465.945150239218</v>
      </c>
      <c r="AO57" s="47">
        <f t="shared" si="35"/>
        <v>4.4050349560611783</v>
      </c>
      <c r="AP57" s="47">
        <f t="shared" si="36"/>
        <v>4.0344816356415514</v>
      </c>
      <c r="AQ57">
        <v>2020</v>
      </c>
    </row>
    <row r="58" spans="2:43">
      <c r="B58" s="97" t="s">
        <v>65</v>
      </c>
      <c r="C58" s="98">
        <v>18230711</v>
      </c>
      <c r="D58" s="61" t="s">
        <v>125</v>
      </c>
      <c r="E58" s="38" t="s">
        <v>982</v>
      </c>
      <c r="F58" s="39" t="s">
        <v>983</v>
      </c>
      <c r="G58" s="39">
        <v>15</v>
      </c>
      <c r="H58" s="39"/>
      <c r="I58" s="40" t="s">
        <v>261</v>
      </c>
      <c r="J58" s="41">
        <v>1</v>
      </c>
      <c r="K58" s="41">
        <v>223497</v>
      </c>
      <c r="L58" s="41"/>
      <c r="M58" s="42">
        <v>46805</v>
      </c>
      <c r="N58" s="42">
        <v>99408.59</v>
      </c>
      <c r="O58" s="43">
        <v>223497</v>
      </c>
      <c r="P58" s="44">
        <v>46805</v>
      </c>
      <c r="Q58" s="44">
        <v>99408.59</v>
      </c>
      <c r="R58" s="45"/>
      <c r="S58" s="46"/>
      <c r="T58" s="39">
        <f t="shared" si="19"/>
        <v>15</v>
      </c>
      <c r="U58" s="47">
        <f t="shared" si="20"/>
        <v>0.17418591864730362</v>
      </c>
      <c r="V58" s="48">
        <f t="shared" si="21"/>
        <v>52603.59</v>
      </c>
      <c r="W58" s="49">
        <f t="shared" si="22"/>
        <v>1.1612394576486908E-2</v>
      </c>
      <c r="X58" s="44">
        <f t="shared" si="23"/>
        <v>26458.627490589159</v>
      </c>
      <c r="Y58" s="44">
        <f t="shared" si="24"/>
        <v>52603.59</v>
      </c>
      <c r="Z58" s="44">
        <f t="shared" si="25"/>
        <v>74830.765571138487</v>
      </c>
      <c r="AA58" s="50">
        <f t="shared" si="26"/>
        <v>125867.21749058916</v>
      </c>
      <c r="AB58" s="51">
        <f t="shared" si="27"/>
        <v>69954.908452031857</v>
      </c>
      <c r="AC58" s="44">
        <f t="shared" si="28"/>
        <v>117665.90398297574</v>
      </c>
      <c r="AD58" s="44">
        <f t="shared" si="29"/>
        <v>0</v>
      </c>
      <c r="AE58" s="44">
        <f t="shared" si="37"/>
        <v>0</v>
      </c>
      <c r="AF58" s="52">
        <f>HLOOKUP(I58,ElecAvoidedCostsWOCC!$A$5:$Q$50,G58+1,FALSE)</f>
        <v>1.3787827893853604</v>
      </c>
      <c r="AG58" s="44">
        <f t="shared" si="30"/>
        <v>308153.8170792599</v>
      </c>
      <c r="AH58" s="52">
        <f>HLOOKUP(I58,ElecAvoidedCostsWOCC!$A$5:$Q$50,T58+1,FALSE)</f>
        <v>1.3787827893853604</v>
      </c>
      <c r="AI58" s="44">
        <f t="shared" si="31"/>
        <v>0</v>
      </c>
      <c r="AJ58" s="44">
        <f t="shared" si="32"/>
        <v>308153.8170792599</v>
      </c>
      <c r="AK58" s="44">
        <f>HLOOKUP(I58,ElecAvoidedCostsWOCC!$A$5:$Q$50,G58+1,FALSE)*J58*L58</f>
        <v>0</v>
      </c>
      <c r="AL58" s="44">
        <f t="shared" si="33"/>
        <v>308153.8170792599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308153.8170792599</v>
      </c>
      <c r="AN58" s="48">
        <f t="shared" si="34"/>
        <v>338969.19878718589</v>
      </c>
      <c r="AO58" s="47">
        <f t="shared" si="35"/>
        <v>4.4050349560611783</v>
      </c>
      <c r="AP58" s="47">
        <f t="shared" si="36"/>
        <v>2.8807767357673044</v>
      </c>
      <c r="AQ58">
        <v>2020</v>
      </c>
    </row>
    <row r="59" spans="2:43">
      <c r="B59" s="97" t="s">
        <v>65</v>
      </c>
      <c r="C59" s="98">
        <v>18230711</v>
      </c>
      <c r="D59" s="61" t="s">
        <v>125</v>
      </c>
      <c r="E59" s="38" t="s">
        <v>982</v>
      </c>
      <c r="F59" s="39" t="s">
        <v>983</v>
      </c>
      <c r="G59" s="39">
        <v>15</v>
      </c>
      <c r="H59" s="39"/>
      <c r="I59" s="40" t="s">
        <v>261</v>
      </c>
      <c r="J59" s="41">
        <v>1</v>
      </c>
      <c r="K59" s="41">
        <v>11482</v>
      </c>
      <c r="L59" s="41"/>
      <c r="M59" s="42">
        <v>27734</v>
      </c>
      <c r="N59" s="42">
        <v>62504</v>
      </c>
      <c r="O59" s="43">
        <v>11482</v>
      </c>
      <c r="P59" s="44">
        <v>27734</v>
      </c>
      <c r="Q59" s="44">
        <v>62504</v>
      </c>
      <c r="R59" s="45"/>
      <c r="S59" s="46"/>
      <c r="T59" s="39">
        <f t="shared" si="19"/>
        <v>15</v>
      </c>
      <c r="U59" s="47">
        <f t="shared" si="20"/>
        <v>8.9486781384463341E-3</v>
      </c>
      <c r="V59" s="48">
        <f t="shared" si="21"/>
        <v>34770</v>
      </c>
      <c r="W59" s="49">
        <f t="shared" si="22"/>
        <v>5.9657854256308892E-4</v>
      </c>
      <c r="X59" s="44">
        <f t="shared" si="23"/>
        <v>1359.2932381506002</v>
      </c>
      <c r="Y59" s="44">
        <f t="shared" si="24"/>
        <v>34770</v>
      </c>
      <c r="Z59" s="44">
        <f t="shared" si="25"/>
        <v>3844.377554454029</v>
      </c>
      <c r="AA59" s="50">
        <f t="shared" si="26"/>
        <v>63863.293238150603</v>
      </c>
      <c r="AB59" s="51">
        <f t="shared" si="27"/>
        <v>3593.8838501019245</v>
      </c>
      <c r="AC59" s="44">
        <f t="shared" si="28"/>
        <v>59702.059678555292</v>
      </c>
      <c r="AD59" s="44">
        <f t="shared" si="29"/>
        <v>0</v>
      </c>
      <c r="AE59" s="44">
        <f t="shared" si="37"/>
        <v>0</v>
      </c>
      <c r="AF59" s="52">
        <f>HLOOKUP(I59,ElecAvoidedCostsWOCC!$A$5:$Q$50,G59+1,FALSE)</f>
        <v>1.3787827893853604</v>
      </c>
      <c r="AG59" s="44">
        <f t="shared" si="30"/>
        <v>15831.183987722708</v>
      </c>
      <c r="AH59" s="52">
        <f>HLOOKUP(I59,ElecAvoidedCostsWOCC!$A$5:$Q$50,T59+1,FALSE)</f>
        <v>1.3787827893853604</v>
      </c>
      <c r="AI59" s="44">
        <f t="shared" si="31"/>
        <v>0</v>
      </c>
      <c r="AJ59" s="44">
        <f t="shared" si="32"/>
        <v>15831.183987722708</v>
      </c>
      <c r="AK59" s="44">
        <f>HLOOKUP(I59,ElecAvoidedCostsWOCC!$A$5:$Q$50,G59+1,FALSE)*J59*L59</f>
        <v>0</v>
      </c>
      <c r="AL59" s="44">
        <f t="shared" si="33"/>
        <v>15831.183987722708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15831.183987722708</v>
      </c>
      <c r="AN59" s="48">
        <f t="shared" si="34"/>
        <v>17414.302386494979</v>
      </c>
      <c r="AO59" s="47">
        <f t="shared" si="35"/>
        <v>4.4050349560611783</v>
      </c>
      <c r="AP59" s="47">
        <f t="shared" si="36"/>
        <v>0.29168679406131304</v>
      </c>
      <c r="AQ59">
        <v>2020</v>
      </c>
    </row>
    <row r="60" spans="2:43">
      <c r="B60" s="97" t="s">
        <v>65</v>
      </c>
      <c r="C60" s="98">
        <v>18230711</v>
      </c>
      <c r="D60" s="61" t="s">
        <v>125</v>
      </c>
      <c r="E60" s="38" t="s">
        <v>2088</v>
      </c>
      <c r="F60" s="39" t="s">
        <v>2089</v>
      </c>
      <c r="G60" s="39">
        <v>15</v>
      </c>
      <c r="H60" s="39"/>
      <c r="I60" s="40" t="s">
        <v>261</v>
      </c>
      <c r="J60" s="41">
        <v>1</v>
      </c>
      <c r="K60" s="41">
        <v>2805033</v>
      </c>
      <c r="L60" s="41"/>
      <c r="M60" s="42">
        <v>735747</v>
      </c>
      <c r="N60" s="42">
        <v>1686634</v>
      </c>
      <c r="O60" s="43">
        <v>2805033</v>
      </c>
      <c r="P60" s="44">
        <v>735747</v>
      </c>
      <c r="Q60" s="44">
        <v>1686634</v>
      </c>
      <c r="R60" s="45"/>
      <c r="S60" s="46"/>
      <c r="T60" s="39">
        <f t="shared" si="19"/>
        <v>15</v>
      </c>
      <c r="U60" s="47">
        <f t="shared" si="20"/>
        <v>2.1861467936527204</v>
      </c>
      <c r="V60" s="48">
        <f t="shared" si="21"/>
        <v>950887</v>
      </c>
      <c r="W60" s="49">
        <f t="shared" si="22"/>
        <v>0.14574311957684802</v>
      </c>
      <c r="X60" s="44">
        <f t="shared" si="23"/>
        <v>332073.0177398792</v>
      </c>
      <c r="Y60" s="44">
        <f t="shared" si="24"/>
        <v>950887</v>
      </c>
      <c r="Z60" s="44">
        <f t="shared" si="25"/>
        <v>939174.87412496505</v>
      </c>
      <c r="AA60" s="50">
        <f t="shared" si="26"/>
        <v>2018707.0177398792</v>
      </c>
      <c r="AB60" s="51">
        <f t="shared" si="27"/>
        <v>877979.6897494297</v>
      </c>
      <c r="AC60" s="44">
        <f t="shared" si="28"/>
        <v>1887171.1860707479</v>
      </c>
      <c r="AD60" s="44">
        <f t="shared" si="29"/>
        <v>0</v>
      </c>
      <c r="AE60" s="44">
        <f t="shared" si="37"/>
        <v>0</v>
      </c>
      <c r="AF60" s="52">
        <f>HLOOKUP(I60,ElecAvoidedCostsWOCC!$A$5:$Q$50,G60+1,FALSE)</f>
        <v>1.3787827893853604</v>
      </c>
      <c r="AG60" s="44">
        <f t="shared" si="30"/>
        <v>3867531.2240579855</v>
      </c>
      <c r="AH60" s="52">
        <f>HLOOKUP(I60,ElecAvoidedCostsWOCC!$A$5:$Q$50,T60+1,FALSE)</f>
        <v>1.3787827893853604</v>
      </c>
      <c r="AI60" s="44">
        <f t="shared" si="31"/>
        <v>0</v>
      </c>
      <c r="AJ60" s="44">
        <f t="shared" si="32"/>
        <v>3867531.2240579855</v>
      </c>
      <c r="AK60" s="44">
        <f>HLOOKUP(I60,ElecAvoidedCostsWOCC!$A$5:$Q$50,G60+1,FALSE)*J60*L60</f>
        <v>0</v>
      </c>
      <c r="AL60" s="44">
        <f t="shared" si="33"/>
        <v>3867531.2240579855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3867531.2240579855</v>
      </c>
      <c r="AN60" s="48">
        <f t="shared" si="34"/>
        <v>4254284.3464637846</v>
      </c>
      <c r="AO60" s="47">
        <f t="shared" si="35"/>
        <v>4.4050349560611775</v>
      </c>
      <c r="AP60" s="47">
        <f t="shared" si="36"/>
        <v>2.2543181974506346</v>
      </c>
      <c r="AQ60">
        <v>2020</v>
      </c>
    </row>
    <row r="61" spans="2:43">
      <c r="B61" s="97" t="s">
        <v>65</v>
      </c>
      <c r="C61" s="98">
        <v>18230711</v>
      </c>
      <c r="D61" s="61" t="s">
        <v>125</v>
      </c>
      <c r="E61" s="38" t="s">
        <v>1054</v>
      </c>
      <c r="F61" s="39" t="s">
        <v>1055</v>
      </c>
      <c r="G61" s="39">
        <v>15</v>
      </c>
      <c r="H61" s="39"/>
      <c r="I61" s="40" t="s">
        <v>255</v>
      </c>
      <c r="J61" s="41">
        <v>1</v>
      </c>
      <c r="K61" s="41"/>
      <c r="L61" s="41"/>
      <c r="M61" s="42"/>
      <c r="N61" s="42"/>
      <c r="O61" s="43">
        <v>0</v>
      </c>
      <c r="P61" s="44">
        <v>0</v>
      </c>
      <c r="Q61" s="44">
        <v>0</v>
      </c>
      <c r="R61" s="45"/>
      <c r="S61" s="46"/>
      <c r="T61" s="39">
        <f t="shared" si="19"/>
        <v>15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7"/>
        <v>0</v>
      </c>
      <c r="AF61" s="52">
        <f>HLOOKUP(I61,ElecAvoidedCostsWOCC!$A$5:$Q$50,G61+1,FALSE)</f>
        <v>1.0178775471043147</v>
      </c>
      <c r="AG61" s="44">
        <f t="shared" si="30"/>
        <v>0</v>
      </c>
      <c r="AH61" s="52">
        <f>HLOOKUP(I61,ElecAvoidedCostsWOCC!$A$5:$Q$50,T61+1,FALSE)</f>
        <v>1.0178775471043147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  <c r="AQ61">
        <v>2020</v>
      </c>
    </row>
    <row r="62" spans="2:43">
      <c r="B62" s="97" t="s">
        <v>65</v>
      </c>
      <c r="C62" s="98">
        <v>18230711</v>
      </c>
      <c r="D62" s="61" t="s">
        <v>125</v>
      </c>
      <c r="E62" s="38" t="s">
        <v>988</v>
      </c>
      <c r="F62" s="39" t="s">
        <v>989</v>
      </c>
      <c r="G62" s="39">
        <v>10</v>
      </c>
      <c r="H62" s="39"/>
      <c r="I62" s="40" t="s">
        <v>261</v>
      </c>
      <c r="J62" s="41">
        <v>1</v>
      </c>
      <c r="K62" s="41">
        <v>161852</v>
      </c>
      <c r="L62" s="41"/>
      <c r="M62" s="42">
        <v>48556</v>
      </c>
      <c r="N62" s="42">
        <v>48556</v>
      </c>
      <c r="O62" s="43">
        <v>161852</v>
      </c>
      <c r="P62" s="44">
        <v>48556</v>
      </c>
      <c r="Q62" s="44">
        <v>48556</v>
      </c>
      <c r="R62" s="45"/>
      <c r="S62" s="46"/>
      <c r="T62" s="39">
        <f t="shared" si="19"/>
        <v>10</v>
      </c>
      <c r="U62" s="47">
        <f t="shared" si="20"/>
        <v>8.4094609189096906E-2</v>
      </c>
      <c r="V62" s="48">
        <f t="shared" si="21"/>
        <v>0</v>
      </c>
      <c r="W62" s="49">
        <f t="shared" si="22"/>
        <v>8.4094609189096902E-3</v>
      </c>
      <c r="X62" s="44">
        <f t="shared" si="23"/>
        <v>19160.80205374943</v>
      </c>
      <c r="Y62" s="44">
        <f t="shared" si="24"/>
        <v>0</v>
      </c>
      <c r="Z62" s="44">
        <f t="shared" si="25"/>
        <v>54190.924572678407</v>
      </c>
      <c r="AA62" s="50">
        <f t="shared" si="26"/>
        <v>67716.80205374943</v>
      </c>
      <c r="AB62" s="51">
        <f t="shared" si="27"/>
        <v>50659.9276177231</v>
      </c>
      <c r="AC62" s="44">
        <f t="shared" si="28"/>
        <v>63304.479810927762</v>
      </c>
      <c r="AD62" s="44">
        <f t="shared" si="29"/>
        <v>0</v>
      </c>
      <c r="AE62" s="44">
        <f t="shared" si="37"/>
        <v>0</v>
      </c>
      <c r="AF62" s="52">
        <f>HLOOKUP(I62,ElecAvoidedCostsWOCC!$A$5:$Q$50,G62+1,FALSE)</f>
        <v>0.97334887994043018</v>
      </c>
      <c r="AG62" s="44">
        <f t="shared" si="30"/>
        <v>157538.4629161185</v>
      </c>
      <c r="AH62" s="52">
        <f>HLOOKUP(I62,ElecAvoidedCostsWOCC!$A$5:$Q$50,T62+1,FALSE)</f>
        <v>0.97334887994043018</v>
      </c>
      <c r="AI62" s="44">
        <f t="shared" si="31"/>
        <v>0</v>
      </c>
      <c r="AJ62" s="44">
        <f t="shared" si="32"/>
        <v>157538.4629161185</v>
      </c>
      <c r="AK62" s="44">
        <f>HLOOKUP(I62,ElecAvoidedCostsWOCC!$A$5:$Q$50,G62+1,FALSE)*J62*L62</f>
        <v>0</v>
      </c>
      <c r="AL62" s="44">
        <f t="shared" si="33"/>
        <v>157538.4629161185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157538.4629161185</v>
      </c>
      <c r="AN62" s="48">
        <f t="shared" si="34"/>
        <v>173292.30920773037</v>
      </c>
      <c r="AO62" s="47">
        <f t="shared" si="35"/>
        <v>3.1097253850201816</v>
      </c>
      <c r="AP62" s="47">
        <f t="shared" si="36"/>
        <v>2.7374414847938815</v>
      </c>
      <c r="AQ62">
        <v>2020</v>
      </c>
    </row>
    <row r="63" spans="2:43">
      <c r="B63" s="97" t="s">
        <v>65</v>
      </c>
      <c r="C63" s="98">
        <v>18230711</v>
      </c>
      <c r="D63" s="61" t="s">
        <v>125</v>
      </c>
      <c r="E63" s="38" t="s">
        <v>988</v>
      </c>
      <c r="F63" s="39" t="s">
        <v>989</v>
      </c>
      <c r="G63" s="39">
        <v>10</v>
      </c>
      <c r="H63" s="39"/>
      <c r="I63" s="40" t="s">
        <v>261</v>
      </c>
      <c r="J63" s="41">
        <v>1</v>
      </c>
      <c r="K63" s="41">
        <v>115231</v>
      </c>
      <c r="L63" s="41"/>
      <c r="M63" s="42">
        <v>34569</v>
      </c>
      <c r="N63" s="42">
        <v>34569</v>
      </c>
      <c r="O63" s="43">
        <v>115231</v>
      </c>
      <c r="P63" s="44">
        <v>34569</v>
      </c>
      <c r="Q63" s="44">
        <v>34569</v>
      </c>
      <c r="R63" s="45"/>
      <c r="S63" s="46"/>
      <c r="T63" s="39">
        <f t="shared" si="19"/>
        <v>10</v>
      </c>
      <c r="U63" s="47">
        <f t="shared" si="20"/>
        <v>5.9871400486054077E-2</v>
      </c>
      <c r="V63" s="48">
        <f t="shared" si="21"/>
        <v>0</v>
      </c>
      <c r="W63" s="49">
        <f t="shared" si="22"/>
        <v>5.9871400486054081E-3</v>
      </c>
      <c r="X63" s="44">
        <f t="shared" si="23"/>
        <v>13641.588497241928</v>
      </c>
      <c r="Y63" s="44">
        <f t="shared" si="24"/>
        <v>0</v>
      </c>
      <c r="Z63" s="44">
        <f t="shared" si="25"/>
        <v>38581.385645122122</v>
      </c>
      <c r="AA63" s="50">
        <f t="shared" si="26"/>
        <v>48210.58849724193</v>
      </c>
      <c r="AB63" s="51">
        <f t="shared" si="27"/>
        <v>36067.482139966458</v>
      </c>
      <c r="AC63" s="44">
        <f t="shared" si="28"/>
        <v>45069.261005180822</v>
      </c>
      <c r="AD63" s="44">
        <f t="shared" si="29"/>
        <v>0</v>
      </c>
      <c r="AE63" s="44">
        <f t="shared" si="37"/>
        <v>0</v>
      </c>
      <c r="AF63" s="52">
        <f>HLOOKUP(I63,ElecAvoidedCostsWOCC!$A$5:$Q$50,G63+1,FALSE)</f>
        <v>0.97334887994043018</v>
      </c>
      <c r="AG63" s="44">
        <f t="shared" si="30"/>
        <v>112159.96478441572</v>
      </c>
      <c r="AH63" s="52">
        <f>HLOOKUP(I63,ElecAvoidedCostsWOCC!$A$5:$Q$50,T63+1,FALSE)</f>
        <v>0.97334887994043018</v>
      </c>
      <c r="AI63" s="44">
        <f t="shared" si="31"/>
        <v>0</v>
      </c>
      <c r="AJ63" s="44">
        <f t="shared" si="32"/>
        <v>112159.96478441572</v>
      </c>
      <c r="AK63" s="44">
        <f>HLOOKUP(I63,ElecAvoidedCostsWOCC!$A$5:$Q$50,G63+1,FALSE)*J63*L63</f>
        <v>0</v>
      </c>
      <c r="AL63" s="44">
        <f t="shared" si="33"/>
        <v>112159.96478441572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112159.96478441572</v>
      </c>
      <c r="AN63" s="48">
        <f t="shared" si="34"/>
        <v>123375.96126285729</v>
      </c>
      <c r="AO63" s="47">
        <f t="shared" si="35"/>
        <v>3.1097253850201816</v>
      </c>
      <c r="AP63" s="47">
        <f t="shared" si="36"/>
        <v>2.7374746892050199</v>
      </c>
      <c r="AQ63">
        <v>2020</v>
      </c>
    </row>
    <row r="64" spans="2:43">
      <c r="B64" s="97" t="s">
        <v>65</v>
      </c>
      <c r="C64" s="98">
        <v>18230711</v>
      </c>
      <c r="D64" s="61" t="s">
        <v>125</v>
      </c>
      <c r="E64" s="38" t="s">
        <v>988</v>
      </c>
      <c r="F64" s="39" t="s">
        <v>989</v>
      </c>
      <c r="G64" s="39">
        <v>10</v>
      </c>
      <c r="H64" s="39"/>
      <c r="I64" s="40" t="s">
        <v>261</v>
      </c>
      <c r="J64" s="41">
        <v>1</v>
      </c>
      <c r="K64" s="41">
        <v>48450</v>
      </c>
      <c r="L64" s="41"/>
      <c r="M64" s="42">
        <v>14535</v>
      </c>
      <c r="N64" s="42">
        <v>14535</v>
      </c>
      <c r="O64" s="43">
        <v>48450</v>
      </c>
      <c r="P64" s="44">
        <v>14535</v>
      </c>
      <c r="Q64" s="44">
        <v>14535</v>
      </c>
      <c r="R64" s="45"/>
      <c r="S64" s="46"/>
      <c r="T64" s="39">
        <f t="shared" si="19"/>
        <v>10</v>
      </c>
      <c r="U64" s="47">
        <f t="shared" si="20"/>
        <v>2.517351540426899E-2</v>
      </c>
      <c r="V64" s="48">
        <f t="shared" si="21"/>
        <v>0</v>
      </c>
      <c r="W64" s="49">
        <f t="shared" si="22"/>
        <v>2.5173515404268991E-3</v>
      </c>
      <c r="X64" s="44">
        <f t="shared" si="23"/>
        <v>5735.7391907678611</v>
      </c>
      <c r="Y64" s="44">
        <f t="shared" si="24"/>
        <v>0</v>
      </c>
      <c r="Z64" s="44">
        <f t="shared" si="25"/>
        <v>16221.920616033591</v>
      </c>
      <c r="AA64" s="50">
        <f t="shared" si="26"/>
        <v>20270.739190767861</v>
      </c>
      <c r="AB64" s="51">
        <f t="shared" si="27"/>
        <v>15164.925321149471</v>
      </c>
      <c r="AC64" s="44">
        <f t="shared" si="28"/>
        <v>18949.929130380347</v>
      </c>
      <c r="AD64" s="44">
        <f t="shared" si="29"/>
        <v>0</v>
      </c>
      <c r="AE64" s="44">
        <f t="shared" si="37"/>
        <v>0</v>
      </c>
      <c r="AF64" s="52">
        <f>HLOOKUP(I64,ElecAvoidedCostsWOCC!$A$5:$Q$50,G64+1,FALSE)</f>
        <v>0.97334887994043018</v>
      </c>
      <c r="AG64" s="44">
        <f t="shared" si="30"/>
        <v>47158.753233113843</v>
      </c>
      <c r="AH64" s="52">
        <f>HLOOKUP(I64,ElecAvoidedCostsWOCC!$A$5:$Q$50,T64+1,FALSE)</f>
        <v>0.97334887994043018</v>
      </c>
      <c r="AI64" s="44">
        <f t="shared" si="31"/>
        <v>0</v>
      </c>
      <c r="AJ64" s="44">
        <f t="shared" si="32"/>
        <v>47158.753233113843</v>
      </c>
      <c r="AK64" s="44">
        <f>HLOOKUP(I64,ElecAvoidedCostsWOCC!$A$5:$Q$50,G64+1,FALSE)*J64*L64</f>
        <v>0</v>
      </c>
      <c r="AL64" s="44">
        <f t="shared" si="33"/>
        <v>47158.753233113843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47158.753233113843</v>
      </c>
      <c r="AN64" s="48">
        <f t="shared" si="34"/>
        <v>51874.628556425232</v>
      </c>
      <c r="AO64" s="47">
        <f t="shared" si="35"/>
        <v>3.109725385020182</v>
      </c>
      <c r="AP64" s="47">
        <f t="shared" si="36"/>
        <v>2.7374576548289205</v>
      </c>
      <c r="AQ64">
        <v>2020</v>
      </c>
    </row>
    <row r="65" spans="2:43">
      <c r="B65" s="97" t="s">
        <v>65</v>
      </c>
      <c r="C65" s="98">
        <v>18230711</v>
      </c>
      <c r="D65" s="61" t="s">
        <v>125</v>
      </c>
      <c r="E65" s="38" t="s">
        <v>2090</v>
      </c>
      <c r="F65" s="39" t="s">
        <v>2091</v>
      </c>
      <c r="G65" s="39">
        <v>15</v>
      </c>
      <c r="H65" s="39"/>
      <c r="I65" s="40" t="s">
        <v>261</v>
      </c>
      <c r="J65" s="41">
        <v>1</v>
      </c>
      <c r="K65" s="41"/>
      <c r="L65" s="41"/>
      <c r="M65" s="42"/>
      <c r="N65" s="42"/>
      <c r="O65" s="43">
        <v>0</v>
      </c>
      <c r="P65" s="44">
        <v>0</v>
      </c>
      <c r="Q65" s="44">
        <v>0</v>
      </c>
      <c r="R65" s="45"/>
      <c r="S65" s="46"/>
      <c r="T65" s="39">
        <f t="shared" si="19"/>
        <v>15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7"/>
        <v>0</v>
      </c>
      <c r="AF65" s="52">
        <f>HLOOKUP(I65,ElecAvoidedCostsWOCC!$A$5:$Q$50,G65+1,FALSE)</f>
        <v>1.3787827893853604</v>
      </c>
      <c r="AG65" s="44">
        <f t="shared" si="30"/>
        <v>0</v>
      </c>
      <c r="AH65" s="52">
        <f>HLOOKUP(I65,ElecAvoidedCostsWOCC!$A$5:$Q$50,T65+1,FALSE)</f>
        <v>1.3787827893853604</v>
      </c>
      <c r="AI65" s="44">
        <f t="shared" si="31"/>
        <v>0</v>
      </c>
      <c r="AJ65" s="44">
        <f t="shared" si="32"/>
        <v>0</v>
      </c>
      <c r="AK65" s="44">
        <f>HLOOKUP(I65,ElecAvoidedCostsWOCC!$A$5:$Q$50,G65+1,FALSE)*J65*L65</f>
        <v>0</v>
      </c>
      <c r="AL65" s="44">
        <f t="shared" si="33"/>
        <v>0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  <c r="AQ65">
        <v>2020</v>
      </c>
    </row>
    <row r="66" spans="2:43">
      <c r="B66" s="97" t="s">
        <v>65</v>
      </c>
      <c r="C66" s="98">
        <v>18230711</v>
      </c>
      <c r="D66" s="61" t="s">
        <v>125</v>
      </c>
      <c r="E66" s="38" t="s">
        <v>2090</v>
      </c>
      <c r="F66" s="39" t="s">
        <v>2091</v>
      </c>
      <c r="G66" s="39">
        <v>15</v>
      </c>
      <c r="H66" s="39"/>
      <c r="I66" s="40" t="s">
        <v>261</v>
      </c>
      <c r="J66" s="41">
        <v>1</v>
      </c>
      <c r="K66" s="41">
        <v>12441</v>
      </c>
      <c r="L66" s="41"/>
      <c r="M66" s="42">
        <v>3732</v>
      </c>
      <c r="N66" s="42">
        <v>8604.0400000000009</v>
      </c>
      <c r="O66" s="43">
        <v>12441</v>
      </c>
      <c r="P66" s="44">
        <v>3732</v>
      </c>
      <c r="Q66" s="44">
        <v>8604.0400000000009</v>
      </c>
      <c r="R66" s="45"/>
      <c r="S66" s="46"/>
      <c r="T66" s="39">
        <f t="shared" si="19"/>
        <v>15</v>
      </c>
      <c r="U66" s="47">
        <f t="shared" si="20"/>
        <v>9.6960899425545064E-3</v>
      </c>
      <c r="V66" s="48">
        <f t="shared" si="21"/>
        <v>4872.0400000000009</v>
      </c>
      <c r="W66" s="49">
        <f t="shared" si="22"/>
        <v>6.464059961703004E-4</v>
      </c>
      <c r="X66" s="44">
        <f t="shared" si="23"/>
        <v>1472.8241748677599</v>
      </c>
      <c r="Y66" s="44">
        <f t="shared" si="24"/>
        <v>4872.0400000000009</v>
      </c>
      <c r="Z66" s="44">
        <f t="shared" si="25"/>
        <v>4165.4677891449728</v>
      </c>
      <c r="AA66" s="50">
        <f t="shared" si="26"/>
        <v>10076.86417486776</v>
      </c>
      <c r="AB66" s="51">
        <f t="shared" ref="AB66:AC68" si="38">Z66/(1+ElecDiscountRate)^1</f>
        <v>3894.0523409787534</v>
      </c>
      <c r="AC66" s="44">
        <f t="shared" si="38"/>
        <v>9420.2712675215098</v>
      </c>
      <c r="AD66" s="44">
        <f t="shared" si="29"/>
        <v>0</v>
      </c>
      <c r="AE66" s="44">
        <f t="shared" si="37"/>
        <v>0</v>
      </c>
      <c r="AF66" s="52">
        <f>HLOOKUP(I66,ElecAvoidedCostsWOCC!$A$5:$Q$50,G66+1,FALSE)</f>
        <v>1.3787827893853604</v>
      </c>
      <c r="AG66" s="44">
        <f t="shared" si="30"/>
        <v>17153.436682743268</v>
      </c>
      <c r="AH66" s="52">
        <f>HLOOKUP(I66,ElecAvoidedCostsWOCC!$A$5:$Q$50,T66+1,FALSE)</f>
        <v>1.3787827893853604</v>
      </c>
      <c r="AI66" s="44">
        <f t="shared" si="31"/>
        <v>0</v>
      </c>
      <c r="AJ66" s="44">
        <f t="shared" si="32"/>
        <v>17153.436682743268</v>
      </c>
      <c r="AK66" s="44">
        <f>HLOOKUP(I66,ElecAvoidedCostsWOCC!$A$5:$Q$50,G66+1,FALSE)*J66*L66</f>
        <v>0</v>
      </c>
      <c r="AL66" s="44">
        <f t="shared" si="33"/>
        <v>17153.436682743268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17153.436682743268</v>
      </c>
      <c r="AN66" s="48">
        <f t="shared" si="34"/>
        <v>18868.780351017595</v>
      </c>
      <c r="AO66" s="47">
        <f t="shared" si="35"/>
        <v>4.4050349560611775</v>
      </c>
      <c r="AP66" s="47">
        <f t="shared" si="36"/>
        <v>2.0029975586872886</v>
      </c>
      <c r="AQ66">
        <v>2020</v>
      </c>
    </row>
    <row r="67" spans="2:43">
      <c r="B67" s="97" t="s">
        <v>65</v>
      </c>
      <c r="C67" s="98">
        <v>18230711</v>
      </c>
      <c r="D67" s="61" t="s">
        <v>125</v>
      </c>
      <c r="E67" s="38" t="s">
        <v>990</v>
      </c>
      <c r="F67" s="39" t="s">
        <v>991</v>
      </c>
      <c r="G67" s="39">
        <v>15</v>
      </c>
      <c r="H67" s="39"/>
      <c r="I67" s="40" t="s">
        <v>261</v>
      </c>
      <c r="J67" s="41">
        <v>1</v>
      </c>
      <c r="K67" s="41"/>
      <c r="L67" s="41"/>
      <c r="M67" s="42"/>
      <c r="N67" s="42"/>
      <c r="O67" s="43">
        <v>0</v>
      </c>
      <c r="P67" s="44">
        <v>0</v>
      </c>
      <c r="Q67" s="44">
        <v>0</v>
      </c>
      <c r="R67" s="45"/>
      <c r="S67" s="46"/>
      <c r="T67" s="39">
        <f t="shared" si="19"/>
        <v>15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38"/>
        <v>0</v>
      </c>
      <c r="AC67" s="44">
        <f t="shared" si="38"/>
        <v>0</v>
      </c>
      <c r="AD67" s="44">
        <f t="shared" si="29"/>
        <v>0</v>
      </c>
      <c r="AE67" s="44">
        <f t="shared" si="37"/>
        <v>0</v>
      </c>
      <c r="AF67" s="52">
        <f>HLOOKUP(I67,ElecAvoidedCostsWOCC!$A$5:$Q$50,G67+1,FALSE)</f>
        <v>1.3787827893853604</v>
      </c>
      <c r="AG67" s="44">
        <f t="shared" si="30"/>
        <v>0</v>
      </c>
      <c r="AH67" s="52">
        <f>HLOOKUP(I67,ElecAvoidedCostsWOCC!$A$5:$Q$50,T67+1,FALSE)</f>
        <v>1.3787827893853604</v>
      </c>
      <c r="AI67" s="44">
        <f t="shared" si="31"/>
        <v>0</v>
      </c>
      <c r="AJ67" s="44">
        <f t="shared" si="32"/>
        <v>0</v>
      </c>
      <c r="AK67" s="44">
        <f>HLOOKUP(I67,ElecAvoidedCostsWOCC!$A$5:$Q$50,G67+1,FALSE)*J67*L67</f>
        <v>0</v>
      </c>
      <c r="AL67" s="44">
        <f t="shared" si="33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  <c r="AQ67">
        <v>2020</v>
      </c>
    </row>
    <row r="68" spans="2:43">
      <c r="B68" s="97" t="s">
        <v>65</v>
      </c>
      <c r="C68" s="98">
        <v>18230711</v>
      </c>
      <c r="D68" s="61" t="s">
        <v>125</v>
      </c>
      <c r="E68" s="38" t="s">
        <v>990</v>
      </c>
      <c r="F68" s="39" t="s">
        <v>991</v>
      </c>
      <c r="G68" s="39">
        <v>15</v>
      </c>
      <c r="H68" s="39"/>
      <c r="I68" s="40" t="s">
        <v>261</v>
      </c>
      <c r="J68" s="41">
        <v>1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/>
      <c r="S68" s="46"/>
      <c r="T68" s="39">
        <f t="shared" si="19"/>
        <v>15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38"/>
        <v>0</v>
      </c>
      <c r="AC68" s="44">
        <f t="shared" si="38"/>
        <v>0</v>
      </c>
      <c r="AD68" s="44">
        <f t="shared" si="29"/>
        <v>0</v>
      </c>
      <c r="AE68" s="44">
        <f t="shared" si="37"/>
        <v>0</v>
      </c>
      <c r="AF68" s="52">
        <f>HLOOKUP(I68,ElecAvoidedCostsWOCC!$A$5:$Q$50,G68+1,FALSE)</f>
        <v>1.3787827893853604</v>
      </c>
      <c r="AG68" s="44">
        <f t="shared" si="30"/>
        <v>0</v>
      </c>
      <c r="AH68" s="52">
        <f>HLOOKUP(I68,ElecAvoidedCostsWOCC!$A$5:$Q$50,T68+1,FALSE)</f>
        <v>1.3787827893853604</v>
      </c>
      <c r="AI68" s="44">
        <f t="shared" si="31"/>
        <v>0</v>
      </c>
      <c r="AJ68" s="44">
        <f t="shared" si="32"/>
        <v>0</v>
      </c>
      <c r="AK68" s="44">
        <f>HLOOKUP(I68,ElecAvoidedCostsWOCC!$A$5:$Q$50,G68+1,FALSE)*J68*L68</f>
        <v>0</v>
      </c>
      <c r="AL68" s="44">
        <f t="shared" si="33"/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65</v>
      </c>
      <c r="C69" s="98">
        <v>18230711</v>
      </c>
      <c r="D69" s="61" t="s">
        <v>125</v>
      </c>
      <c r="E69" s="38" t="s">
        <v>990</v>
      </c>
      <c r="F69" s="39" t="s">
        <v>991</v>
      </c>
      <c r="G69" s="39">
        <v>15</v>
      </c>
      <c r="H69" s="39"/>
      <c r="I69" s="40" t="s">
        <v>261</v>
      </c>
      <c r="J69" s="41">
        <v>1</v>
      </c>
      <c r="K69" s="41">
        <v>11889</v>
      </c>
      <c r="L69" s="41"/>
      <c r="M69" s="42">
        <v>2915</v>
      </c>
      <c r="N69" s="42">
        <v>4164.6099999999997</v>
      </c>
      <c r="O69" s="43">
        <v>11889</v>
      </c>
      <c r="P69" s="44">
        <v>2915</v>
      </c>
      <c r="Q69" s="44">
        <v>4164.6099999999997</v>
      </c>
      <c r="R69" s="45"/>
      <c r="S69" s="46"/>
      <c r="T69" s="39">
        <f t="shared" ref="T69:T88" si="39">G69+H69</f>
        <v>15</v>
      </c>
      <c r="U69" s="47">
        <f t="shared" ref="U69:U88" si="40">(O69/$A$10)*T69</f>
        <v>9.2658800198561625E-3</v>
      </c>
      <c r="V69" s="48">
        <f t="shared" ref="V69:V88" si="41">N69-M69</f>
        <v>1249.6099999999997</v>
      </c>
      <c r="W69" s="49">
        <f t="shared" ref="W69:W100" si="42">(O69/A$10)</f>
        <v>6.1772533465707751E-4</v>
      </c>
      <c r="X69" s="44">
        <f t="shared" ref="X69:X100" si="43">W69*A$8</f>
        <v>1407.4758150472467</v>
      </c>
      <c r="Y69" s="44">
        <f t="shared" ref="Y69:Y88" si="44">Q69-P69</f>
        <v>1249.6099999999997</v>
      </c>
      <c r="Z69" s="44">
        <f t="shared" ref="Z69:Z100" si="45">X69+(A$6*W69)</f>
        <v>3980.6483839839707</v>
      </c>
      <c r="AA69" s="50">
        <f t="shared" ref="AA69:AA88" si="46">Q69+X69</f>
        <v>5572.0858150472468</v>
      </c>
      <c r="AB69" s="51">
        <f t="shared" ref="AB69:AB88" si="47">Z69/(1+ElecDiscountRate)^1</f>
        <v>3721.2754828306724</v>
      </c>
      <c r="AC69" s="44">
        <f t="shared" ref="AC69:AC88" si="48">AA69/(1+ElecDiscountRate)^1</f>
        <v>5209.0173086353616</v>
      </c>
      <c r="AD69" s="44">
        <f t="shared" ref="AD69:AD88" si="49">-PV(ElecDiscountRate,T69,R69)*J69</f>
        <v>0</v>
      </c>
      <c r="AE69" s="44">
        <f t="shared" ref="AE69:AE88" si="50">-PV(ElecDiscountRate,T69,S69)*J69</f>
        <v>0</v>
      </c>
      <c r="AF69" s="52">
        <f>HLOOKUP(I69,ElecAvoidedCostsWOCC!$A$5:$Q$50,G69+1,FALSE)</f>
        <v>1.3787827893853604</v>
      </c>
      <c r="AG69" s="44">
        <f t="shared" ref="AG69:AG88" si="51">AF69*J69*K69</f>
        <v>16392.348583002549</v>
      </c>
      <c r="AH69" s="52">
        <f>HLOOKUP(I69,ElecAvoidedCostsWOCC!$A$5:$Q$50,T69+1,FALSE)</f>
        <v>1.3787827893853604</v>
      </c>
      <c r="AI69" s="44">
        <f t="shared" ref="AI69:AI88" si="52">AH69*J69*L69</f>
        <v>0</v>
      </c>
      <c r="AJ69" s="44">
        <f t="shared" ref="AJ69:AJ88" si="53">AG69+AI69</f>
        <v>16392.348583002549</v>
      </c>
      <c r="AK69" s="44">
        <f>HLOOKUP(I69,ElecAvoidedCostsWOCC!$A$5:$Q$50,G69+1,FALSE)*J69*L69</f>
        <v>0</v>
      </c>
      <c r="AL69" s="44">
        <f t="shared" ref="AL69:AL88" si="54">AG69+AI69-AK69</f>
        <v>16392.348583002549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16392.348583002549</v>
      </c>
      <c r="AN69" s="48">
        <f t="shared" ref="AN69:AN88" si="55">AM69*1.1+AD69+AE69</f>
        <v>18031.583441302806</v>
      </c>
      <c r="AO69" s="47">
        <f t="shared" ref="AO69:AO88" si="56">IFERROR(AM69/AB69,0)</f>
        <v>4.4050349560611775</v>
      </c>
      <c r="AP69" s="47">
        <f t="shared" ref="AP69:AP88" si="57">AN69/AC69</f>
        <v>3.461609430901786</v>
      </c>
      <c r="AQ69">
        <v>2020</v>
      </c>
    </row>
    <row r="70" spans="2:43">
      <c r="B70" s="97" t="s">
        <v>65</v>
      </c>
      <c r="C70" s="98">
        <v>18230711</v>
      </c>
      <c r="D70" s="61" t="s">
        <v>125</v>
      </c>
      <c r="E70" s="38" t="s">
        <v>990</v>
      </c>
      <c r="F70" s="39" t="s">
        <v>991</v>
      </c>
      <c r="G70" s="39">
        <v>15</v>
      </c>
      <c r="H70" s="39"/>
      <c r="I70" s="40" t="s">
        <v>261</v>
      </c>
      <c r="J70" s="41">
        <v>1</v>
      </c>
      <c r="K70" s="41">
        <v>1214</v>
      </c>
      <c r="L70" s="41"/>
      <c r="M70" s="42">
        <v>952</v>
      </c>
      <c r="N70" s="42">
        <v>2118.1999999999998</v>
      </c>
      <c r="O70" s="43">
        <v>1214</v>
      </c>
      <c r="P70" s="44">
        <v>952</v>
      </c>
      <c r="Q70" s="44">
        <v>2118.1999999999998</v>
      </c>
      <c r="R70" s="45"/>
      <c r="S70" s="46"/>
      <c r="T70" s="39">
        <f t="shared" si="39"/>
        <v>15</v>
      </c>
      <c r="U70" s="47">
        <f t="shared" si="40"/>
        <v>9.4615008361555902E-4</v>
      </c>
      <c r="V70" s="48">
        <f t="shared" si="41"/>
        <v>1166.1999999999998</v>
      </c>
      <c r="W70" s="49">
        <f t="shared" si="42"/>
        <v>6.3076672241037268E-5</v>
      </c>
      <c r="X70" s="44">
        <f t="shared" si="43"/>
        <v>143.71903772120089</v>
      </c>
      <c r="Y70" s="44">
        <f t="shared" si="44"/>
        <v>1166.1999999999998</v>
      </c>
      <c r="Z70" s="44">
        <f t="shared" si="45"/>
        <v>406.46876424901507</v>
      </c>
      <c r="AA70" s="50">
        <f t="shared" si="46"/>
        <v>2261.9190377212008</v>
      </c>
      <c r="AB70" s="51">
        <f t="shared" si="47"/>
        <v>379.98388730393106</v>
      </c>
      <c r="AC70" s="44">
        <f t="shared" si="48"/>
        <v>2114.5358864365717</v>
      </c>
      <c r="AD70" s="44">
        <f t="shared" si="49"/>
        <v>0</v>
      </c>
      <c r="AE70" s="44">
        <f t="shared" si="50"/>
        <v>0</v>
      </c>
      <c r="AF70" s="52">
        <f>HLOOKUP(I70,ElecAvoidedCostsWOCC!$A$5:$Q$50,G70+1,FALSE)</f>
        <v>1.3787827893853604</v>
      </c>
      <c r="AG70" s="44">
        <f t="shared" si="51"/>
        <v>1673.8423063138275</v>
      </c>
      <c r="AH70" s="52">
        <f>HLOOKUP(I70,ElecAvoidedCostsWOCC!$A$5:$Q$50,T70+1,FALSE)</f>
        <v>1.3787827893853604</v>
      </c>
      <c r="AI70" s="44">
        <f t="shared" si="52"/>
        <v>0</v>
      </c>
      <c r="AJ70" s="44">
        <f t="shared" si="53"/>
        <v>1673.8423063138275</v>
      </c>
      <c r="AK70" s="44">
        <f>HLOOKUP(I70,ElecAvoidedCostsWOCC!$A$5:$Q$50,G70+1,FALSE)*J70*L70</f>
        <v>0</v>
      </c>
      <c r="AL70" s="44">
        <f t="shared" si="54"/>
        <v>1673.8423063138275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1673.8423063138275</v>
      </c>
      <c r="AN70" s="48">
        <f t="shared" si="55"/>
        <v>1841.2265369452105</v>
      </c>
      <c r="AO70" s="47">
        <f t="shared" si="56"/>
        <v>4.4050349560611783</v>
      </c>
      <c r="AP70" s="47">
        <f t="shared" si="57"/>
        <v>0.87074735820542459</v>
      </c>
      <c r="AQ70">
        <v>2020</v>
      </c>
    </row>
    <row r="71" spans="2:43">
      <c r="B71" s="97" t="s">
        <v>65</v>
      </c>
      <c r="C71" s="98">
        <v>18230711</v>
      </c>
      <c r="D71" s="61" t="s">
        <v>125</v>
      </c>
      <c r="E71" s="38" t="s">
        <v>990</v>
      </c>
      <c r="F71" s="39" t="s">
        <v>991</v>
      </c>
      <c r="G71" s="39">
        <v>15</v>
      </c>
      <c r="H71" s="39"/>
      <c r="I71" s="40" t="s">
        <v>261</v>
      </c>
      <c r="J71" s="41">
        <v>1</v>
      </c>
      <c r="K71" s="41">
        <v>1634</v>
      </c>
      <c r="L71" s="41"/>
      <c r="M71" s="42">
        <v>1399.45</v>
      </c>
      <c r="N71" s="42">
        <v>3306</v>
      </c>
      <c r="O71" s="43">
        <v>1634</v>
      </c>
      <c r="P71" s="44">
        <v>1399.45</v>
      </c>
      <c r="Q71" s="44">
        <v>3306</v>
      </c>
      <c r="R71" s="45"/>
      <c r="S71" s="46"/>
      <c r="T71" s="39">
        <f t="shared" si="39"/>
        <v>15</v>
      </c>
      <c r="U71" s="47">
        <f t="shared" si="40"/>
        <v>1.2734837204512548E-3</v>
      </c>
      <c r="V71" s="48">
        <f t="shared" si="41"/>
        <v>1906.55</v>
      </c>
      <c r="W71" s="49">
        <f t="shared" si="42"/>
        <v>8.4898914696750322E-5</v>
      </c>
      <c r="X71" s="44">
        <f t="shared" si="43"/>
        <v>193.44061584550431</v>
      </c>
      <c r="Y71" s="44">
        <f t="shared" si="44"/>
        <v>1906.55</v>
      </c>
      <c r="Z71" s="44">
        <f t="shared" si="45"/>
        <v>547.09222469760346</v>
      </c>
      <c r="AA71" s="50">
        <f t="shared" si="46"/>
        <v>3499.4406158455045</v>
      </c>
      <c r="AB71" s="51">
        <f t="shared" si="47"/>
        <v>511.44454024268805</v>
      </c>
      <c r="AC71" s="44">
        <f t="shared" si="48"/>
        <v>3271.4224697069312</v>
      </c>
      <c r="AD71" s="44">
        <f t="shared" si="49"/>
        <v>0</v>
      </c>
      <c r="AE71" s="44">
        <f t="shared" si="50"/>
        <v>0</v>
      </c>
      <c r="AF71" s="52">
        <f>HLOOKUP(I71,ElecAvoidedCostsWOCC!$A$5:$Q$50,G71+1,FALSE)</f>
        <v>1.3787827893853604</v>
      </c>
      <c r="AG71" s="44">
        <f t="shared" si="51"/>
        <v>2252.9310778556787</v>
      </c>
      <c r="AH71" s="52">
        <f>HLOOKUP(I71,ElecAvoidedCostsWOCC!$A$5:$Q$50,T71+1,FALSE)</f>
        <v>1.3787827893853604</v>
      </c>
      <c r="AI71" s="44">
        <f t="shared" si="52"/>
        <v>0</v>
      </c>
      <c r="AJ71" s="44">
        <f t="shared" si="53"/>
        <v>2252.9310778556787</v>
      </c>
      <c r="AK71" s="44">
        <f>HLOOKUP(I71,ElecAvoidedCostsWOCC!$A$5:$Q$50,G71+1,FALSE)*J71*L71</f>
        <v>0</v>
      </c>
      <c r="AL71" s="44">
        <f t="shared" si="54"/>
        <v>2252.9310778556787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2252.9310778556787</v>
      </c>
      <c r="AN71" s="48">
        <f t="shared" si="55"/>
        <v>2478.224185641247</v>
      </c>
      <c r="AO71" s="47">
        <f t="shared" si="56"/>
        <v>4.4050349560611783</v>
      </c>
      <c r="AP71" s="47">
        <f t="shared" si="57"/>
        <v>0.75753719019459365</v>
      </c>
      <c r="AQ71">
        <v>2020</v>
      </c>
    </row>
    <row r="72" spans="2:43">
      <c r="B72" s="97" t="s">
        <v>65</v>
      </c>
      <c r="C72" s="98">
        <v>18230711</v>
      </c>
      <c r="D72" s="61" t="s">
        <v>125</v>
      </c>
      <c r="E72" s="38" t="s">
        <v>990</v>
      </c>
      <c r="F72" s="39" t="s">
        <v>991</v>
      </c>
      <c r="G72" s="39">
        <v>15</v>
      </c>
      <c r="H72" s="39"/>
      <c r="I72" s="40" t="s">
        <v>261</v>
      </c>
      <c r="J72" s="41">
        <v>1</v>
      </c>
      <c r="K72" s="41">
        <v>960</v>
      </c>
      <c r="L72" s="41"/>
      <c r="M72" s="42">
        <v>390</v>
      </c>
      <c r="N72" s="42">
        <v>810</v>
      </c>
      <c r="O72" s="43">
        <v>960</v>
      </c>
      <c r="P72" s="44">
        <v>390</v>
      </c>
      <c r="Q72" s="44">
        <v>810</v>
      </c>
      <c r="R72" s="45"/>
      <c r="S72" s="46"/>
      <c r="T72" s="39">
        <f t="shared" si="39"/>
        <v>15</v>
      </c>
      <c r="U72" s="47">
        <f t="shared" si="40"/>
        <v>7.4819116991016205E-4</v>
      </c>
      <c r="V72" s="48">
        <f t="shared" si="41"/>
        <v>420</v>
      </c>
      <c r="W72" s="49">
        <f t="shared" si="42"/>
        <v>4.9879411327344135E-5</v>
      </c>
      <c r="X72" s="44">
        <f t="shared" si="43"/>
        <v>113.6493214269793</v>
      </c>
      <c r="Y72" s="44">
        <f t="shared" si="44"/>
        <v>420</v>
      </c>
      <c r="Z72" s="44">
        <f t="shared" si="45"/>
        <v>321.42505245391635</v>
      </c>
      <c r="AA72" s="50">
        <f t="shared" si="46"/>
        <v>923.64932142697933</v>
      </c>
      <c r="AB72" s="51">
        <f t="shared" si="47"/>
        <v>300.48149243144462</v>
      </c>
      <c r="AC72" s="44">
        <f t="shared" si="48"/>
        <v>863.46575808822968</v>
      </c>
      <c r="AD72" s="44">
        <f t="shared" si="49"/>
        <v>0</v>
      </c>
      <c r="AE72" s="44">
        <f t="shared" si="50"/>
        <v>0</v>
      </c>
      <c r="AF72" s="52">
        <f>HLOOKUP(I72,ElecAvoidedCostsWOCC!$A$5:$Q$50,G72+1,FALSE)</f>
        <v>1.3787827893853604</v>
      </c>
      <c r="AG72" s="44">
        <f t="shared" si="51"/>
        <v>1323.6314778099459</v>
      </c>
      <c r="AH72" s="52">
        <f>HLOOKUP(I72,ElecAvoidedCostsWOCC!$A$5:$Q$50,T72+1,FALSE)</f>
        <v>1.3787827893853604</v>
      </c>
      <c r="AI72" s="44">
        <f t="shared" si="52"/>
        <v>0</v>
      </c>
      <c r="AJ72" s="44">
        <f t="shared" si="53"/>
        <v>1323.6314778099459</v>
      </c>
      <c r="AK72" s="44">
        <f>HLOOKUP(I72,ElecAvoidedCostsWOCC!$A$5:$Q$50,G72+1,FALSE)*J72*L72</f>
        <v>0</v>
      </c>
      <c r="AL72" s="44">
        <f t="shared" si="54"/>
        <v>1323.6314778099459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1323.6314778099459</v>
      </c>
      <c r="AN72" s="48">
        <f t="shared" si="55"/>
        <v>1455.9946255909406</v>
      </c>
      <c r="AO72" s="47">
        <f t="shared" si="56"/>
        <v>4.4050349560611783</v>
      </c>
      <c r="AP72" s="47">
        <f t="shared" si="57"/>
        <v>1.6862216155677199</v>
      </c>
      <c r="AQ72">
        <v>2020</v>
      </c>
    </row>
    <row r="73" spans="2:43">
      <c r="B73" s="97" t="s">
        <v>65</v>
      </c>
      <c r="C73" s="98">
        <v>18230711</v>
      </c>
      <c r="D73" s="61" t="s">
        <v>125</v>
      </c>
      <c r="E73" s="38" t="s">
        <v>992</v>
      </c>
      <c r="F73" s="39" t="s">
        <v>993</v>
      </c>
      <c r="G73" s="39">
        <v>10</v>
      </c>
      <c r="H73" s="39"/>
      <c r="I73" s="40" t="s">
        <v>261</v>
      </c>
      <c r="J73" s="41">
        <v>1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/>
      <c r="S73" s="46"/>
      <c r="T73" s="39">
        <f t="shared" si="39"/>
        <v>10</v>
      </c>
      <c r="U73" s="47">
        <f t="shared" si="40"/>
        <v>0</v>
      </c>
      <c r="V73" s="48">
        <f t="shared" si="41"/>
        <v>0</v>
      </c>
      <c r="W73" s="49">
        <f t="shared" si="42"/>
        <v>0</v>
      </c>
      <c r="X73" s="44">
        <f t="shared" si="43"/>
        <v>0</v>
      </c>
      <c r="Y73" s="44">
        <f t="shared" si="44"/>
        <v>0</v>
      </c>
      <c r="Z73" s="44">
        <f t="shared" si="45"/>
        <v>0</v>
      </c>
      <c r="AA73" s="50">
        <f t="shared" si="46"/>
        <v>0</v>
      </c>
      <c r="AB73" s="51">
        <f t="shared" si="47"/>
        <v>0</v>
      </c>
      <c r="AC73" s="44">
        <f t="shared" si="48"/>
        <v>0</v>
      </c>
      <c r="AD73" s="44">
        <f t="shared" si="49"/>
        <v>0</v>
      </c>
      <c r="AE73" s="44">
        <f t="shared" si="50"/>
        <v>0</v>
      </c>
      <c r="AF73" s="52">
        <f>HLOOKUP(I73,ElecAvoidedCostsWOCC!$A$5:$Q$50,G73+1,FALSE)</f>
        <v>0.97334887994043018</v>
      </c>
      <c r="AG73" s="44">
        <f t="shared" si="51"/>
        <v>0</v>
      </c>
      <c r="AH73" s="52">
        <f>HLOOKUP(I73,ElecAvoidedCostsWOCC!$A$5:$Q$50,T73+1,FALSE)</f>
        <v>0.97334887994043018</v>
      </c>
      <c r="AI73" s="44">
        <f t="shared" si="52"/>
        <v>0</v>
      </c>
      <c r="AJ73" s="44">
        <f t="shared" si="53"/>
        <v>0</v>
      </c>
      <c r="AK73" s="44">
        <f>HLOOKUP(I73,ElecAvoidedCostsWOCC!$A$5:$Q$50,G73+1,FALSE)*J73*L73</f>
        <v>0</v>
      </c>
      <c r="AL73" s="44">
        <f t="shared" si="54"/>
        <v>0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5"/>
        <v>0</v>
      </c>
      <c r="AO73" s="47">
        <f t="shared" si="56"/>
        <v>0</v>
      </c>
      <c r="AP73" s="47" t="e">
        <f t="shared" si="57"/>
        <v>#DIV/0!</v>
      </c>
      <c r="AQ73">
        <v>2020</v>
      </c>
    </row>
    <row r="74" spans="2:43">
      <c r="B74" s="97" t="s">
        <v>65</v>
      </c>
      <c r="C74" s="98">
        <v>18230711</v>
      </c>
      <c r="D74" s="61" t="s">
        <v>125</v>
      </c>
      <c r="E74" s="38" t="s">
        <v>992</v>
      </c>
      <c r="F74" s="39" t="s">
        <v>993</v>
      </c>
      <c r="G74" s="39">
        <v>10</v>
      </c>
      <c r="H74" s="39"/>
      <c r="I74" s="40" t="s">
        <v>261</v>
      </c>
      <c r="J74" s="41">
        <v>1</v>
      </c>
      <c r="K74" s="41">
        <v>94007</v>
      </c>
      <c r="L74" s="41"/>
      <c r="M74" s="42">
        <v>20317</v>
      </c>
      <c r="N74" s="42">
        <v>31926</v>
      </c>
      <c r="O74" s="43">
        <v>94007</v>
      </c>
      <c r="P74" s="44">
        <v>20317</v>
      </c>
      <c r="Q74" s="44">
        <v>31926</v>
      </c>
      <c r="R74" s="45"/>
      <c r="S74" s="46"/>
      <c r="T74" s="39">
        <f t="shared" si="39"/>
        <v>10</v>
      </c>
      <c r="U74" s="47">
        <f t="shared" si="40"/>
        <v>4.8843893965100416E-2</v>
      </c>
      <c r="V74" s="48">
        <f t="shared" si="41"/>
        <v>11609</v>
      </c>
      <c r="W74" s="49">
        <f t="shared" si="42"/>
        <v>4.8843893965100412E-3</v>
      </c>
      <c r="X74" s="44">
        <f t="shared" si="43"/>
        <v>11128.991416027127</v>
      </c>
      <c r="Y74" s="44">
        <f t="shared" si="44"/>
        <v>11609</v>
      </c>
      <c r="Z74" s="44">
        <f t="shared" si="45"/>
        <v>31475.213443786786</v>
      </c>
      <c r="AA74" s="50">
        <f t="shared" si="46"/>
        <v>43054.991416027129</v>
      </c>
      <c r="AB74" s="51">
        <f t="shared" si="47"/>
        <v>29424.337144794601</v>
      </c>
      <c r="AC74" s="44">
        <f t="shared" si="48"/>
        <v>40249.594667689191</v>
      </c>
      <c r="AD74" s="44">
        <f t="shared" si="49"/>
        <v>0</v>
      </c>
      <c r="AE74" s="44">
        <f t="shared" si="50"/>
        <v>0</v>
      </c>
      <c r="AF74" s="52">
        <f>HLOOKUP(I74,ElecAvoidedCostsWOCC!$A$5:$Q$50,G74+1,FALSE)</f>
        <v>0.97334887994043018</v>
      </c>
      <c r="AG74" s="44">
        <f t="shared" si="51"/>
        <v>91501.608156560018</v>
      </c>
      <c r="AH74" s="52">
        <f>HLOOKUP(I74,ElecAvoidedCostsWOCC!$A$5:$Q$50,T74+1,FALSE)</f>
        <v>0.97334887994043018</v>
      </c>
      <c r="AI74" s="44">
        <f t="shared" si="52"/>
        <v>0</v>
      </c>
      <c r="AJ74" s="44">
        <f t="shared" si="53"/>
        <v>91501.608156560018</v>
      </c>
      <c r="AK74" s="44">
        <f>HLOOKUP(I74,ElecAvoidedCostsWOCC!$A$5:$Q$50,G74+1,FALSE)*J74*L74</f>
        <v>0</v>
      </c>
      <c r="AL74" s="44">
        <f t="shared" si="54"/>
        <v>91501.608156560018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91501.608156560018</v>
      </c>
      <c r="AN74" s="48">
        <f t="shared" si="55"/>
        <v>100651.76897221603</v>
      </c>
      <c r="AO74" s="47">
        <f t="shared" si="56"/>
        <v>3.1097253850201816</v>
      </c>
      <c r="AP74" s="47">
        <f t="shared" si="57"/>
        <v>2.5006902505036988</v>
      </c>
      <c r="AQ74">
        <v>2020</v>
      </c>
    </row>
    <row r="75" spans="2:43">
      <c r="B75" s="97" t="s">
        <v>65</v>
      </c>
      <c r="C75" s="98">
        <v>18230711</v>
      </c>
      <c r="D75" s="61" t="s">
        <v>125</v>
      </c>
      <c r="E75" s="38" t="s">
        <v>992</v>
      </c>
      <c r="F75" s="39" t="s">
        <v>993</v>
      </c>
      <c r="G75" s="39">
        <v>10</v>
      </c>
      <c r="H75" s="39"/>
      <c r="I75" s="40" t="s">
        <v>261</v>
      </c>
      <c r="J75" s="41">
        <v>1</v>
      </c>
      <c r="K75" s="41">
        <v>10092</v>
      </c>
      <c r="L75" s="41"/>
      <c r="M75" s="42">
        <v>5800</v>
      </c>
      <c r="N75" s="42">
        <v>5800</v>
      </c>
      <c r="O75" s="43">
        <v>10092</v>
      </c>
      <c r="P75" s="44">
        <v>5800</v>
      </c>
      <c r="Q75" s="44">
        <v>5800</v>
      </c>
      <c r="R75" s="45"/>
      <c r="S75" s="46"/>
      <c r="T75" s="39">
        <f t="shared" si="39"/>
        <v>10</v>
      </c>
      <c r="U75" s="47">
        <f t="shared" si="40"/>
        <v>5.2435731157870515E-3</v>
      </c>
      <c r="V75" s="48">
        <f t="shared" si="41"/>
        <v>0</v>
      </c>
      <c r="W75" s="49">
        <f t="shared" si="42"/>
        <v>5.2435731157870515E-4</v>
      </c>
      <c r="X75" s="44">
        <f t="shared" si="43"/>
        <v>1194.7384915011196</v>
      </c>
      <c r="Y75" s="44">
        <f t="shared" si="44"/>
        <v>0</v>
      </c>
      <c r="Z75" s="44">
        <f t="shared" si="45"/>
        <v>3378.9808639217954</v>
      </c>
      <c r="AA75" s="50">
        <f t="shared" si="46"/>
        <v>6994.7384915011198</v>
      </c>
      <c r="AB75" s="51">
        <f t="shared" si="47"/>
        <v>3158.8116891855616</v>
      </c>
      <c r="AC75" s="44">
        <f t="shared" si="48"/>
        <v>6538.9721337768715</v>
      </c>
      <c r="AD75" s="44">
        <f t="shared" si="49"/>
        <v>0</v>
      </c>
      <c r="AE75" s="44">
        <f t="shared" si="50"/>
        <v>0</v>
      </c>
      <c r="AF75" s="52">
        <f>HLOOKUP(I75,ElecAvoidedCostsWOCC!$A$5:$Q$50,G75+1,FALSE)</f>
        <v>0.97334887994043018</v>
      </c>
      <c r="AG75" s="44">
        <f t="shared" si="51"/>
        <v>9823.0368963588207</v>
      </c>
      <c r="AH75" s="52">
        <f>HLOOKUP(I75,ElecAvoidedCostsWOCC!$A$5:$Q$50,T75+1,FALSE)</f>
        <v>0.97334887994043018</v>
      </c>
      <c r="AI75" s="44">
        <f t="shared" si="52"/>
        <v>0</v>
      </c>
      <c r="AJ75" s="44">
        <f t="shared" si="53"/>
        <v>9823.0368963588207</v>
      </c>
      <c r="AK75" s="44">
        <f>HLOOKUP(I75,ElecAvoidedCostsWOCC!$A$5:$Q$50,G75+1,FALSE)*J75*L75</f>
        <v>0</v>
      </c>
      <c r="AL75" s="44">
        <f t="shared" si="54"/>
        <v>9823.0368963588207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9823.0368963588207</v>
      </c>
      <c r="AN75" s="48">
        <f t="shared" si="55"/>
        <v>10805.340585994703</v>
      </c>
      <c r="AO75" s="47">
        <f t="shared" si="56"/>
        <v>3.1097253850201816</v>
      </c>
      <c r="AP75" s="47">
        <f t="shared" si="57"/>
        <v>1.6524524596427057</v>
      </c>
      <c r="AQ75">
        <v>2020</v>
      </c>
    </row>
    <row r="76" spans="2:43">
      <c r="B76" s="97" t="s">
        <v>65</v>
      </c>
      <c r="C76" s="98">
        <v>18230711</v>
      </c>
      <c r="D76" s="61" t="s">
        <v>125</v>
      </c>
      <c r="E76" s="38" t="s">
        <v>994</v>
      </c>
      <c r="F76" s="39" t="s">
        <v>995</v>
      </c>
      <c r="G76" s="39">
        <v>15</v>
      </c>
      <c r="H76" s="39"/>
      <c r="I76" s="40" t="s">
        <v>261</v>
      </c>
      <c r="J76" s="41">
        <v>1</v>
      </c>
      <c r="K76" s="41">
        <v>375714</v>
      </c>
      <c r="L76" s="41"/>
      <c r="M76" s="42">
        <v>125741</v>
      </c>
      <c r="N76" s="42">
        <v>350186.8</v>
      </c>
      <c r="O76" s="43">
        <v>375714</v>
      </c>
      <c r="P76" s="44">
        <v>125741</v>
      </c>
      <c r="Q76" s="44">
        <v>350186.8</v>
      </c>
      <c r="R76" s="45"/>
      <c r="S76" s="46"/>
      <c r="T76" s="39">
        <f t="shared" si="39"/>
        <v>15</v>
      </c>
      <c r="U76" s="47">
        <f t="shared" si="40"/>
        <v>0.29281864292877768</v>
      </c>
      <c r="V76" s="48">
        <f t="shared" si="41"/>
        <v>224445.8</v>
      </c>
      <c r="W76" s="49">
        <f t="shared" si="42"/>
        <v>1.9521242861918513E-2</v>
      </c>
      <c r="X76" s="44">
        <f t="shared" si="43"/>
        <v>44478.792865225099</v>
      </c>
      <c r="Y76" s="44">
        <f t="shared" si="44"/>
        <v>224445.8</v>
      </c>
      <c r="Z76" s="44">
        <f t="shared" si="45"/>
        <v>125795.72099757368</v>
      </c>
      <c r="AA76" s="50">
        <f t="shared" si="46"/>
        <v>394665.5928652251</v>
      </c>
      <c r="AB76" s="51">
        <f t="shared" si="47"/>
        <v>117599.06609102894</v>
      </c>
      <c r="AC76" s="44">
        <f t="shared" si="48"/>
        <v>368949.79233918397</v>
      </c>
      <c r="AD76" s="44">
        <f t="shared" si="49"/>
        <v>0</v>
      </c>
      <c r="AE76" s="44">
        <f t="shared" si="50"/>
        <v>0</v>
      </c>
      <c r="AF76" s="52">
        <f>HLOOKUP(I76,ElecAvoidedCostsWOCC!$A$5:$Q$50,G76+1,FALSE)</f>
        <v>1.3787827893853604</v>
      </c>
      <c r="AG76" s="44">
        <f t="shared" si="51"/>
        <v>518027.99693113129</v>
      </c>
      <c r="AH76" s="52">
        <f>HLOOKUP(I76,ElecAvoidedCostsWOCC!$A$5:$Q$50,T76+1,FALSE)</f>
        <v>1.3787827893853604</v>
      </c>
      <c r="AI76" s="44">
        <f t="shared" si="52"/>
        <v>0</v>
      </c>
      <c r="AJ76" s="44">
        <f t="shared" si="53"/>
        <v>518027.99693113129</v>
      </c>
      <c r="AK76" s="44">
        <f>HLOOKUP(I76,ElecAvoidedCostsWOCC!$A$5:$Q$50,G76+1,FALSE)*J76*L76</f>
        <v>0</v>
      </c>
      <c r="AL76" s="44">
        <f t="shared" si="54"/>
        <v>518027.99693113129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518027.99693113129</v>
      </c>
      <c r="AN76" s="48">
        <f t="shared" si="55"/>
        <v>569830.79662424442</v>
      </c>
      <c r="AO76" s="47">
        <f t="shared" si="56"/>
        <v>4.4050349560611783</v>
      </c>
      <c r="AP76" s="47">
        <f t="shared" si="57"/>
        <v>1.5444670479727116</v>
      </c>
      <c r="AQ76">
        <v>2020</v>
      </c>
    </row>
    <row r="77" spans="2:43">
      <c r="B77" s="97" t="s">
        <v>65</v>
      </c>
      <c r="C77" s="98">
        <v>18230711</v>
      </c>
      <c r="D77" s="61" t="s">
        <v>125</v>
      </c>
      <c r="E77" s="38" t="s">
        <v>994</v>
      </c>
      <c r="F77" s="39" t="s">
        <v>995</v>
      </c>
      <c r="G77" s="39">
        <v>15</v>
      </c>
      <c r="H77" s="39"/>
      <c r="I77" s="40" t="s">
        <v>261</v>
      </c>
      <c r="J77" s="41">
        <v>1</v>
      </c>
      <c r="K77" s="41">
        <v>422538</v>
      </c>
      <c r="L77" s="41"/>
      <c r="M77" s="42">
        <v>58456</v>
      </c>
      <c r="N77" s="42">
        <v>123612</v>
      </c>
      <c r="O77" s="43">
        <v>422538</v>
      </c>
      <c r="P77" s="44">
        <v>58456</v>
      </c>
      <c r="Q77" s="44">
        <v>123612</v>
      </c>
      <c r="R77" s="45"/>
      <c r="S77" s="46"/>
      <c r="T77" s="39">
        <f t="shared" si="39"/>
        <v>15</v>
      </c>
      <c r="U77" s="47">
        <f t="shared" si="40"/>
        <v>0.32931166724114586</v>
      </c>
      <c r="V77" s="48">
        <f t="shared" si="41"/>
        <v>65156</v>
      </c>
      <c r="W77" s="49">
        <f t="shared" si="42"/>
        <v>2.1954111149409723E-2</v>
      </c>
      <c r="X77" s="44">
        <f t="shared" si="43"/>
        <v>50022.038517826011</v>
      </c>
      <c r="Y77" s="44">
        <f t="shared" si="44"/>
        <v>65156</v>
      </c>
      <c r="Z77" s="44">
        <f t="shared" si="45"/>
        <v>141473.22793101345</v>
      </c>
      <c r="AA77" s="50">
        <f t="shared" si="46"/>
        <v>173634.038517826</v>
      </c>
      <c r="AB77" s="51">
        <f t="shared" si="47"/>
        <v>132255.05088437267</v>
      </c>
      <c r="AC77" s="44">
        <f t="shared" si="48"/>
        <v>162320.31272116106</v>
      </c>
      <c r="AD77" s="44">
        <f t="shared" si="49"/>
        <v>0</v>
      </c>
      <c r="AE77" s="44">
        <f t="shared" si="50"/>
        <v>0</v>
      </c>
      <c r="AF77" s="52">
        <f>HLOOKUP(I77,ElecAvoidedCostsWOCC!$A$5:$Q$50,G77+1,FALSE)</f>
        <v>1.3787827893853604</v>
      </c>
      <c r="AG77" s="44">
        <f t="shared" si="51"/>
        <v>582588.12226131139</v>
      </c>
      <c r="AH77" s="52">
        <f>HLOOKUP(I77,ElecAvoidedCostsWOCC!$A$5:$Q$50,T77+1,FALSE)</f>
        <v>1.3787827893853604</v>
      </c>
      <c r="AI77" s="44">
        <f t="shared" si="52"/>
        <v>0</v>
      </c>
      <c r="AJ77" s="44">
        <f t="shared" si="53"/>
        <v>582588.12226131139</v>
      </c>
      <c r="AK77" s="44">
        <f>HLOOKUP(I77,ElecAvoidedCostsWOCC!$A$5:$Q$50,G77+1,FALSE)*J77*L77</f>
        <v>0</v>
      </c>
      <c r="AL77" s="44">
        <f t="shared" si="54"/>
        <v>582588.12226131139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582588.12226131139</v>
      </c>
      <c r="AN77" s="48">
        <f t="shared" si="55"/>
        <v>640846.9344874426</v>
      </c>
      <c r="AO77" s="47">
        <f t="shared" si="56"/>
        <v>4.4050349560611775</v>
      </c>
      <c r="AP77" s="47">
        <f t="shared" si="57"/>
        <v>3.9480390577383231</v>
      </c>
      <c r="AQ77">
        <v>2020</v>
      </c>
    </row>
    <row r="78" spans="2:43">
      <c r="B78" s="97" t="s">
        <v>65</v>
      </c>
      <c r="C78" s="98">
        <v>18230711</v>
      </c>
      <c r="D78" s="61" t="s">
        <v>125</v>
      </c>
      <c r="E78" s="38" t="s">
        <v>1076</v>
      </c>
      <c r="F78" s="39" t="s">
        <v>1077</v>
      </c>
      <c r="G78" s="39">
        <v>15</v>
      </c>
      <c r="H78" s="39"/>
      <c r="I78" s="40" t="s">
        <v>261</v>
      </c>
      <c r="J78" s="41">
        <v>1</v>
      </c>
      <c r="K78" s="41">
        <v>2378</v>
      </c>
      <c r="L78" s="41"/>
      <c r="M78" s="42">
        <v>678</v>
      </c>
      <c r="N78" s="42">
        <v>968</v>
      </c>
      <c r="O78" s="43">
        <v>2378</v>
      </c>
      <c r="P78" s="44">
        <v>678</v>
      </c>
      <c r="Q78" s="44">
        <v>968</v>
      </c>
      <c r="R78" s="45"/>
      <c r="S78" s="46"/>
      <c r="T78" s="39">
        <f t="shared" si="39"/>
        <v>15</v>
      </c>
      <c r="U78" s="47">
        <f t="shared" si="40"/>
        <v>1.8533318771316305E-3</v>
      </c>
      <c r="V78" s="48">
        <f t="shared" si="41"/>
        <v>290</v>
      </c>
      <c r="W78" s="49">
        <f t="shared" si="42"/>
        <v>1.2355545847544204E-4</v>
      </c>
      <c r="X78" s="44">
        <f t="shared" si="43"/>
        <v>281.51883995141333</v>
      </c>
      <c r="Y78" s="44">
        <f t="shared" si="44"/>
        <v>290</v>
      </c>
      <c r="Z78" s="44">
        <f t="shared" si="45"/>
        <v>796.19664034938864</v>
      </c>
      <c r="AA78" s="50">
        <f t="shared" si="46"/>
        <v>1249.5188399514134</v>
      </c>
      <c r="AB78" s="51">
        <f t="shared" si="47"/>
        <v>744.31769687705764</v>
      </c>
      <c r="AC78" s="44">
        <f t="shared" si="48"/>
        <v>1168.1021220448847</v>
      </c>
      <c r="AD78" s="44">
        <f t="shared" si="49"/>
        <v>0</v>
      </c>
      <c r="AE78" s="44">
        <f t="shared" si="50"/>
        <v>0</v>
      </c>
      <c r="AF78" s="52">
        <f>HLOOKUP(I78,ElecAvoidedCostsWOCC!$A$5:$Q$50,G78+1,FALSE)</f>
        <v>1.3787827893853604</v>
      </c>
      <c r="AG78" s="44">
        <f t="shared" si="51"/>
        <v>3278.7454731583871</v>
      </c>
      <c r="AH78" s="52">
        <f>HLOOKUP(I78,ElecAvoidedCostsWOCC!$A$5:$Q$50,T78+1,FALSE)</f>
        <v>1.3787827893853604</v>
      </c>
      <c r="AI78" s="44">
        <f t="shared" si="52"/>
        <v>0</v>
      </c>
      <c r="AJ78" s="44">
        <f t="shared" si="53"/>
        <v>3278.7454731583871</v>
      </c>
      <c r="AK78" s="44">
        <f>HLOOKUP(I78,ElecAvoidedCostsWOCC!$A$5:$Q$50,G78+1,FALSE)*J78*L78</f>
        <v>0</v>
      </c>
      <c r="AL78" s="44">
        <f t="shared" si="54"/>
        <v>3278.7454731583871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3278.7454731583871</v>
      </c>
      <c r="AN78" s="48">
        <f t="shared" si="55"/>
        <v>3606.6200204742263</v>
      </c>
      <c r="AO78" s="47">
        <f t="shared" si="56"/>
        <v>4.4050349560611783</v>
      </c>
      <c r="AP78" s="47">
        <f t="shared" si="57"/>
        <v>3.0875896485492738</v>
      </c>
      <c r="AQ78">
        <v>2020</v>
      </c>
    </row>
    <row r="79" spans="2:43">
      <c r="B79" s="97" t="s">
        <v>65</v>
      </c>
      <c r="C79" s="98">
        <v>18230711</v>
      </c>
      <c r="D79" s="61" t="s">
        <v>125</v>
      </c>
      <c r="E79" s="38" t="s">
        <v>2092</v>
      </c>
      <c r="F79" s="39" t="s">
        <v>2093</v>
      </c>
      <c r="G79" s="39">
        <v>15</v>
      </c>
      <c r="H79" s="39"/>
      <c r="I79" s="40" t="s">
        <v>261</v>
      </c>
      <c r="J79" s="41">
        <v>1</v>
      </c>
      <c r="K79" s="41">
        <v>27286</v>
      </c>
      <c r="L79" s="41"/>
      <c r="M79" s="42">
        <v>8186</v>
      </c>
      <c r="N79" s="42">
        <v>34429</v>
      </c>
      <c r="O79" s="43">
        <v>27286</v>
      </c>
      <c r="P79" s="44">
        <v>8186</v>
      </c>
      <c r="Q79" s="44">
        <v>34429</v>
      </c>
      <c r="R79" s="45"/>
      <c r="S79" s="46"/>
      <c r="T79" s="39">
        <f t="shared" si="39"/>
        <v>15</v>
      </c>
      <c r="U79" s="47">
        <f t="shared" si="40"/>
        <v>2.1265775273092376E-2</v>
      </c>
      <c r="V79" s="48">
        <f t="shared" si="41"/>
        <v>26243</v>
      </c>
      <c r="W79" s="49">
        <f t="shared" si="42"/>
        <v>1.4177183515394916E-3</v>
      </c>
      <c r="X79" s="44">
        <f t="shared" si="43"/>
        <v>3230.2451921422467</v>
      </c>
      <c r="Y79" s="44">
        <f t="shared" si="44"/>
        <v>26243</v>
      </c>
      <c r="Z79" s="44">
        <f t="shared" si="45"/>
        <v>9135.8374804766263</v>
      </c>
      <c r="AA79" s="50">
        <f t="shared" si="46"/>
        <v>37659.245192142247</v>
      </c>
      <c r="AB79" s="51">
        <f t="shared" si="47"/>
        <v>8540.5604192545816</v>
      </c>
      <c r="AC79" s="44">
        <f t="shared" si="48"/>
        <v>35205.426934787552</v>
      </c>
      <c r="AD79" s="44">
        <f t="shared" si="49"/>
        <v>0</v>
      </c>
      <c r="AE79" s="44">
        <f t="shared" si="50"/>
        <v>0</v>
      </c>
      <c r="AF79" s="52">
        <f>HLOOKUP(I79,ElecAvoidedCostsWOCC!$A$5:$Q$50,G79+1,FALSE)</f>
        <v>1.3787827893853604</v>
      </c>
      <c r="AG79" s="44">
        <f t="shared" si="51"/>
        <v>37621.467191168944</v>
      </c>
      <c r="AH79" s="52">
        <f>HLOOKUP(I79,ElecAvoidedCostsWOCC!$A$5:$Q$50,T79+1,FALSE)</f>
        <v>1.3787827893853604</v>
      </c>
      <c r="AI79" s="44">
        <f t="shared" si="52"/>
        <v>0</v>
      </c>
      <c r="AJ79" s="44">
        <f t="shared" si="53"/>
        <v>37621.467191168944</v>
      </c>
      <c r="AK79" s="44">
        <f>HLOOKUP(I79,ElecAvoidedCostsWOCC!$A$5:$Q$50,G79+1,FALSE)*J79*L79</f>
        <v>0</v>
      </c>
      <c r="AL79" s="44">
        <f t="shared" si="54"/>
        <v>37621.467191168944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37621.467191168944</v>
      </c>
      <c r="AN79" s="48">
        <f t="shared" si="55"/>
        <v>41383.613910285843</v>
      </c>
      <c r="AO79" s="47">
        <f t="shared" si="56"/>
        <v>4.4050349560611783</v>
      </c>
      <c r="AP79" s="47">
        <f t="shared" si="57"/>
        <v>1.1754896194539097</v>
      </c>
      <c r="AQ79">
        <v>2020</v>
      </c>
    </row>
    <row r="80" spans="2:43">
      <c r="B80" s="97" t="s">
        <v>65</v>
      </c>
      <c r="C80" s="98">
        <v>18230711</v>
      </c>
      <c r="D80" s="61" t="s">
        <v>125</v>
      </c>
      <c r="E80" s="38" t="s">
        <v>1000</v>
      </c>
      <c r="F80" s="39" t="s">
        <v>1001</v>
      </c>
      <c r="G80" s="39">
        <v>15</v>
      </c>
      <c r="H80" s="39"/>
      <c r="I80" s="40" t="s">
        <v>261</v>
      </c>
      <c r="J80" s="41">
        <v>1</v>
      </c>
      <c r="K80" s="41">
        <v>23270</v>
      </c>
      <c r="L80" s="41"/>
      <c r="M80" s="42">
        <v>2659</v>
      </c>
      <c r="N80" s="42">
        <v>3798</v>
      </c>
      <c r="O80" s="43">
        <v>23270</v>
      </c>
      <c r="P80" s="44">
        <v>2659</v>
      </c>
      <c r="Q80" s="44">
        <v>3798</v>
      </c>
      <c r="R80" s="45"/>
      <c r="S80" s="46"/>
      <c r="T80" s="39">
        <f t="shared" si="39"/>
        <v>15</v>
      </c>
      <c r="U80" s="47">
        <f t="shared" si="40"/>
        <v>1.813584221230153E-2</v>
      </c>
      <c r="V80" s="48">
        <f t="shared" si="41"/>
        <v>1139</v>
      </c>
      <c r="W80" s="49">
        <f t="shared" si="42"/>
        <v>1.2090561474867687E-3</v>
      </c>
      <c r="X80" s="44">
        <f t="shared" si="43"/>
        <v>2754.8121975060499</v>
      </c>
      <c r="Y80" s="44">
        <f t="shared" si="44"/>
        <v>1139</v>
      </c>
      <c r="Z80" s="44">
        <f t="shared" si="45"/>
        <v>7791.209344377743</v>
      </c>
      <c r="AA80" s="50">
        <f t="shared" si="46"/>
        <v>6552.8121975060494</v>
      </c>
      <c r="AB80" s="51">
        <f t="shared" si="47"/>
        <v>7283.5461759163709</v>
      </c>
      <c r="AC80" s="44">
        <f t="shared" si="48"/>
        <v>6125.8410746060099</v>
      </c>
      <c r="AD80" s="44">
        <f t="shared" si="49"/>
        <v>0</v>
      </c>
      <c r="AE80" s="44">
        <f t="shared" si="50"/>
        <v>0</v>
      </c>
      <c r="AF80" s="52">
        <f>HLOOKUP(I80,ElecAvoidedCostsWOCC!$A$5:$Q$50,G80+1,FALSE)</f>
        <v>1.3787827893853604</v>
      </c>
      <c r="AG80" s="44">
        <f t="shared" si="51"/>
        <v>32084.275508997336</v>
      </c>
      <c r="AH80" s="52">
        <f>HLOOKUP(I80,ElecAvoidedCostsWOCC!$A$5:$Q$50,T80+1,FALSE)</f>
        <v>1.3787827893853604</v>
      </c>
      <c r="AI80" s="44">
        <f t="shared" si="52"/>
        <v>0</v>
      </c>
      <c r="AJ80" s="44">
        <f t="shared" si="53"/>
        <v>32084.275508997336</v>
      </c>
      <c r="AK80" s="44">
        <f>HLOOKUP(I80,ElecAvoidedCostsWOCC!$A$5:$Q$50,G80+1,FALSE)*J80*L80</f>
        <v>0</v>
      </c>
      <c r="AL80" s="44">
        <f t="shared" si="54"/>
        <v>32084.275508997336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32084.275508997336</v>
      </c>
      <c r="AN80" s="48">
        <f t="shared" si="55"/>
        <v>35292.703059897074</v>
      </c>
      <c r="AO80" s="47">
        <f t="shared" si="56"/>
        <v>4.4050349560611783</v>
      </c>
      <c r="AP80" s="47">
        <f t="shared" si="57"/>
        <v>5.7612828393800539</v>
      </c>
      <c r="AQ80">
        <v>2020</v>
      </c>
    </row>
    <row r="81" spans="2:43">
      <c r="B81" s="37" t="s">
        <v>65</v>
      </c>
      <c r="C81" s="98">
        <v>18230711</v>
      </c>
      <c r="D81" s="61" t="s">
        <v>125</v>
      </c>
      <c r="E81" s="38" t="s">
        <v>1002</v>
      </c>
      <c r="F81" s="39" t="s">
        <v>1003</v>
      </c>
      <c r="G81" s="39">
        <v>15</v>
      </c>
      <c r="H81" s="39"/>
      <c r="I81" s="40" t="s">
        <v>261</v>
      </c>
      <c r="J81" s="41">
        <v>1</v>
      </c>
      <c r="K81" s="41">
        <v>542312</v>
      </c>
      <c r="L81" s="41"/>
      <c r="M81" s="42">
        <v>123606</v>
      </c>
      <c r="N81" s="42">
        <v>220971</v>
      </c>
      <c r="O81" s="43">
        <v>542312</v>
      </c>
      <c r="P81" s="44">
        <v>123606</v>
      </c>
      <c r="Q81" s="44">
        <v>220971</v>
      </c>
      <c r="R81" s="45"/>
      <c r="S81" s="46"/>
      <c r="T81" s="39">
        <f t="shared" si="39"/>
        <v>15</v>
      </c>
      <c r="U81" s="47">
        <f t="shared" si="40"/>
        <v>0.42265942680866642</v>
      </c>
      <c r="V81" s="48">
        <f t="shared" si="41"/>
        <v>97365</v>
      </c>
      <c r="W81" s="49">
        <f t="shared" si="42"/>
        <v>2.8177295120577761E-2</v>
      </c>
      <c r="X81" s="44">
        <f t="shared" si="43"/>
        <v>64201.448751779157</v>
      </c>
      <c r="Y81" s="44">
        <f t="shared" si="44"/>
        <v>97365</v>
      </c>
      <c r="Z81" s="44">
        <f t="shared" si="45"/>
        <v>181575.69067332114</v>
      </c>
      <c r="AA81" s="50">
        <f t="shared" si="46"/>
        <v>285172.44875177916</v>
      </c>
      <c r="AB81" s="51">
        <f t="shared" si="47"/>
        <v>169744.49908696002</v>
      </c>
      <c r="AC81" s="44">
        <f t="shared" si="48"/>
        <v>266591.05239953176</v>
      </c>
      <c r="AD81" s="44">
        <f t="shared" si="49"/>
        <v>0</v>
      </c>
      <c r="AE81" s="44">
        <f t="shared" si="50"/>
        <v>0</v>
      </c>
      <c r="AF81" s="52">
        <f>HLOOKUP(I81,ElecAvoidedCostsWOCC!$A$5:$Q$50,G81+1,FALSE)</f>
        <v>1.3787827893853604</v>
      </c>
      <c r="AG81" s="44">
        <f t="shared" si="51"/>
        <v>747730.4520771536</v>
      </c>
      <c r="AH81" s="52">
        <f>HLOOKUP(I81,ElecAvoidedCostsWOCC!$A$5:$Q$50,T81+1,FALSE)</f>
        <v>1.3787827893853604</v>
      </c>
      <c r="AI81" s="44">
        <f t="shared" si="52"/>
        <v>0</v>
      </c>
      <c r="AJ81" s="44">
        <f t="shared" si="53"/>
        <v>747730.4520771536</v>
      </c>
      <c r="AK81" s="44">
        <f>HLOOKUP(I81,ElecAvoidedCostsWOCC!$A$5:$Q$50,G81+1,FALSE)*J81*L81</f>
        <v>0</v>
      </c>
      <c r="AL81" s="44">
        <f t="shared" si="54"/>
        <v>747730.4520771536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747730.4520771536</v>
      </c>
      <c r="AN81" s="48">
        <f t="shared" si="55"/>
        <v>822503.49728486908</v>
      </c>
      <c r="AO81" s="47">
        <f t="shared" si="56"/>
        <v>4.4050349560611783</v>
      </c>
      <c r="AP81" s="47">
        <f t="shared" si="57"/>
        <v>3.0852629519321173</v>
      </c>
      <c r="AQ81">
        <v>2020</v>
      </c>
    </row>
    <row r="82" spans="2:43">
      <c r="B82" s="37" t="s">
        <v>65</v>
      </c>
      <c r="C82" s="98">
        <v>18230711</v>
      </c>
      <c r="D82" s="61" t="s">
        <v>125</v>
      </c>
      <c r="E82" s="38" t="s">
        <v>1002</v>
      </c>
      <c r="F82" s="39" t="s">
        <v>1003</v>
      </c>
      <c r="G82" s="39">
        <v>15</v>
      </c>
      <c r="H82" s="39"/>
      <c r="I82" s="40" t="s">
        <v>261</v>
      </c>
      <c r="J82" s="41">
        <v>1</v>
      </c>
      <c r="K82" s="41">
        <v>43797</v>
      </c>
      <c r="L82" s="41"/>
      <c r="M82" s="42">
        <v>13848</v>
      </c>
      <c r="N82" s="42">
        <v>21889.51</v>
      </c>
      <c r="O82" s="43">
        <v>43797</v>
      </c>
      <c r="P82" s="44">
        <v>13848</v>
      </c>
      <c r="Q82" s="44">
        <v>21889.51</v>
      </c>
      <c r="R82" s="45"/>
      <c r="S82" s="46"/>
      <c r="T82" s="39">
        <f t="shared" si="39"/>
        <v>15</v>
      </c>
      <c r="U82" s="47">
        <f t="shared" si="40"/>
        <v>3.4133884029745168E-2</v>
      </c>
      <c r="V82" s="48">
        <f t="shared" si="41"/>
        <v>8041.5099999999984</v>
      </c>
      <c r="W82" s="49">
        <f t="shared" si="42"/>
        <v>2.2755922686496779E-3</v>
      </c>
      <c r="X82" s="44">
        <f t="shared" si="43"/>
        <v>5184.8951359764706</v>
      </c>
      <c r="Y82" s="44">
        <f t="shared" si="44"/>
        <v>8041.5099999999984</v>
      </c>
      <c r="Z82" s="44">
        <f t="shared" si="45"/>
        <v>14664.013564921015</v>
      </c>
      <c r="AA82" s="50">
        <f t="shared" si="46"/>
        <v>27074.405135976471</v>
      </c>
      <c r="AB82" s="51">
        <f t="shared" si="47"/>
        <v>13708.529087520814</v>
      </c>
      <c r="AC82" s="44">
        <f t="shared" si="48"/>
        <v>25310.278709896669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1.3787827893853604</v>
      </c>
      <c r="AG82" s="44">
        <f t="shared" si="51"/>
        <v>60386.54982671063</v>
      </c>
      <c r="AH82" s="52">
        <f>HLOOKUP(I82,ElecAvoidedCostsWOCC!$A$5:$Q$50,T82+1,FALSE)</f>
        <v>1.3787827893853604</v>
      </c>
      <c r="AI82" s="44">
        <f t="shared" si="52"/>
        <v>0</v>
      </c>
      <c r="AJ82" s="44">
        <f t="shared" si="53"/>
        <v>60386.54982671063</v>
      </c>
      <c r="AK82" s="44">
        <f>HLOOKUP(I82,ElecAvoidedCostsWOCC!$A$5:$Q$50,G82+1,FALSE)*J82*L82</f>
        <v>0</v>
      </c>
      <c r="AL82" s="44">
        <f t="shared" si="54"/>
        <v>60386.54982671063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60386.54982671063</v>
      </c>
      <c r="AN82" s="48">
        <f t="shared" si="55"/>
        <v>66425.204809381699</v>
      </c>
      <c r="AO82" s="47">
        <f t="shared" si="56"/>
        <v>4.4050349560611783</v>
      </c>
      <c r="AP82" s="47">
        <f t="shared" si="57"/>
        <v>2.6244359286098469</v>
      </c>
      <c r="AQ82">
        <v>2020</v>
      </c>
    </row>
    <row r="83" spans="2:43">
      <c r="B83" s="37" t="s">
        <v>65</v>
      </c>
      <c r="C83" s="98">
        <v>18230711</v>
      </c>
      <c r="D83" s="61" t="s">
        <v>125</v>
      </c>
      <c r="E83" s="38" t="s">
        <v>1004</v>
      </c>
      <c r="F83" s="39" t="s">
        <v>1005</v>
      </c>
      <c r="G83" s="39">
        <v>20</v>
      </c>
      <c r="H83" s="39"/>
      <c r="I83" s="40" t="s">
        <v>261</v>
      </c>
      <c r="J83" s="41">
        <v>1</v>
      </c>
      <c r="K83" s="41">
        <v>206098</v>
      </c>
      <c r="L83" s="41"/>
      <c r="M83" s="42">
        <v>77487</v>
      </c>
      <c r="N83" s="42">
        <v>146858.98000000001</v>
      </c>
      <c r="O83" s="43">
        <v>206098</v>
      </c>
      <c r="P83" s="44">
        <v>77487</v>
      </c>
      <c r="Q83" s="44">
        <v>146858.98000000001</v>
      </c>
      <c r="R83" s="45"/>
      <c r="S83" s="46"/>
      <c r="T83" s="39">
        <f t="shared" si="39"/>
        <v>20</v>
      </c>
      <c r="U83" s="47">
        <f t="shared" si="40"/>
        <v>0.21416764407797856</v>
      </c>
      <c r="V83" s="48">
        <f t="shared" si="41"/>
        <v>69371.98000000001</v>
      </c>
      <c r="W83" s="49">
        <f t="shared" si="42"/>
        <v>1.0708382203898928E-2</v>
      </c>
      <c r="X83" s="44">
        <f t="shared" si="43"/>
        <v>24398.851924434977</v>
      </c>
      <c r="Y83" s="44">
        <f t="shared" si="44"/>
        <v>69371.98000000001</v>
      </c>
      <c r="Z83" s="44">
        <f t="shared" si="45"/>
        <v>69005.27131317422</v>
      </c>
      <c r="AA83" s="50">
        <f t="shared" si="46"/>
        <v>171257.83192443498</v>
      </c>
      <c r="AB83" s="51">
        <f t="shared" si="47"/>
        <v>64508.994403266537</v>
      </c>
      <c r="AC83" s="44">
        <f t="shared" si="48"/>
        <v>160098.93607968118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1.7025958820263232</v>
      </c>
      <c r="AG83" s="44">
        <f t="shared" si="51"/>
        <v>350901.60609386116</v>
      </c>
      <c r="AH83" s="52">
        <f>HLOOKUP(I83,ElecAvoidedCostsWOCC!$A$5:$Q$50,T83+1,FALSE)</f>
        <v>1.7025958820263232</v>
      </c>
      <c r="AI83" s="44">
        <f t="shared" si="52"/>
        <v>0</v>
      </c>
      <c r="AJ83" s="44">
        <f t="shared" si="53"/>
        <v>350901.60609386116</v>
      </c>
      <c r="AK83" s="44">
        <f>HLOOKUP(I83,ElecAvoidedCostsWOCC!$A$5:$Q$50,G83+1,FALSE)*J83*L83</f>
        <v>0</v>
      </c>
      <c r="AL83" s="44">
        <f t="shared" si="54"/>
        <v>350901.60609386116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350901.60609386116</v>
      </c>
      <c r="AN83" s="48">
        <f t="shared" si="55"/>
        <v>385991.76670324733</v>
      </c>
      <c r="AO83" s="47">
        <f t="shared" si="56"/>
        <v>5.4395764395312378</v>
      </c>
      <c r="AP83" s="47">
        <f t="shared" si="57"/>
        <v>2.4109577249853764</v>
      </c>
      <c r="AQ83">
        <v>2020</v>
      </c>
    </row>
    <row r="84" spans="2:43">
      <c r="B84" s="37" t="s">
        <v>65</v>
      </c>
      <c r="C84" s="98">
        <v>18230711</v>
      </c>
      <c r="D84" s="61" t="s">
        <v>125</v>
      </c>
      <c r="E84" s="38" t="s">
        <v>1006</v>
      </c>
      <c r="F84" s="39" t="s">
        <v>1007</v>
      </c>
      <c r="G84" s="39">
        <v>24</v>
      </c>
      <c r="H84" s="39"/>
      <c r="I84" s="40" t="s">
        <v>255</v>
      </c>
      <c r="J84" s="41">
        <v>1</v>
      </c>
      <c r="K84" s="41"/>
      <c r="L84" s="41"/>
      <c r="M84" s="42"/>
      <c r="N84" s="42"/>
      <c r="O84" s="43">
        <v>0</v>
      </c>
      <c r="P84" s="44">
        <v>0</v>
      </c>
      <c r="Q84" s="44">
        <v>0</v>
      </c>
      <c r="R84" s="45"/>
      <c r="S84" s="46"/>
      <c r="T84" s="39">
        <f t="shared" si="39"/>
        <v>24</v>
      </c>
      <c r="U84" s="47">
        <f t="shared" si="40"/>
        <v>0</v>
      </c>
      <c r="V84" s="48">
        <f t="shared" si="41"/>
        <v>0</v>
      </c>
      <c r="W84" s="49">
        <f t="shared" si="42"/>
        <v>0</v>
      </c>
      <c r="X84" s="44">
        <f t="shared" si="43"/>
        <v>0</v>
      </c>
      <c r="Y84" s="44">
        <f t="shared" si="44"/>
        <v>0</v>
      </c>
      <c r="Z84" s="44">
        <f t="shared" si="45"/>
        <v>0</v>
      </c>
      <c r="AA84" s="50">
        <f t="shared" si="46"/>
        <v>0</v>
      </c>
      <c r="AB84" s="51">
        <f t="shared" si="47"/>
        <v>0</v>
      </c>
      <c r="AC84" s="44">
        <f t="shared" si="48"/>
        <v>0</v>
      </c>
      <c r="AD84" s="44">
        <f t="shared" si="49"/>
        <v>0</v>
      </c>
      <c r="AE84" s="44">
        <f t="shared" si="50"/>
        <v>0</v>
      </c>
      <c r="AF84" s="52">
        <f>HLOOKUP(I84,ElecAvoidedCostsWOCC!$A$5:$Q$50,G84+1,FALSE)</f>
        <v>1.4345808139443847</v>
      </c>
      <c r="AG84" s="44">
        <f t="shared" si="51"/>
        <v>0</v>
      </c>
      <c r="AH84" s="52">
        <f>HLOOKUP(I84,ElecAvoidedCostsWOCC!$A$5:$Q$50,T84+1,FALSE)</f>
        <v>1.4345808139443847</v>
      </c>
      <c r="AI84" s="44">
        <f t="shared" si="52"/>
        <v>0</v>
      </c>
      <c r="AJ84" s="44">
        <f t="shared" si="53"/>
        <v>0</v>
      </c>
      <c r="AK84" s="44">
        <f>HLOOKUP(I84,ElecAvoidedCostsWOCC!$A$5:$Q$50,G84+1,FALSE)*J84*L84</f>
        <v>0</v>
      </c>
      <c r="AL84" s="44">
        <f t="shared" si="54"/>
        <v>0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5"/>
        <v>0</v>
      </c>
      <c r="AO84" s="47">
        <f t="shared" si="56"/>
        <v>0</v>
      </c>
      <c r="AP84" s="47" t="e">
        <f t="shared" si="57"/>
        <v>#DIV/0!</v>
      </c>
      <c r="AQ84">
        <v>2020</v>
      </c>
    </row>
    <row r="85" spans="2:43">
      <c r="B85" s="37" t="s">
        <v>65</v>
      </c>
      <c r="C85" s="98">
        <v>18230711</v>
      </c>
      <c r="D85" s="61" t="s">
        <v>125</v>
      </c>
      <c r="E85" s="38" t="s">
        <v>1006</v>
      </c>
      <c r="F85" s="39" t="s">
        <v>1007</v>
      </c>
      <c r="G85" s="39">
        <v>24</v>
      </c>
      <c r="H85" s="39"/>
      <c r="I85" s="40" t="s">
        <v>255</v>
      </c>
      <c r="J85" s="41">
        <v>1</v>
      </c>
      <c r="K85" s="41"/>
      <c r="L85" s="41"/>
      <c r="M85" s="42"/>
      <c r="N85" s="42"/>
      <c r="O85" s="43">
        <v>0</v>
      </c>
      <c r="P85" s="44">
        <v>0</v>
      </c>
      <c r="Q85" s="44">
        <v>0</v>
      </c>
      <c r="R85" s="45"/>
      <c r="S85" s="46"/>
      <c r="T85" s="39">
        <f t="shared" si="39"/>
        <v>24</v>
      </c>
      <c r="U85" s="47">
        <f t="shared" si="40"/>
        <v>0</v>
      </c>
      <c r="V85" s="48">
        <f t="shared" si="41"/>
        <v>0</v>
      </c>
      <c r="W85" s="49">
        <f t="shared" si="42"/>
        <v>0</v>
      </c>
      <c r="X85" s="44">
        <f t="shared" si="43"/>
        <v>0</v>
      </c>
      <c r="Y85" s="44">
        <f t="shared" si="44"/>
        <v>0</v>
      </c>
      <c r="Z85" s="44">
        <f t="shared" si="45"/>
        <v>0</v>
      </c>
      <c r="AA85" s="50">
        <f t="shared" si="46"/>
        <v>0</v>
      </c>
      <c r="AB85" s="51">
        <f t="shared" si="47"/>
        <v>0</v>
      </c>
      <c r="AC85" s="44">
        <f t="shared" si="48"/>
        <v>0</v>
      </c>
      <c r="AD85" s="44">
        <f t="shared" si="49"/>
        <v>0</v>
      </c>
      <c r="AE85" s="44">
        <f t="shared" si="50"/>
        <v>0</v>
      </c>
      <c r="AF85" s="52">
        <f>HLOOKUP(I85,ElecAvoidedCostsWOCC!$A$5:$Q$50,G85+1,FALSE)</f>
        <v>1.4345808139443847</v>
      </c>
      <c r="AG85" s="44">
        <f t="shared" si="51"/>
        <v>0</v>
      </c>
      <c r="AH85" s="52">
        <f>HLOOKUP(I85,ElecAvoidedCostsWOCC!$A$5:$Q$50,T85+1,FALSE)</f>
        <v>1.4345808139443847</v>
      </c>
      <c r="AI85" s="44">
        <f t="shared" si="52"/>
        <v>0</v>
      </c>
      <c r="AJ85" s="44">
        <f t="shared" si="53"/>
        <v>0</v>
      </c>
      <c r="AK85" s="44">
        <f>HLOOKUP(I85,ElecAvoidedCostsWOCC!$A$5:$Q$50,G85+1,FALSE)*J85*L85</f>
        <v>0</v>
      </c>
      <c r="AL85" s="44">
        <f t="shared" si="54"/>
        <v>0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5"/>
        <v>0</v>
      </c>
      <c r="AO85" s="47">
        <f t="shared" si="56"/>
        <v>0</v>
      </c>
      <c r="AP85" s="47" t="e">
        <f t="shared" si="57"/>
        <v>#DIV/0!</v>
      </c>
      <c r="AQ85">
        <v>2020</v>
      </c>
    </row>
    <row r="86" spans="2:43">
      <c r="B86" s="37" t="s">
        <v>65</v>
      </c>
      <c r="C86" s="98">
        <v>18230711</v>
      </c>
      <c r="D86" s="61" t="s">
        <v>125</v>
      </c>
      <c r="E86" s="38" t="s">
        <v>1010</v>
      </c>
      <c r="F86" s="39" t="s">
        <v>1011</v>
      </c>
      <c r="G86" s="39">
        <v>15</v>
      </c>
      <c r="H86" s="39"/>
      <c r="I86" s="40" t="s">
        <v>256</v>
      </c>
      <c r="J86" s="41">
        <v>1</v>
      </c>
      <c r="K86" s="41">
        <v>22153</v>
      </c>
      <c r="L86" s="41"/>
      <c r="M86" s="42">
        <v>4957</v>
      </c>
      <c r="N86" s="42">
        <v>7082.25</v>
      </c>
      <c r="O86" s="43">
        <v>22153</v>
      </c>
      <c r="P86" s="44">
        <v>4957</v>
      </c>
      <c r="Q86" s="44">
        <v>7082.25</v>
      </c>
      <c r="R86" s="45"/>
      <c r="S86" s="46"/>
      <c r="T86" s="39">
        <f t="shared" si="39"/>
        <v>15</v>
      </c>
      <c r="U86" s="47">
        <f t="shared" si="40"/>
        <v>1.7265290611478978E-2</v>
      </c>
      <c r="V86" s="48">
        <f t="shared" si="41"/>
        <v>2125.25</v>
      </c>
      <c r="W86" s="49">
        <f t="shared" si="42"/>
        <v>1.1510193740985985E-3</v>
      </c>
      <c r="X86" s="44">
        <f t="shared" si="43"/>
        <v>2622.5764766373668</v>
      </c>
      <c r="Y86" s="44">
        <f t="shared" si="44"/>
        <v>2125.25</v>
      </c>
      <c r="Z86" s="44">
        <f t="shared" si="45"/>
        <v>7417.2179031370933</v>
      </c>
      <c r="AA86" s="50">
        <f t="shared" si="46"/>
        <v>9704.8264766373668</v>
      </c>
      <c r="AB86" s="51">
        <f t="shared" si="47"/>
        <v>6933.9234394102014</v>
      </c>
      <c r="AC86" s="44">
        <f t="shared" si="48"/>
        <v>9072.4749711483273</v>
      </c>
      <c r="AD86" s="44">
        <f t="shared" si="49"/>
        <v>0</v>
      </c>
      <c r="AE86" s="44">
        <f t="shared" si="50"/>
        <v>0</v>
      </c>
      <c r="AF86" s="52">
        <f>HLOOKUP(I86,ElecAvoidedCostsWOCC!$A$5:$Q$50,G86+1,FALSE)</f>
        <v>1.0293963841416951</v>
      </c>
      <c r="AG86" s="44">
        <f t="shared" si="51"/>
        <v>22804.218097890971</v>
      </c>
      <c r="AH86" s="52">
        <f>HLOOKUP(I86,ElecAvoidedCostsWOCC!$A$5:$Q$50,T86+1,FALSE)</f>
        <v>1.0293963841416951</v>
      </c>
      <c r="AI86" s="44">
        <f t="shared" si="52"/>
        <v>0</v>
      </c>
      <c r="AJ86" s="44">
        <f t="shared" si="53"/>
        <v>22804.218097890971</v>
      </c>
      <c r="AK86" s="44">
        <f>HLOOKUP(I86,ElecAvoidedCostsWOCC!$A$5:$Q$50,G86+1,FALSE)*J86*L86</f>
        <v>0</v>
      </c>
      <c r="AL86" s="44">
        <f t="shared" si="54"/>
        <v>22804.218097890971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22804.218097890971</v>
      </c>
      <c r="AN86" s="48">
        <f t="shared" si="55"/>
        <v>25084.63990768007</v>
      </c>
      <c r="AO86" s="47">
        <f t="shared" si="56"/>
        <v>3.2887900042678715</v>
      </c>
      <c r="AP86" s="47">
        <f t="shared" si="57"/>
        <v>2.7649169589833589</v>
      </c>
      <c r="AQ86">
        <v>2020</v>
      </c>
    </row>
    <row r="87" spans="2:43">
      <c r="B87" s="37" t="s">
        <v>65</v>
      </c>
      <c r="C87" s="98">
        <v>18230711</v>
      </c>
      <c r="D87" s="61" t="s">
        <v>125</v>
      </c>
      <c r="E87" s="38" t="s">
        <v>1012</v>
      </c>
      <c r="F87" s="39" t="s">
        <v>1013</v>
      </c>
      <c r="G87" s="39">
        <v>20</v>
      </c>
      <c r="H87" s="39"/>
      <c r="I87" s="40" t="s">
        <v>260</v>
      </c>
      <c r="J87" s="41">
        <v>1</v>
      </c>
      <c r="K87" s="41"/>
      <c r="L87" s="41"/>
      <c r="M87" s="42"/>
      <c r="N87" s="42"/>
      <c r="O87" s="43">
        <v>0</v>
      </c>
      <c r="P87" s="44">
        <v>0</v>
      </c>
      <c r="Q87" s="44">
        <v>0</v>
      </c>
      <c r="R87" s="45"/>
      <c r="S87" s="46"/>
      <c r="T87" s="39">
        <f t="shared" si="39"/>
        <v>20</v>
      </c>
      <c r="U87" s="47">
        <f t="shared" si="40"/>
        <v>0</v>
      </c>
      <c r="V87" s="48">
        <f t="shared" si="41"/>
        <v>0</v>
      </c>
      <c r="W87" s="49">
        <f t="shared" si="42"/>
        <v>0</v>
      </c>
      <c r="X87" s="44">
        <f t="shared" si="43"/>
        <v>0</v>
      </c>
      <c r="Y87" s="44">
        <f t="shared" si="44"/>
        <v>0</v>
      </c>
      <c r="Z87" s="44">
        <f t="shared" si="45"/>
        <v>0</v>
      </c>
      <c r="AA87" s="50">
        <f t="shared" si="46"/>
        <v>0</v>
      </c>
      <c r="AB87" s="51">
        <f t="shared" si="47"/>
        <v>0</v>
      </c>
      <c r="AC87" s="44">
        <f t="shared" si="48"/>
        <v>0</v>
      </c>
      <c r="AD87" s="44">
        <f t="shared" si="49"/>
        <v>0</v>
      </c>
      <c r="AE87" s="44">
        <f t="shared" si="50"/>
        <v>0</v>
      </c>
      <c r="AF87" s="52">
        <f>HLOOKUP(I87,ElecAvoidedCostsWOCC!$A$5:$Q$50,G87+1,FALSE)</f>
        <v>1.2592865625776986</v>
      </c>
      <c r="AG87" s="44">
        <f t="shared" si="51"/>
        <v>0</v>
      </c>
      <c r="AH87" s="52">
        <f>HLOOKUP(I87,ElecAvoidedCostsWOCC!$A$5:$Q$50,T87+1,FALSE)</f>
        <v>1.2592865625776986</v>
      </c>
      <c r="AI87" s="44">
        <f t="shared" si="52"/>
        <v>0</v>
      </c>
      <c r="AJ87" s="44">
        <f t="shared" si="53"/>
        <v>0</v>
      </c>
      <c r="AK87" s="44">
        <f>HLOOKUP(I87,ElecAvoidedCostsWOCC!$A$5:$Q$50,G87+1,FALSE)*J87*L87</f>
        <v>0</v>
      </c>
      <c r="AL87" s="44">
        <f t="shared" si="54"/>
        <v>0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5"/>
        <v>0</v>
      </c>
      <c r="AO87" s="47">
        <f t="shared" si="56"/>
        <v>0</v>
      </c>
      <c r="AP87" s="47" t="e">
        <f t="shared" si="57"/>
        <v>#DIV/0!</v>
      </c>
      <c r="AQ87">
        <v>2020</v>
      </c>
    </row>
    <row r="88" spans="2:43">
      <c r="B88" s="37" t="s">
        <v>65</v>
      </c>
      <c r="C88" s="98">
        <v>18230711</v>
      </c>
      <c r="D88" s="61" t="s">
        <v>125</v>
      </c>
      <c r="E88" s="38" t="s">
        <v>1012</v>
      </c>
      <c r="F88" s="39" t="s">
        <v>1013</v>
      </c>
      <c r="G88" s="39">
        <v>20</v>
      </c>
      <c r="H88" s="39"/>
      <c r="I88" s="40" t="s">
        <v>260</v>
      </c>
      <c r="J88" s="41">
        <v>1</v>
      </c>
      <c r="K88" s="41">
        <v>7658</v>
      </c>
      <c r="L88" s="41"/>
      <c r="M88" s="42">
        <v>338</v>
      </c>
      <c r="N88" s="42">
        <v>4813.5</v>
      </c>
      <c r="O88" s="43">
        <v>7658</v>
      </c>
      <c r="P88" s="44">
        <v>338</v>
      </c>
      <c r="Q88" s="44">
        <v>4813.5</v>
      </c>
      <c r="R88" s="45"/>
      <c r="S88" s="46"/>
      <c r="T88" s="39">
        <f t="shared" si="39"/>
        <v>20</v>
      </c>
      <c r="U88" s="47">
        <f t="shared" si="40"/>
        <v>7.9578444155166943E-3</v>
      </c>
      <c r="V88" s="48">
        <f t="shared" si="41"/>
        <v>4475.5</v>
      </c>
      <c r="W88" s="49">
        <f t="shared" si="42"/>
        <v>3.9789222077583474E-4</v>
      </c>
      <c r="X88" s="44">
        <f t="shared" si="43"/>
        <v>906.59010779979928</v>
      </c>
      <c r="Y88" s="44">
        <f t="shared" si="44"/>
        <v>4475.5</v>
      </c>
      <c r="Z88" s="44">
        <f t="shared" si="45"/>
        <v>2564.0344288459287</v>
      </c>
      <c r="AA88" s="50">
        <f t="shared" si="46"/>
        <v>5720.0901077997996</v>
      </c>
      <c r="AB88" s="51">
        <f t="shared" si="47"/>
        <v>2396.9659052500033</v>
      </c>
      <c r="AC88" s="44">
        <f t="shared" si="48"/>
        <v>5347.3778702438058</v>
      </c>
      <c r="AD88" s="44">
        <f t="shared" si="49"/>
        <v>0</v>
      </c>
      <c r="AE88" s="44">
        <f t="shared" si="50"/>
        <v>0</v>
      </c>
      <c r="AF88" s="52">
        <f>HLOOKUP(I88,ElecAvoidedCostsWOCC!$A$5:$Q$50,G88+1,FALSE)</f>
        <v>1.2592865625776986</v>
      </c>
      <c r="AG88" s="44">
        <f t="shared" si="51"/>
        <v>9643.6164962200164</v>
      </c>
      <c r="AH88" s="52">
        <f>HLOOKUP(I88,ElecAvoidedCostsWOCC!$A$5:$Q$50,T88+1,FALSE)</f>
        <v>1.2592865625776986</v>
      </c>
      <c r="AI88" s="44">
        <f t="shared" si="52"/>
        <v>0</v>
      </c>
      <c r="AJ88" s="44">
        <f t="shared" si="53"/>
        <v>9643.6164962200164</v>
      </c>
      <c r="AK88" s="44">
        <f>HLOOKUP(I88,ElecAvoidedCostsWOCC!$A$5:$Q$50,G88+1,FALSE)*J88*L88</f>
        <v>0</v>
      </c>
      <c r="AL88" s="44">
        <f t="shared" si="54"/>
        <v>9643.6164962200164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9643.6164962200164</v>
      </c>
      <c r="AN88" s="48">
        <f t="shared" si="55"/>
        <v>10607.978145842018</v>
      </c>
      <c r="AO88" s="47">
        <f t="shared" si="56"/>
        <v>4.0232597698189574</v>
      </c>
      <c r="AP88" s="47">
        <f t="shared" si="57"/>
        <v>1.9837719351893048</v>
      </c>
      <c r="AQ88">
        <v>2020</v>
      </c>
    </row>
    <row r="89" spans="2:43">
      <c r="B89" s="37" t="s">
        <v>65</v>
      </c>
      <c r="C89" s="98">
        <v>18230711</v>
      </c>
      <c r="D89" s="61" t="s">
        <v>125</v>
      </c>
      <c r="E89" s="38" t="s">
        <v>1012</v>
      </c>
      <c r="F89" s="39" t="s">
        <v>1013</v>
      </c>
      <c r="G89" s="39">
        <v>20</v>
      </c>
      <c r="H89" s="39"/>
      <c r="I89" s="40" t="s">
        <v>260</v>
      </c>
      <c r="J89" s="41">
        <v>1</v>
      </c>
      <c r="K89" s="41">
        <v>55861</v>
      </c>
      <c r="L89" s="41"/>
      <c r="M89" s="42">
        <v>19551</v>
      </c>
      <c r="N89" s="42">
        <v>53638</v>
      </c>
      <c r="O89" s="43">
        <v>55861</v>
      </c>
      <c r="P89" s="44">
        <v>19551</v>
      </c>
      <c r="Q89" s="44">
        <v>53638</v>
      </c>
      <c r="R89" s="45"/>
      <c r="S89" s="46"/>
      <c r="T89" s="39">
        <f t="shared" ref="T89:T110" si="58">G89+H89</f>
        <v>20</v>
      </c>
      <c r="U89" s="47">
        <f t="shared" ref="U89:U110" si="59">(O89/$A$10)*T89</f>
        <v>5.8048204086599386E-2</v>
      </c>
      <c r="V89" s="48">
        <f t="shared" ref="V89:V110" si="60">N89-M89</f>
        <v>34087</v>
      </c>
      <c r="W89" s="49">
        <f t="shared" si="42"/>
        <v>2.9024102043299694E-3</v>
      </c>
      <c r="X89" s="44">
        <f t="shared" si="43"/>
        <v>6613.0882752421776</v>
      </c>
      <c r="Y89" s="44">
        <f t="shared" ref="Y89:Y110" si="61">Q89-P89</f>
        <v>34087</v>
      </c>
      <c r="Z89" s="44">
        <f t="shared" si="45"/>
        <v>18703.255057425231</v>
      </c>
      <c r="AA89" s="50">
        <f t="shared" ref="AA89:AA110" si="62">Q89+X89</f>
        <v>60251.088275242175</v>
      </c>
      <c r="AB89" s="51">
        <f t="shared" ref="AB89:AB110" si="63">Z89/(1+ElecDiscountRate)^1</f>
        <v>17484.579842409301</v>
      </c>
      <c r="AC89" s="44">
        <f t="shared" ref="AC89:AC110" si="64">AA89/(1+ElecDiscountRate)^1</f>
        <v>56325.220412491508</v>
      </c>
      <c r="AD89" s="44">
        <f t="shared" ref="AD89:AD110" si="65">-PV(ElecDiscountRate,T89,R89)*J89</f>
        <v>0</v>
      </c>
      <c r="AE89" s="44">
        <f t="shared" ref="AE89:AE110" si="66">-PV(ElecDiscountRate,T89,S89)*J89</f>
        <v>0</v>
      </c>
      <c r="AF89" s="52">
        <f>HLOOKUP(I89,ElecAvoidedCostsWOCC!$A$5:$Q$50,G89+1,FALSE)</f>
        <v>1.2592865625776986</v>
      </c>
      <c r="AG89" s="44">
        <f t="shared" ref="AG89:AG110" si="67">AF89*J89*K89</f>
        <v>70345.006672152813</v>
      </c>
      <c r="AH89" s="52">
        <f>HLOOKUP(I89,ElecAvoidedCostsWOCC!$A$5:$Q$50,T89+1,FALSE)</f>
        <v>1.2592865625776986</v>
      </c>
      <c r="AI89" s="44">
        <f t="shared" ref="AI89:AI110" si="68">AH89*J89*L89</f>
        <v>0</v>
      </c>
      <c r="AJ89" s="44">
        <f t="shared" ref="AJ89:AJ110" si="69">AG89+AI89</f>
        <v>70345.006672152813</v>
      </c>
      <c r="AK89" s="44">
        <f>HLOOKUP(I89,ElecAvoidedCostsWOCC!$A$5:$Q$50,G89+1,FALSE)*J89*L89</f>
        <v>0</v>
      </c>
      <c r="AL89" s="44">
        <f t="shared" ref="AL89:AL110" si="70">AG89+AI89-AK89</f>
        <v>70345.006672152813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70345.006672152813</v>
      </c>
      <c r="AN89" s="48">
        <f t="shared" ref="AN89:AN110" si="71">AM89*1.1+AD89+AE89</f>
        <v>77379.507339368094</v>
      </c>
      <c r="AO89" s="47">
        <f t="shared" ref="AO89:AO110" si="72">IFERROR(AM89/AB89,0)</f>
        <v>4.0232597698189565</v>
      </c>
      <c r="AP89" s="47">
        <f t="shared" ref="AP89:AP110" si="73">AN89/AC89</f>
        <v>1.373798571451436</v>
      </c>
      <c r="AQ89">
        <v>2020</v>
      </c>
    </row>
    <row r="90" spans="2:43">
      <c r="B90" s="37" t="s">
        <v>65</v>
      </c>
      <c r="C90" s="98">
        <v>18230711</v>
      </c>
      <c r="D90" s="61" t="s">
        <v>125</v>
      </c>
      <c r="E90" s="38" t="s">
        <v>1012</v>
      </c>
      <c r="F90" s="39" t="s">
        <v>1013</v>
      </c>
      <c r="G90" s="39">
        <v>20</v>
      </c>
      <c r="H90" s="39"/>
      <c r="I90" s="40" t="s">
        <v>260</v>
      </c>
      <c r="J90" s="41">
        <v>1</v>
      </c>
      <c r="K90" s="41">
        <v>22974</v>
      </c>
      <c r="L90" s="41"/>
      <c r="M90" s="42">
        <v>1014</v>
      </c>
      <c r="N90" s="42">
        <v>16567</v>
      </c>
      <c r="O90" s="43">
        <v>22974</v>
      </c>
      <c r="P90" s="44">
        <v>1014</v>
      </c>
      <c r="Q90" s="44">
        <v>16567</v>
      </c>
      <c r="R90" s="45"/>
      <c r="S90" s="46"/>
      <c r="T90" s="39">
        <f t="shared" si="58"/>
        <v>20</v>
      </c>
      <c r="U90" s="47">
        <f t="shared" si="59"/>
        <v>2.3873533246550088E-2</v>
      </c>
      <c r="V90" s="48">
        <f t="shared" si="60"/>
        <v>15553</v>
      </c>
      <c r="W90" s="49">
        <f t="shared" si="42"/>
        <v>1.1936766623275043E-3</v>
      </c>
      <c r="X90" s="44">
        <f t="shared" si="43"/>
        <v>2719.7703233993984</v>
      </c>
      <c r="Y90" s="44">
        <f t="shared" si="61"/>
        <v>15553</v>
      </c>
      <c r="Z90" s="44">
        <f t="shared" si="45"/>
        <v>7692.1032865377874</v>
      </c>
      <c r="AA90" s="50">
        <f t="shared" si="62"/>
        <v>19286.7703233994</v>
      </c>
      <c r="AB90" s="51">
        <f t="shared" si="63"/>
        <v>7190.8977157500112</v>
      </c>
      <c r="AC90" s="44">
        <f t="shared" si="64"/>
        <v>18030.074154809197</v>
      </c>
      <c r="AD90" s="44">
        <f t="shared" si="65"/>
        <v>0</v>
      </c>
      <c r="AE90" s="44">
        <f t="shared" si="66"/>
        <v>0</v>
      </c>
      <c r="AF90" s="52">
        <f>HLOOKUP(I90,ElecAvoidedCostsWOCC!$A$5:$Q$50,G90+1,FALSE)</f>
        <v>1.2592865625776986</v>
      </c>
      <c r="AG90" s="44">
        <f t="shared" si="67"/>
        <v>28930.849488660046</v>
      </c>
      <c r="AH90" s="52">
        <f>HLOOKUP(I90,ElecAvoidedCostsWOCC!$A$5:$Q$50,T90+1,FALSE)</f>
        <v>1.2592865625776986</v>
      </c>
      <c r="AI90" s="44">
        <f t="shared" si="68"/>
        <v>0</v>
      </c>
      <c r="AJ90" s="44">
        <f t="shared" si="69"/>
        <v>28930.849488660046</v>
      </c>
      <c r="AK90" s="44">
        <f>HLOOKUP(I90,ElecAvoidedCostsWOCC!$A$5:$Q$50,G90+1,FALSE)*J90*L90</f>
        <v>0</v>
      </c>
      <c r="AL90" s="44">
        <f t="shared" si="70"/>
        <v>28930.849488660046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28930.849488660046</v>
      </c>
      <c r="AN90" s="48">
        <f t="shared" si="71"/>
        <v>31823.934437526052</v>
      </c>
      <c r="AO90" s="47">
        <f t="shared" si="72"/>
        <v>4.0232597698189556</v>
      </c>
      <c r="AP90" s="47">
        <f t="shared" si="73"/>
        <v>1.7650473405866494</v>
      </c>
      <c r="AQ90">
        <v>2020</v>
      </c>
    </row>
    <row r="91" spans="2:43">
      <c r="B91" s="37" t="s">
        <v>65</v>
      </c>
      <c r="C91" s="98">
        <v>18230711</v>
      </c>
      <c r="D91" s="61" t="s">
        <v>125</v>
      </c>
      <c r="E91" s="38" t="s">
        <v>1012</v>
      </c>
      <c r="F91" s="39" t="s">
        <v>1013</v>
      </c>
      <c r="G91" s="39">
        <v>20</v>
      </c>
      <c r="H91" s="39"/>
      <c r="I91" s="40" t="s">
        <v>260</v>
      </c>
      <c r="J91" s="41">
        <v>1</v>
      </c>
      <c r="K91" s="41">
        <v>657695</v>
      </c>
      <c r="L91" s="41"/>
      <c r="M91" s="42">
        <v>151991</v>
      </c>
      <c r="N91" s="42">
        <v>250319</v>
      </c>
      <c r="O91" s="43">
        <v>657695</v>
      </c>
      <c r="P91" s="44">
        <v>151991</v>
      </c>
      <c r="Q91" s="44">
        <v>250319</v>
      </c>
      <c r="R91" s="45"/>
      <c r="S91" s="46"/>
      <c r="T91" s="39">
        <f t="shared" si="58"/>
        <v>20</v>
      </c>
      <c r="U91" s="47">
        <f t="shared" si="59"/>
        <v>0.68344665485286671</v>
      </c>
      <c r="V91" s="48">
        <f t="shared" si="60"/>
        <v>98328</v>
      </c>
      <c r="W91" s="49">
        <f t="shared" si="42"/>
        <v>3.4172332742643335E-2</v>
      </c>
      <c r="X91" s="44">
        <f t="shared" si="43"/>
        <v>77861.031724913701</v>
      </c>
      <c r="Y91" s="44">
        <f t="shared" si="61"/>
        <v>98328</v>
      </c>
      <c r="Z91" s="44">
        <f t="shared" si="45"/>
        <v>220207.96861841518</v>
      </c>
      <c r="AA91" s="50">
        <f t="shared" si="62"/>
        <v>328180.03172491369</v>
      </c>
      <c r="AB91" s="51">
        <f t="shared" si="63"/>
        <v>205859.55746322815</v>
      </c>
      <c r="AC91" s="44">
        <f t="shared" si="64"/>
        <v>306796.3276852516</v>
      </c>
      <c r="AD91" s="44">
        <f t="shared" si="65"/>
        <v>0</v>
      </c>
      <c r="AE91" s="44">
        <f t="shared" si="66"/>
        <v>0</v>
      </c>
      <c r="AF91" s="52">
        <f>HLOOKUP(I91,ElecAvoidedCostsWOCC!$A$5:$Q$50,G91+1,FALSE)</f>
        <v>1.2592865625776986</v>
      </c>
      <c r="AG91" s="44">
        <f t="shared" si="67"/>
        <v>828226.4757745394</v>
      </c>
      <c r="AH91" s="52">
        <f>HLOOKUP(I91,ElecAvoidedCostsWOCC!$A$5:$Q$50,T91+1,FALSE)</f>
        <v>1.2592865625776986</v>
      </c>
      <c r="AI91" s="44">
        <f t="shared" si="68"/>
        <v>0</v>
      </c>
      <c r="AJ91" s="44">
        <f t="shared" si="69"/>
        <v>828226.4757745394</v>
      </c>
      <c r="AK91" s="44">
        <f>HLOOKUP(I91,ElecAvoidedCostsWOCC!$A$5:$Q$50,G91+1,FALSE)*J91*L91</f>
        <v>0</v>
      </c>
      <c r="AL91" s="44">
        <f t="shared" si="70"/>
        <v>828226.4757745394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828226.4757745394</v>
      </c>
      <c r="AN91" s="48">
        <f t="shared" si="71"/>
        <v>911049.12335199339</v>
      </c>
      <c r="AO91" s="47">
        <f t="shared" si="72"/>
        <v>4.0232597698189556</v>
      </c>
      <c r="AP91" s="47">
        <f t="shared" si="73"/>
        <v>2.9695568073639285</v>
      </c>
      <c r="AQ91">
        <v>2020</v>
      </c>
    </row>
    <row r="92" spans="2:43">
      <c r="B92" s="37" t="s">
        <v>65</v>
      </c>
      <c r="C92" s="98">
        <v>18230711</v>
      </c>
      <c r="D92" s="61" t="s">
        <v>125</v>
      </c>
      <c r="E92" s="38" t="s">
        <v>2094</v>
      </c>
      <c r="F92" s="39" t="s">
        <v>2095</v>
      </c>
      <c r="G92" s="39">
        <v>10</v>
      </c>
      <c r="H92" s="39"/>
      <c r="I92" s="40" t="s">
        <v>256</v>
      </c>
      <c r="J92" s="41">
        <v>1</v>
      </c>
      <c r="K92" s="41">
        <v>123676</v>
      </c>
      <c r="L92" s="41"/>
      <c r="M92" s="42">
        <v>43287</v>
      </c>
      <c r="N92" s="42">
        <v>108769</v>
      </c>
      <c r="O92" s="43">
        <v>123676</v>
      </c>
      <c r="P92" s="44">
        <v>43287</v>
      </c>
      <c r="Q92" s="44">
        <v>108769</v>
      </c>
      <c r="R92" s="45"/>
      <c r="S92" s="46"/>
      <c r="T92" s="39">
        <f t="shared" si="58"/>
        <v>10</v>
      </c>
      <c r="U92" s="47">
        <f t="shared" si="59"/>
        <v>6.425922995125638E-2</v>
      </c>
      <c r="V92" s="48">
        <f t="shared" si="60"/>
        <v>65482</v>
      </c>
      <c r="W92" s="49">
        <f t="shared" si="42"/>
        <v>6.4259229951256387E-3</v>
      </c>
      <c r="X92" s="44">
        <f t="shared" si="43"/>
        <v>14641.347371669886</v>
      </c>
      <c r="Y92" s="44">
        <f t="shared" si="61"/>
        <v>65482</v>
      </c>
      <c r="Z92" s="44">
        <f t="shared" si="45"/>
        <v>41408.921653427664</v>
      </c>
      <c r="AA92" s="50">
        <f t="shared" si="62"/>
        <v>123410.34737166989</v>
      </c>
      <c r="AB92" s="51">
        <f t="shared" si="63"/>
        <v>38710.780268699316</v>
      </c>
      <c r="AC92" s="44">
        <f t="shared" si="64"/>
        <v>115369.11972671766</v>
      </c>
      <c r="AD92" s="44">
        <f t="shared" si="65"/>
        <v>0</v>
      </c>
      <c r="AE92" s="44">
        <f t="shared" si="66"/>
        <v>0</v>
      </c>
      <c r="AF92" s="52">
        <f>HLOOKUP(I92,ElecAvoidedCostsWOCC!$A$5:$Q$50,G92+1,FALSE)</f>
        <v>0.70839718084543712</v>
      </c>
      <c r="AG92" s="44">
        <f t="shared" si="67"/>
        <v>87611.729738240276</v>
      </c>
      <c r="AH92" s="52">
        <f>HLOOKUP(I92,ElecAvoidedCostsWOCC!$A$5:$Q$50,T92+1,FALSE)</f>
        <v>0.70839718084543712</v>
      </c>
      <c r="AI92" s="44">
        <f t="shared" si="68"/>
        <v>0</v>
      </c>
      <c r="AJ92" s="44">
        <f t="shared" si="69"/>
        <v>87611.729738240276</v>
      </c>
      <c r="AK92" s="44">
        <f>HLOOKUP(I92,ElecAvoidedCostsWOCC!$A$5:$Q$50,G92+1,FALSE)*J92*L92</f>
        <v>0</v>
      </c>
      <c r="AL92" s="44">
        <f t="shared" si="70"/>
        <v>87611.729738240276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87611.729738240276</v>
      </c>
      <c r="AN92" s="48">
        <f t="shared" si="71"/>
        <v>96372.902712064315</v>
      </c>
      <c r="AO92" s="47">
        <f t="shared" si="72"/>
        <v>2.263238537950143</v>
      </c>
      <c r="AP92" s="47">
        <f t="shared" si="73"/>
        <v>0.83534400661415353</v>
      </c>
      <c r="AQ92">
        <v>2020</v>
      </c>
    </row>
    <row r="93" spans="2:43">
      <c r="B93" s="37" t="s">
        <v>65</v>
      </c>
      <c r="C93" s="98">
        <v>18230711</v>
      </c>
      <c r="D93" s="61" t="s">
        <v>125</v>
      </c>
      <c r="E93" s="38" t="s">
        <v>1014</v>
      </c>
      <c r="F93" s="39" t="s">
        <v>1015</v>
      </c>
      <c r="G93" s="39">
        <v>10</v>
      </c>
      <c r="H93" s="39"/>
      <c r="I93" s="40" t="s">
        <v>261</v>
      </c>
      <c r="J93" s="41">
        <v>1</v>
      </c>
      <c r="K93" s="41">
        <v>102633</v>
      </c>
      <c r="L93" s="41"/>
      <c r="M93" s="42">
        <v>21942</v>
      </c>
      <c r="N93" s="42">
        <v>21942</v>
      </c>
      <c r="O93" s="43">
        <v>102633</v>
      </c>
      <c r="P93" s="44">
        <v>21942</v>
      </c>
      <c r="Q93" s="44">
        <v>21942</v>
      </c>
      <c r="R93" s="45"/>
      <c r="S93" s="46"/>
      <c r="T93" s="39">
        <f t="shared" si="58"/>
        <v>10</v>
      </c>
      <c r="U93" s="47">
        <f t="shared" si="59"/>
        <v>5.3325766903742813E-2</v>
      </c>
      <c r="V93" s="48">
        <f t="shared" si="60"/>
        <v>0</v>
      </c>
      <c r="W93" s="49">
        <f t="shared" si="42"/>
        <v>5.3325766903742815E-3</v>
      </c>
      <c r="X93" s="44">
        <f t="shared" si="43"/>
        <v>12150.177922932464</v>
      </c>
      <c r="Y93" s="44">
        <f t="shared" si="61"/>
        <v>0</v>
      </c>
      <c r="Z93" s="44">
        <f t="shared" si="45"/>
        <v>34363.351467190412</v>
      </c>
      <c r="AA93" s="50">
        <f t="shared" si="62"/>
        <v>34092.17792293246</v>
      </c>
      <c r="AB93" s="51">
        <f t="shared" si="63"/>
        <v>32124.288554912975</v>
      </c>
      <c r="AC93" s="44">
        <f t="shared" si="64"/>
        <v>31870.784260009776</v>
      </c>
      <c r="AD93" s="44">
        <f t="shared" si="65"/>
        <v>0</v>
      </c>
      <c r="AE93" s="44">
        <f t="shared" si="66"/>
        <v>0</v>
      </c>
      <c r="AF93" s="52">
        <f>HLOOKUP(I93,ElecAvoidedCostsWOCC!$A$5:$Q$50,G93+1,FALSE)</f>
        <v>0.97334887994043018</v>
      </c>
      <c r="AG93" s="44">
        <f t="shared" si="67"/>
        <v>99897.715594926165</v>
      </c>
      <c r="AH93" s="52">
        <f>HLOOKUP(I93,ElecAvoidedCostsWOCC!$A$5:$Q$50,T93+1,FALSE)</f>
        <v>0.97334887994043018</v>
      </c>
      <c r="AI93" s="44">
        <f t="shared" si="68"/>
        <v>0</v>
      </c>
      <c r="AJ93" s="44">
        <f t="shared" si="69"/>
        <v>99897.715594926165</v>
      </c>
      <c r="AK93" s="44">
        <f>HLOOKUP(I93,ElecAvoidedCostsWOCC!$A$5:$Q$50,G93+1,FALSE)*J93*L93</f>
        <v>0</v>
      </c>
      <c r="AL93" s="44">
        <f t="shared" si="70"/>
        <v>99897.715594926165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99897.715594926165</v>
      </c>
      <c r="AN93" s="48">
        <f t="shared" si="71"/>
        <v>109887.48715441879</v>
      </c>
      <c r="AO93" s="47">
        <f t="shared" si="72"/>
        <v>3.1097253850201816</v>
      </c>
      <c r="AP93" s="47">
        <f t="shared" si="73"/>
        <v>3.4479065923803245</v>
      </c>
      <c r="AQ93">
        <v>2020</v>
      </c>
    </row>
    <row r="94" spans="2:43">
      <c r="B94" s="37" t="s">
        <v>65</v>
      </c>
      <c r="C94" s="98">
        <v>18230711</v>
      </c>
      <c r="D94" s="61" t="s">
        <v>125</v>
      </c>
      <c r="E94" s="38" t="s">
        <v>1014</v>
      </c>
      <c r="F94" s="39" t="s">
        <v>1015</v>
      </c>
      <c r="G94" s="39">
        <v>10</v>
      </c>
      <c r="H94" s="39"/>
      <c r="I94" s="40" t="s">
        <v>261</v>
      </c>
      <c r="J94" s="41">
        <v>1</v>
      </c>
      <c r="K94" s="41">
        <v>805987</v>
      </c>
      <c r="L94" s="41"/>
      <c r="M94" s="42">
        <v>69020</v>
      </c>
      <c r="N94" s="42">
        <v>69020</v>
      </c>
      <c r="O94" s="43">
        <v>805987</v>
      </c>
      <c r="P94" s="44">
        <v>69020</v>
      </c>
      <c r="Q94" s="44">
        <v>69020</v>
      </c>
      <c r="R94" s="45"/>
      <c r="S94" s="46"/>
      <c r="T94" s="39">
        <f t="shared" si="58"/>
        <v>10</v>
      </c>
      <c r="U94" s="47">
        <f t="shared" si="59"/>
        <v>0.41877246976554289</v>
      </c>
      <c r="V94" s="48">
        <f t="shared" si="60"/>
        <v>0</v>
      </c>
      <c r="W94" s="49">
        <f t="shared" si="42"/>
        <v>4.1877246976554289E-2</v>
      </c>
      <c r="X94" s="44">
        <f t="shared" si="43"/>
        <v>95416.537113507045</v>
      </c>
      <c r="Y94" s="44">
        <f t="shared" si="61"/>
        <v>0</v>
      </c>
      <c r="Z94" s="44">
        <f t="shared" si="45"/>
        <v>269858.76432518195</v>
      </c>
      <c r="AA94" s="50">
        <f t="shared" si="62"/>
        <v>164436.53711350705</v>
      </c>
      <c r="AB94" s="51">
        <f t="shared" si="63"/>
        <v>252275.18400035705</v>
      </c>
      <c r="AC94" s="44">
        <f t="shared" si="64"/>
        <v>153722.10630411052</v>
      </c>
      <c r="AD94" s="44">
        <f t="shared" si="65"/>
        <v>0</v>
      </c>
      <c r="AE94" s="44">
        <f t="shared" si="66"/>
        <v>0</v>
      </c>
      <c r="AF94" s="52">
        <f>HLOOKUP(I94,ElecAvoidedCostsWOCC!$A$5:$Q$50,G94+1,FALSE)</f>
        <v>0.97334887994043018</v>
      </c>
      <c r="AG94" s="44">
        <f t="shared" si="67"/>
        <v>784506.54369654751</v>
      </c>
      <c r="AH94" s="52">
        <f>HLOOKUP(I94,ElecAvoidedCostsWOCC!$A$5:$Q$50,T94+1,FALSE)</f>
        <v>0.97334887994043018</v>
      </c>
      <c r="AI94" s="44">
        <f t="shared" si="68"/>
        <v>0</v>
      </c>
      <c r="AJ94" s="44">
        <f t="shared" si="69"/>
        <v>784506.54369654751</v>
      </c>
      <c r="AK94" s="44">
        <f>HLOOKUP(I94,ElecAvoidedCostsWOCC!$A$5:$Q$50,G94+1,FALSE)*J94*L94</f>
        <v>0</v>
      </c>
      <c r="AL94" s="44">
        <f t="shared" si="70"/>
        <v>784506.54369654751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784506.54369654751</v>
      </c>
      <c r="AN94" s="48">
        <f t="shared" si="71"/>
        <v>862957.19806620234</v>
      </c>
      <c r="AO94" s="47">
        <f t="shared" si="72"/>
        <v>3.1097253850201816</v>
      </c>
      <c r="AP94" s="47">
        <f t="shared" si="73"/>
        <v>5.6137482032610357</v>
      </c>
      <c r="AQ94">
        <v>2020</v>
      </c>
    </row>
    <row r="95" spans="2:43">
      <c r="B95" s="37" t="s">
        <v>65</v>
      </c>
      <c r="C95" s="98">
        <v>18230711</v>
      </c>
      <c r="D95" s="61" t="s">
        <v>125</v>
      </c>
      <c r="E95" s="38" t="s">
        <v>1014</v>
      </c>
      <c r="F95" s="39" t="s">
        <v>1015</v>
      </c>
      <c r="G95" s="39">
        <v>10</v>
      </c>
      <c r="H95" s="39"/>
      <c r="I95" s="40" t="s">
        <v>261</v>
      </c>
      <c r="J95" s="41">
        <v>1</v>
      </c>
      <c r="K95" s="41">
        <v>402656</v>
      </c>
      <c r="L95" s="41"/>
      <c r="M95" s="42">
        <v>138056</v>
      </c>
      <c r="N95" s="42">
        <v>138056</v>
      </c>
      <c r="O95" s="43">
        <v>402656</v>
      </c>
      <c r="P95" s="44">
        <v>138056</v>
      </c>
      <c r="Q95" s="44">
        <v>138056</v>
      </c>
      <c r="R95" s="45"/>
      <c r="S95" s="46"/>
      <c r="T95" s="39">
        <f t="shared" si="58"/>
        <v>10</v>
      </c>
      <c r="U95" s="47">
        <f t="shared" si="59"/>
        <v>0.20921087757732376</v>
      </c>
      <c r="V95" s="48">
        <f t="shared" si="60"/>
        <v>0</v>
      </c>
      <c r="W95" s="49">
        <f t="shared" si="42"/>
        <v>2.0921087757732375E-2</v>
      </c>
      <c r="X95" s="44">
        <f t="shared" si="43"/>
        <v>47668.313717189347</v>
      </c>
      <c r="Y95" s="44">
        <f t="shared" si="61"/>
        <v>0</v>
      </c>
      <c r="Z95" s="44">
        <f t="shared" si="45"/>
        <v>134816.38116758765</v>
      </c>
      <c r="AA95" s="50">
        <f t="shared" si="62"/>
        <v>185724.31371718936</v>
      </c>
      <c r="AB95" s="51">
        <f t="shared" si="63"/>
        <v>126031.95397549559</v>
      </c>
      <c r="AC95" s="44">
        <f t="shared" si="64"/>
        <v>173622.80426024992</v>
      </c>
      <c r="AD95" s="44">
        <f t="shared" si="65"/>
        <v>0</v>
      </c>
      <c r="AE95" s="44">
        <f t="shared" si="66"/>
        <v>0</v>
      </c>
      <c r="AF95" s="52">
        <f>HLOOKUP(I95,ElecAvoidedCostsWOCC!$A$5:$Q$50,G95+1,FALSE)</f>
        <v>0.97334887994043018</v>
      </c>
      <c r="AG95" s="44">
        <f t="shared" si="67"/>
        <v>391924.76660129387</v>
      </c>
      <c r="AH95" s="52">
        <f>HLOOKUP(I95,ElecAvoidedCostsWOCC!$A$5:$Q$50,T95+1,FALSE)</f>
        <v>0.97334887994043018</v>
      </c>
      <c r="AI95" s="44">
        <f t="shared" si="68"/>
        <v>0</v>
      </c>
      <c r="AJ95" s="44">
        <f t="shared" si="69"/>
        <v>391924.76660129387</v>
      </c>
      <c r="AK95" s="44">
        <f>HLOOKUP(I95,ElecAvoidedCostsWOCC!$A$5:$Q$50,G95+1,FALSE)*J95*L95</f>
        <v>0</v>
      </c>
      <c r="AL95" s="44">
        <f t="shared" si="70"/>
        <v>391924.76660129387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391924.76660129387</v>
      </c>
      <c r="AN95" s="48">
        <f t="shared" si="71"/>
        <v>431117.24326142331</v>
      </c>
      <c r="AO95" s="47">
        <f t="shared" si="72"/>
        <v>3.109725385020182</v>
      </c>
      <c r="AP95" s="47">
        <f t="shared" si="73"/>
        <v>2.4830680802459857</v>
      </c>
      <c r="AQ95">
        <v>2020</v>
      </c>
    </row>
    <row r="96" spans="2:43">
      <c r="B96" s="37" t="s">
        <v>65</v>
      </c>
      <c r="C96" s="98">
        <v>18230711</v>
      </c>
      <c r="D96" s="61" t="s">
        <v>125</v>
      </c>
      <c r="E96" s="38" t="s">
        <v>1014</v>
      </c>
      <c r="F96" s="39" t="s">
        <v>1015</v>
      </c>
      <c r="G96" s="39">
        <v>10</v>
      </c>
      <c r="H96" s="39"/>
      <c r="I96" s="40" t="s">
        <v>261</v>
      </c>
      <c r="J96" s="41">
        <v>1</v>
      </c>
      <c r="K96" s="41">
        <v>1316058</v>
      </c>
      <c r="L96" s="41"/>
      <c r="M96" s="42">
        <v>170430</v>
      </c>
      <c r="N96" s="42">
        <v>170430</v>
      </c>
      <c r="O96" s="43">
        <v>1316058</v>
      </c>
      <c r="P96" s="44">
        <v>170430</v>
      </c>
      <c r="Q96" s="44">
        <v>170430</v>
      </c>
      <c r="R96" s="45"/>
      <c r="S96" s="46"/>
      <c r="T96" s="39">
        <f t="shared" si="58"/>
        <v>10</v>
      </c>
      <c r="U96" s="47">
        <f t="shared" si="59"/>
        <v>0.68379373242335273</v>
      </c>
      <c r="V96" s="48">
        <f t="shared" si="60"/>
        <v>0</v>
      </c>
      <c r="W96" s="49">
        <f t="shared" si="42"/>
        <v>6.837937324233527E-2</v>
      </c>
      <c r="X96" s="44">
        <f t="shared" si="43"/>
        <v>155801.14443598696</v>
      </c>
      <c r="Y96" s="44">
        <f t="shared" si="61"/>
        <v>0</v>
      </c>
      <c r="Z96" s="44">
        <f t="shared" si="45"/>
        <v>440639.59550249611</v>
      </c>
      <c r="AA96" s="50">
        <f t="shared" si="62"/>
        <v>326231.14443598699</v>
      </c>
      <c r="AB96" s="51">
        <f t="shared" si="63"/>
        <v>411928.19996493979</v>
      </c>
      <c r="AC96" s="44">
        <f t="shared" si="64"/>
        <v>304974.42688229127</v>
      </c>
      <c r="AD96" s="44">
        <f t="shared" si="65"/>
        <v>0</v>
      </c>
      <c r="AE96" s="44">
        <f t="shared" si="66"/>
        <v>0</v>
      </c>
      <c r="AF96" s="52">
        <f>HLOOKUP(I96,ElecAvoidedCostsWOCC!$A$5:$Q$50,G96+1,FALSE)</f>
        <v>0.97334887994043018</v>
      </c>
      <c r="AG96" s="44">
        <f t="shared" si="67"/>
        <v>1280983.5802366426</v>
      </c>
      <c r="AH96" s="52">
        <f>HLOOKUP(I96,ElecAvoidedCostsWOCC!$A$5:$Q$50,T96+1,FALSE)</f>
        <v>0.97334887994043018</v>
      </c>
      <c r="AI96" s="44">
        <f t="shared" si="68"/>
        <v>0</v>
      </c>
      <c r="AJ96" s="44">
        <f t="shared" si="69"/>
        <v>1280983.5802366426</v>
      </c>
      <c r="AK96" s="44">
        <f>HLOOKUP(I96,ElecAvoidedCostsWOCC!$A$5:$Q$50,G96+1,FALSE)*J96*L96</f>
        <v>0</v>
      </c>
      <c r="AL96" s="44">
        <f t="shared" si="70"/>
        <v>1280983.5802366426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1280983.5802366426</v>
      </c>
      <c r="AN96" s="48">
        <f t="shared" si="71"/>
        <v>1409081.9382603071</v>
      </c>
      <c r="AO96" s="47">
        <f t="shared" si="72"/>
        <v>3.1097253850201811</v>
      </c>
      <c r="AP96" s="47">
        <f t="shared" si="73"/>
        <v>4.6203281785464592</v>
      </c>
      <c r="AQ96">
        <v>2020</v>
      </c>
    </row>
    <row r="97" spans="2:43">
      <c r="B97" s="37" t="s">
        <v>65</v>
      </c>
      <c r="C97" s="98">
        <v>18230711</v>
      </c>
      <c r="D97" s="61" t="s">
        <v>125</v>
      </c>
      <c r="E97" s="38" t="s">
        <v>1014</v>
      </c>
      <c r="F97" s="39" t="s">
        <v>1015</v>
      </c>
      <c r="G97" s="39">
        <v>10</v>
      </c>
      <c r="H97" s="39"/>
      <c r="I97" s="40" t="s">
        <v>261</v>
      </c>
      <c r="J97" s="41">
        <v>1</v>
      </c>
      <c r="K97" s="41">
        <v>278900</v>
      </c>
      <c r="L97" s="41"/>
      <c r="M97" s="42">
        <v>65982</v>
      </c>
      <c r="N97" s="42">
        <v>65982</v>
      </c>
      <c r="O97" s="43">
        <v>278900</v>
      </c>
      <c r="P97" s="44">
        <v>65982</v>
      </c>
      <c r="Q97" s="44">
        <v>65982</v>
      </c>
      <c r="R97" s="45"/>
      <c r="S97" s="46"/>
      <c r="T97" s="39">
        <f t="shared" si="58"/>
        <v>10</v>
      </c>
      <c r="U97" s="47">
        <f t="shared" si="59"/>
        <v>0.14491008144996123</v>
      </c>
      <c r="V97" s="48">
        <f t="shared" si="60"/>
        <v>0</v>
      </c>
      <c r="W97" s="49">
        <f t="shared" si="42"/>
        <v>1.4491008144996124E-2</v>
      </c>
      <c r="X97" s="44">
        <f t="shared" si="43"/>
        <v>33017.495568733881</v>
      </c>
      <c r="Y97" s="44">
        <f t="shared" si="61"/>
        <v>0</v>
      </c>
      <c r="Z97" s="44">
        <f t="shared" si="45"/>
        <v>93380.674093122158</v>
      </c>
      <c r="AA97" s="50">
        <f t="shared" si="62"/>
        <v>98999.495568733881</v>
      </c>
      <c r="AB97" s="51">
        <f t="shared" si="63"/>
        <v>87296.133582426992</v>
      </c>
      <c r="AC97" s="44">
        <f t="shared" si="64"/>
        <v>92548.841328161041</v>
      </c>
      <c r="AD97" s="44">
        <f t="shared" si="65"/>
        <v>0</v>
      </c>
      <c r="AE97" s="44">
        <f t="shared" si="66"/>
        <v>0</v>
      </c>
      <c r="AF97" s="52">
        <f>HLOOKUP(I97,ElecAvoidedCostsWOCC!$A$5:$Q$50,G97+1,FALSE)</f>
        <v>0.97334887994043018</v>
      </c>
      <c r="AG97" s="44">
        <f t="shared" si="67"/>
        <v>271467.00261538598</v>
      </c>
      <c r="AH97" s="52">
        <f>HLOOKUP(I97,ElecAvoidedCostsWOCC!$A$5:$Q$50,T97+1,FALSE)</f>
        <v>0.97334887994043018</v>
      </c>
      <c r="AI97" s="44">
        <f t="shared" si="68"/>
        <v>0</v>
      </c>
      <c r="AJ97" s="44">
        <f t="shared" si="69"/>
        <v>271467.00261538598</v>
      </c>
      <c r="AK97" s="44">
        <f>HLOOKUP(I97,ElecAvoidedCostsWOCC!$A$5:$Q$50,G97+1,FALSE)*J97*L97</f>
        <v>0</v>
      </c>
      <c r="AL97" s="44">
        <f t="shared" si="70"/>
        <v>271467.00261538598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271467.00261538598</v>
      </c>
      <c r="AN97" s="48">
        <f t="shared" si="71"/>
        <v>298613.7028769246</v>
      </c>
      <c r="AO97" s="47">
        <f t="shared" si="72"/>
        <v>3.1097253850201816</v>
      </c>
      <c r="AP97" s="47">
        <f t="shared" si="73"/>
        <v>3.2265525812267679</v>
      </c>
      <c r="AQ97">
        <v>2020</v>
      </c>
    </row>
    <row r="98" spans="2:43">
      <c r="B98" s="37" t="s">
        <v>65</v>
      </c>
      <c r="C98" s="98">
        <v>18230711</v>
      </c>
      <c r="D98" s="61" t="s">
        <v>125</v>
      </c>
      <c r="E98" s="38" t="s">
        <v>1042</v>
      </c>
      <c r="F98" s="39" t="s">
        <v>1043</v>
      </c>
      <c r="G98" s="39">
        <v>15</v>
      </c>
      <c r="H98" s="39"/>
      <c r="I98" s="40" t="s">
        <v>256</v>
      </c>
      <c r="J98" s="41">
        <v>1</v>
      </c>
      <c r="K98" s="41">
        <v>216193</v>
      </c>
      <c r="L98" s="41"/>
      <c r="M98" s="42">
        <v>26432</v>
      </c>
      <c r="N98" s="42">
        <v>37760.160000000003</v>
      </c>
      <c r="O98" s="43">
        <v>216193</v>
      </c>
      <c r="P98" s="44">
        <v>26432</v>
      </c>
      <c r="Q98" s="44">
        <v>37760.160000000003</v>
      </c>
      <c r="R98" s="45"/>
      <c r="S98" s="46"/>
      <c r="T98" s="39">
        <f t="shared" si="58"/>
        <v>15</v>
      </c>
      <c r="U98" s="47">
        <f t="shared" si="59"/>
        <v>0.16849343082957047</v>
      </c>
      <c r="V98" s="48">
        <f t="shared" si="60"/>
        <v>11328.160000000003</v>
      </c>
      <c r="W98" s="49">
        <f t="shared" si="42"/>
        <v>1.1232895388638031E-2</v>
      </c>
      <c r="X98" s="44">
        <f t="shared" si="43"/>
        <v>25593.945570065556</v>
      </c>
      <c r="Y98" s="44">
        <f t="shared" si="61"/>
        <v>11328.160000000003</v>
      </c>
      <c r="Z98" s="44">
        <f t="shared" si="45"/>
        <v>72385.256630384945</v>
      </c>
      <c r="AA98" s="50">
        <f t="shared" si="62"/>
        <v>63354.105570065556</v>
      </c>
      <c r="AB98" s="51">
        <f t="shared" si="63"/>
        <v>67668.745097115956</v>
      </c>
      <c r="AC98" s="44">
        <f t="shared" si="64"/>
        <v>59226.049892554503</v>
      </c>
      <c r="AD98" s="44">
        <f t="shared" si="65"/>
        <v>0</v>
      </c>
      <c r="AE98" s="44">
        <f t="shared" si="66"/>
        <v>0</v>
      </c>
      <c r="AF98" s="52">
        <f>HLOOKUP(I98,ElecAvoidedCostsWOCC!$A$5:$Q$50,G98+1,FALSE)</f>
        <v>1.0293963841416951</v>
      </c>
      <c r="AG98" s="44">
        <f t="shared" si="67"/>
        <v>222548.2924767455</v>
      </c>
      <c r="AH98" s="52">
        <f>HLOOKUP(I98,ElecAvoidedCostsWOCC!$A$5:$Q$50,T98+1,FALSE)</f>
        <v>1.0293963841416951</v>
      </c>
      <c r="AI98" s="44">
        <f t="shared" si="68"/>
        <v>0</v>
      </c>
      <c r="AJ98" s="44">
        <f t="shared" si="69"/>
        <v>222548.2924767455</v>
      </c>
      <c r="AK98" s="44">
        <f>HLOOKUP(I98,ElecAvoidedCostsWOCC!$A$5:$Q$50,G98+1,FALSE)*J98*L98</f>
        <v>0</v>
      </c>
      <c r="AL98" s="44">
        <f t="shared" si="70"/>
        <v>222548.2924767455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222548.2924767455</v>
      </c>
      <c r="AN98" s="48">
        <f t="shared" si="71"/>
        <v>244803.12172442005</v>
      </c>
      <c r="AO98" s="47">
        <f t="shared" si="72"/>
        <v>3.2887900042678715</v>
      </c>
      <c r="AP98" s="47">
        <f t="shared" si="73"/>
        <v>4.1333690524445235</v>
      </c>
      <c r="AQ98">
        <v>2020</v>
      </c>
    </row>
    <row r="99" spans="2:43">
      <c r="B99" s="37" t="s">
        <v>65</v>
      </c>
      <c r="C99" s="98">
        <v>18230711</v>
      </c>
      <c r="D99" s="61" t="s">
        <v>125</v>
      </c>
      <c r="E99" s="38" t="s">
        <v>1042</v>
      </c>
      <c r="F99" s="39" t="s">
        <v>1043</v>
      </c>
      <c r="G99" s="39">
        <v>15</v>
      </c>
      <c r="H99" s="39"/>
      <c r="I99" s="40" t="s">
        <v>256</v>
      </c>
      <c r="J99" s="41">
        <v>1</v>
      </c>
      <c r="K99" s="41"/>
      <c r="L99" s="41"/>
      <c r="M99" s="42"/>
      <c r="N99" s="42"/>
      <c r="O99" s="43">
        <v>0</v>
      </c>
      <c r="P99" s="44">
        <v>0</v>
      </c>
      <c r="Q99" s="44">
        <v>0</v>
      </c>
      <c r="R99" s="45"/>
      <c r="S99" s="46"/>
      <c r="T99" s="39">
        <f t="shared" si="58"/>
        <v>15</v>
      </c>
      <c r="U99" s="47">
        <f t="shared" si="59"/>
        <v>0</v>
      </c>
      <c r="V99" s="48">
        <f t="shared" si="60"/>
        <v>0</v>
      </c>
      <c r="W99" s="49">
        <f t="shared" si="42"/>
        <v>0</v>
      </c>
      <c r="X99" s="44">
        <f t="shared" si="43"/>
        <v>0</v>
      </c>
      <c r="Y99" s="44">
        <f t="shared" si="61"/>
        <v>0</v>
      </c>
      <c r="Z99" s="44">
        <f t="shared" si="45"/>
        <v>0</v>
      </c>
      <c r="AA99" s="50">
        <f t="shared" si="62"/>
        <v>0</v>
      </c>
      <c r="AB99" s="51">
        <f t="shared" si="63"/>
        <v>0</v>
      </c>
      <c r="AC99" s="44">
        <f t="shared" si="64"/>
        <v>0</v>
      </c>
      <c r="AD99" s="44">
        <f t="shared" si="65"/>
        <v>0</v>
      </c>
      <c r="AE99" s="44">
        <f t="shared" si="66"/>
        <v>0</v>
      </c>
      <c r="AF99" s="52">
        <f>HLOOKUP(I99,ElecAvoidedCostsWOCC!$A$5:$Q$50,G99+1,FALSE)</f>
        <v>1.0293963841416951</v>
      </c>
      <c r="AG99" s="44">
        <f t="shared" si="67"/>
        <v>0</v>
      </c>
      <c r="AH99" s="52">
        <f>HLOOKUP(I99,ElecAvoidedCostsWOCC!$A$5:$Q$50,T99+1,FALSE)</f>
        <v>1.0293963841416951</v>
      </c>
      <c r="AI99" s="44">
        <f t="shared" si="68"/>
        <v>0</v>
      </c>
      <c r="AJ99" s="44">
        <f t="shared" si="69"/>
        <v>0</v>
      </c>
      <c r="AK99" s="44">
        <f>HLOOKUP(I99,ElecAvoidedCostsWOCC!$A$5:$Q$50,G99+1,FALSE)*J99*L99</f>
        <v>0</v>
      </c>
      <c r="AL99" s="44">
        <f t="shared" si="70"/>
        <v>0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1"/>
        <v>0</v>
      </c>
      <c r="AO99" s="47">
        <f t="shared" si="72"/>
        <v>0</v>
      </c>
      <c r="AP99" s="47" t="e">
        <f t="shared" si="73"/>
        <v>#DIV/0!</v>
      </c>
      <c r="AQ99">
        <v>2020</v>
      </c>
    </row>
    <row r="100" spans="2:43">
      <c r="B100" s="37" t="s">
        <v>65</v>
      </c>
      <c r="C100" s="98">
        <v>18230711</v>
      </c>
      <c r="D100" s="61" t="s">
        <v>125</v>
      </c>
      <c r="E100" s="38" t="s">
        <v>1042</v>
      </c>
      <c r="F100" s="39" t="s">
        <v>1043</v>
      </c>
      <c r="G100" s="39">
        <v>15</v>
      </c>
      <c r="H100" s="39"/>
      <c r="I100" s="40" t="s">
        <v>256</v>
      </c>
      <c r="J100" s="41">
        <v>1</v>
      </c>
      <c r="K100" s="41">
        <v>1197327</v>
      </c>
      <c r="L100" s="41"/>
      <c r="M100" s="42">
        <v>142000</v>
      </c>
      <c r="N100" s="42">
        <v>310492.86</v>
      </c>
      <c r="O100" s="43">
        <v>1197327</v>
      </c>
      <c r="P100" s="44">
        <v>142000</v>
      </c>
      <c r="Q100" s="44">
        <v>310492.86</v>
      </c>
      <c r="R100" s="45"/>
      <c r="S100" s="46"/>
      <c r="T100" s="39">
        <f t="shared" si="58"/>
        <v>15</v>
      </c>
      <c r="U100" s="47">
        <f t="shared" si="59"/>
        <v>0.93315571759898386</v>
      </c>
      <c r="V100" s="48">
        <f t="shared" si="60"/>
        <v>168492.86</v>
      </c>
      <c r="W100" s="49">
        <f t="shared" si="42"/>
        <v>6.2210381173265591E-2</v>
      </c>
      <c r="X100" s="44">
        <f t="shared" si="43"/>
        <v>141745.20945437587</v>
      </c>
      <c r="Y100" s="44">
        <f t="shared" si="61"/>
        <v>168492.86</v>
      </c>
      <c r="Z100" s="44">
        <f t="shared" si="45"/>
        <v>400886.34768696909</v>
      </c>
      <c r="AA100" s="50">
        <f t="shared" si="62"/>
        <v>452238.06945437589</v>
      </c>
      <c r="AB100" s="51">
        <f t="shared" si="63"/>
        <v>374765.21238381701</v>
      </c>
      <c r="AC100" s="44">
        <f t="shared" si="64"/>
        <v>422770.93526631378</v>
      </c>
      <c r="AD100" s="44">
        <f t="shared" si="65"/>
        <v>0</v>
      </c>
      <c r="AE100" s="44">
        <f t="shared" si="66"/>
        <v>0</v>
      </c>
      <c r="AF100" s="52">
        <f>HLOOKUP(I100,ElecAvoidedCostsWOCC!$A$5:$Q$50,G100+1,FALSE)</f>
        <v>1.0293963841416951</v>
      </c>
      <c r="AG100" s="44">
        <f t="shared" si="67"/>
        <v>1232524.0844352234</v>
      </c>
      <c r="AH100" s="52">
        <f>HLOOKUP(I100,ElecAvoidedCostsWOCC!$A$5:$Q$50,T100+1,FALSE)</f>
        <v>1.0293963841416951</v>
      </c>
      <c r="AI100" s="44">
        <f t="shared" si="68"/>
        <v>0</v>
      </c>
      <c r="AJ100" s="44">
        <f t="shared" si="69"/>
        <v>1232524.0844352234</v>
      </c>
      <c r="AK100" s="44">
        <f>HLOOKUP(I100,ElecAvoidedCostsWOCC!$A$5:$Q$50,G100+1,FALSE)*J100*L100</f>
        <v>0</v>
      </c>
      <c r="AL100" s="44">
        <f t="shared" si="70"/>
        <v>1232524.0844352234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1232524.0844352234</v>
      </c>
      <c r="AN100" s="48">
        <f t="shared" si="71"/>
        <v>1355776.4928787458</v>
      </c>
      <c r="AO100" s="47">
        <f t="shared" si="72"/>
        <v>3.2887900042678715</v>
      </c>
      <c r="AP100" s="47">
        <f t="shared" si="73"/>
        <v>3.2068819774110273</v>
      </c>
      <c r="AQ100">
        <v>2020</v>
      </c>
    </row>
    <row r="101" spans="2:43">
      <c r="B101" s="37" t="s">
        <v>65</v>
      </c>
      <c r="C101" s="98">
        <v>18230711</v>
      </c>
      <c r="D101" s="61" t="s">
        <v>125</v>
      </c>
      <c r="E101" s="38" t="s">
        <v>2096</v>
      </c>
      <c r="F101" s="39" t="s">
        <v>2097</v>
      </c>
      <c r="G101" s="39">
        <v>10</v>
      </c>
      <c r="H101" s="39"/>
      <c r="I101" s="40" t="s">
        <v>261</v>
      </c>
      <c r="J101" s="41">
        <v>1</v>
      </c>
      <c r="K101" s="41">
        <v>13351</v>
      </c>
      <c r="L101" s="41"/>
      <c r="M101" s="42">
        <v>4005</v>
      </c>
      <c r="N101" s="42">
        <v>7866.94</v>
      </c>
      <c r="O101" s="43">
        <v>13351</v>
      </c>
      <c r="P101" s="44">
        <v>4005</v>
      </c>
      <c r="Q101" s="44">
        <v>7866.94</v>
      </c>
      <c r="R101" s="45"/>
      <c r="S101" s="46"/>
      <c r="T101" s="39">
        <f t="shared" si="58"/>
        <v>10</v>
      </c>
      <c r="U101" s="47">
        <f t="shared" si="59"/>
        <v>6.9368752149101195E-3</v>
      </c>
      <c r="V101" s="48">
        <f t="shared" si="60"/>
        <v>3861.9399999999996</v>
      </c>
      <c r="W101" s="49">
        <f t="shared" ref="W101:W110" si="74">(O101/A$10)</f>
        <v>6.9368752149101195E-4</v>
      </c>
      <c r="X101" s="44">
        <f t="shared" ref="X101:X110" si="75">W101*A$8</f>
        <v>1580.5542608037504</v>
      </c>
      <c r="Y101" s="44">
        <f t="shared" si="61"/>
        <v>3861.9399999999996</v>
      </c>
      <c r="Z101" s="44">
        <f t="shared" ref="Z101:Z110" si="76">X101+(A$6*W101)</f>
        <v>4470.1519534502477</v>
      </c>
      <c r="AA101" s="50">
        <f t="shared" si="62"/>
        <v>9447.4942608037491</v>
      </c>
      <c r="AB101" s="51">
        <f t="shared" si="63"/>
        <v>4178.8837556793933</v>
      </c>
      <c r="AC101" s="44">
        <f t="shared" si="64"/>
        <v>8831.9101250853018</v>
      </c>
      <c r="AD101" s="44">
        <f t="shared" si="65"/>
        <v>0</v>
      </c>
      <c r="AE101" s="44">
        <f t="shared" si="66"/>
        <v>0</v>
      </c>
      <c r="AF101" s="52">
        <f>HLOOKUP(I101,ElecAvoidedCostsWOCC!$A$5:$Q$50,G101+1,FALSE)</f>
        <v>0.97334887994043018</v>
      </c>
      <c r="AG101" s="44">
        <f t="shared" si="67"/>
        <v>12995.180896084683</v>
      </c>
      <c r="AH101" s="52">
        <f>HLOOKUP(I101,ElecAvoidedCostsWOCC!$A$5:$Q$50,T101+1,FALSE)</f>
        <v>0.97334887994043018</v>
      </c>
      <c r="AI101" s="44">
        <f t="shared" si="68"/>
        <v>0</v>
      </c>
      <c r="AJ101" s="44">
        <f t="shared" si="69"/>
        <v>12995.180896084683</v>
      </c>
      <c r="AK101" s="44">
        <f>HLOOKUP(I101,ElecAvoidedCostsWOCC!$A$5:$Q$50,G101+1,FALSE)*J101*L101</f>
        <v>0</v>
      </c>
      <c r="AL101" s="44">
        <f t="shared" si="70"/>
        <v>12995.180896084683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12995.180896084683</v>
      </c>
      <c r="AN101" s="48">
        <f t="shared" si="71"/>
        <v>14294.698985693152</v>
      </c>
      <c r="AO101" s="47">
        <f t="shared" si="72"/>
        <v>3.1097253850201816</v>
      </c>
      <c r="AP101" s="47">
        <f t="shared" si="73"/>
        <v>1.6185285836516694</v>
      </c>
      <c r="AQ101">
        <v>2020</v>
      </c>
    </row>
    <row r="102" spans="2:43">
      <c r="B102" s="37" t="s">
        <v>65</v>
      </c>
      <c r="C102" s="98">
        <v>18230711</v>
      </c>
      <c r="D102" s="61" t="s">
        <v>125</v>
      </c>
      <c r="E102" s="38" t="s">
        <v>1018</v>
      </c>
      <c r="F102" s="39" t="s">
        <v>1019</v>
      </c>
      <c r="G102" s="39">
        <v>20</v>
      </c>
      <c r="H102" s="39"/>
      <c r="I102" s="40" t="s">
        <v>261</v>
      </c>
      <c r="J102" s="41">
        <v>1</v>
      </c>
      <c r="K102" s="41">
        <v>14210</v>
      </c>
      <c r="L102" s="41"/>
      <c r="M102" s="42">
        <v>5130</v>
      </c>
      <c r="N102" s="42">
        <v>9541.7999999999993</v>
      </c>
      <c r="O102" s="43">
        <v>14210</v>
      </c>
      <c r="P102" s="44">
        <v>5130</v>
      </c>
      <c r="Q102" s="44">
        <v>9541.7999999999993</v>
      </c>
      <c r="R102" s="45"/>
      <c r="S102" s="46"/>
      <c r="T102" s="39">
        <f t="shared" si="58"/>
        <v>20</v>
      </c>
      <c r="U102" s="47">
        <f t="shared" si="59"/>
        <v>1.4766384061699169E-2</v>
      </c>
      <c r="V102" s="48">
        <f t="shared" si="60"/>
        <v>4411.7999999999993</v>
      </c>
      <c r="W102" s="49">
        <f t="shared" si="74"/>
        <v>7.3831920308495844E-4</v>
      </c>
      <c r="X102" s="44">
        <f t="shared" si="75"/>
        <v>1682.246726538933</v>
      </c>
      <c r="Y102" s="44">
        <f t="shared" si="61"/>
        <v>4411.7999999999993</v>
      </c>
      <c r="Z102" s="44">
        <f t="shared" si="76"/>
        <v>4757.7604118439076</v>
      </c>
      <c r="AA102" s="50">
        <f t="shared" si="62"/>
        <v>11224.046726538932</v>
      </c>
      <c r="AB102" s="51">
        <f t="shared" si="63"/>
        <v>4447.7520910946123</v>
      </c>
      <c r="AC102" s="44">
        <f t="shared" si="64"/>
        <v>10492.705175786605</v>
      </c>
      <c r="AD102" s="44">
        <f t="shared" si="65"/>
        <v>0</v>
      </c>
      <c r="AE102" s="44">
        <f t="shared" si="66"/>
        <v>0</v>
      </c>
      <c r="AF102" s="52">
        <f>HLOOKUP(I102,ElecAvoidedCostsWOCC!$A$5:$Q$50,G102+1,FALSE)</f>
        <v>1.7025958820263232</v>
      </c>
      <c r="AG102" s="44">
        <f t="shared" si="67"/>
        <v>24193.887483594051</v>
      </c>
      <c r="AH102" s="52">
        <f>HLOOKUP(I102,ElecAvoidedCostsWOCC!$A$5:$Q$50,T102+1,FALSE)</f>
        <v>1.7025958820263232</v>
      </c>
      <c r="AI102" s="44">
        <f t="shared" si="68"/>
        <v>0</v>
      </c>
      <c r="AJ102" s="44">
        <f t="shared" si="69"/>
        <v>24193.887483594051</v>
      </c>
      <c r="AK102" s="44">
        <f>HLOOKUP(I102,ElecAvoidedCostsWOCC!$A$5:$Q$50,G102+1,FALSE)*J102*L102</f>
        <v>0</v>
      </c>
      <c r="AL102" s="44">
        <f t="shared" si="70"/>
        <v>24193.887483594051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24193.887483594051</v>
      </c>
      <c r="AN102" s="48">
        <f t="shared" si="71"/>
        <v>26613.27623195346</v>
      </c>
      <c r="AO102" s="47">
        <f t="shared" si="72"/>
        <v>5.4395764395312387</v>
      </c>
      <c r="AP102" s="47">
        <f t="shared" si="73"/>
        <v>2.5363598601214243</v>
      </c>
      <c r="AQ102">
        <v>2020</v>
      </c>
    </row>
    <row r="103" spans="2:43">
      <c r="B103" s="37" t="s">
        <v>65</v>
      </c>
      <c r="C103" s="98">
        <v>18230711</v>
      </c>
      <c r="D103" s="61" t="s">
        <v>125</v>
      </c>
      <c r="E103" s="38" t="s">
        <v>1020</v>
      </c>
      <c r="F103" s="39" t="s">
        <v>1021</v>
      </c>
      <c r="G103" s="39">
        <v>7</v>
      </c>
      <c r="H103" s="39"/>
      <c r="I103" s="40" t="s">
        <v>261</v>
      </c>
      <c r="J103" s="41">
        <v>1</v>
      </c>
      <c r="K103" s="41"/>
      <c r="L103" s="41"/>
      <c r="M103" s="42"/>
      <c r="N103" s="42"/>
      <c r="O103" s="43">
        <v>0</v>
      </c>
      <c r="P103" s="44">
        <v>0</v>
      </c>
      <c r="Q103" s="44">
        <v>0</v>
      </c>
      <c r="R103" s="45"/>
      <c r="S103" s="46"/>
      <c r="T103" s="39">
        <f t="shared" si="58"/>
        <v>7</v>
      </c>
      <c r="U103" s="47">
        <f t="shared" si="59"/>
        <v>0</v>
      </c>
      <c r="V103" s="48">
        <f t="shared" si="60"/>
        <v>0</v>
      </c>
      <c r="W103" s="49">
        <f t="shared" si="74"/>
        <v>0</v>
      </c>
      <c r="X103" s="44">
        <f t="shared" si="75"/>
        <v>0</v>
      </c>
      <c r="Y103" s="44">
        <f t="shared" si="61"/>
        <v>0</v>
      </c>
      <c r="Z103" s="44">
        <f t="shared" si="76"/>
        <v>0</v>
      </c>
      <c r="AA103" s="50">
        <f t="shared" si="62"/>
        <v>0</v>
      </c>
      <c r="AB103" s="51">
        <f t="shared" si="63"/>
        <v>0</v>
      </c>
      <c r="AC103" s="44">
        <f t="shared" si="64"/>
        <v>0</v>
      </c>
      <c r="AD103" s="44">
        <f t="shared" si="65"/>
        <v>0</v>
      </c>
      <c r="AE103" s="44">
        <f t="shared" si="66"/>
        <v>0</v>
      </c>
      <c r="AF103" s="52">
        <f>HLOOKUP(I103,ElecAvoidedCostsWOCC!$A$5:$Q$50,G103+1,FALSE)</f>
        <v>0.70059179485856848</v>
      </c>
      <c r="AG103" s="44">
        <f t="shared" si="67"/>
        <v>0</v>
      </c>
      <c r="AH103" s="52">
        <f>HLOOKUP(I103,ElecAvoidedCostsWOCC!$A$5:$Q$50,T103+1,FALSE)</f>
        <v>0.70059179485856848</v>
      </c>
      <c r="AI103" s="44">
        <f t="shared" si="68"/>
        <v>0</v>
      </c>
      <c r="AJ103" s="44">
        <f t="shared" si="69"/>
        <v>0</v>
      </c>
      <c r="AK103" s="44">
        <f>HLOOKUP(I103,ElecAvoidedCostsWOCC!$A$5:$Q$50,G103+1,FALSE)*J103*L103</f>
        <v>0</v>
      </c>
      <c r="AL103" s="44">
        <f t="shared" si="70"/>
        <v>0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71"/>
        <v>0</v>
      </c>
      <c r="AO103" s="47">
        <f t="shared" si="72"/>
        <v>0</v>
      </c>
      <c r="AP103" s="47" t="e">
        <f t="shared" si="73"/>
        <v>#DIV/0!</v>
      </c>
      <c r="AQ103">
        <v>2020</v>
      </c>
    </row>
    <row r="104" spans="2:43">
      <c r="B104" s="37" t="s">
        <v>65</v>
      </c>
      <c r="C104" s="98">
        <v>18231133</v>
      </c>
      <c r="D104" s="61" t="s">
        <v>175</v>
      </c>
      <c r="E104" s="38" t="s">
        <v>2437</v>
      </c>
      <c r="F104" s="39" t="s">
        <v>2438</v>
      </c>
      <c r="G104" s="39">
        <v>5</v>
      </c>
      <c r="H104" s="39"/>
      <c r="I104" s="40" t="s">
        <v>256</v>
      </c>
      <c r="J104" s="41">
        <v>1</v>
      </c>
      <c r="K104" s="41">
        <v>99915</v>
      </c>
      <c r="L104" s="41"/>
      <c r="M104" s="42">
        <v>2547</v>
      </c>
      <c r="N104" s="42">
        <v>2923</v>
      </c>
      <c r="O104" s="43">
        <v>99915</v>
      </c>
      <c r="P104" s="44">
        <v>2547</v>
      </c>
      <c r="Q104" s="44">
        <v>2923</v>
      </c>
      <c r="R104" s="45"/>
      <c r="S104" s="46"/>
      <c r="T104" s="39">
        <f t="shared" si="58"/>
        <v>5</v>
      </c>
      <c r="U104" s="47">
        <f t="shared" si="59"/>
        <v>2.5956778035268694E-2</v>
      </c>
      <c r="V104" s="48">
        <f t="shared" si="60"/>
        <v>376</v>
      </c>
      <c r="W104" s="49">
        <f t="shared" si="74"/>
        <v>5.1913556070537388E-3</v>
      </c>
      <c r="X104" s="44">
        <f t="shared" si="75"/>
        <v>11828.408281642329</v>
      </c>
      <c r="Y104" s="44">
        <f t="shared" si="61"/>
        <v>376</v>
      </c>
      <c r="Z104" s="44">
        <f t="shared" si="76"/>
        <v>33453.316787430267</v>
      </c>
      <c r="AA104" s="50">
        <f t="shared" si="62"/>
        <v>14751.408281642329</v>
      </c>
      <c r="AB104" s="51">
        <f t="shared" si="63"/>
        <v>31273.550329466452</v>
      </c>
      <c r="AC104" s="44">
        <f t="shared" si="64"/>
        <v>13790.229299469316</v>
      </c>
      <c r="AD104" s="44">
        <f t="shared" si="65"/>
        <v>0</v>
      </c>
      <c r="AE104" s="44">
        <f t="shared" si="66"/>
        <v>0</v>
      </c>
      <c r="AF104" s="52">
        <f>HLOOKUP(I104,ElecAvoidedCostsWOCC!$A$5:$Q$50,G104+1,FALSE)</f>
        <v>0.35807218478063102</v>
      </c>
      <c r="AG104" s="44">
        <f t="shared" si="67"/>
        <v>35776.782342356746</v>
      </c>
      <c r="AH104" s="52">
        <f>HLOOKUP(I104,ElecAvoidedCostsWOCC!$A$5:$Q$50,T104+1,FALSE)</f>
        <v>0.35807218478063102</v>
      </c>
      <c r="AI104" s="44">
        <f t="shared" si="68"/>
        <v>0</v>
      </c>
      <c r="AJ104" s="44">
        <f t="shared" si="69"/>
        <v>35776.782342356746</v>
      </c>
      <c r="AK104" s="44">
        <f>HLOOKUP(I104,ElecAvoidedCostsWOCC!$A$5:$Q$50,G104+1,FALSE)*J104*L104</f>
        <v>0</v>
      </c>
      <c r="AL104" s="44">
        <f t="shared" si="70"/>
        <v>35776.782342356746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35776.782342356746</v>
      </c>
      <c r="AN104" s="48">
        <f t="shared" si="71"/>
        <v>39354.460576592421</v>
      </c>
      <c r="AO104" s="47">
        <f t="shared" si="72"/>
        <v>1.1439949083314431</v>
      </c>
      <c r="AP104" s="47">
        <f t="shared" si="73"/>
        <v>2.8537930531805502</v>
      </c>
      <c r="AQ104">
        <v>2020</v>
      </c>
    </row>
    <row r="105" spans="2:43">
      <c r="B105" s="37" t="s">
        <v>65</v>
      </c>
      <c r="C105" s="98">
        <v>18231133</v>
      </c>
      <c r="D105" s="61" t="s">
        <v>175</v>
      </c>
      <c r="E105" s="38" t="s">
        <v>2437</v>
      </c>
      <c r="F105" s="39" t="s">
        <v>2438</v>
      </c>
      <c r="G105" s="39">
        <v>5</v>
      </c>
      <c r="H105" s="39"/>
      <c r="I105" s="40" t="s">
        <v>256</v>
      </c>
      <c r="J105" s="41">
        <v>1</v>
      </c>
      <c r="K105" s="41">
        <v>2341911</v>
      </c>
      <c r="L105" s="41"/>
      <c r="M105" s="42">
        <v>47635.97</v>
      </c>
      <c r="N105" s="42">
        <v>48032.94</v>
      </c>
      <c r="O105" s="43">
        <v>2341911</v>
      </c>
      <c r="P105" s="44">
        <v>47635.97</v>
      </c>
      <c r="Q105" s="44">
        <v>48032.94</v>
      </c>
      <c r="R105" s="45"/>
      <c r="S105" s="46"/>
      <c r="T105" s="39">
        <f t="shared" si="58"/>
        <v>5</v>
      </c>
      <c r="U105" s="47">
        <f t="shared" si="59"/>
        <v>0.60840178156787417</v>
      </c>
      <c r="V105" s="48">
        <f t="shared" si="60"/>
        <v>396.97000000000116</v>
      </c>
      <c r="W105" s="49">
        <f t="shared" si="74"/>
        <v>0.12168035631357482</v>
      </c>
      <c r="X105" s="44">
        <f t="shared" si="75"/>
        <v>277246.4541587276</v>
      </c>
      <c r="Y105" s="44">
        <f t="shared" si="61"/>
        <v>396.97000000000116</v>
      </c>
      <c r="Z105" s="44">
        <f t="shared" si="76"/>
        <v>784113.40210146224</v>
      </c>
      <c r="AA105" s="50">
        <f t="shared" si="62"/>
        <v>325279.39415872761</v>
      </c>
      <c r="AB105" s="51">
        <f t="shared" si="63"/>
        <v>733021.78377251769</v>
      </c>
      <c r="AC105" s="44">
        <f t="shared" si="64"/>
        <v>304084.6911832547</v>
      </c>
      <c r="AD105" s="44">
        <f t="shared" si="65"/>
        <v>0</v>
      </c>
      <c r="AE105" s="44">
        <f t="shared" si="66"/>
        <v>0</v>
      </c>
      <c r="AF105" s="52">
        <f>HLOOKUP(I105,ElecAvoidedCostsWOCC!$A$5:$Q$50,G105+1,FALSE)</f>
        <v>0.35807218478063102</v>
      </c>
      <c r="AG105" s="44">
        <f t="shared" si="67"/>
        <v>838573.18833179236</v>
      </c>
      <c r="AH105" s="52">
        <f>HLOOKUP(I105,ElecAvoidedCostsWOCC!$A$5:$Q$50,T105+1,FALSE)</f>
        <v>0.35807218478063102</v>
      </c>
      <c r="AI105" s="44">
        <f t="shared" si="68"/>
        <v>0</v>
      </c>
      <c r="AJ105" s="44">
        <f t="shared" si="69"/>
        <v>838573.18833179236</v>
      </c>
      <c r="AK105" s="44">
        <f>HLOOKUP(I105,ElecAvoidedCostsWOCC!$A$5:$Q$50,G105+1,FALSE)*J105*L105</f>
        <v>0</v>
      </c>
      <c r="AL105" s="44">
        <f t="shared" si="70"/>
        <v>838573.18833179236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838573.18833179236</v>
      </c>
      <c r="AN105" s="48">
        <f t="shared" si="71"/>
        <v>922430.50716497167</v>
      </c>
      <c r="AO105" s="47">
        <f t="shared" si="72"/>
        <v>1.1439949083314431</v>
      </c>
      <c r="AP105" s="47">
        <f t="shared" si="73"/>
        <v>3.0334657873620965</v>
      </c>
      <c r="AQ105">
        <v>2020</v>
      </c>
    </row>
    <row r="106" spans="2:43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58"/>
        <v>0</v>
      </c>
      <c r="U106" s="47">
        <f t="shared" si="59"/>
        <v>0</v>
      </c>
      <c r="V106" s="48">
        <f t="shared" si="60"/>
        <v>0</v>
      </c>
      <c r="W106" s="49">
        <f t="shared" si="74"/>
        <v>0</v>
      </c>
      <c r="X106" s="44">
        <f t="shared" si="75"/>
        <v>0</v>
      </c>
      <c r="Y106" s="44">
        <f t="shared" si="61"/>
        <v>0</v>
      </c>
      <c r="Z106" s="44">
        <f t="shared" si="76"/>
        <v>0</v>
      </c>
      <c r="AA106" s="50">
        <f t="shared" si="62"/>
        <v>0</v>
      </c>
      <c r="AB106" s="51">
        <f t="shared" si="63"/>
        <v>0</v>
      </c>
      <c r="AC106" s="44">
        <f t="shared" si="64"/>
        <v>0</v>
      </c>
      <c r="AD106" s="44">
        <f t="shared" si="65"/>
        <v>0</v>
      </c>
      <c r="AE106" s="44">
        <f t="shared" si="66"/>
        <v>0</v>
      </c>
      <c r="AF106" s="52" t="e">
        <f>HLOOKUP(I106,ElecAvoidedCostsWOCC!$A$5:$Q$50,G106+1,FALSE)</f>
        <v>#N/A</v>
      </c>
      <c r="AG106" s="44" t="e">
        <f t="shared" si="67"/>
        <v>#N/A</v>
      </c>
      <c r="AH106" s="52" t="e">
        <f>HLOOKUP(I106,ElecAvoidedCostsWOCC!$A$5:$Q$50,T106+1,FALSE)</f>
        <v>#N/A</v>
      </c>
      <c r="AI106" s="44" t="e">
        <f t="shared" si="68"/>
        <v>#N/A</v>
      </c>
      <c r="AJ106" s="44" t="e">
        <f t="shared" si="69"/>
        <v>#N/A</v>
      </c>
      <c r="AK106" s="44" t="e">
        <f>HLOOKUP(I106,ElecAvoidedCostsWOCC!$A$5:$Q$50,G106+1,FALSE)*J106*L106</f>
        <v>#N/A</v>
      </c>
      <c r="AL106" s="44" t="e">
        <f t="shared" si="70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71"/>
        <v>0</v>
      </c>
      <c r="AO106" s="47">
        <f t="shared" si="72"/>
        <v>0</v>
      </c>
      <c r="AP106" s="47" t="e">
        <f t="shared" si="73"/>
        <v>#DIV/0!</v>
      </c>
    </row>
    <row r="107" spans="2:43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58"/>
        <v>0</v>
      </c>
      <c r="U107" s="47">
        <f t="shared" si="59"/>
        <v>0</v>
      </c>
      <c r="V107" s="48">
        <f t="shared" si="60"/>
        <v>0</v>
      </c>
      <c r="W107" s="49">
        <f t="shared" si="74"/>
        <v>0</v>
      </c>
      <c r="X107" s="44">
        <f t="shared" si="75"/>
        <v>0</v>
      </c>
      <c r="Y107" s="44">
        <f t="shared" si="61"/>
        <v>0</v>
      </c>
      <c r="Z107" s="44">
        <f t="shared" si="76"/>
        <v>0</v>
      </c>
      <c r="AA107" s="50">
        <f t="shared" si="62"/>
        <v>0</v>
      </c>
      <c r="AB107" s="51">
        <f t="shared" si="63"/>
        <v>0</v>
      </c>
      <c r="AC107" s="44">
        <f t="shared" si="64"/>
        <v>0</v>
      </c>
      <c r="AD107" s="44">
        <f t="shared" si="65"/>
        <v>0</v>
      </c>
      <c r="AE107" s="44">
        <f t="shared" si="66"/>
        <v>0</v>
      </c>
      <c r="AF107" s="52" t="e">
        <f>HLOOKUP(I107,ElecAvoidedCostsWOCC!$A$5:$Q$50,G107+1,FALSE)</f>
        <v>#N/A</v>
      </c>
      <c r="AG107" s="44" t="e">
        <f t="shared" si="67"/>
        <v>#N/A</v>
      </c>
      <c r="AH107" s="52" t="e">
        <f>HLOOKUP(I107,ElecAvoidedCostsWOCC!$A$5:$Q$50,T107+1,FALSE)</f>
        <v>#N/A</v>
      </c>
      <c r="AI107" s="44" t="e">
        <f t="shared" si="68"/>
        <v>#N/A</v>
      </c>
      <c r="AJ107" s="44" t="e">
        <f t="shared" si="69"/>
        <v>#N/A</v>
      </c>
      <c r="AK107" s="44" t="e">
        <f>HLOOKUP(I107,ElecAvoidedCostsWOCC!$A$5:$Q$50,G107+1,FALSE)*J107*L107</f>
        <v>#N/A</v>
      </c>
      <c r="AL107" s="44" t="e">
        <f t="shared" si="70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71"/>
        <v>0</v>
      </c>
      <c r="AO107" s="47">
        <f t="shared" si="72"/>
        <v>0</v>
      </c>
      <c r="AP107" s="47" t="e">
        <f t="shared" si="73"/>
        <v>#DIV/0!</v>
      </c>
    </row>
    <row r="108" spans="2:43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58"/>
        <v>0</v>
      </c>
      <c r="U108" s="47">
        <f t="shared" si="59"/>
        <v>0</v>
      </c>
      <c r="V108" s="48">
        <f t="shared" si="60"/>
        <v>0</v>
      </c>
      <c r="W108" s="49">
        <f t="shared" si="74"/>
        <v>0</v>
      </c>
      <c r="X108" s="44">
        <f t="shared" si="75"/>
        <v>0</v>
      </c>
      <c r="Y108" s="44">
        <f t="shared" si="61"/>
        <v>0</v>
      </c>
      <c r="Z108" s="44">
        <f t="shared" si="76"/>
        <v>0</v>
      </c>
      <c r="AA108" s="50">
        <f t="shared" si="62"/>
        <v>0</v>
      </c>
      <c r="AB108" s="51">
        <f t="shared" si="63"/>
        <v>0</v>
      </c>
      <c r="AC108" s="44">
        <f t="shared" si="64"/>
        <v>0</v>
      </c>
      <c r="AD108" s="44">
        <f t="shared" si="65"/>
        <v>0</v>
      </c>
      <c r="AE108" s="44">
        <f t="shared" si="66"/>
        <v>0</v>
      </c>
      <c r="AF108" s="52" t="e">
        <f>HLOOKUP(I108,ElecAvoidedCostsWOCC!$A$5:$Q$50,G108+1,FALSE)</f>
        <v>#N/A</v>
      </c>
      <c r="AG108" s="44" t="e">
        <f t="shared" si="67"/>
        <v>#N/A</v>
      </c>
      <c r="AH108" s="52" t="e">
        <f>HLOOKUP(I108,ElecAvoidedCostsWOCC!$A$5:$Q$50,T108+1,FALSE)</f>
        <v>#N/A</v>
      </c>
      <c r="AI108" s="44" t="e">
        <f t="shared" si="68"/>
        <v>#N/A</v>
      </c>
      <c r="AJ108" s="44" t="e">
        <f t="shared" si="69"/>
        <v>#N/A</v>
      </c>
      <c r="AK108" s="44" t="e">
        <f>HLOOKUP(I108,ElecAvoidedCostsWOCC!$A$5:$Q$50,G108+1,FALSE)*J108*L108</f>
        <v>#N/A</v>
      </c>
      <c r="AL108" s="44" t="e">
        <f t="shared" si="70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71"/>
        <v>0</v>
      </c>
      <c r="AO108" s="47">
        <f t="shared" si="72"/>
        <v>0</v>
      </c>
      <c r="AP108" s="47" t="e">
        <f t="shared" si="73"/>
        <v>#DIV/0!</v>
      </c>
    </row>
    <row r="109" spans="2:43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58"/>
        <v>0</v>
      </c>
      <c r="U109" s="47">
        <f t="shared" si="59"/>
        <v>0</v>
      </c>
      <c r="V109" s="48">
        <f t="shared" si="60"/>
        <v>0</v>
      </c>
      <c r="W109" s="49">
        <f t="shared" si="74"/>
        <v>0</v>
      </c>
      <c r="X109" s="44">
        <f t="shared" si="75"/>
        <v>0</v>
      </c>
      <c r="Y109" s="44">
        <f t="shared" si="61"/>
        <v>0</v>
      </c>
      <c r="Z109" s="44">
        <f t="shared" si="76"/>
        <v>0</v>
      </c>
      <c r="AA109" s="50">
        <f t="shared" si="62"/>
        <v>0</v>
      </c>
      <c r="AB109" s="51">
        <f t="shared" si="63"/>
        <v>0</v>
      </c>
      <c r="AC109" s="44">
        <f t="shared" si="64"/>
        <v>0</v>
      </c>
      <c r="AD109" s="44">
        <f t="shared" si="65"/>
        <v>0</v>
      </c>
      <c r="AE109" s="44">
        <f t="shared" si="66"/>
        <v>0</v>
      </c>
      <c r="AF109" s="52" t="e">
        <f>HLOOKUP(I109,ElecAvoidedCostsWOCC!$A$5:$Q$50,G109+1,FALSE)</f>
        <v>#N/A</v>
      </c>
      <c r="AG109" s="44" t="e">
        <f t="shared" si="67"/>
        <v>#N/A</v>
      </c>
      <c r="AH109" s="52" t="e">
        <f>HLOOKUP(I109,ElecAvoidedCostsWOCC!$A$5:$Q$50,T109+1,FALSE)</f>
        <v>#N/A</v>
      </c>
      <c r="AI109" s="44" t="e">
        <f t="shared" si="68"/>
        <v>#N/A</v>
      </c>
      <c r="AJ109" s="44" t="e">
        <f t="shared" si="69"/>
        <v>#N/A</v>
      </c>
      <c r="AK109" s="44" t="e">
        <f>HLOOKUP(I109,ElecAvoidedCostsWOCC!$A$5:$Q$50,G109+1,FALSE)*J109*L109</f>
        <v>#N/A</v>
      </c>
      <c r="AL109" s="44" t="e">
        <f t="shared" si="70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71"/>
        <v>0</v>
      </c>
      <c r="AO109" s="47">
        <f t="shared" si="72"/>
        <v>0</v>
      </c>
      <c r="AP109" s="47" t="e">
        <f t="shared" si="73"/>
        <v>#DIV/0!</v>
      </c>
    </row>
    <row r="110" spans="2:43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58"/>
        <v>0</v>
      </c>
      <c r="U110" s="47">
        <f t="shared" si="59"/>
        <v>0</v>
      </c>
      <c r="V110" s="48">
        <f t="shared" si="60"/>
        <v>0</v>
      </c>
      <c r="W110" s="49">
        <f t="shared" si="74"/>
        <v>0</v>
      </c>
      <c r="X110" s="44">
        <f t="shared" si="75"/>
        <v>0</v>
      </c>
      <c r="Y110" s="44">
        <f t="shared" si="61"/>
        <v>0</v>
      </c>
      <c r="Z110" s="44">
        <f t="shared" si="76"/>
        <v>0</v>
      </c>
      <c r="AA110" s="50">
        <f t="shared" si="62"/>
        <v>0</v>
      </c>
      <c r="AB110" s="51">
        <f t="shared" si="63"/>
        <v>0</v>
      </c>
      <c r="AC110" s="44">
        <f t="shared" si="64"/>
        <v>0</v>
      </c>
      <c r="AD110" s="44">
        <f t="shared" si="65"/>
        <v>0</v>
      </c>
      <c r="AE110" s="44">
        <f t="shared" si="66"/>
        <v>0</v>
      </c>
      <c r="AF110" s="52" t="e">
        <f>HLOOKUP(I110,ElecAvoidedCostsWOCC!$A$5:$Q$50,G110+1,FALSE)</f>
        <v>#N/A</v>
      </c>
      <c r="AG110" s="44" t="e">
        <f t="shared" si="67"/>
        <v>#N/A</v>
      </c>
      <c r="AH110" s="52" t="e">
        <f>HLOOKUP(I110,ElecAvoidedCostsWOCC!$A$5:$Q$50,T110+1,FALSE)</f>
        <v>#N/A</v>
      </c>
      <c r="AI110" s="44" t="e">
        <f t="shared" si="68"/>
        <v>#N/A</v>
      </c>
      <c r="AJ110" s="44" t="e">
        <f t="shared" si="69"/>
        <v>#N/A</v>
      </c>
      <c r="AK110" s="44" t="e">
        <f>HLOOKUP(I110,ElecAvoidedCostsWOCC!$A$5:$Q$50,G110+1,FALSE)*J110*L110</f>
        <v>#N/A</v>
      </c>
      <c r="AL110" s="44" t="e">
        <f t="shared" si="70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71"/>
        <v>0</v>
      </c>
      <c r="AO110" s="47">
        <f t="shared" si="72"/>
        <v>0</v>
      </c>
      <c r="AP110" s="47" t="e">
        <f t="shared" si="73"/>
        <v>#DIV/0!</v>
      </c>
    </row>
  </sheetData>
  <conditionalFormatting sqref="J5:L110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R5:S110 M5:N110">
    <cfRule type="expression" dxfId="247" priority="2">
      <formula>ISTEXT(M5)</formula>
    </cfRule>
  </conditionalFormatting>
  <conditionalFormatting sqref="R5:S110 M5:N110">
    <cfRule type="notContainsBlanks" dxfId="246" priority="3">
      <formula>LEN(TRIM(M5))&gt;0</formula>
    </cfRule>
  </conditionalFormatting>
  <conditionalFormatting sqref="R5:S110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7"/>
  <sheetViews>
    <sheetView topLeftCell="A19" zoomScale="85" zoomScaleNormal="85" workbookViewId="0">
      <selection activeCell="AI54" sqref="AI5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996</v>
      </c>
      <c r="F5" s="39" t="s">
        <v>997</v>
      </c>
      <c r="G5" s="39">
        <v>20</v>
      </c>
      <c r="H5" s="39"/>
      <c r="I5" s="40" t="s">
        <v>257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1.1232410430735699E-2</v>
      </c>
      <c r="V5" s="48">
        <f t="shared" ref="V5:V24" si="2">N5-M5</f>
        <v>23577</v>
      </c>
      <c r="W5" s="49">
        <f t="shared" ref="W5:W24" si="3">(O5/A$10)</f>
        <v>5.6162052153678498E-4</v>
      </c>
      <c r="X5" s="44">
        <f t="shared" ref="X5:X24" si="4">W5*A$8</f>
        <v>2675.3166234782843</v>
      </c>
      <c r="Y5" s="44">
        <f t="shared" ref="Y5:Y24" si="5">Q5-P5</f>
        <v>23577</v>
      </c>
      <c r="Z5" s="44">
        <f t="shared" ref="Z5:Z24" si="6">X5+(A$6*W5)</f>
        <v>13761.313106556428</v>
      </c>
      <c r="AA5" s="50">
        <f t="shared" ref="AA5:AA24" si="7">Q5+X5</f>
        <v>30078.316623478284</v>
      </c>
      <c r="AB5" s="51">
        <f t="shared" ref="AB5:AC20" si="8">Z5/(1+ElecDiscountRate)^1</f>
        <v>12864.64719693038</v>
      </c>
      <c r="AC5" s="44">
        <f t="shared" si="8"/>
        <v>28118.459963988298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5.2159342655179648</v>
      </c>
      <c r="AP5" s="47">
        <f>AN5/AC5</f>
        <v>2.6250111007369115</v>
      </c>
      <c r="AQ5">
        <v>2021</v>
      </c>
    </row>
    <row r="6" spans="1:43" ht="13.5" customHeight="1">
      <c r="A6" s="53">
        <f>SUMIF('Program Costs'!D:D,C2,'Program Costs'!L:L)</f>
        <v>19739300.93</v>
      </c>
      <c r="B6" s="97" t="s">
        <v>65</v>
      </c>
      <c r="C6" s="98">
        <v>18230724</v>
      </c>
      <c r="D6" s="61" t="s">
        <v>138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6.7245839573190233E-2</v>
      </c>
      <c r="V6" s="48">
        <f t="shared" si="2"/>
        <v>74062</v>
      </c>
      <c r="W6" s="49">
        <f t="shared" si="3"/>
        <v>3.3622919786595114E-3</v>
      </c>
      <c r="X6" s="44">
        <f t="shared" si="4"/>
        <v>16016.500962040285</v>
      </c>
      <c r="Y6" s="44">
        <f t="shared" si="5"/>
        <v>74062</v>
      </c>
      <c r="Z6" s="44">
        <f t="shared" si="6"/>
        <v>82385.794143325518</v>
      </c>
      <c r="AA6" s="50">
        <f t="shared" si="7"/>
        <v>150578.50096204027</v>
      </c>
      <c r="AB6" s="51">
        <f t="shared" si="8"/>
        <v>77017.663030125739</v>
      </c>
      <c r="AC6" s="44">
        <f t="shared" si="8"/>
        <v>140767.03838650114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5.2159342655179657</v>
      </c>
      <c r="AP6" s="47">
        <f t="shared" ref="AP6:AP24" si="16">AN6/AC6</f>
        <v>3.1391651019932176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996</v>
      </c>
      <c r="F7" s="39" t="s">
        <v>997</v>
      </c>
      <c r="G7" s="39">
        <v>20</v>
      </c>
      <c r="H7" s="39"/>
      <c r="I7" s="40" t="s">
        <v>257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5.8963364036852561E-5</v>
      </c>
      <c r="V7" s="48">
        <f t="shared" si="2"/>
        <v>0</v>
      </c>
      <c r="W7" s="49">
        <f t="shared" si="3"/>
        <v>2.9481682018426281E-6</v>
      </c>
      <c r="X7" s="44">
        <f t="shared" si="4"/>
        <v>14.043794869919232</v>
      </c>
      <c r="Y7" s="44">
        <f t="shared" si="5"/>
        <v>0</v>
      </c>
      <c r="Z7" s="44">
        <f t="shared" si="6"/>
        <v>72.238574198347848</v>
      </c>
      <c r="AA7" s="50">
        <f t="shared" si="7"/>
        <v>614.04379486991922</v>
      </c>
      <c r="AB7" s="51">
        <f t="shared" si="8"/>
        <v>67.53162026582018</v>
      </c>
      <c r="AC7" s="44">
        <f t="shared" si="8"/>
        <v>574.03364949978425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5.2159342655179639</v>
      </c>
      <c r="AP7" s="47">
        <f t="shared" si="16"/>
        <v>0.67498576381910935</v>
      </c>
      <c r="AQ7">
        <v>2021</v>
      </c>
    </row>
    <row r="8" spans="1:43" ht="13.5" customHeight="1">
      <c r="A8" s="53">
        <f>SUMIF('Program Costs'!D:D,C2,'Program Costs'!O:O)</f>
        <v>4763566.3599999994</v>
      </c>
      <c r="B8" s="97" t="s">
        <v>65</v>
      </c>
      <c r="C8" s="98">
        <v>18230724</v>
      </c>
      <c r="D8" s="61" t="s">
        <v>138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0.11856030819138952</v>
      </c>
      <c r="V8" s="48">
        <f t="shared" si="2"/>
        <v>173943.31</v>
      </c>
      <c r="W8" s="49">
        <f t="shared" si="3"/>
        <v>5.9280154095694756E-3</v>
      </c>
      <c r="X8" s="44">
        <f t="shared" si="4"/>
        <v>28238.494786586773</v>
      </c>
      <c r="Y8" s="44">
        <f t="shared" si="5"/>
        <v>173943.31</v>
      </c>
      <c r="Z8" s="44">
        <f t="shared" si="6"/>
        <v>145253.37487375585</v>
      </c>
      <c r="AA8" s="50">
        <f t="shared" si="7"/>
        <v>302974.49478658679</v>
      </c>
      <c r="AB8" s="51">
        <f t="shared" si="8"/>
        <v>135788.889290227</v>
      </c>
      <c r="AC8" s="44">
        <f t="shared" si="8"/>
        <v>283233.14460744767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5.2159342655179648</v>
      </c>
      <c r="AP8" s="47">
        <f t="shared" si="16"/>
        <v>2.7507109510713184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18230724</v>
      </c>
      <c r="D9" s="61" t="s">
        <v>138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3.6190696997600745E-3</v>
      </c>
      <c r="V9" s="48">
        <f t="shared" si="2"/>
        <v>7413.4599999999991</v>
      </c>
      <c r="W9" s="49">
        <f t="shared" si="3"/>
        <v>1.8095348498800372E-4</v>
      </c>
      <c r="X9" s="44">
        <f t="shared" si="4"/>
        <v>861.98393381361939</v>
      </c>
      <c r="Y9" s="44">
        <f t="shared" si="5"/>
        <v>7413.4599999999991</v>
      </c>
      <c r="Z9" s="44">
        <f t="shared" si="6"/>
        <v>4433.8792283240618</v>
      </c>
      <c r="AA9" s="50">
        <f t="shared" si="7"/>
        <v>11553.443933813618</v>
      </c>
      <c r="AB9" s="51">
        <f t="shared" si="8"/>
        <v>4144.974505304348</v>
      </c>
      <c r="AC9" s="44">
        <f t="shared" si="8"/>
        <v>10800.639369742561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5.2159342655179657</v>
      </c>
      <c r="AP9" s="47">
        <f t="shared" si="16"/>
        <v>2.2018979796446732</v>
      </c>
      <c r="AQ9">
        <v>2021</v>
      </c>
    </row>
    <row r="10" spans="1:43" ht="13.5" customHeight="1">
      <c r="A10" s="54">
        <f>SUM(O5:O999)</f>
        <v>90564710.599999994</v>
      </c>
      <c r="B10" s="97" t="s">
        <v>65</v>
      </c>
      <c r="C10" s="98">
        <v>18230724</v>
      </c>
      <c r="D10" s="61" t="s">
        <v>138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9.0542993464829778E-3</v>
      </c>
      <c r="V10" s="48">
        <f t="shared" si="2"/>
        <v>19352.43</v>
      </c>
      <c r="W10" s="49">
        <f t="shared" si="3"/>
        <v>4.527149673241489E-4</v>
      </c>
      <c r="X10" s="44">
        <f t="shared" si="4"/>
        <v>2156.5377890138147</v>
      </c>
      <c r="Y10" s="44">
        <f t="shared" si="5"/>
        <v>19352.43</v>
      </c>
      <c r="Z10" s="44">
        <f t="shared" si="6"/>
        <v>11092.814764540308</v>
      </c>
      <c r="AA10" s="50">
        <f t="shared" si="7"/>
        <v>28006.537789013815</v>
      </c>
      <c r="AB10" s="51">
        <f t="shared" si="8"/>
        <v>10370.02408576265</v>
      </c>
      <c r="AC10" s="44">
        <f t="shared" si="8"/>
        <v>26181.675038808837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5.2159342655179639</v>
      </c>
      <c r="AP10" s="47">
        <f t="shared" si="16"/>
        <v>2.2725169520781185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18230724</v>
      </c>
      <c r="D11" s="61" t="s">
        <v>138</v>
      </c>
      <c r="E11" s="38" t="s">
        <v>996</v>
      </c>
      <c r="F11" s="39" t="s">
        <v>997</v>
      </c>
      <c r="G11" s="39">
        <v>20</v>
      </c>
      <c r="H11" s="39"/>
      <c r="I11" s="40" t="s">
        <v>257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8.3590174913008561E-2</v>
      </c>
      <c r="V11" s="48">
        <f t="shared" si="2"/>
        <v>162411</v>
      </c>
      <c r="W11" s="49">
        <f t="shared" si="3"/>
        <v>4.1795087456504279E-3</v>
      </c>
      <c r="X11" s="44">
        <f t="shared" si="4"/>
        <v>19909.367262106171</v>
      </c>
      <c r="Y11" s="44">
        <f t="shared" si="5"/>
        <v>162411</v>
      </c>
      <c r="Z11" s="44">
        <f t="shared" si="6"/>
        <v>102409.9481320668</v>
      </c>
      <c r="AA11" s="50">
        <f t="shared" si="7"/>
        <v>284519.36726210616</v>
      </c>
      <c r="AB11" s="51">
        <f t="shared" si="8"/>
        <v>95737.074069427676</v>
      </c>
      <c r="AC11" s="44">
        <f t="shared" si="8"/>
        <v>265980.52469113411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5.2159342655179648</v>
      </c>
      <c r="AP11" s="47">
        <f t="shared" si="16"/>
        <v>2.0651666668788429</v>
      </c>
      <c r="AQ11">
        <v>2021</v>
      </c>
    </row>
    <row r="12" spans="1:43" ht="13.5" customHeight="1">
      <c r="A12" s="55">
        <f>SUM(P5:P1000)</f>
        <v>19736090.93</v>
      </c>
      <c r="B12" s="97" t="s">
        <v>65</v>
      </c>
      <c r="C12" s="98">
        <v>18230724</v>
      </c>
      <c r="D12" s="61" t="s">
        <v>138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3.1672380787136313E-3</v>
      </c>
      <c r="V12" s="48">
        <f t="shared" si="2"/>
        <v>31062</v>
      </c>
      <c r="W12" s="49">
        <f t="shared" si="3"/>
        <v>1.5836190393568155E-4</v>
      </c>
      <c r="X12" s="44">
        <f t="shared" si="4"/>
        <v>754.36743829356419</v>
      </c>
      <c r="Y12" s="44">
        <f t="shared" si="5"/>
        <v>31062</v>
      </c>
      <c r="Z12" s="44">
        <f t="shared" si="6"/>
        <v>3880.3207159277335</v>
      </c>
      <c r="AA12" s="50">
        <f t="shared" si="7"/>
        <v>33482.367438293564</v>
      </c>
      <c r="AB12" s="51">
        <f t="shared" si="8"/>
        <v>3627.4850106831195</v>
      </c>
      <c r="AC12" s="44">
        <f t="shared" si="8"/>
        <v>31300.70808478411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5.2159342655179648</v>
      </c>
      <c r="AP12" s="47">
        <f t="shared" si="16"/>
        <v>0.66493050716254831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18230724</v>
      </c>
      <c r="D13" s="61" t="s">
        <v>138</v>
      </c>
      <c r="E13" s="38" t="s">
        <v>996</v>
      </c>
      <c r="F13" s="39" t="s">
        <v>997</v>
      </c>
      <c r="G13" s="39">
        <v>7</v>
      </c>
      <c r="H13" s="39"/>
      <c r="I13" s="40" t="s">
        <v>257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0.11456964783808408</v>
      </c>
      <c r="V13" s="48">
        <f t="shared" si="2"/>
        <v>491728</v>
      </c>
      <c r="W13" s="49">
        <f t="shared" si="3"/>
        <v>1.6367092548297726E-2</v>
      </c>
      <c r="X13" s="44">
        <f t="shared" si="4"/>
        <v>77965.731474077722</v>
      </c>
      <c r="Y13" s="44">
        <f t="shared" si="5"/>
        <v>491728</v>
      </c>
      <c r="Z13" s="44">
        <f t="shared" si="6"/>
        <v>401040.69663408713</v>
      </c>
      <c r="AA13" s="50">
        <f t="shared" si="7"/>
        <v>856893.73147407768</v>
      </c>
      <c r="AB13" s="51">
        <f t="shared" si="8"/>
        <v>374909.50419191091</v>
      </c>
      <c r="AC13" s="44">
        <f t="shared" si="8"/>
        <v>801059.85928211419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2.0350454843371546</v>
      </c>
      <c r="AP13" s="47">
        <f t="shared" si="16"/>
        <v>1.0476791130778</v>
      </c>
      <c r="AQ13">
        <v>2021</v>
      </c>
    </row>
    <row r="14" spans="1:43" ht="13.5" customHeight="1">
      <c r="A14" s="55">
        <f>SUM(Y5:Y1000)</f>
        <v>34037103.569999993</v>
      </c>
      <c r="B14" s="97" t="s">
        <v>65</v>
      </c>
      <c r="C14" s="98">
        <v>18230724</v>
      </c>
      <c r="D14" s="61" t="s">
        <v>138</v>
      </c>
      <c r="E14" s="38" t="s">
        <v>996</v>
      </c>
      <c r="F14" s="39" t="s">
        <v>997</v>
      </c>
      <c r="G14" s="39">
        <v>10</v>
      </c>
      <c r="H14" s="39"/>
      <c r="I14" s="40" t="s">
        <v>257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0.25984823276186786</v>
      </c>
      <c r="V14" s="48">
        <f t="shared" si="2"/>
        <v>732741.87</v>
      </c>
      <c r="W14" s="49">
        <f t="shared" si="3"/>
        <v>2.5984823276186786E-2</v>
      </c>
      <c r="X14" s="44">
        <f t="shared" si="4"/>
        <v>123780.43002898835</v>
      </c>
      <c r="Y14" s="44">
        <f t="shared" si="5"/>
        <v>732741.87</v>
      </c>
      <c r="Z14" s="44">
        <f t="shared" si="6"/>
        <v>636702.67629050778</v>
      </c>
      <c r="AA14" s="50">
        <f t="shared" si="7"/>
        <v>1027599.3000289884</v>
      </c>
      <c r="AB14" s="51">
        <f t="shared" si="8"/>
        <v>595216.11320043728</v>
      </c>
      <c r="AC14" s="44">
        <f t="shared" si="8"/>
        <v>960642.51662053692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2.8777917602299494</v>
      </c>
      <c r="AP14" s="47">
        <f t="shared" si="16"/>
        <v>1.9613943752616807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18230724</v>
      </c>
      <c r="D15" s="61" t="s">
        <v>138</v>
      </c>
      <c r="E15" s="38" t="s">
        <v>996</v>
      </c>
      <c r="F15" s="39" t="s">
        <v>997</v>
      </c>
      <c r="G15" s="39">
        <v>11</v>
      </c>
      <c r="H15" s="39"/>
      <c r="I15" s="40" t="s">
        <v>257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6.9328582384936152E-2</v>
      </c>
      <c r="V15" s="48">
        <f t="shared" si="2"/>
        <v>264643</v>
      </c>
      <c r="W15" s="49">
        <f t="shared" si="3"/>
        <v>6.3025983986305595E-3</v>
      </c>
      <c r="X15" s="44">
        <f t="shared" si="4"/>
        <v>30022.8457123064</v>
      </c>
      <c r="Y15" s="44">
        <f t="shared" si="5"/>
        <v>264643</v>
      </c>
      <c r="Z15" s="44">
        <f t="shared" si="6"/>
        <v>154431.73214381112</v>
      </c>
      <c r="AA15" s="50">
        <f t="shared" si="7"/>
        <v>394476.84571230639</v>
      </c>
      <c r="AB15" s="51">
        <f t="shared" si="8"/>
        <v>144369.19897523709</v>
      </c>
      <c r="AC15" s="44">
        <f t="shared" si="8"/>
        <v>368773.34365925618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3.1582903703301248</v>
      </c>
      <c r="AP15" s="47">
        <f t="shared" si="16"/>
        <v>1.3600653209055571</v>
      </c>
      <c r="AQ15">
        <v>2021</v>
      </c>
    </row>
    <row r="16" spans="1:43" ht="13.5" customHeight="1">
      <c r="A16" s="54">
        <f>SUM(U5:U999)</f>
        <v>51.539329153560679</v>
      </c>
      <c r="B16" s="97" t="s">
        <v>65</v>
      </c>
      <c r="C16" s="98">
        <v>18230724</v>
      </c>
      <c r="D16" s="61" t="s">
        <v>138</v>
      </c>
      <c r="E16" s="38" t="s">
        <v>996</v>
      </c>
      <c r="F16" s="39" t="s">
        <v>997</v>
      </c>
      <c r="G16" s="39">
        <v>12</v>
      </c>
      <c r="H16" s="39"/>
      <c r="I16" s="40" t="s">
        <v>257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3.3873326372667725E-2</v>
      </c>
      <c r="V16" s="48">
        <f t="shared" si="2"/>
        <v>171586.06999999998</v>
      </c>
      <c r="W16" s="49">
        <f t="shared" si="3"/>
        <v>2.8227771977223102E-3</v>
      </c>
      <c r="X16" s="44">
        <f t="shared" si="4"/>
        <v>13446.486500845063</v>
      </c>
      <c r="Y16" s="44">
        <f t="shared" si="5"/>
        <v>171586.06999999998</v>
      </c>
      <c r="Z16" s="44">
        <f t="shared" si="6"/>
        <v>69166.135065027847</v>
      </c>
      <c r="AA16" s="50">
        <f t="shared" si="7"/>
        <v>222456.09650084504</v>
      </c>
      <c r="AB16" s="51">
        <f t="shared" si="8"/>
        <v>64659.376521480641</v>
      </c>
      <c r="AC16" s="44">
        <f t="shared" si="8"/>
        <v>207961.20080475369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3.4258978262743058</v>
      </c>
      <c r="AP16" s="47">
        <f t="shared" si="16"/>
        <v>1.1716996164552911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18230724</v>
      </c>
      <c r="D17" s="61" t="s">
        <v>138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8.3110838097240056E-2</v>
      </c>
      <c r="V17" s="48">
        <f t="shared" si="2"/>
        <v>201805.71000000002</v>
      </c>
      <c r="W17" s="49">
        <f t="shared" si="3"/>
        <v>6.3931413920953889E-3</v>
      </c>
      <c r="X17" s="44">
        <f t="shared" si="4"/>
        <v>30454.15327010916</v>
      </c>
      <c r="Y17" s="44">
        <f t="shared" si="5"/>
        <v>201805.71000000002</v>
      </c>
      <c r="Z17" s="44">
        <f t="shared" si="6"/>
        <v>156650.29509671917</v>
      </c>
      <c r="AA17" s="50">
        <f t="shared" si="7"/>
        <v>358232.86327010917</v>
      </c>
      <c r="AB17" s="51">
        <f t="shared" si="8"/>
        <v>146443.2037923896</v>
      </c>
      <c r="AC17" s="44">
        <f t="shared" si="8"/>
        <v>334890.96313929994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3.68344566571063</v>
      </c>
      <c r="AP17" s="47">
        <f t="shared" si="16"/>
        <v>1.7717920398563609</v>
      </c>
      <c r="AQ17">
        <v>2021</v>
      </c>
    </row>
    <row r="18" spans="1:43" ht="13.5" customHeight="1">
      <c r="A18" s="59">
        <f>A6+A8</f>
        <v>24502867.289999999</v>
      </c>
      <c r="B18" s="97" t="s">
        <v>65</v>
      </c>
      <c r="C18" s="98">
        <v>18230724</v>
      </c>
      <c r="D18" s="61" t="s">
        <v>138</v>
      </c>
      <c r="E18" s="38" t="s">
        <v>996</v>
      </c>
      <c r="F18" s="39" t="s">
        <v>997</v>
      </c>
      <c r="G18" s="39">
        <v>14</v>
      </c>
      <c r="H18" s="39"/>
      <c r="I18" s="40" t="s">
        <v>257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0.56742947290994827</v>
      </c>
      <c r="V18" s="48">
        <f t="shared" si="2"/>
        <v>933867.2699999999</v>
      </c>
      <c r="W18" s="49">
        <f t="shared" si="3"/>
        <v>4.0530676636424873E-2</v>
      </c>
      <c r="X18" s="44">
        <f t="shared" si="4"/>
        <v>193070.56777331146</v>
      </c>
      <c r="Y18" s="44">
        <f t="shared" si="5"/>
        <v>933867.2699999999</v>
      </c>
      <c r="Z18" s="44">
        <f t="shared" si="6"/>
        <v>993117.79079622217</v>
      </c>
      <c r="AA18" s="50">
        <f t="shared" si="7"/>
        <v>1979967.2577733113</v>
      </c>
      <c r="AB18" s="51">
        <f t="shared" si="8"/>
        <v>928407.76927757508</v>
      </c>
      <c r="AC18" s="44">
        <f t="shared" si="8"/>
        <v>1850955.6490355344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3.9310142127987238</v>
      </c>
      <c r="AP18" s="47">
        <f t="shared" si="16"/>
        <v>2.1689026163457936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996</v>
      </c>
      <c r="F19" s="39" t="s">
        <v>997</v>
      </c>
      <c r="G19" s="39">
        <v>15</v>
      </c>
      <c r="H19" s="39"/>
      <c r="I19" s="40" t="s">
        <v>257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3.5273272324684051</v>
      </c>
      <c r="V19" s="48">
        <f t="shared" si="2"/>
        <v>7438256.5200000005</v>
      </c>
      <c r="W19" s="49">
        <f t="shared" si="3"/>
        <v>0.23515514883122701</v>
      </c>
      <c r="X19" s="44">
        <f t="shared" si="4"/>
        <v>1120177.1563532262</v>
      </c>
      <c r="Y19" s="44">
        <f t="shared" si="5"/>
        <v>7438256.5200000005</v>
      </c>
      <c r="Z19" s="44">
        <f t="shared" si="6"/>
        <v>5761975.4043717533</v>
      </c>
      <c r="AA19" s="50">
        <f t="shared" si="7"/>
        <v>14355668.476353226</v>
      </c>
      <c r="AB19" s="51">
        <f t="shared" si="8"/>
        <v>5386533.9855770338</v>
      </c>
      <c r="AC19" s="44">
        <f t="shared" si="8"/>
        <v>13420275.288728826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4.1695380772046828</v>
      </c>
      <c r="AP19" s="47">
        <f t="shared" si="16"/>
        <v>1.840893266434827</v>
      </c>
      <c r="AQ19">
        <v>2021</v>
      </c>
    </row>
    <row r="20" spans="1:43" ht="13.5" customHeight="1">
      <c r="A20" s="59">
        <f>A8+SUM(Q5:Q906)</f>
        <v>58536760.859999999</v>
      </c>
      <c r="B20" s="97" t="s">
        <v>65</v>
      </c>
      <c r="C20" s="98">
        <v>18230724</v>
      </c>
      <c r="D20" s="61" t="s">
        <v>138</v>
      </c>
      <c r="E20" s="38" t="s">
        <v>996</v>
      </c>
      <c r="F20" s="39" t="s">
        <v>997</v>
      </c>
      <c r="G20" s="39">
        <v>16</v>
      </c>
      <c r="H20" s="39"/>
      <c r="I20" s="40" t="s">
        <v>257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0.24851657837683194</v>
      </c>
      <c r="V20" s="48">
        <f t="shared" si="2"/>
        <v>517569.85</v>
      </c>
      <c r="W20" s="49">
        <f t="shared" si="3"/>
        <v>1.5532286148551996E-2</v>
      </c>
      <c r="X20" s="44">
        <f t="shared" si="4"/>
        <v>73989.075791136245</v>
      </c>
      <c r="Y20" s="44">
        <f t="shared" si="5"/>
        <v>517569.85</v>
      </c>
      <c r="Z20" s="44">
        <f t="shared" si="6"/>
        <v>380585.54620827478</v>
      </c>
      <c r="AA20" s="50">
        <f t="shared" si="7"/>
        <v>935788.92579113622</v>
      </c>
      <c r="AB20" s="51">
        <f t="shared" si="8"/>
        <v>355787.17977776454</v>
      </c>
      <c r="AC20" s="44">
        <f t="shared" si="8"/>
        <v>874814.364579916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4.3988947826189699</v>
      </c>
      <c r="AP20" s="47">
        <f t="shared" si="16"/>
        <v>1.9679345418139498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996</v>
      </c>
      <c r="F21" s="39" t="s">
        <v>997</v>
      </c>
      <c r="G21" s="39">
        <v>17</v>
      </c>
      <c r="H21" s="39"/>
      <c r="I21" s="40" t="s">
        <v>257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8.1099635292159813E-2</v>
      </c>
      <c r="V21" s="48">
        <f t="shared" si="2"/>
        <v>105187.28</v>
      </c>
      <c r="W21" s="49">
        <f t="shared" si="3"/>
        <v>4.770566781891754E-3</v>
      </c>
      <c r="X21" s="44">
        <f t="shared" si="4"/>
        <v>22724.911440353015</v>
      </c>
      <c r="Y21" s="44">
        <f t="shared" si="5"/>
        <v>105187.28</v>
      </c>
      <c r="Z21" s="44">
        <f t="shared" si="6"/>
        <v>116892.56475477602</v>
      </c>
      <c r="AA21" s="50">
        <f t="shared" si="7"/>
        <v>241054.19144035302</v>
      </c>
      <c r="AB21" s="51">
        <f t="shared" ref="AB21:AC24" si="18">Z21/(1+ElecDiscountRate)^1</f>
        <v>109276.02575934936</v>
      </c>
      <c r="AC21" s="44">
        <f t="shared" si="18"/>
        <v>225347.47260012434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4.6159821276675768</v>
      </c>
      <c r="AP21" s="47">
        <f t="shared" si="16"/>
        <v>2.462232186029683</v>
      </c>
      <c r="AQ21">
        <v>2021</v>
      </c>
    </row>
    <row r="22" spans="1:43" ht="13.5" customHeight="1">
      <c r="A22" s="60">
        <f>(SUM(AM5:AM1000)/(SUM(AB5:AB1000)))</f>
        <v>4.1520091121204938</v>
      </c>
      <c r="B22" s="97" t="s">
        <v>65</v>
      </c>
      <c r="C22" s="98">
        <v>18230724</v>
      </c>
      <c r="D22" s="61" t="s">
        <v>138</v>
      </c>
      <c r="E22" s="38" t="s">
        <v>996</v>
      </c>
      <c r="F22" s="39" t="s">
        <v>997</v>
      </c>
      <c r="G22" s="39">
        <v>18</v>
      </c>
      <c r="H22" s="39"/>
      <c r="I22" s="40" t="s">
        <v>257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0.29247703464753305</v>
      </c>
      <c r="V22" s="48">
        <f t="shared" si="2"/>
        <v>471653.49</v>
      </c>
      <c r="W22" s="49">
        <f t="shared" si="3"/>
        <v>1.624872414708517E-2</v>
      </c>
      <c r="X22" s="44">
        <f t="shared" si="4"/>
        <v>77401.875739974595</v>
      </c>
      <c r="Y22" s="44">
        <f t="shared" si="5"/>
        <v>471653.49</v>
      </c>
      <c r="Z22" s="44">
        <f t="shared" si="6"/>
        <v>398140.33140784636</v>
      </c>
      <c r="AA22" s="50">
        <f t="shared" si="7"/>
        <v>988649.36573997454</v>
      </c>
      <c r="AB22" s="51">
        <f t="shared" si="18"/>
        <v>372198.12228460907</v>
      </c>
      <c r="AC22" s="44">
        <f t="shared" si="18"/>
        <v>924230.49989714357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4.8256364770563049</v>
      </c>
      <c r="AP22" s="47">
        <f t="shared" si="16"/>
        <v>2.1376724955162087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996</v>
      </c>
      <c r="F23" s="39" t="s">
        <v>997</v>
      </c>
      <c r="G23" s="39">
        <v>19</v>
      </c>
      <c r="H23" s="39"/>
      <c r="I23" s="40" t="s">
        <v>257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0.23205123563879637</v>
      </c>
      <c r="V23" s="48">
        <f t="shared" si="2"/>
        <v>277794.63</v>
      </c>
      <c r="W23" s="49">
        <f t="shared" si="3"/>
        <v>1.2213222928357704E-2</v>
      </c>
      <c r="X23" s="44">
        <f t="shared" si="4"/>
        <v>58178.497888705446</v>
      </c>
      <c r="Y23" s="44">
        <f t="shared" si="5"/>
        <v>277794.63</v>
      </c>
      <c r="Z23" s="44">
        <f t="shared" si="6"/>
        <v>299258.98059673398</v>
      </c>
      <c r="AA23" s="50">
        <f t="shared" si="7"/>
        <v>628335.12788870547</v>
      </c>
      <c r="AB23" s="51">
        <f t="shared" si="18"/>
        <v>279759.72758412076</v>
      </c>
      <c r="AC23" s="44">
        <f t="shared" si="18"/>
        <v>587393.7813300041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5.0261232827107953</v>
      </c>
      <c r="AP23" s="47">
        <f t="shared" si="16"/>
        <v>2.6331868289629616</v>
      </c>
      <c r="AQ23">
        <v>2021</v>
      </c>
    </row>
    <row r="24" spans="1:43" ht="13.5" customHeight="1">
      <c r="A24" s="60">
        <f>(SUM(AN5:AN1000)/SUM(AC5:AC1000))</f>
        <v>2.0270895435428113</v>
      </c>
      <c r="B24" s="97" t="s">
        <v>65</v>
      </c>
      <c r="C24" s="98">
        <v>18230724</v>
      </c>
      <c r="D24" s="61" t="s">
        <v>138</v>
      </c>
      <c r="E24" s="38" t="s">
        <v>996</v>
      </c>
      <c r="F24" s="39" t="s">
        <v>997</v>
      </c>
      <c r="G24" s="39">
        <v>20</v>
      </c>
      <c r="H24" s="39"/>
      <c r="I24" s="40" t="s">
        <v>257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0.82262350872018364</v>
      </c>
      <c r="V24" s="48">
        <f t="shared" si="2"/>
        <v>1939471.12</v>
      </c>
      <c r="W24" s="49">
        <f t="shared" si="3"/>
        <v>4.1131175436009179E-2</v>
      </c>
      <c r="X24" s="44">
        <f t="shared" si="4"/>
        <v>195931.08365423162</v>
      </c>
      <c r="Y24" s="44">
        <f t="shared" si="5"/>
        <v>1939471.12</v>
      </c>
      <c r="Z24" s="44">
        <f t="shared" si="6"/>
        <v>1007831.7331902408</v>
      </c>
      <c r="AA24" s="50">
        <f t="shared" si="7"/>
        <v>3018972.2036542315</v>
      </c>
      <c r="AB24" s="51">
        <f t="shared" si="18"/>
        <v>942162.97390879749</v>
      </c>
      <c r="AC24" s="44">
        <f t="shared" si="18"/>
        <v>2822260.6372386944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5.2159342655179648</v>
      </c>
      <c r="AP24" s="47">
        <f t="shared" si="16"/>
        <v>1.9153745341300088</v>
      </c>
      <c r="AQ24">
        <v>2021</v>
      </c>
    </row>
    <row r="25" spans="1:43" ht="13.5" customHeight="1">
      <c r="B25" s="97" t="s">
        <v>65</v>
      </c>
      <c r="C25" s="98">
        <v>18230724</v>
      </c>
      <c r="D25" s="61" t="s">
        <v>138</v>
      </c>
      <c r="E25" s="38" t="s">
        <v>1028</v>
      </c>
      <c r="F25" s="39" t="s">
        <v>1029</v>
      </c>
      <c r="G25" s="39">
        <v>12</v>
      </c>
      <c r="H25" s="39"/>
      <c r="I25" s="40" t="s">
        <v>257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0.24345840508874766</v>
      </c>
      <c r="V25" s="48">
        <f t="shared" ref="V25:V67" si="21">N25-M25</f>
        <v>1603048.29</v>
      </c>
      <c r="W25" s="49">
        <f t="shared" ref="W25:W67" si="22">(O25/A$10)</f>
        <v>2.0288200424062305E-2</v>
      </c>
      <c r="X25" s="44">
        <f t="shared" ref="X25:X67" si="23">W25*A$8</f>
        <v>96644.189045000923</v>
      </c>
      <c r="Y25" s="44">
        <f t="shared" ref="Y25:Y67" si="24">Q25-P25</f>
        <v>1603048.29</v>
      </c>
      <c r="Z25" s="44">
        <f t="shared" ref="Z25:Z67" si="25">X25+(A$6*W25)</f>
        <v>497119.08254372037</v>
      </c>
      <c r="AA25" s="50">
        <f t="shared" ref="AA25:AA67" si="26">Q25+X25</f>
        <v>1878517.7890450009</v>
      </c>
      <c r="AB25" s="51">
        <f t="shared" ref="AB25:AB67" si="27">Z25/(1+ElecDiscountRate)^1</f>
        <v>464727.57085511857</v>
      </c>
      <c r="AC25" s="44">
        <f t="shared" ref="AC25:AC67" si="28">AA25/(1+ElecDiscountRate)^1</f>
        <v>1756116.4710152387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3.4258978262743058</v>
      </c>
      <c r="AP25" s="47">
        <f t="shared" ref="AP25:AP67" si="37">AN25/AC25</f>
        <v>0.99726875818780547</v>
      </c>
      <c r="AQ25">
        <v>2021</v>
      </c>
    </row>
    <row r="26" spans="1:43" ht="13.5" customHeight="1">
      <c r="B26" s="97" t="s">
        <v>65</v>
      </c>
      <c r="C26" s="98">
        <v>18230724</v>
      </c>
      <c r="D26" s="61" t="s">
        <v>138</v>
      </c>
      <c r="E26" s="38" t="s">
        <v>1028</v>
      </c>
      <c r="F26" s="39" t="s">
        <v>1029</v>
      </c>
      <c r="G26" s="39">
        <v>20</v>
      </c>
      <c r="H26" s="39"/>
      <c r="I26" s="40" t="s">
        <v>257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0.11499423926829178</v>
      </c>
      <c r="V26" s="48">
        <f t="shared" si="21"/>
        <v>59813.98000000001</v>
      </c>
      <c r="W26" s="49">
        <f t="shared" si="22"/>
        <v>5.7497119634145888E-3</v>
      </c>
      <c r="X26" s="44">
        <f t="shared" si="23"/>
        <v>27389.134488611282</v>
      </c>
      <c r="Y26" s="44">
        <f t="shared" si="24"/>
        <v>59813.98000000001</v>
      </c>
      <c r="Z26" s="44">
        <f t="shared" si="25"/>
        <v>140884.429195273</v>
      </c>
      <c r="AA26" s="50">
        <f t="shared" si="26"/>
        <v>179274.11448861129</v>
      </c>
      <c r="AB26" s="51">
        <f t="shared" si="27"/>
        <v>131704.61736493689</v>
      </c>
      <c r="AC26" s="44">
        <f t="shared" si="28"/>
        <v>167592.89005198772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5.2159342655179648</v>
      </c>
      <c r="AP26" s="47">
        <f t="shared" si="37"/>
        <v>4.50889586706435</v>
      </c>
      <c r="AQ26">
        <v>2021</v>
      </c>
    </row>
    <row r="27" spans="1:43" ht="13.5" customHeight="1">
      <c r="B27" s="97" t="s">
        <v>65</v>
      </c>
      <c r="C27" s="98">
        <v>18230724</v>
      </c>
      <c r="D27" s="61" t="s">
        <v>138</v>
      </c>
      <c r="E27" s="38" t="s">
        <v>1030</v>
      </c>
      <c r="F27" s="39" t="s">
        <v>1031</v>
      </c>
      <c r="G27" s="39">
        <v>12</v>
      </c>
      <c r="H27" s="39"/>
      <c r="I27" s="40" t="s">
        <v>257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3.1566414567662737E-2</v>
      </c>
      <c r="V27" s="48">
        <f t="shared" si="21"/>
        <v>0</v>
      </c>
      <c r="W27" s="49">
        <f t="shared" si="22"/>
        <v>2.6305345473052284E-3</v>
      </c>
      <c r="X27" s="44">
        <f t="shared" si="23"/>
        <v>12530.725878361012</v>
      </c>
      <c r="Y27" s="44">
        <f t="shared" si="24"/>
        <v>0</v>
      </c>
      <c r="Z27" s="44">
        <f t="shared" si="25"/>
        <v>64455.638914380237</v>
      </c>
      <c r="AA27" s="50">
        <f t="shared" si="26"/>
        <v>24562.725878361012</v>
      </c>
      <c r="AB27" s="51">
        <f t="shared" si="27"/>
        <v>60255.809025315728</v>
      </c>
      <c r="AC27" s="44">
        <f t="shared" si="28"/>
        <v>22962.256593774899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3.4258978262743054</v>
      </c>
      <c r="AP27" s="47">
        <f t="shared" si="37"/>
        <v>9.8889788444316764</v>
      </c>
      <c r="AQ27">
        <v>2021</v>
      </c>
    </row>
    <row r="28" spans="1:43" ht="13.5" customHeight="1">
      <c r="B28" s="97" t="s">
        <v>65</v>
      </c>
      <c r="C28" s="98">
        <v>18230724</v>
      </c>
      <c r="D28" s="61" t="s">
        <v>138</v>
      </c>
      <c r="E28" s="38" t="s">
        <v>1032</v>
      </c>
      <c r="F28" s="39" t="s">
        <v>1033</v>
      </c>
      <c r="G28" s="39">
        <v>13</v>
      </c>
      <c r="H28" s="39"/>
      <c r="I28" s="40" t="s">
        <v>257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3.133201642450785E-2</v>
      </c>
      <c r="V28" s="48">
        <f t="shared" si="21"/>
        <v>91736</v>
      </c>
      <c r="W28" s="49">
        <f t="shared" si="22"/>
        <v>2.4101551095775269E-3</v>
      </c>
      <c r="X28" s="44">
        <f t="shared" si="23"/>
        <v>11480.93380236562</v>
      </c>
      <c r="Y28" s="44">
        <f t="shared" si="24"/>
        <v>91736</v>
      </c>
      <c r="Z28" s="44">
        <f t="shared" si="25"/>
        <v>59055.710798293556</v>
      </c>
      <c r="AA28" s="50">
        <f t="shared" si="26"/>
        <v>167066.93380236562</v>
      </c>
      <c r="AB28" s="51">
        <f t="shared" si="27"/>
        <v>55207.731885849818</v>
      </c>
      <c r="AC28" s="44">
        <f t="shared" si="28"/>
        <v>156181.11040699785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3.6834456657106291</v>
      </c>
      <c r="AP28" s="47">
        <f t="shared" si="37"/>
        <v>1.432248421198894</v>
      </c>
      <c r="AQ28">
        <v>2021</v>
      </c>
    </row>
    <row r="29" spans="1:43">
      <c r="B29" s="97" t="s">
        <v>65</v>
      </c>
      <c r="C29" s="98">
        <v>18230724</v>
      </c>
      <c r="D29" s="61" t="s">
        <v>138</v>
      </c>
      <c r="E29" s="38" t="s">
        <v>1032</v>
      </c>
      <c r="F29" s="39" t="s">
        <v>1033</v>
      </c>
      <c r="G29" s="39">
        <v>14</v>
      </c>
      <c r="H29" s="39"/>
      <c r="I29" s="40" t="s">
        <v>257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1.5558885913339406E-2</v>
      </c>
      <c r="V29" s="48">
        <f t="shared" si="21"/>
        <v>201650</v>
      </c>
      <c r="W29" s="49">
        <f t="shared" si="22"/>
        <v>1.1113489938099576E-3</v>
      </c>
      <c r="X29" s="44">
        <f t="shared" si="23"/>
        <v>5293.9846811329617</v>
      </c>
      <c r="Y29" s="44">
        <f t="shared" si="24"/>
        <v>201650</v>
      </c>
      <c r="Z29" s="44">
        <f t="shared" si="25"/>
        <v>27231.236908200422</v>
      </c>
      <c r="AA29" s="50">
        <f t="shared" si="26"/>
        <v>253617.98468113295</v>
      </c>
      <c r="AB29" s="51">
        <f t="shared" si="27"/>
        <v>25456.891566046947</v>
      </c>
      <c r="AC29" s="44">
        <f t="shared" si="28"/>
        <v>237092.62847633255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3.9310142127987238</v>
      </c>
      <c r="AP29" s="47">
        <f t="shared" si="37"/>
        <v>0.46428496542976916</v>
      </c>
      <c r="AQ29">
        <v>2021</v>
      </c>
    </row>
    <row r="30" spans="1:43">
      <c r="B30" s="97" t="s">
        <v>65</v>
      </c>
      <c r="C30" s="98">
        <v>18230724</v>
      </c>
      <c r="D30" s="61" t="s">
        <v>138</v>
      </c>
      <c r="E30" s="38" t="s">
        <v>1032</v>
      </c>
      <c r="F30" s="39" t="s">
        <v>1033</v>
      </c>
      <c r="G30" s="39">
        <v>15</v>
      </c>
      <c r="H30" s="39"/>
      <c r="I30" s="40" t="s">
        <v>257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0.54350010808735483</v>
      </c>
      <c r="V30" s="48">
        <f t="shared" si="21"/>
        <v>1226875.77</v>
      </c>
      <c r="W30" s="49">
        <f t="shared" si="22"/>
        <v>3.6233340539156986E-2</v>
      </c>
      <c r="X30" s="44">
        <f t="shared" si="23"/>
        <v>172599.92210275246</v>
      </c>
      <c r="Y30" s="44">
        <f t="shared" si="24"/>
        <v>1226875.77</v>
      </c>
      <c r="Z30" s="44">
        <f t="shared" si="25"/>
        <v>887820.73470434069</v>
      </c>
      <c r="AA30" s="50">
        <f t="shared" si="26"/>
        <v>2826725.6921027526</v>
      </c>
      <c r="AB30" s="51">
        <f t="shared" si="27"/>
        <v>829971.70674426528</v>
      </c>
      <c r="AC30" s="44">
        <f t="shared" si="28"/>
        <v>2642540.611482427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4.1695380772046819</v>
      </c>
      <c r="AP30" s="47">
        <f t="shared" si="37"/>
        <v>1.4405297996781097</v>
      </c>
      <c r="AQ30">
        <v>2021</v>
      </c>
    </row>
    <row r="31" spans="1:43">
      <c r="B31" s="97" t="s">
        <v>65</v>
      </c>
      <c r="C31" s="98">
        <v>18230724</v>
      </c>
      <c r="D31" s="61" t="s">
        <v>138</v>
      </c>
      <c r="E31" s="38" t="s">
        <v>1032</v>
      </c>
      <c r="F31" s="39" t="s">
        <v>1033</v>
      </c>
      <c r="G31" s="39">
        <v>16</v>
      </c>
      <c r="H31" s="39"/>
      <c r="I31" s="40" t="s">
        <v>257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6.0197398786807368E-2</v>
      </c>
      <c r="V31" s="48">
        <f t="shared" si="21"/>
        <v>141671</v>
      </c>
      <c r="W31" s="49">
        <f t="shared" si="22"/>
        <v>3.7623374241754605E-3</v>
      </c>
      <c r="X31" s="44">
        <f t="shared" si="23"/>
        <v>17922.143988771273</v>
      </c>
      <c r="Y31" s="44">
        <f t="shared" si="24"/>
        <v>141671</v>
      </c>
      <c r="Z31" s="44">
        <f t="shared" si="25"/>
        <v>92188.054604771751</v>
      </c>
      <c r="AA31" s="50">
        <f t="shared" si="26"/>
        <v>288238.14398877125</v>
      </c>
      <c r="AB31" s="51">
        <f t="shared" si="27"/>
        <v>86181.223338105774</v>
      </c>
      <c r="AC31" s="44">
        <f t="shared" si="28"/>
        <v>269456.99166941311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4.3988947826189699</v>
      </c>
      <c r="AP31" s="47">
        <f t="shared" si="37"/>
        <v>1.5476026229206263</v>
      </c>
      <c r="AQ31">
        <v>2021</v>
      </c>
    </row>
    <row r="32" spans="1:43">
      <c r="B32" s="97" t="s">
        <v>65</v>
      </c>
      <c r="C32" s="98">
        <v>18230724</v>
      </c>
      <c r="D32" s="61" t="s">
        <v>138</v>
      </c>
      <c r="E32" s="38" t="s">
        <v>1032</v>
      </c>
      <c r="F32" s="39" t="s">
        <v>1033</v>
      </c>
      <c r="G32" s="39">
        <v>18</v>
      </c>
      <c r="H32" s="39"/>
      <c r="I32" s="40" t="s">
        <v>257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0.11328776884536304</v>
      </c>
      <c r="V32" s="48">
        <f t="shared" si="21"/>
        <v>143860</v>
      </c>
      <c r="W32" s="49">
        <f t="shared" si="22"/>
        <v>6.2937649358535026E-3</v>
      </c>
      <c r="X32" s="44">
        <f t="shared" si="23"/>
        <v>29980.766926179298</v>
      </c>
      <c r="Y32" s="44">
        <f t="shared" si="24"/>
        <v>143860</v>
      </c>
      <c r="Z32" s="44">
        <f t="shared" si="25"/>
        <v>154215.28697767374</v>
      </c>
      <c r="AA32" s="50">
        <f t="shared" si="26"/>
        <v>353422.76692617929</v>
      </c>
      <c r="AB32" s="51">
        <f t="shared" si="27"/>
        <v>144166.85704185633</v>
      </c>
      <c r="AC32" s="44">
        <f t="shared" si="28"/>
        <v>330394.28524462867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4.8256364770563049</v>
      </c>
      <c r="AP32" s="47">
        <f t="shared" si="37"/>
        <v>2.3162220495717825</v>
      </c>
      <c r="AQ32">
        <v>2021</v>
      </c>
    </row>
    <row r="33" spans="2:43">
      <c r="B33" s="97" t="s">
        <v>65</v>
      </c>
      <c r="C33" s="98">
        <v>18230724</v>
      </c>
      <c r="D33" s="61" t="s">
        <v>138</v>
      </c>
      <c r="E33" s="38" t="s">
        <v>1034</v>
      </c>
      <c r="F33" s="39" t="s">
        <v>1035</v>
      </c>
      <c r="G33" s="39">
        <v>10</v>
      </c>
      <c r="H33" s="39"/>
      <c r="I33" s="40" t="s">
        <v>257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0.17463766952069298</v>
      </c>
      <c r="V33" s="48">
        <f t="shared" si="21"/>
        <v>1125</v>
      </c>
      <c r="W33" s="49">
        <f t="shared" si="22"/>
        <v>1.7463766952069297E-2</v>
      </c>
      <c r="X33" s="44">
        <f t="shared" si="23"/>
        <v>83189.812771757031</v>
      </c>
      <c r="Y33" s="44">
        <f t="shared" si="24"/>
        <v>1125</v>
      </c>
      <c r="Z33" s="44">
        <f t="shared" si="25"/>
        <v>427912.36401004175</v>
      </c>
      <c r="AA33" s="50">
        <f t="shared" si="26"/>
        <v>638864.81277175702</v>
      </c>
      <c r="AB33" s="51">
        <f t="shared" si="27"/>
        <v>400030.25522112905</v>
      </c>
      <c r="AC33" s="44">
        <f t="shared" si="28"/>
        <v>597237.36820768157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2.8777917602299494</v>
      </c>
      <c r="AP33" s="47">
        <f t="shared" si="37"/>
        <v>2.1203029431164224</v>
      </c>
      <c r="AQ33">
        <v>2021</v>
      </c>
    </row>
    <row r="34" spans="2:43">
      <c r="B34" s="97" t="s">
        <v>65</v>
      </c>
      <c r="C34" s="98">
        <v>18230724</v>
      </c>
      <c r="D34" s="61" t="s">
        <v>138</v>
      </c>
      <c r="E34" s="38" t="s">
        <v>1036</v>
      </c>
      <c r="F34" s="39" t="s">
        <v>1037</v>
      </c>
      <c r="G34" s="39">
        <v>12</v>
      </c>
      <c r="H34" s="39"/>
      <c r="I34" s="40" t="s">
        <v>257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4.006858715672857E-4</v>
      </c>
      <c r="V34" s="48">
        <f t="shared" si="21"/>
        <v>73</v>
      </c>
      <c r="W34" s="49">
        <f t="shared" si="22"/>
        <v>3.3390489297273811E-5</v>
      </c>
      <c r="X34" s="44">
        <f t="shared" si="23"/>
        <v>159.05781156043355</v>
      </c>
      <c r="Y34" s="44">
        <f t="shared" si="24"/>
        <v>876</v>
      </c>
      <c r="Z34" s="44">
        <f t="shared" si="25"/>
        <v>818.1627279992656</v>
      </c>
      <c r="AA34" s="50">
        <f t="shared" si="26"/>
        <v>1455.0578115604335</v>
      </c>
      <c r="AB34" s="51">
        <f t="shared" si="27"/>
        <v>764.85250817917688</v>
      </c>
      <c r="AC34" s="44">
        <f t="shared" si="28"/>
        <v>1360.2484916896638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3.4258978262743058</v>
      </c>
      <c r="AP34" s="47">
        <f t="shared" si="37"/>
        <v>2.1189784199872785</v>
      </c>
      <c r="AQ34">
        <v>2021</v>
      </c>
    </row>
    <row r="35" spans="2:43">
      <c r="B35" s="97" t="s">
        <v>65</v>
      </c>
      <c r="C35" s="98">
        <v>18230724</v>
      </c>
      <c r="D35" s="61" t="s">
        <v>138</v>
      </c>
      <c r="E35" s="38" t="s">
        <v>1038</v>
      </c>
      <c r="F35" s="39" t="s">
        <v>1039</v>
      </c>
      <c r="G35" s="39">
        <v>12</v>
      </c>
      <c r="H35" s="39"/>
      <c r="I35" s="40" t="s">
        <v>257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1.703312459985932E-3</v>
      </c>
      <c r="V35" s="48">
        <f t="shared" si="21"/>
        <v>210</v>
      </c>
      <c r="W35" s="49">
        <f t="shared" si="22"/>
        <v>1.4194270499882767E-4</v>
      </c>
      <c r="X35" s="44">
        <f t="shared" si="23"/>
        <v>676.15349457981927</v>
      </c>
      <c r="Y35" s="44">
        <f t="shared" si="24"/>
        <v>3150</v>
      </c>
      <c r="Z35" s="44">
        <f t="shared" si="25"/>
        <v>3478.0032633698938</v>
      </c>
      <c r="AA35" s="50">
        <f t="shared" si="26"/>
        <v>5476.1534945798194</v>
      </c>
      <c r="AB35" s="51">
        <f t="shared" si="27"/>
        <v>3251.3819420116793</v>
      </c>
      <c r="AC35" s="44">
        <f t="shared" si="28"/>
        <v>5119.3357900157234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3.4258978262743054</v>
      </c>
      <c r="AP35" s="47">
        <f t="shared" si="37"/>
        <v>2.3934340435676411</v>
      </c>
      <c r="AQ35">
        <v>2021</v>
      </c>
    </row>
    <row r="36" spans="2:43">
      <c r="B36" s="97" t="s">
        <v>65</v>
      </c>
      <c r="C36" s="98">
        <v>18230724</v>
      </c>
      <c r="D36" s="61" t="s">
        <v>138</v>
      </c>
      <c r="E36" s="38" t="s">
        <v>1040</v>
      </c>
      <c r="F36" s="39" t="s">
        <v>1041</v>
      </c>
      <c r="G36" s="39">
        <v>12</v>
      </c>
      <c r="H36" s="39"/>
      <c r="I36" s="40" t="s">
        <v>257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2.6076382117870976E-3</v>
      </c>
      <c r="V36" s="48">
        <f t="shared" si="21"/>
        <v>281</v>
      </c>
      <c r="W36" s="49">
        <f t="shared" si="22"/>
        <v>2.1730318431559148E-4</v>
      </c>
      <c r="X36" s="44">
        <f t="shared" si="23"/>
        <v>1035.138138726631</v>
      </c>
      <c r="Y36" s="44">
        <f t="shared" si="24"/>
        <v>4496</v>
      </c>
      <c r="Z36" s="44">
        <f t="shared" si="25"/>
        <v>5324.551086979347</v>
      </c>
      <c r="AA36" s="50">
        <f t="shared" si="26"/>
        <v>8011.138138726631</v>
      </c>
      <c r="AB36" s="51">
        <f t="shared" si="27"/>
        <v>4977.6115611660716</v>
      </c>
      <c r="AC36" s="44">
        <f t="shared" si="28"/>
        <v>7489.1447496743294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3.4258978262743054</v>
      </c>
      <c r="AP36" s="47">
        <f t="shared" si="37"/>
        <v>2.5047008860385662</v>
      </c>
      <c r="AQ36">
        <v>2021</v>
      </c>
    </row>
    <row r="37" spans="2:43">
      <c r="B37" s="97" t="s">
        <v>65</v>
      </c>
      <c r="C37" s="98">
        <v>18230724</v>
      </c>
      <c r="D37" s="61" t="s">
        <v>138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22285</v>
      </c>
      <c r="L37" s="41"/>
      <c r="M37" s="42">
        <v>1184</v>
      </c>
      <c r="N37" s="42">
        <v>12468.38</v>
      </c>
      <c r="O37" s="43">
        <v>22285</v>
      </c>
      <c r="P37" s="44">
        <v>1184</v>
      </c>
      <c r="Q37" s="44">
        <v>12468.38</v>
      </c>
      <c r="R37" s="45"/>
      <c r="S37" s="46"/>
      <c r="T37" s="39">
        <f t="shared" ref="T37:T59" si="38">G37+H37</f>
        <v>20</v>
      </c>
      <c r="U37" s="47">
        <f>(O37/'CI Retrofit {E}'!$A$10)*T37</f>
        <v>2.3157555863122167E-2</v>
      </c>
      <c r="V37" s="48">
        <f t="shared" ref="V37:V59" si="39">N37-M37</f>
        <v>11284.38</v>
      </c>
      <c r="W37" s="49">
        <f>(O37/'CI Retrofit {E}'!A$10)</f>
        <v>1.1578777931561084E-3</v>
      </c>
      <c r="X37" s="44">
        <f>W37*'CI Retrofit {E}'!A$8</f>
        <v>2638.2032583335767</v>
      </c>
      <c r="Y37" s="44">
        <f t="shared" ref="Y37:Y59" si="40">Q37-P37</f>
        <v>11284.38</v>
      </c>
      <c r="Z37" s="44">
        <f>X37+('CI Retrofit {E}'!A$6*W37)</f>
        <v>7461.413847849507</v>
      </c>
      <c r="AA37" s="50">
        <f t="shared" ref="AA37:AA59" si="41">Q37+X37</f>
        <v>15106.583258333576</v>
      </c>
      <c r="AB37" s="51">
        <f t="shared" ref="AB37:AB59" si="42">Z37/(1+ElecDiscountRate)^1</f>
        <v>6975.2396446195253</v>
      </c>
      <c r="AC37" s="44">
        <f t="shared" si="28"/>
        <v>14122.26162319676</v>
      </c>
      <c r="AD37" s="44">
        <f t="shared" ref="AD37:AD59" si="43">-PV(ElecDiscountRate,T37,R37)*J37</f>
        <v>0</v>
      </c>
      <c r="AE37" s="44">
        <f t="shared" ref="AE37:AE59" si="44">-PV(ElecDiscountRate,T37,S37)*J37</f>
        <v>0</v>
      </c>
      <c r="AF37" s="52">
        <f>HLOOKUP(I37,ElecAvoidedCostsWOCC!$A$5:$Q$50,G37+1,FALSE)</f>
        <v>1.3192527795896587</v>
      </c>
      <c r="AG37" s="44">
        <f t="shared" ref="AG37:AG59" si="45">AF37*J37*K37</f>
        <v>29399.548193155544</v>
      </c>
      <c r="AH37" s="52">
        <f>HLOOKUP(I37,ElecAvoidedCostsWOCC!$A$5:$Q$50,T37+1,FALSE)</f>
        <v>1.3192527795896587</v>
      </c>
      <c r="AI37" s="44">
        <f t="shared" ref="AI37:AI59" si="46">AH37*J37*L37</f>
        <v>0</v>
      </c>
      <c r="AJ37" s="44">
        <f t="shared" ref="AJ37:AJ59" si="47">AG37+AI37</f>
        <v>29399.548193155544</v>
      </c>
      <c r="AK37" s="44">
        <f>HLOOKUP(I37,ElecAvoidedCostsWOCC!$A$5:$Q$50,G37+1,FALSE)*J37*L37</f>
        <v>0</v>
      </c>
      <c r="AL37" s="44">
        <f t="shared" ref="AL37:AL59" si="48">AG37+AI37-AK37</f>
        <v>29399.548193155544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29399.548193155544</v>
      </c>
      <c r="AN37" s="48">
        <f t="shared" ref="AN37:AN59" si="49">AM37*1.1+AD37+AE37</f>
        <v>32339.503012471101</v>
      </c>
      <c r="AO37" s="47">
        <f t="shared" ref="AO37:AO59" si="50">IFERROR(AM37/AB37,0)</f>
        <v>4.2148441761185094</v>
      </c>
      <c r="AP37" s="47">
        <f t="shared" ref="AP37:AP59" si="51">AN37/AC37</f>
        <v>2.2899662869402801</v>
      </c>
      <c r="AQ37">
        <v>2020</v>
      </c>
    </row>
    <row r="38" spans="2:43">
      <c r="B38" s="97" t="s">
        <v>65</v>
      </c>
      <c r="C38" s="98">
        <v>18230724</v>
      </c>
      <c r="D38" s="61" t="s">
        <v>138</v>
      </c>
      <c r="E38" s="38" t="s">
        <v>996</v>
      </c>
      <c r="F38" s="39" t="s">
        <v>997</v>
      </c>
      <c r="G38" s="39">
        <v>20</v>
      </c>
      <c r="H38" s="39"/>
      <c r="I38" s="40" t="s">
        <v>257</v>
      </c>
      <c r="J38" s="41">
        <v>1</v>
      </c>
      <c r="K38" s="41">
        <v>3604750</v>
      </c>
      <c r="L38" s="41"/>
      <c r="M38" s="42">
        <v>404555.35</v>
      </c>
      <c r="N38" s="42">
        <v>1353828.53</v>
      </c>
      <c r="O38" s="43">
        <v>3604750</v>
      </c>
      <c r="P38" s="44">
        <v>404555.35</v>
      </c>
      <c r="Q38" s="44">
        <v>1353828.53</v>
      </c>
      <c r="R38" s="45"/>
      <c r="S38" s="46"/>
      <c r="T38" s="39">
        <f t="shared" si="38"/>
        <v>20</v>
      </c>
      <c r="U38" s="47">
        <f>(O38/'CI Retrofit {E}'!$A$10)*T38</f>
        <v>3.7458918329634114</v>
      </c>
      <c r="V38" s="48">
        <f t="shared" si="39"/>
        <v>949273.18</v>
      </c>
      <c r="W38" s="49">
        <f>(O38/'CI Retrofit {E}'!A$10)</f>
        <v>0.18729459164817058</v>
      </c>
      <c r="X38" s="44">
        <f>W38*'CI Retrofit {E}'!A$8</f>
        <v>426747.28272281622</v>
      </c>
      <c r="Y38" s="44">
        <f t="shared" si="40"/>
        <v>949273.18</v>
      </c>
      <c r="Z38" s="44">
        <f>X38+('CI Retrofit {E}'!A$6*W38)</f>
        <v>1206934.3310763072</v>
      </c>
      <c r="AA38" s="50">
        <f t="shared" si="41"/>
        <v>1780575.8127228161</v>
      </c>
      <c r="AB38" s="51">
        <f t="shared" si="42"/>
        <v>1128292.3540023437</v>
      </c>
      <c r="AC38" s="44">
        <f t="shared" si="28"/>
        <v>1664556.24261271</v>
      </c>
      <c r="AD38" s="44">
        <f t="shared" si="43"/>
        <v>0</v>
      </c>
      <c r="AE38" s="44">
        <f t="shared" si="44"/>
        <v>0</v>
      </c>
      <c r="AF38" s="52">
        <f>HLOOKUP(I38,ElecAvoidedCostsWOCC!$A$5:$Q$50,G38+1,FALSE)</f>
        <v>1.3192527795896587</v>
      </c>
      <c r="AG38" s="44">
        <f t="shared" si="45"/>
        <v>4755576.4572258219</v>
      </c>
      <c r="AH38" s="52">
        <f>HLOOKUP(I38,ElecAvoidedCostsWOCC!$A$5:$Q$50,T38+1,FALSE)</f>
        <v>1.3192527795896587</v>
      </c>
      <c r="AI38" s="44">
        <f t="shared" si="46"/>
        <v>0</v>
      </c>
      <c r="AJ38" s="44">
        <f t="shared" si="47"/>
        <v>4755576.4572258219</v>
      </c>
      <c r="AK38" s="44">
        <f>HLOOKUP(I38,ElecAvoidedCostsWOCC!$A$5:$Q$50,G38+1,FALSE)*J38*L38</f>
        <v>0</v>
      </c>
      <c r="AL38" s="44">
        <f t="shared" si="48"/>
        <v>4755576.4572258219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4755576.4572258219</v>
      </c>
      <c r="AN38" s="48">
        <f t="shared" si="49"/>
        <v>5231134.1029484048</v>
      </c>
      <c r="AO38" s="47">
        <f t="shared" si="50"/>
        <v>4.2148441761185094</v>
      </c>
      <c r="AP38" s="47">
        <f t="shared" si="51"/>
        <v>3.1426598687573009</v>
      </c>
      <c r="AQ38">
        <v>2020</v>
      </c>
    </row>
    <row r="39" spans="2:43">
      <c r="B39" s="97" t="s">
        <v>65</v>
      </c>
      <c r="C39" s="98">
        <v>18230724</v>
      </c>
      <c r="D39" s="61" t="s">
        <v>138</v>
      </c>
      <c r="E39" s="38" t="s">
        <v>996</v>
      </c>
      <c r="F39" s="39" t="s">
        <v>997</v>
      </c>
      <c r="G39" s="39">
        <v>20</v>
      </c>
      <c r="H39" s="39"/>
      <c r="I39" s="40" t="s">
        <v>257</v>
      </c>
      <c r="J39" s="41">
        <v>1</v>
      </c>
      <c r="K39" s="41">
        <v>234920</v>
      </c>
      <c r="L39" s="41"/>
      <c r="M39" s="42">
        <v>44488.66</v>
      </c>
      <c r="N39" s="42">
        <v>133379.60999999999</v>
      </c>
      <c r="O39" s="43">
        <v>234920</v>
      </c>
      <c r="P39" s="44">
        <v>44488.66</v>
      </c>
      <c r="Q39" s="44">
        <v>133379.60999999999</v>
      </c>
      <c r="R39" s="45"/>
      <c r="S39" s="46"/>
      <c r="T39" s="39">
        <f t="shared" si="38"/>
        <v>20</v>
      </c>
      <c r="U39" s="47">
        <f>(O39/'CI Retrofit {E}'!$A$10)*T39</f>
        <v>0.24411815227124339</v>
      </c>
      <c r="V39" s="48">
        <f t="shared" si="39"/>
        <v>88890.949999999983</v>
      </c>
      <c r="W39" s="49">
        <f>(O39/'CI Retrofit {E}'!A$10)</f>
        <v>1.220590761356217E-2</v>
      </c>
      <c r="X39" s="44">
        <f>W39*'CI Retrofit {E}'!A$8</f>
        <v>27810.93603086039</v>
      </c>
      <c r="Y39" s="44">
        <f t="shared" si="40"/>
        <v>88890.949999999983</v>
      </c>
      <c r="Z39" s="44">
        <f>X39+('CI Retrofit {E}'!A$6*W39)</f>
        <v>78655.388877577119</v>
      </c>
      <c r="AA39" s="50">
        <f t="shared" si="41"/>
        <v>161190.54603086037</v>
      </c>
      <c r="AB39" s="51">
        <f t="shared" si="42"/>
        <v>73530.325210411436</v>
      </c>
      <c r="AC39" s="44">
        <f t="shared" si="28"/>
        <v>150687.61898743606</v>
      </c>
      <c r="AD39" s="44">
        <f t="shared" si="43"/>
        <v>0</v>
      </c>
      <c r="AE39" s="44">
        <f t="shared" si="44"/>
        <v>0</v>
      </c>
      <c r="AF39" s="52">
        <f>HLOOKUP(I39,ElecAvoidedCostsWOCC!$A$5:$Q$50,G39+1,FALSE)</f>
        <v>1.3192527795896587</v>
      </c>
      <c r="AG39" s="44">
        <f t="shared" si="45"/>
        <v>309918.8629812026</v>
      </c>
      <c r="AH39" s="52">
        <f>HLOOKUP(I39,ElecAvoidedCostsWOCC!$A$5:$Q$50,T39+1,FALSE)</f>
        <v>1.3192527795896587</v>
      </c>
      <c r="AI39" s="44">
        <f t="shared" si="46"/>
        <v>0</v>
      </c>
      <c r="AJ39" s="44">
        <f t="shared" si="47"/>
        <v>309918.8629812026</v>
      </c>
      <c r="AK39" s="44">
        <f>HLOOKUP(I39,ElecAvoidedCostsWOCC!$A$5:$Q$50,G39+1,FALSE)*J39*L39</f>
        <v>0</v>
      </c>
      <c r="AL39" s="44">
        <f t="shared" si="48"/>
        <v>309918.8629812026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309918.8629812026</v>
      </c>
      <c r="AN39" s="48">
        <f t="shared" si="49"/>
        <v>340910.74927932292</v>
      </c>
      <c r="AO39" s="47">
        <f t="shared" si="50"/>
        <v>4.2148441761185085</v>
      </c>
      <c r="AP39" s="47">
        <f t="shared" si="51"/>
        <v>2.2623673502183825</v>
      </c>
      <c r="AQ39">
        <v>2020</v>
      </c>
    </row>
    <row r="40" spans="2:43">
      <c r="B40" s="97" t="s">
        <v>65</v>
      </c>
      <c r="C40" s="98">
        <v>18230724</v>
      </c>
      <c r="D40" s="61" t="s">
        <v>138</v>
      </c>
      <c r="E40" s="38" t="s">
        <v>996</v>
      </c>
      <c r="F40" s="39" t="s">
        <v>997</v>
      </c>
      <c r="G40" s="39">
        <v>20</v>
      </c>
      <c r="H40" s="39"/>
      <c r="I40" s="40" t="s">
        <v>257</v>
      </c>
      <c r="J40" s="41">
        <v>1</v>
      </c>
      <c r="K40" s="41">
        <v>522845</v>
      </c>
      <c r="L40" s="41"/>
      <c r="M40" s="42">
        <v>82331.509999999995</v>
      </c>
      <c r="N40" s="42">
        <v>564489</v>
      </c>
      <c r="O40" s="43">
        <v>522845</v>
      </c>
      <c r="P40" s="44">
        <v>82331.509999999995</v>
      </c>
      <c r="Q40" s="44">
        <v>564489</v>
      </c>
      <c r="R40" s="45"/>
      <c r="S40" s="46"/>
      <c r="T40" s="39">
        <f t="shared" si="38"/>
        <v>20</v>
      </c>
      <c r="U40" s="47">
        <f>(O40/'CI Retrofit {E}'!$A$10)*T40</f>
        <v>0.54331668365510921</v>
      </c>
      <c r="V40" s="48">
        <f t="shared" si="39"/>
        <v>482157.49</v>
      </c>
      <c r="W40" s="49">
        <f>(O40/'CI Retrofit {E}'!A$10)</f>
        <v>2.716583418275546E-2</v>
      </c>
      <c r="X40" s="44">
        <f>W40*'CI Retrofit {E}'!A$8</f>
        <v>61896.85360571769</v>
      </c>
      <c r="Y40" s="44">
        <f t="shared" si="40"/>
        <v>482157.49</v>
      </c>
      <c r="Z40" s="44">
        <f>X40+('CI Retrofit {E}'!A$6*W40)</f>
        <v>175057.79328152904</v>
      </c>
      <c r="AA40" s="50">
        <f t="shared" si="41"/>
        <v>626385.85360571765</v>
      </c>
      <c r="AB40" s="51">
        <f t="shared" si="42"/>
        <v>163651.29782324861</v>
      </c>
      <c r="AC40" s="44">
        <f t="shared" si="28"/>
        <v>585571.51874891797</v>
      </c>
      <c r="AD40" s="44">
        <f t="shared" si="43"/>
        <v>0</v>
      </c>
      <c r="AE40" s="44">
        <f t="shared" si="44"/>
        <v>0</v>
      </c>
      <c r="AF40" s="52">
        <f>HLOOKUP(I40,ElecAvoidedCostsWOCC!$A$5:$Q$50,G40+1,FALSE)</f>
        <v>1.3192527795896587</v>
      </c>
      <c r="AG40" s="44">
        <f t="shared" si="45"/>
        <v>689764.71954455506</v>
      </c>
      <c r="AH40" s="52">
        <f>HLOOKUP(I40,ElecAvoidedCostsWOCC!$A$5:$Q$50,T40+1,FALSE)</f>
        <v>1.3192527795896587</v>
      </c>
      <c r="AI40" s="44">
        <f t="shared" si="46"/>
        <v>0</v>
      </c>
      <c r="AJ40" s="44">
        <f t="shared" si="47"/>
        <v>689764.71954455506</v>
      </c>
      <c r="AK40" s="44">
        <f>HLOOKUP(I40,ElecAvoidedCostsWOCC!$A$5:$Q$50,G40+1,FALSE)*J40*L40</f>
        <v>0</v>
      </c>
      <c r="AL40" s="44">
        <f t="shared" si="48"/>
        <v>689764.71954455506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689764.71954455506</v>
      </c>
      <c r="AN40" s="48">
        <f t="shared" si="49"/>
        <v>758741.19149901066</v>
      </c>
      <c r="AO40" s="47">
        <f t="shared" si="50"/>
        <v>4.2148441761185094</v>
      </c>
      <c r="AP40" s="47">
        <f t="shared" si="51"/>
        <v>1.295727621999226</v>
      </c>
      <c r="AQ40">
        <v>2020</v>
      </c>
    </row>
    <row r="41" spans="2:43">
      <c r="B41" s="97" t="s">
        <v>65</v>
      </c>
      <c r="C41" s="98">
        <v>18230724</v>
      </c>
      <c r="D41" s="61" t="s">
        <v>138</v>
      </c>
      <c r="E41" s="38" t="s">
        <v>996</v>
      </c>
      <c r="F41" s="39" t="s">
        <v>997</v>
      </c>
      <c r="G41" s="39">
        <v>20</v>
      </c>
      <c r="H41" s="39"/>
      <c r="I41" s="40" t="s">
        <v>257</v>
      </c>
      <c r="J41" s="41">
        <v>1</v>
      </c>
      <c r="K41" s="41">
        <v>911304</v>
      </c>
      <c r="L41" s="41"/>
      <c r="M41" s="42">
        <v>70139</v>
      </c>
      <c r="N41" s="42">
        <v>437268.45</v>
      </c>
      <c r="O41" s="43">
        <v>911304</v>
      </c>
      <c r="P41" s="44">
        <v>70139</v>
      </c>
      <c r="Q41" s="44">
        <v>437268.45</v>
      </c>
      <c r="R41" s="45"/>
      <c r="S41" s="46"/>
      <c r="T41" s="39">
        <f t="shared" si="38"/>
        <v>20</v>
      </c>
      <c r="U41" s="47">
        <f>(O41/'CI Retrofit {E}'!$A$10)*T41</f>
        <v>0.94698556375529208</v>
      </c>
      <c r="V41" s="48">
        <f t="shared" si="39"/>
        <v>367129.45</v>
      </c>
      <c r="W41" s="49">
        <f>(O41/'CI Retrofit {E}'!A$10)</f>
        <v>4.7349278187764604E-2</v>
      </c>
      <c r="X41" s="44">
        <f>W41*'CI Retrofit {E}'!A$8</f>
        <v>107884.45959759578</v>
      </c>
      <c r="Y41" s="44">
        <f t="shared" si="40"/>
        <v>367129.45</v>
      </c>
      <c r="Z41" s="44">
        <f>X41+('CI Retrofit {E}'!A$6*W41)</f>
        <v>305120.76666819147</v>
      </c>
      <c r="AA41" s="50">
        <f t="shared" si="41"/>
        <v>545152.9095975958</v>
      </c>
      <c r="AB41" s="51">
        <f t="shared" si="42"/>
        <v>285239.56872785965</v>
      </c>
      <c r="AC41" s="44">
        <f t="shared" si="28"/>
        <v>509631.58791959967</v>
      </c>
      <c r="AD41" s="44">
        <f t="shared" si="43"/>
        <v>0</v>
      </c>
      <c r="AE41" s="44">
        <f t="shared" si="44"/>
        <v>0</v>
      </c>
      <c r="AF41" s="52">
        <f>HLOOKUP(I41,ElecAvoidedCostsWOCC!$A$5:$Q$50,G41+1,FALSE)</f>
        <v>1.3192527795896587</v>
      </c>
      <c r="AG41" s="44">
        <f t="shared" si="45"/>
        <v>1202240.3350511743</v>
      </c>
      <c r="AH41" s="52">
        <f>HLOOKUP(I41,ElecAvoidedCostsWOCC!$A$5:$Q$50,T41+1,FALSE)</f>
        <v>1.3192527795896587</v>
      </c>
      <c r="AI41" s="44">
        <f t="shared" si="46"/>
        <v>0</v>
      </c>
      <c r="AJ41" s="44">
        <f t="shared" si="47"/>
        <v>1202240.3350511743</v>
      </c>
      <c r="AK41" s="44">
        <f>HLOOKUP(I41,ElecAvoidedCostsWOCC!$A$5:$Q$50,G41+1,FALSE)*J41*L41</f>
        <v>0</v>
      </c>
      <c r="AL41" s="44">
        <f t="shared" si="48"/>
        <v>1202240.3350511743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1202240.3350511743</v>
      </c>
      <c r="AN41" s="48">
        <f t="shared" si="49"/>
        <v>1322464.3685562918</v>
      </c>
      <c r="AO41" s="47">
        <f t="shared" si="50"/>
        <v>4.2148441761185085</v>
      </c>
      <c r="AP41" s="47">
        <f t="shared" si="51"/>
        <v>2.5949419147168835</v>
      </c>
      <c r="AQ41">
        <v>2020</v>
      </c>
    </row>
    <row r="42" spans="2:43">
      <c r="B42" s="97" t="s">
        <v>65</v>
      </c>
      <c r="C42" s="98">
        <v>18230724</v>
      </c>
      <c r="D42" s="61" t="s">
        <v>138</v>
      </c>
      <c r="E42" s="38" t="s">
        <v>996</v>
      </c>
      <c r="F42" s="39" t="s">
        <v>997</v>
      </c>
      <c r="G42" s="39">
        <v>20</v>
      </c>
      <c r="H42" s="39"/>
      <c r="I42" s="40" t="s">
        <v>257</v>
      </c>
      <c r="J42" s="41">
        <v>1</v>
      </c>
      <c r="K42" s="41">
        <v>27268</v>
      </c>
      <c r="L42" s="41"/>
      <c r="M42" s="42">
        <v>2642.4</v>
      </c>
      <c r="N42" s="42">
        <v>8174.82</v>
      </c>
      <c r="O42" s="43">
        <v>27268</v>
      </c>
      <c r="P42" s="44">
        <v>2642.4</v>
      </c>
      <c r="Q42" s="44">
        <v>8174.82</v>
      </c>
      <c r="R42" s="45"/>
      <c r="S42" s="46"/>
      <c r="T42" s="39">
        <f t="shared" si="38"/>
        <v>20</v>
      </c>
      <c r="U42" s="47">
        <f>(O42/'CI Retrofit {E}'!$A$10)*T42</f>
        <v>2.8335662251542076E-2</v>
      </c>
      <c r="V42" s="48">
        <f t="shared" si="39"/>
        <v>5532.42</v>
      </c>
      <c r="W42" s="49">
        <f>(O42/'CI Retrofit {E}'!A$10)</f>
        <v>1.4167831125771039E-3</v>
      </c>
      <c r="X42" s="44">
        <f>W42*'CI Retrofit {E}'!A$8</f>
        <v>3228.1142673654908</v>
      </c>
      <c r="Y42" s="44">
        <f t="shared" si="40"/>
        <v>5532.42</v>
      </c>
      <c r="Z42" s="44">
        <f>X42+('CI Retrofit {E}'!A$6*W42)</f>
        <v>9129.8107607431157</v>
      </c>
      <c r="AA42" s="50">
        <f t="shared" si="41"/>
        <v>11402.93426736549</v>
      </c>
      <c r="AB42" s="51">
        <f t="shared" si="42"/>
        <v>8534.9263912714923</v>
      </c>
      <c r="AC42" s="44">
        <f t="shared" si="28"/>
        <v>10659.936680719351</v>
      </c>
      <c r="AD42" s="44">
        <f t="shared" si="43"/>
        <v>0</v>
      </c>
      <c r="AE42" s="44">
        <f t="shared" si="44"/>
        <v>0</v>
      </c>
      <c r="AF42" s="52">
        <f>HLOOKUP(I42,ElecAvoidedCostsWOCC!$A$5:$Q$50,G42+1,FALSE)</f>
        <v>1.3192527795896587</v>
      </c>
      <c r="AG42" s="44">
        <f t="shared" si="45"/>
        <v>35973.384793850812</v>
      </c>
      <c r="AH42" s="52">
        <f>HLOOKUP(I42,ElecAvoidedCostsWOCC!$A$5:$Q$50,T42+1,FALSE)</f>
        <v>1.3192527795896587</v>
      </c>
      <c r="AI42" s="44">
        <f t="shared" si="46"/>
        <v>0</v>
      </c>
      <c r="AJ42" s="44">
        <f t="shared" si="47"/>
        <v>35973.384793850812</v>
      </c>
      <c r="AK42" s="44">
        <f>HLOOKUP(I42,ElecAvoidedCostsWOCC!$A$5:$Q$50,G42+1,FALSE)*J42*L42</f>
        <v>0</v>
      </c>
      <c r="AL42" s="44">
        <f t="shared" si="48"/>
        <v>35973.384793850812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35973.384793850812</v>
      </c>
      <c r="AN42" s="48">
        <f t="shared" si="49"/>
        <v>39570.723273235897</v>
      </c>
      <c r="AO42" s="47">
        <f t="shared" si="50"/>
        <v>4.2148441761185085</v>
      </c>
      <c r="AP42" s="47">
        <f t="shared" si="51"/>
        <v>3.7120974034308802</v>
      </c>
      <c r="AQ42">
        <v>2020</v>
      </c>
    </row>
    <row r="43" spans="2:43">
      <c r="B43" s="97" t="s">
        <v>65</v>
      </c>
      <c r="C43" s="98">
        <v>18230724</v>
      </c>
      <c r="D43" s="61" t="s">
        <v>138</v>
      </c>
      <c r="E43" s="38" t="s">
        <v>996</v>
      </c>
      <c r="F43" s="39" t="s">
        <v>997</v>
      </c>
      <c r="G43" s="39">
        <v>20</v>
      </c>
      <c r="H43" s="39"/>
      <c r="I43" s="40" t="s">
        <v>257</v>
      </c>
      <c r="J43" s="41">
        <v>1</v>
      </c>
      <c r="K43" s="41">
        <v>1358095</v>
      </c>
      <c r="L43" s="41"/>
      <c r="M43" s="42">
        <v>117381.96</v>
      </c>
      <c r="N43" s="42">
        <v>777513.51</v>
      </c>
      <c r="O43" s="43">
        <v>1358095</v>
      </c>
      <c r="P43" s="44">
        <v>117381.96</v>
      </c>
      <c r="Q43" s="44">
        <v>777513.51</v>
      </c>
      <c r="R43" s="45"/>
      <c r="S43" s="46"/>
      <c r="T43" s="39">
        <f t="shared" si="38"/>
        <v>20</v>
      </c>
      <c r="U43" s="47">
        <f>(O43/'CI Retrofit {E}'!$A$10)*T43</f>
        <v>1.4112703984710298</v>
      </c>
      <c r="V43" s="48">
        <f t="shared" si="39"/>
        <v>660131.55000000005</v>
      </c>
      <c r="W43" s="49">
        <f>(O43/'CI Retrofit {E}'!A$10)</f>
        <v>7.056351992355149E-2</v>
      </c>
      <c r="X43" s="44">
        <f>W43*'CI Retrofit {E}'!A$8</f>
        <v>160777.68248268066</v>
      </c>
      <c r="Y43" s="44">
        <f t="shared" si="40"/>
        <v>660131.55000000005</v>
      </c>
      <c r="Z43" s="44">
        <f>X43+('CI Retrofit {E}'!A$6*W43)</f>
        <v>454714.32980458497</v>
      </c>
      <c r="AA43" s="50">
        <f t="shared" si="41"/>
        <v>938291.19248268066</v>
      </c>
      <c r="AB43" s="51">
        <f t="shared" si="42"/>
        <v>425085.8463163363</v>
      </c>
      <c r="AC43" s="44">
        <f t="shared" si="28"/>
        <v>877153.58743823553</v>
      </c>
      <c r="AD43" s="44">
        <f t="shared" si="43"/>
        <v>0</v>
      </c>
      <c r="AE43" s="44">
        <f t="shared" si="44"/>
        <v>0</v>
      </c>
      <c r="AF43" s="52">
        <f>HLOOKUP(I43,ElecAvoidedCostsWOCC!$A$5:$Q$50,G43+1,FALSE)</f>
        <v>1.3192527795896587</v>
      </c>
      <c r="AG43" s="44">
        <f t="shared" si="45"/>
        <v>1791670.6036968175</v>
      </c>
      <c r="AH43" s="52">
        <f>HLOOKUP(I43,ElecAvoidedCostsWOCC!$A$5:$Q$50,T43+1,FALSE)</f>
        <v>1.3192527795896587</v>
      </c>
      <c r="AI43" s="44">
        <f t="shared" si="46"/>
        <v>0</v>
      </c>
      <c r="AJ43" s="44">
        <f t="shared" si="47"/>
        <v>1791670.6036968175</v>
      </c>
      <c r="AK43" s="44">
        <f>HLOOKUP(I43,ElecAvoidedCostsWOCC!$A$5:$Q$50,G43+1,FALSE)*J43*L43</f>
        <v>0</v>
      </c>
      <c r="AL43" s="44">
        <f t="shared" si="48"/>
        <v>1791670.6036968175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1791670.6036968175</v>
      </c>
      <c r="AN43" s="48">
        <f t="shared" si="49"/>
        <v>1970837.6640664993</v>
      </c>
      <c r="AO43" s="47">
        <f t="shared" si="50"/>
        <v>4.2148441761185085</v>
      </c>
      <c r="AP43" s="47">
        <f t="shared" si="51"/>
        <v>2.2468558440516841</v>
      </c>
      <c r="AQ43">
        <v>2020</v>
      </c>
    </row>
    <row r="44" spans="2:43">
      <c r="B44" s="97" t="s">
        <v>65</v>
      </c>
      <c r="C44" s="98">
        <v>18230724</v>
      </c>
      <c r="D44" s="61" t="s">
        <v>138</v>
      </c>
      <c r="E44" s="38" t="s">
        <v>996</v>
      </c>
      <c r="F44" s="39" t="s">
        <v>997</v>
      </c>
      <c r="G44" s="39">
        <v>20</v>
      </c>
      <c r="H44" s="39"/>
      <c r="I44" s="40" t="s">
        <v>257</v>
      </c>
      <c r="J44" s="41">
        <v>1</v>
      </c>
      <c r="K44" s="41">
        <v>472126</v>
      </c>
      <c r="L44" s="41"/>
      <c r="M44" s="42">
        <v>47249.02</v>
      </c>
      <c r="N44" s="42">
        <v>506951.97</v>
      </c>
      <c r="O44" s="43">
        <v>472126</v>
      </c>
      <c r="P44" s="44">
        <v>47249.02</v>
      </c>
      <c r="Q44" s="44">
        <v>506951.97</v>
      </c>
      <c r="R44" s="45"/>
      <c r="S44" s="46"/>
      <c r="T44" s="39">
        <f t="shared" si="38"/>
        <v>20</v>
      </c>
      <c r="U44" s="47">
        <f>(O44/'CI Retrofit {E}'!$A$10)*T44</f>
        <v>0.4906118115069516</v>
      </c>
      <c r="V44" s="48">
        <f t="shared" si="39"/>
        <v>459702.94999999995</v>
      </c>
      <c r="W44" s="49">
        <f>(O44/'CI Retrofit {E}'!A$10)</f>
        <v>2.453059057534758E-2</v>
      </c>
      <c r="X44" s="44">
        <f>W44*'CI Retrofit {E}'!A$8</f>
        <v>55892.499508368775</v>
      </c>
      <c r="Y44" s="44">
        <f t="shared" si="40"/>
        <v>459702.94999999995</v>
      </c>
      <c r="Z44" s="44">
        <f>X44+('CI Retrofit {E}'!A$6*W44)</f>
        <v>158076.17116131014</v>
      </c>
      <c r="AA44" s="50">
        <f t="shared" si="41"/>
        <v>562844.46950836875</v>
      </c>
      <c r="AB44" s="51">
        <f t="shared" si="42"/>
        <v>147776.17197467526</v>
      </c>
      <c r="AC44" s="44">
        <f t="shared" si="28"/>
        <v>526170.39310869284</v>
      </c>
      <c r="AD44" s="44">
        <f t="shared" si="43"/>
        <v>0</v>
      </c>
      <c r="AE44" s="44">
        <f t="shared" si="44"/>
        <v>0</v>
      </c>
      <c r="AF44" s="52">
        <f>HLOOKUP(I44,ElecAvoidedCostsWOCC!$A$5:$Q$50,G44+1,FALSE)</f>
        <v>1.3192527795896587</v>
      </c>
      <c r="AG44" s="44">
        <f t="shared" si="45"/>
        <v>622853.53781654721</v>
      </c>
      <c r="AH44" s="52">
        <f>HLOOKUP(I44,ElecAvoidedCostsWOCC!$A$5:$Q$50,T44+1,FALSE)</f>
        <v>1.3192527795896587</v>
      </c>
      <c r="AI44" s="44">
        <f t="shared" si="46"/>
        <v>0</v>
      </c>
      <c r="AJ44" s="44">
        <f t="shared" si="47"/>
        <v>622853.53781654721</v>
      </c>
      <c r="AK44" s="44">
        <f>HLOOKUP(I44,ElecAvoidedCostsWOCC!$A$5:$Q$50,G44+1,FALSE)*J44*L44</f>
        <v>0</v>
      </c>
      <c r="AL44" s="44">
        <f t="shared" si="48"/>
        <v>622853.53781654721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622853.53781654721</v>
      </c>
      <c r="AN44" s="48">
        <f t="shared" si="49"/>
        <v>685138.89159820194</v>
      </c>
      <c r="AO44" s="47">
        <f t="shared" si="50"/>
        <v>4.2148441761185085</v>
      </c>
      <c r="AP44" s="47">
        <f t="shared" si="51"/>
        <v>1.3021236097118647</v>
      </c>
      <c r="AQ44">
        <v>2020</v>
      </c>
    </row>
    <row r="45" spans="2:43">
      <c r="B45" s="97" t="s">
        <v>65</v>
      </c>
      <c r="C45" s="98">
        <v>18230724</v>
      </c>
      <c r="D45" s="61" t="s">
        <v>138</v>
      </c>
      <c r="E45" s="38" t="s">
        <v>996</v>
      </c>
      <c r="F45" s="39" t="s">
        <v>997</v>
      </c>
      <c r="G45" s="39">
        <v>20</v>
      </c>
      <c r="H45" s="39"/>
      <c r="I45" s="40" t="s">
        <v>257</v>
      </c>
      <c r="J45" s="41">
        <v>1</v>
      </c>
      <c r="K45" s="41">
        <v>2183182</v>
      </c>
      <c r="L45" s="41"/>
      <c r="M45" s="42">
        <v>396130.8</v>
      </c>
      <c r="N45" s="42">
        <v>1232890.55</v>
      </c>
      <c r="O45" s="43">
        <v>2183182</v>
      </c>
      <c r="P45" s="44">
        <v>396130.8</v>
      </c>
      <c r="Q45" s="44">
        <v>1232890.55</v>
      </c>
      <c r="R45" s="45"/>
      <c r="S45" s="46"/>
      <c r="T45" s="39">
        <f t="shared" si="38"/>
        <v>20</v>
      </c>
      <c r="U45" s="47">
        <f>(O45/'CI Retrofit {E}'!$A$10)*T45</f>
        <v>2.268663187092788</v>
      </c>
      <c r="V45" s="48">
        <f t="shared" si="39"/>
        <v>836759.75</v>
      </c>
      <c r="W45" s="49">
        <f>(O45/'CI Retrofit {E}'!A$10)</f>
        <v>0.11343315935463939</v>
      </c>
      <c r="X45" s="44">
        <f>W45*'CI Retrofit {E}'!A$8</f>
        <v>258455.36755374531</v>
      </c>
      <c r="Y45" s="44">
        <f t="shared" si="40"/>
        <v>836759.75</v>
      </c>
      <c r="Z45" s="44">
        <f>X45+('CI Retrofit {E}'!A$6*W45)</f>
        <v>730968.1134025479</v>
      </c>
      <c r="AA45" s="50">
        <f t="shared" si="41"/>
        <v>1491345.9175537454</v>
      </c>
      <c r="AB45" s="51">
        <f t="shared" si="42"/>
        <v>683339.3600098606</v>
      </c>
      <c r="AC45" s="44">
        <f t="shared" si="28"/>
        <v>1394172.1207382868</v>
      </c>
      <c r="AD45" s="44">
        <f t="shared" si="43"/>
        <v>0</v>
      </c>
      <c r="AE45" s="44">
        <f t="shared" si="44"/>
        <v>0</v>
      </c>
      <c r="AF45" s="52">
        <f>HLOOKUP(I45,ElecAvoidedCostsWOCC!$A$5:$Q$50,G45+1,FALSE)</f>
        <v>1.3192527795896587</v>
      </c>
      <c r="AG45" s="44">
        <f t="shared" si="45"/>
        <v>2880168.9218501104</v>
      </c>
      <c r="AH45" s="52">
        <f>HLOOKUP(I45,ElecAvoidedCostsWOCC!$A$5:$Q$50,T45+1,FALSE)</f>
        <v>1.3192527795896587</v>
      </c>
      <c r="AI45" s="44">
        <f t="shared" si="46"/>
        <v>0</v>
      </c>
      <c r="AJ45" s="44">
        <f t="shared" si="47"/>
        <v>2880168.9218501104</v>
      </c>
      <c r="AK45" s="44">
        <f>HLOOKUP(I45,ElecAvoidedCostsWOCC!$A$5:$Q$50,G45+1,FALSE)*J45*L45</f>
        <v>0</v>
      </c>
      <c r="AL45" s="44">
        <f t="shared" si="48"/>
        <v>2880168.9218501104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2880168.9218501104</v>
      </c>
      <c r="AN45" s="48">
        <f t="shared" si="49"/>
        <v>3168185.8140351218</v>
      </c>
      <c r="AO45" s="47">
        <f t="shared" si="50"/>
        <v>4.2148441761185094</v>
      </c>
      <c r="AP45" s="47">
        <f t="shared" si="51"/>
        <v>2.2724495540460259</v>
      </c>
      <c r="AQ45">
        <v>2020</v>
      </c>
    </row>
    <row r="46" spans="2:43">
      <c r="B46" s="97" t="s">
        <v>65</v>
      </c>
      <c r="C46" s="98">
        <v>18230724</v>
      </c>
      <c r="D46" s="61" t="s">
        <v>138</v>
      </c>
      <c r="E46" s="38" t="s">
        <v>996</v>
      </c>
      <c r="F46" s="39" t="s">
        <v>997</v>
      </c>
      <c r="G46" s="39">
        <v>20</v>
      </c>
      <c r="H46" s="39"/>
      <c r="I46" s="40" t="s">
        <v>257</v>
      </c>
      <c r="J46" s="41">
        <v>1</v>
      </c>
      <c r="K46" s="41">
        <v>19346313</v>
      </c>
      <c r="L46" s="41"/>
      <c r="M46" s="42">
        <v>3686596.35</v>
      </c>
      <c r="N46" s="42">
        <v>10299256.779999999</v>
      </c>
      <c r="O46" s="43">
        <v>19346313</v>
      </c>
      <c r="P46" s="44">
        <v>3686596.35</v>
      </c>
      <c r="Q46" s="44">
        <v>10299256.779999999</v>
      </c>
      <c r="R46" s="45"/>
      <c r="S46" s="46"/>
      <c r="T46" s="39">
        <f t="shared" si="38"/>
        <v>20</v>
      </c>
      <c r="U46" s="47">
        <f>(O46/'CI Retrofit {E}'!$A$10)*T46</f>
        <v>20.103806329053022</v>
      </c>
      <c r="V46" s="48">
        <f t="shared" si="39"/>
        <v>6612660.4299999997</v>
      </c>
      <c r="W46" s="49">
        <f>(O46/'CI Retrofit {E}'!A$10)</f>
        <v>1.005190316452651</v>
      </c>
      <c r="X46" s="44">
        <f>W46*'CI Retrofit {E}'!A$8</f>
        <v>2290307.6505874456</v>
      </c>
      <c r="Y46" s="44">
        <f t="shared" si="40"/>
        <v>6612660.4299999997</v>
      </c>
      <c r="Z46" s="44">
        <f>X46+('CI Retrofit {E}'!A$6*W46)</f>
        <v>6477489.2404321702</v>
      </c>
      <c r="AA46" s="50">
        <f t="shared" si="41"/>
        <v>12589564.430587444</v>
      </c>
      <c r="AB46" s="51">
        <f t="shared" si="42"/>
        <v>6055426.0450894358</v>
      </c>
      <c r="AC46" s="44">
        <f t="shared" si="28"/>
        <v>11769247.855087822</v>
      </c>
      <c r="AD46" s="44">
        <f t="shared" si="43"/>
        <v>0</v>
      </c>
      <c r="AE46" s="44">
        <f t="shared" si="44"/>
        <v>0</v>
      </c>
      <c r="AF46" s="52">
        <f>HLOOKUP(I46,ElecAvoidedCostsWOCC!$A$5:$Q$50,G46+1,FALSE)</f>
        <v>1.3192527795896587</v>
      </c>
      <c r="AG46" s="44">
        <f t="shared" si="45"/>
        <v>25522677.200061549</v>
      </c>
      <c r="AH46" s="52">
        <f>HLOOKUP(I46,ElecAvoidedCostsWOCC!$A$5:$Q$50,T46+1,FALSE)</f>
        <v>1.3192527795896587</v>
      </c>
      <c r="AI46" s="44">
        <f t="shared" si="46"/>
        <v>0</v>
      </c>
      <c r="AJ46" s="44">
        <f t="shared" si="47"/>
        <v>25522677.200061549</v>
      </c>
      <c r="AK46" s="44">
        <f>HLOOKUP(I46,ElecAvoidedCostsWOCC!$A$5:$Q$50,G46+1,FALSE)*J46*L46</f>
        <v>0</v>
      </c>
      <c r="AL46" s="44">
        <f t="shared" si="48"/>
        <v>25522677.200061549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25522677.200061549</v>
      </c>
      <c r="AN46" s="48">
        <f t="shared" si="49"/>
        <v>28074944.920067705</v>
      </c>
      <c r="AO46" s="47">
        <f t="shared" si="50"/>
        <v>4.2148441761185094</v>
      </c>
      <c r="AP46" s="47">
        <f t="shared" si="51"/>
        <v>2.3854493732945699</v>
      </c>
      <c r="AQ46">
        <v>2020</v>
      </c>
    </row>
    <row r="47" spans="2:43">
      <c r="B47" s="97" t="s">
        <v>65</v>
      </c>
      <c r="C47" s="98">
        <v>18230724</v>
      </c>
      <c r="D47" s="61" t="s">
        <v>138</v>
      </c>
      <c r="E47" s="38" t="s">
        <v>996</v>
      </c>
      <c r="F47" s="39" t="s">
        <v>997</v>
      </c>
      <c r="G47" s="39">
        <v>20</v>
      </c>
      <c r="H47" s="39"/>
      <c r="I47" s="40" t="s">
        <v>257</v>
      </c>
      <c r="J47" s="41">
        <v>1</v>
      </c>
      <c r="K47" s="41">
        <v>5646435</v>
      </c>
      <c r="L47" s="41"/>
      <c r="M47" s="42">
        <v>864764.39</v>
      </c>
      <c r="N47" s="42">
        <v>2969482.86</v>
      </c>
      <c r="O47" s="43">
        <v>5646435</v>
      </c>
      <c r="P47" s="44">
        <v>864764.39</v>
      </c>
      <c r="Q47" s="44">
        <v>2969482.86</v>
      </c>
      <c r="R47" s="45"/>
      <c r="S47" s="46"/>
      <c r="T47" s="39">
        <f t="shared" si="38"/>
        <v>20</v>
      </c>
      <c r="U47" s="47">
        <f>(O47/'CI Retrofit {E}'!$A$10)*T47</f>
        <v>5.8675177895440083</v>
      </c>
      <c r="V47" s="48">
        <f t="shared" si="39"/>
        <v>2104718.4699999997</v>
      </c>
      <c r="W47" s="49">
        <f>(O47/'CI Retrofit {E}'!A$10)</f>
        <v>0.29337588947720039</v>
      </c>
      <c r="X47" s="44">
        <f>W47*'CI Retrofit {E}'!A$8</f>
        <v>668451.56899119355</v>
      </c>
      <c r="Y47" s="44">
        <f t="shared" si="40"/>
        <v>2104718.4699999997</v>
      </c>
      <c r="Z47" s="44">
        <f>X47+('CI Retrofit {E}'!A$6*W47)</f>
        <v>1890526.7354714889</v>
      </c>
      <c r="AA47" s="50">
        <f t="shared" si="41"/>
        <v>3637934.4289911934</v>
      </c>
      <c r="AB47" s="51">
        <f t="shared" si="42"/>
        <v>1767342.933038692</v>
      </c>
      <c r="AC47" s="44">
        <f t="shared" si="28"/>
        <v>3400892.2398721073</v>
      </c>
      <c r="AD47" s="44">
        <f t="shared" si="43"/>
        <v>0</v>
      </c>
      <c r="AE47" s="44">
        <f t="shared" si="44"/>
        <v>0</v>
      </c>
      <c r="AF47" s="52">
        <f>HLOOKUP(I47,ElecAvoidedCostsWOCC!$A$5:$Q$50,G47+1,FALSE)</f>
        <v>1.3192527795896587</v>
      </c>
      <c r="AG47" s="44">
        <f t="shared" si="45"/>
        <v>7449075.0685223341</v>
      </c>
      <c r="AH47" s="52">
        <f>HLOOKUP(I47,ElecAvoidedCostsWOCC!$A$5:$Q$50,T47+1,FALSE)</f>
        <v>1.3192527795896587</v>
      </c>
      <c r="AI47" s="44">
        <f t="shared" si="46"/>
        <v>0</v>
      </c>
      <c r="AJ47" s="44">
        <f t="shared" si="47"/>
        <v>7449075.0685223341</v>
      </c>
      <c r="AK47" s="44">
        <f>HLOOKUP(I47,ElecAvoidedCostsWOCC!$A$5:$Q$50,G47+1,FALSE)*J47*L47</f>
        <v>0</v>
      </c>
      <c r="AL47" s="44">
        <f t="shared" si="48"/>
        <v>7449075.0685223341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7449075.0685223341</v>
      </c>
      <c r="AN47" s="48">
        <f t="shared" si="49"/>
        <v>8193982.5753745679</v>
      </c>
      <c r="AO47" s="47">
        <f t="shared" si="50"/>
        <v>4.2148441761185085</v>
      </c>
      <c r="AP47" s="47">
        <f t="shared" si="51"/>
        <v>2.4093626017632088</v>
      </c>
      <c r="AQ47">
        <v>2020</v>
      </c>
    </row>
    <row r="48" spans="2:43">
      <c r="B48" s="97" t="s">
        <v>65</v>
      </c>
      <c r="C48" s="98">
        <v>18230724</v>
      </c>
      <c r="D48" s="61" t="s">
        <v>138</v>
      </c>
      <c r="E48" s="38" t="s">
        <v>996</v>
      </c>
      <c r="F48" s="39" t="s">
        <v>997</v>
      </c>
      <c r="G48" s="39">
        <v>20</v>
      </c>
      <c r="H48" s="39"/>
      <c r="I48" s="40" t="s">
        <v>257</v>
      </c>
      <c r="J48" s="41">
        <v>1</v>
      </c>
      <c r="K48" s="41">
        <v>628317</v>
      </c>
      <c r="L48" s="41"/>
      <c r="M48" s="42">
        <v>118712.15</v>
      </c>
      <c r="N48" s="42">
        <v>277873.53000000003</v>
      </c>
      <c r="O48" s="43">
        <v>628317</v>
      </c>
      <c r="P48" s="44">
        <v>118712.15</v>
      </c>
      <c r="Q48" s="44">
        <v>277873.53000000003</v>
      </c>
      <c r="R48" s="45"/>
      <c r="S48" s="46"/>
      <c r="T48" s="39">
        <f t="shared" si="38"/>
        <v>20</v>
      </c>
      <c r="U48" s="47">
        <f>(O48/'CI Retrofit {E}'!$A$10)*T48</f>
        <v>0.65291837681172682</v>
      </c>
      <c r="V48" s="48">
        <f t="shared" si="39"/>
        <v>159161.38000000003</v>
      </c>
      <c r="W48" s="49">
        <f>(O48/'CI Retrofit {E}'!A$10)</f>
        <v>3.264591884058634E-2</v>
      </c>
      <c r="X48" s="44">
        <f>W48*'CI Retrofit {E}'!A$8</f>
        <v>74383.125719828487</v>
      </c>
      <c r="Y48" s="44">
        <f t="shared" si="40"/>
        <v>159161.38000000003</v>
      </c>
      <c r="Z48" s="44">
        <f>X48+('CI Retrofit {E}'!A$6*W48)</f>
        <v>210371.69237779937</v>
      </c>
      <c r="AA48" s="50">
        <f t="shared" si="41"/>
        <v>352256.6557198285</v>
      </c>
      <c r="AB48" s="51">
        <f t="shared" si="42"/>
        <v>196664.1977917167</v>
      </c>
      <c r="AC48" s="44">
        <f t="shared" si="28"/>
        <v>329304.15604359022</v>
      </c>
      <c r="AD48" s="44">
        <f t="shared" si="43"/>
        <v>0</v>
      </c>
      <c r="AE48" s="44">
        <f t="shared" si="44"/>
        <v>0</v>
      </c>
      <c r="AF48" s="52">
        <f>HLOOKUP(I48,ElecAvoidedCostsWOCC!$A$5:$Q$50,G48+1,FALSE)</f>
        <v>1.3192527795896587</v>
      </c>
      <c r="AG48" s="44">
        <f t="shared" si="45"/>
        <v>828908.94871343556</v>
      </c>
      <c r="AH48" s="52">
        <f>HLOOKUP(I48,ElecAvoidedCostsWOCC!$A$5:$Q$50,T48+1,FALSE)</f>
        <v>1.3192527795896587</v>
      </c>
      <c r="AI48" s="44">
        <f t="shared" si="46"/>
        <v>0</v>
      </c>
      <c r="AJ48" s="44">
        <f t="shared" si="47"/>
        <v>828908.94871343556</v>
      </c>
      <c r="AK48" s="44">
        <f>HLOOKUP(I48,ElecAvoidedCostsWOCC!$A$5:$Q$50,G48+1,FALSE)*J48*L48</f>
        <v>0</v>
      </c>
      <c r="AL48" s="44">
        <f t="shared" si="48"/>
        <v>828908.94871343556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828908.94871343556</v>
      </c>
      <c r="AN48" s="48">
        <f t="shared" si="49"/>
        <v>911799.84358477918</v>
      </c>
      <c r="AO48" s="47">
        <f t="shared" si="50"/>
        <v>4.2148441761185085</v>
      </c>
      <c r="AP48" s="47">
        <f t="shared" si="51"/>
        <v>2.7688683147505846</v>
      </c>
      <c r="AQ48">
        <v>2020</v>
      </c>
    </row>
    <row r="49" spans="2:43">
      <c r="B49" s="97" t="s">
        <v>65</v>
      </c>
      <c r="C49" s="98">
        <v>18230724</v>
      </c>
      <c r="D49" s="61" t="s">
        <v>138</v>
      </c>
      <c r="E49" s="38" t="s">
        <v>996</v>
      </c>
      <c r="F49" s="39" t="s">
        <v>997</v>
      </c>
      <c r="G49" s="39">
        <v>20</v>
      </c>
      <c r="H49" s="39"/>
      <c r="I49" s="40" t="s">
        <v>257</v>
      </c>
      <c r="J49" s="41">
        <v>1</v>
      </c>
      <c r="K49" s="41">
        <v>335564</v>
      </c>
      <c r="L49" s="41"/>
      <c r="M49" s="42">
        <v>60594.75</v>
      </c>
      <c r="N49" s="42">
        <v>264243.19</v>
      </c>
      <c r="O49" s="43">
        <v>335564</v>
      </c>
      <c r="P49" s="44">
        <v>60594.75</v>
      </c>
      <c r="Q49" s="44">
        <v>264243.19</v>
      </c>
      <c r="R49" s="45"/>
      <c r="S49" s="46"/>
      <c r="T49" s="39">
        <f t="shared" si="38"/>
        <v>20</v>
      </c>
      <c r="U49" s="47">
        <f>(O49/'CI Retrofit {E}'!$A$10)*T49</f>
        <v>0.34870280797185227</v>
      </c>
      <c r="V49" s="48">
        <f t="shared" si="39"/>
        <v>203648.44</v>
      </c>
      <c r="W49" s="49">
        <f>(O49/'CI Retrofit {E}'!A$10)</f>
        <v>1.7435140398592612E-2</v>
      </c>
      <c r="X49" s="44">
        <f>W49*'CI Retrofit {E}'!A$8</f>
        <v>39725.646765961334</v>
      </c>
      <c r="Y49" s="44">
        <f t="shared" si="40"/>
        <v>203648.44</v>
      </c>
      <c r="Z49" s="44">
        <f>X49+('CI Retrofit {E}'!A$6*W49)</f>
        <v>112352.78781421459</v>
      </c>
      <c r="AA49" s="50">
        <f t="shared" si="41"/>
        <v>303968.83676596131</v>
      </c>
      <c r="AB49" s="51">
        <f t="shared" si="42"/>
        <v>105032.05367319303</v>
      </c>
      <c r="AC49" s="44">
        <f t="shared" si="28"/>
        <v>284162.69679906638</v>
      </c>
      <c r="AD49" s="44">
        <f t="shared" si="43"/>
        <v>0</v>
      </c>
      <c r="AE49" s="44">
        <f t="shared" si="44"/>
        <v>0</v>
      </c>
      <c r="AF49" s="52">
        <f>HLOOKUP(I49,ElecAvoidedCostsWOCC!$A$5:$Q$50,G49+1,FALSE)</f>
        <v>1.3192527795896587</v>
      </c>
      <c r="AG49" s="44">
        <f t="shared" si="45"/>
        <v>442693.73973022425</v>
      </c>
      <c r="AH49" s="52">
        <f>HLOOKUP(I49,ElecAvoidedCostsWOCC!$A$5:$Q$50,T49+1,FALSE)</f>
        <v>1.3192527795896587</v>
      </c>
      <c r="AI49" s="44">
        <f t="shared" si="46"/>
        <v>0</v>
      </c>
      <c r="AJ49" s="44">
        <f t="shared" si="47"/>
        <v>442693.73973022425</v>
      </c>
      <c r="AK49" s="44">
        <f>HLOOKUP(I49,ElecAvoidedCostsWOCC!$A$5:$Q$50,G49+1,FALSE)*J49*L49</f>
        <v>0</v>
      </c>
      <c r="AL49" s="44">
        <f t="shared" si="48"/>
        <v>442693.73973022425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442693.73973022425</v>
      </c>
      <c r="AN49" s="48">
        <f t="shared" si="49"/>
        <v>486963.11370324669</v>
      </c>
      <c r="AO49" s="47">
        <f t="shared" si="50"/>
        <v>4.2148441761185085</v>
      </c>
      <c r="AP49" s="47">
        <f t="shared" si="51"/>
        <v>1.7136771264793493</v>
      </c>
      <c r="AQ49">
        <v>2020</v>
      </c>
    </row>
    <row r="50" spans="2:43">
      <c r="B50" s="97" t="s">
        <v>65</v>
      </c>
      <c r="C50" s="98">
        <v>18230724</v>
      </c>
      <c r="D50" s="61" t="s">
        <v>138</v>
      </c>
      <c r="E50" s="38" t="s">
        <v>996</v>
      </c>
      <c r="F50" s="39" t="s">
        <v>997</v>
      </c>
      <c r="G50" s="39">
        <v>20</v>
      </c>
      <c r="H50" s="39"/>
      <c r="I50" s="40" t="s">
        <v>257</v>
      </c>
      <c r="J50" s="41">
        <v>1</v>
      </c>
      <c r="K50" s="41">
        <v>719944</v>
      </c>
      <c r="L50" s="41"/>
      <c r="M50" s="42">
        <v>123930.15</v>
      </c>
      <c r="N50" s="42">
        <v>399264.22</v>
      </c>
      <c r="O50" s="43">
        <v>719944</v>
      </c>
      <c r="P50" s="44">
        <v>123930.15</v>
      </c>
      <c r="Q50" s="44">
        <v>399264.22</v>
      </c>
      <c r="R50" s="45"/>
      <c r="S50" s="46"/>
      <c r="T50" s="39">
        <f t="shared" si="38"/>
        <v>20</v>
      </c>
      <c r="U50" s="47">
        <f>(O50/'CI Retrofit {E}'!$A$10)*T50</f>
        <v>0.7481329772636135</v>
      </c>
      <c r="V50" s="48">
        <f t="shared" si="39"/>
        <v>275334.06999999995</v>
      </c>
      <c r="W50" s="49">
        <f>(O50/'CI Retrofit {E}'!A$10)</f>
        <v>3.7406648863180673E-2</v>
      </c>
      <c r="X50" s="44">
        <f>W50*'CI Retrofit {E}'!A$8</f>
        <v>85230.361526484572</v>
      </c>
      <c r="Y50" s="44">
        <f t="shared" si="40"/>
        <v>275334.06999999995</v>
      </c>
      <c r="Z50" s="44">
        <f>X50+('CI Retrofit {E}'!A$6*W50)</f>
        <v>241050.03954571081</v>
      </c>
      <c r="AA50" s="50">
        <f t="shared" si="41"/>
        <v>484494.58152648457</v>
      </c>
      <c r="AB50" s="51">
        <f t="shared" si="42"/>
        <v>225343.59123652498</v>
      </c>
      <c r="AC50" s="44">
        <f t="shared" si="28"/>
        <v>452925.66282741376</v>
      </c>
      <c r="AD50" s="44">
        <f t="shared" si="43"/>
        <v>0</v>
      </c>
      <c r="AE50" s="44">
        <f t="shared" si="44"/>
        <v>0</v>
      </c>
      <c r="AF50" s="52">
        <f>HLOOKUP(I50,ElecAvoidedCostsWOCC!$A$5:$Q$50,G50+1,FALSE)</f>
        <v>1.3192527795896587</v>
      </c>
      <c r="AG50" s="44">
        <f t="shared" si="45"/>
        <v>949788.1231488972</v>
      </c>
      <c r="AH50" s="52">
        <f>HLOOKUP(I50,ElecAvoidedCostsWOCC!$A$5:$Q$50,T50+1,FALSE)</f>
        <v>1.3192527795896587</v>
      </c>
      <c r="AI50" s="44">
        <f t="shared" si="46"/>
        <v>0</v>
      </c>
      <c r="AJ50" s="44">
        <f t="shared" si="47"/>
        <v>949788.1231488972</v>
      </c>
      <c r="AK50" s="44">
        <f>HLOOKUP(I50,ElecAvoidedCostsWOCC!$A$5:$Q$50,G50+1,FALSE)*J50*L50</f>
        <v>0</v>
      </c>
      <c r="AL50" s="44">
        <f t="shared" si="48"/>
        <v>949788.1231488972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949788.1231488972</v>
      </c>
      <c r="AN50" s="48">
        <f t="shared" si="49"/>
        <v>1044766.9354637871</v>
      </c>
      <c r="AO50" s="47">
        <f t="shared" si="50"/>
        <v>4.2148441761185094</v>
      </c>
      <c r="AP50" s="47">
        <f t="shared" si="51"/>
        <v>2.3067073058783447</v>
      </c>
      <c r="AQ50">
        <v>2020</v>
      </c>
    </row>
    <row r="51" spans="2:43">
      <c r="B51" s="97" t="s">
        <v>65</v>
      </c>
      <c r="C51" s="98">
        <v>18230724</v>
      </c>
      <c r="D51" s="61" t="s">
        <v>138</v>
      </c>
      <c r="E51" s="38" t="s">
        <v>996</v>
      </c>
      <c r="F51" s="39" t="s">
        <v>997</v>
      </c>
      <c r="G51" s="39">
        <v>20</v>
      </c>
      <c r="H51" s="39"/>
      <c r="I51" s="40" t="s">
        <v>257</v>
      </c>
      <c r="J51" s="41">
        <v>1</v>
      </c>
      <c r="K51" s="41">
        <v>3096030</v>
      </c>
      <c r="L51" s="41"/>
      <c r="M51" s="42">
        <v>569260.88</v>
      </c>
      <c r="N51" s="42">
        <v>1854663.81</v>
      </c>
      <c r="O51" s="43">
        <v>3096030</v>
      </c>
      <c r="P51" s="44">
        <v>569260.88</v>
      </c>
      <c r="Q51" s="44">
        <v>1854663.81</v>
      </c>
      <c r="R51" s="45"/>
      <c r="S51" s="46"/>
      <c r="T51" s="39">
        <f t="shared" si="38"/>
        <v>20</v>
      </c>
      <c r="U51" s="47">
        <f>(O51/'CI Retrofit {E}'!$A$10)*T51</f>
        <v>3.2172532052457758</v>
      </c>
      <c r="V51" s="48">
        <f t="shared" si="39"/>
        <v>1285402.9300000002</v>
      </c>
      <c r="W51" s="49">
        <f>(O51/'CI Retrofit {E}'!A$10)</f>
        <v>0.16086266026228879</v>
      </c>
      <c r="X51" s="44">
        <f>W51*'CI Retrofit {E}'!A$8</f>
        <v>366522.61314330279</v>
      </c>
      <c r="Y51" s="44">
        <f t="shared" si="40"/>
        <v>1285402.9300000002</v>
      </c>
      <c r="Z51" s="44">
        <f>X51+('CI Retrofit {E}'!A$6*W51)</f>
        <v>1036605.8386967694</v>
      </c>
      <c r="AA51" s="50">
        <f t="shared" si="41"/>
        <v>2221186.423143303</v>
      </c>
      <c r="AB51" s="51">
        <f t="shared" si="42"/>
        <v>969062.20313804748</v>
      </c>
      <c r="AC51" s="44">
        <f t="shared" si="28"/>
        <v>2076457.3461188211</v>
      </c>
      <c r="AD51" s="44">
        <f t="shared" si="43"/>
        <v>0</v>
      </c>
      <c r="AE51" s="44">
        <f t="shared" si="44"/>
        <v>0</v>
      </c>
      <c r="AF51" s="52">
        <f>HLOOKUP(I51,ElecAvoidedCostsWOCC!$A$5:$Q$50,G51+1,FALSE)</f>
        <v>1.3192527795896587</v>
      </c>
      <c r="AG51" s="44">
        <f t="shared" si="45"/>
        <v>4084446.1831929712</v>
      </c>
      <c r="AH51" s="52">
        <f>HLOOKUP(I51,ElecAvoidedCostsWOCC!$A$5:$Q$50,T51+1,FALSE)</f>
        <v>1.3192527795896587</v>
      </c>
      <c r="AI51" s="44">
        <f t="shared" si="46"/>
        <v>0</v>
      </c>
      <c r="AJ51" s="44">
        <f t="shared" si="47"/>
        <v>4084446.1831929712</v>
      </c>
      <c r="AK51" s="44">
        <f>HLOOKUP(I51,ElecAvoidedCostsWOCC!$A$5:$Q$50,G51+1,FALSE)*J51*L51</f>
        <v>0</v>
      </c>
      <c r="AL51" s="44">
        <f t="shared" si="48"/>
        <v>4084446.1831929712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4084446.1831929712</v>
      </c>
      <c r="AN51" s="48">
        <f t="shared" si="49"/>
        <v>4492890.8015122684</v>
      </c>
      <c r="AO51" s="47">
        <f t="shared" si="50"/>
        <v>4.2148441761185094</v>
      </c>
      <c r="AP51" s="47">
        <f t="shared" si="51"/>
        <v>2.1637289154579014</v>
      </c>
      <c r="AQ51">
        <v>2020</v>
      </c>
    </row>
    <row r="52" spans="2:43">
      <c r="B52" s="97" t="s">
        <v>65</v>
      </c>
      <c r="C52" s="98">
        <v>18230724</v>
      </c>
      <c r="D52" s="61" t="s">
        <v>138</v>
      </c>
      <c r="E52" s="38" t="s">
        <v>1028</v>
      </c>
      <c r="F52" s="39" t="s">
        <v>1029</v>
      </c>
      <c r="G52" s="39">
        <v>20</v>
      </c>
      <c r="H52" s="39"/>
      <c r="I52" s="40" t="s">
        <v>257</v>
      </c>
      <c r="J52" s="41">
        <v>1</v>
      </c>
      <c r="K52" s="41">
        <v>1437402</v>
      </c>
      <c r="L52" s="41"/>
      <c r="M52" s="42">
        <v>226773.23</v>
      </c>
      <c r="N52" s="42">
        <v>1866232.33</v>
      </c>
      <c r="O52" s="43">
        <v>1437402</v>
      </c>
      <c r="P52" s="44">
        <v>226773.23</v>
      </c>
      <c r="Q52" s="44">
        <v>1866232.33</v>
      </c>
      <c r="R52" s="45"/>
      <c r="S52" s="46"/>
      <c r="T52" s="39">
        <f t="shared" si="38"/>
        <v>20</v>
      </c>
      <c r="U52" s="47">
        <f>(O52/'CI Retrofit {E}'!$A$10)*T52</f>
        <v>1.4936826166822315</v>
      </c>
      <c r="V52" s="48">
        <f t="shared" si="39"/>
        <v>1639459.1</v>
      </c>
      <c r="W52" s="49">
        <f>(O52/'CI Retrofit {E}'!A$10)</f>
        <v>7.4684130834111573E-2</v>
      </c>
      <c r="X52" s="44">
        <f>W52*'CI Retrofit {E}'!A$8</f>
        <v>170166.41866435716</v>
      </c>
      <c r="Y52" s="44">
        <f t="shared" si="40"/>
        <v>1639459.1</v>
      </c>
      <c r="Z52" s="44">
        <f>X52+('CI Retrofit {E}'!A$6*W52)</f>
        <v>481267.7221326711</v>
      </c>
      <c r="AA52" s="50">
        <f t="shared" si="41"/>
        <v>2036398.7486643572</v>
      </c>
      <c r="AB52" s="51">
        <f t="shared" si="42"/>
        <v>449909.06060827436</v>
      </c>
      <c r="AC52" s="44">
        <f t="shared" si="28"/>
        <v>1903710.1511305573</v>
      </c>
      <c r="AD52" s="44">
        <f t="shared" si="43"/>
        <v>0</v>
      </c>
      <c r="AE52" s="44">
        <f t="shared" si="44"/>
        <v>0</v>
      </c>
      <c r="AF52" s="52">
        <f>HLOOKUP(I52,ElecAvoidedCostsWOCC!$A$5:$Q$50,G52+1,FALSE)</f>
        <v>1.3192527795896587</v>
      </c>
      <c r="AG52" s="44">
        <f t="shared" si="45"/>
        <v>1896296.5838877347</v>
      </c>
      <c r="AH52" s="52">
        <f>HLOOKUP(I52,ElecAvoidedCostsWOCC!$A$5:$Q$50,T52+1,FALSE)</f>
        <v>1.3192527795896587</v>
      </c>
      <c r="AI52" s="44">
        <f t="shared" si="46"/>
        <v>0</v>
      </c>
      <c r="AJ52" s="44">
        <f t="shared" si="47"/>
        <v>1896296.5838877347</v>
      </c>
      <c r="AK52" s="44">
        <f>HLOOKUP(I52,ElecAvoidedCostsWOCC!$A$5:$Q$50,G52+1,FALSE)*J52*L52</f>
        <v>0</v>
      </c>
      <c r="AL52" s="44">
        <f t="shared" si="48"/>
        <v>1896296.5838877347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1896296.5838877347</v>
      </c>
      <c r="AN52" s="48">
        <f t="shared" si="49"/>
        <v>2085926.2422765084</v>
      </c>
      <c r="AO52" s="47">
        <f t="shared" si="50"/>
        <v>4.2148441761185094</v>
      </c>
      <c r="AP52" s="47">
        <f t="shared" si="51"/>
        <v>1.095716299583599</v>
      </c>
      <c r="AQ52">
        <v>2020</v>
      </c>
    </row>
    <row r="53" spans="2:43">
      <c r="B53" s="97" t="s">
        <v>65</v>
      </c>
      <c r="C53" s="98">
        <v>18230724</v>
      </c>
      <c r="D53" s="61" t="s">
        <v>138</v>
      </c>
      <c r="E53" s="38" t="s">
        <v>1032</v>
      </c>
      <c r="F53" s="39" t="s">
        <v>1033</v>
      </c>
      <c r="G53" s="39">
        <v>20</v>
      </c>
      <c r="H53" s="39"/>
      <c r="I53" s="40" t="s">
        <v>257</v>
      </c>
      <c r="J53" s="41">
        <v>1</v>
      </c>
      <c r="K53" s="41">
        <v>24298</v>
      </c>
      <c r="L53" s="41"/>
      <c r="M53" s="42">
        <v>1438</v>
      </c>
      <c r="N53" s="42">
        <v>35980</v>
      </c>
      <c r="O53" s="43">
        <v>24298</v>
      </c>
      <c r="P53" s="44">
        <v>1438</v>
      </c>
      <c r="Q53" s="44">
        <v>35980</v>
      </c>
      <c r="R53" s="45"/>
      <c r="S53" s="46"/>
      <c r="T53" s="39">
        <f t="shared" si="38"/>
        <v>20</v>
      </c>
      <c r="U53" s="47">
        <f>(O53/'CI Retrofit {E}'!$A$10)*T53</f>
        <v>2.5249373675662663E-2</v>
      </c>
      <c r="V53" s="48">
        <f t="shared" si="39"/>
        <v>34542</v>
      </c>
      <c r="W53" s="49">
        <f>(O53/'CI Retrofit {E}'!A$10)</f>
        <v>1.2624686837831331E-3</v>
      </c>
      <c r="X53" s="44">
        <f>W53*'CI Retrofit {E}'!A$8</f>
        <v>2876.5116792007739</v>
      </c>
      <c r="Y53" s="44">
        <f t="shared" si="40"/>
        <v>34542</v>
      </c>
      <c r="Z53" s="44">
        <f>X53+('CI Retrofit {E}'!A$6*W53)</f>
        <v>8135.4020047138129</v>
      </c>
      <c r="AA53" s="50">
        <f t="shared" si="41"/>
        <v>38856.511679200776</v>
      </c>
      <c r="AB53" s="51">
        <f t="shared" si="42"/>
        <v>7605.3117740617108</v>
      </c>
      <c r="AC53" s="44">
        <f t="shared" si="28"/>
        <v>36324.681386557699</v>
      </c>
      <c r="AD53" s="44">
        <f t="shared" si="43"/>
        <v>0</v>
      </c>
      <c r="AE53" s="44">
        <f t="shared" si="44"/>
        <v>0</v>
      </c>
      <c r="AF53" s="52">
        <f>HLOOKUP(I53,ElecAvoidedCostsWOCC!$A$5:$Q$50,G53+1,FALSE)</f>
        <v>1.3192527795896587</v>
      </c>
      <c r="AG53" s="44">
        <f t="shared" si="45"/>
        <v>32055.204038469528</v>
      </c>
      <c r="AH53" s="52">
        <f>HLOOKUP(I53,ElecAvoidedCostsWOCC!$A$5:$Q$50,T53+1,FALSE)</f>
        <v>1.3192527795896587</v>
      </c>
      <c r="AI53" s="44">
        <f t="shared" si="46"/>
        <v>0</v>
      </c>
      <c r="AJ53" s="44">
        <f t="shared" si="47"/>
        <v>32055.204038469528</v>
      </c>
      <c r="AK53" s="44">
        <f>HLOOKUP(I53,ElecAvoidedCostsWOCC!$A$5:$Q$50,G53+1,FALSE)*J53*L53</f>
        <v>0</v>
      </c>
      <c r="AL53" s="44">
        <f t="shared" si="48"/>
        <v>32055.204038469528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32055.204038469528</v>
      </c>
      <c r="AN53" s="48">
        <f t="shared" si="49"/>
        <v>35260.724442316481</v>
      </c>
      <c r="AO53" s="47">
        <f t="shared" si="50"/>
        <v>4.2148441761185094</v>
      </c>
      <c r="AP53" s="47">
        <f t="shared" si="51"/>
        <v>0.9707098065659856</v>
      </c>
      <c r="AQ53">
        <v>2020</v>
      </c>
    </row>
    <row r="54" spans="2:43">
      <c r="B54" s="97" t="s">
        <v>65</v>
      </c>
      <c r="C54" s="98">
        <v>18230724</v>
      </c>
      <c r="D54" s="61" t="s">
        <v>138</v>
      </c>
      <c r="E54" s="38" t="s">
        <v>1032</v>
      </c>
      <c r="F54" s="39" t="s">
        <v>1033</v>
      </c>
      <c r="G54" s="39">
        <v>20</v>
      </c>
      <c r="H54" s="39"/>
      <c r="I54" s="40" t="s">
        <v>257</v>
      </c>
      <c r="J54" s="41">
        <v>1</v>
      </c>
      <c r="K54" s="41">
        <v>938147</v>
      </c>
      <c r="L54" s="41"/>
      <c r="M54" s="42">
        <v>292842</v>
      </c>
      <c r="N54" s="42">
        <v>577049.57999999996</v>
      </c>
      <c r="O54" s="43">
        <v>938147</v>
      </c>
      <c r="P54" s="44">
        <v>292842</v>
      </c>
      <c r="Q54" s="44">
        <v>577049.57999999996</v>
      </c>
      <c r="R54" s="45"/>
      <c r="S54" s="46"/>
      <c r="T54" s="39">
        <f t="shared" si="38"/>
        <v>20</v>
      </c>
      <c r="U54" s="47">
        <f>(O54/'CI Retrofit {E}'!$A$10)*T54</f>
        <v>0.97487958538570663</v>
      </c>
      <c r="V54" s="48">
        <f t="shared" si="39"/>
        <v>284207.57999999996</v>
      </c>
      <c r="W54" s="49">
        <f>(O54/'CI Retrofit {E}'!A$10)</f>
        <v>4.874397926928533E-2</v>
      </c>
      <c r="X54" s="44">
        <f>W54*'CI Retrofit {E}'!A$8</f>
        <v>111062.26036328786</v>
      </c>
      <c r="Y54" s="44">
        <f t="shared" si="40"/>
        <v>284207.57999999996</v>
      </c>
      <c r="Z54" s="44">
        <f>X54+('CI Retrofit {E}'!A$6*W54)</f>
        <v>314108.27987967111</v>
      </c>
      <c r="AA54" s="50">
        <f t="shared" si="41"/>
        <v>688111.84036328783</v>
      </c>
      <c r="AB54" s="51">
        <f t="shared" si="42"/>
        <v>293641.46945841925</v>
      </c>
      <c r="AC54" s="44">
        <f t="shared" si="28"/>
        <v>643275.53553640062</v>
      </c>
      <c r="AD54" s="44">
        <f t="shared" si="43"/>
        <v>0</v>
      </c>
      <c r="AE54" s="44">
        <f t="shared" si="44"/>
        <v>0</v>
      </c>
      <c r="AF54" s="52">
        <f>HLOOKUP(I54,ElecAvoidedCostsWOCC!$A$5:$Q$50,G54+1,FALSE)</f>
        <v>1.3192527795896587</v>
      </c>
      <c r="AG54" s="44">
        <f t="shared" si="45"/>
        <v>1237653.0374136996</v>
      </c>
      <c r="AH54" s="52">
        <f>HLOOKUP(I54,ElecAvoidedCostsWOCC!$A$5:$Q$50,T54+1,FALSE)</f>
        <v>1.3192527795896587</v>
      </c>
      <c r="AI54" s="44">
        <f t="shared" si="46"/>
        <v>0</v>
      </c>
      <c r="AJ54" s="44">
        <f t="shared" si="47"/>
        <v>1237653.0374136996</v>
      </c>
      <c r="AK54" s="44">
        <f>HLOOKUP(I54,ElecAvoidedCostsWOCC!$A$5:$Q$50,G54+1,FALSE)*J54*L54</f>
        <v>0</v>
      </c>
      <c r="AL54" s="44">
        <f t="shared" si="48"/>
        <v>1237653.0374136996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1237653.0374136996</v>
      </c>
      <c r="AN54" s="48">
        <f t="shared" si="49"/>
        <v>1361418.3411550696</v>
      </c>
      <c r="AO54" s="47">
        <f t="shared" si="50"/>
        <v>4.2148441761185094</v>
      </c>
      <c r="AP54" s="47">
        <f t="shared" si="51"/>
        <v>2.1163844510577254</v>
      </c>
      <c r="AQ54">
        <v>2020</v>
      </c>
    </row>
    <row r="55" spans="2:43">
      <c r="B55" s="97" t="s">
        <v>65</v>
      </c>
      <c r="C55" s="98">
        <v>18230724</v>
      </c>
      <c r="D55" s="61" t="s">
        <v>138</v>
      </c>
      <c r="E55" s="38" t="s">
        <v>1032</v>
      </c>
      <c r="F55" s="39" t="s">
        <v>1033</v>
      </c>
      <c r="G55" s="39">
        <v>20</v>
      </c>
      <c r="H55" s="39"/>
      <c r="I55" s="40" t="s">
        <v>257</v>
      </c>
      <c r="J55" s="41">
        <v>1</v>
      </c>
      <c r="K55" s="41">
        <v>177763</v>
      </c>
      <c r="L55" s="41"/>
      <c r="M55" s="42">
        <v>62891</v>
      </c>
      <c r="N55" s="42">
        <v>106577</v>
      </c>
      <c r="O55" s="43">
        <v>177763</v>
      </c>
      <c r="P55" s="44">
        <v>62891</v>
      </c>
      <c r="Q55" s="44">
        <v>106577</v>
      </c>
      <c r="R55" s="45"/>
      <c r="S55" s="46"/>
      <c r="T55" s="39">
        <f t="shared" si="38"/>
        <v>20</v>
      </c>
      <c r="U55" s="47">
        <f>(O55/'CI Retrofit {E}'!$A$10)*T55</f>
        <v>0.18472320407880574</v>
      </c>
      <c r="V55" s="48">
        <f t="shared" si="39"/>
        <v>43686</v>
      </c>
      <c r="W55" s="49">
        <f>(O55/'CI Retrofit {E}'!A$10)</f>
        <v>9.2361602039402867E-3</v>
      </c>
      <c r="X55" s="44">
        <f>W55*'CI Retrofit {E}'!A$8</f>
        <v>21044.421171691793</v>
      </c>
      <c r="Y55" s="44">
        <f t="shared" si="40"/>
        <v>43686</v>
      </c>
      <c r="Z55" s="44">
        <f>X55+('CI Retrofit {E}'!A$6*W55)</f>
        <v>59518.209999339102</v>
      </c>
      <c r="AA55" s="50">
        <f t="shared" si="41"/>
        <v>127621.42117169179</v>
      </c>
      <c r="AB55" s="51">
        <f t="shared" si="42"/>
        <v>55640.095353219687</v>
      </c>
      <c r="AC55" s="44">
        <f t="shared" si="28"/>
        <v>119305.80646133662</v>
      </c>
      <c r="AD55" s="44">
        <f t="shared" si="43"/>
        <v>0</v>
      </c>
      <c r="AE55" s="44">
        <f t="shared" si="44"/>
        <v>0</v>
      </c>
      <c r="AF55" s="52">
        <f>HLOOKUP(I55,ElecAvoidedCostsWOCC!$A$5:$Q$50,G55+1,FALSE)</f>
        <v>1.3192527795896587</v>
      </c>
      <c r="AG55" s="44">
        <f t="shared" si="45"/>
        <v>234514.3318581965</v>
      </c>
      <c r="AH55" s="52">
        <f>HLOOKUP(I55,ElecAvoidedCostsWOCC!$A$5:$Q$50,T55+1,FALSE)</f>
        <v>1.3192527795896587</v>
      </c>
      <c r="AI55" s="44">
        <f t="shared" si="46"/>
        <v>0</v>
      </c>
      <c r="AJ55" s="44">
        <f t="shared" si="47"/>
        <v>234514.3318581965</v>
      </c>
      <c r="AK55" s="44">
        <f>HLOOKUP(I55,ElecAvoidedCostsWOCC!$A$5:$Q$50,G55+1,FALSE)*J55*L55</f>
        <v>0</v>
      </c>
      <c r="AL55" s="44">
        <f t="shared" si="48"/>
        <v>234514.3318581965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234514.3318581965</v>
      </c>
      <c r="AN55" s="48">
        <f t="shared" si="49"/>
        <v>257965.76504401618</v>
      </c>
      <c r="AO55" s="47">
        <f t="shared" si="50"/>
        <v>4.2148441761185085</v>
      </c>
      <c r="AP55" s="47">
        <f t="shared" si="51"/>
        <v>2.1622230526358752</v>
      </c>
      <c r="AQ55">
        <v>2020</v>
      </c>
    </row>
    <row r="56" spans="2:43">
      <c r="B56" s="97" t="s">
        <v>65</v>
      </c>
      <c r="C56" s="98">
        <v>18230724</v>
      </c>
      <c r="D56" s="61" t="s">
        <v>138</v>
      </c>
      <c r="E56" s="38" t="s">
        <v>1034</v>
      </c>
      <c r="F56" s="39" t="s">
        <v>1035</v>
      </c>
      <c r="G56" s="39">
        <v>10</v>
      </c>
      <c r="H56" s="39"/>
      <c r="I56" s="40" t="s">
        <v>257</v>
      </c>
      <c r="J56" s="41">
        <v>1</v>
      </c>
      <c r="K56" s="41">
        <v>388122</v>
      </c>
      <c r="L56" s="41"/>
      <c r="M56" s="42">
        <v>135525</v>
      </c>
      <c r="N56" s="42">
        <v>135525</v>
      </c>
      <c r="O56" s="43">
        <v>388122</v>
      </c>
      <c r="P56" s="44">
        <v>135525</v>
      </c>
      <c r="Q56" s="44">
        <v>135525</v>
      </c>
      <c r="R56" s="45"/>
      <c r="S56" s="46"/>
      <c r="T56" s="39">
        <f t="shared" si="38"/>
        <v>10</v>
      </c>
      <c r="U56" s="47">
        <f>(O56/'CI Retrofit {E}'!$A$10)*T56</f>
        <v>0.20165934253324438</v>
      </c>
      <c r="V56" s="48">
        <f t="shared" si="39"/>
        <v>0</v>
      </c>
      <c r="W56" s="49">
        <f>(O56/'CI Retrofit {E}'!A$10)</f>
        <v>2.0165934253324438E-2</v>
      </c>
      <c r="X56" s="44">
        <f>W56*'CI Retrofit {E}'!A$8</f>
        <v>45947.710344668812</v>
      </c>
      <c r="Y56" s="44">
        <f t="shared" si="40"/>
        <v>0</v>
      </c>
      <c r="Z56" s="44">
        <f>X56+('CI Retrofit {E}'!A$6*W56)</f>
        <v>129950.13980054056</v>
      </c>
      <c r="AA56" s="50">
        <f t="shared" si="41"/>
        <v>181472.71034466883</v>
      </c>
      <c r="AB56" s="51">
        <f t="shared" si="42"/>
        <v>121482.78938070539</v>
      </c>
      <c r="AC56" s="44">
        <f t="shared" si="28"/>
        <v>169648.22879748416</v>
      </c>
      <c r="AD56" s="44">
        <f t="shared" si="43"/>
        <v>0</v>
      </c>
      <c r="AE56" s="44">
        <f t="shared" si="44"/>
        <v>0</v>
      </c>
      <c r="AF56" s="52">
        <f>HLOOKUP(I56,ElecAvoidedCostsWOCC!$A$5:$Q$50,G56+1,FALSE)</f>
        <v>0.7278724357900942</v>
      </c>
      <c r="AG56" s="44">
        <f t="shared" si="45"/>
        <v>282503.30552372296</v>
      </c>
      <c r="AH56" s="52">
        <f>HLOOKUP(I56,ElecAvoidedCostsWOCC!$A$5:$Q$50,T56+1,FALSE)</f>
        <v>0.7278724357900942</v>
      </c>
      <c r="AI56" s="44">
        <f t="shared" si="46"/>
        <v>0</v>
      </c>
      <c r="AJ56" s="44">
        <f t="shared" si="47"/>
        <v>282503.30552372296</v>
      </c>
      <c r="AK56" s="44">
        <f>HLOOKUP(I56,ElecAvoidedCostsWOCC!$A$5:$Q$50,G56+1,FALSE)*J56*L56</f>
        <v>0</v>
      </c>
      <c r="AL56" s="44">
        <f t="shared" si="48"/>
        <v>282503.30552372296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282503.30552372296</v>
      </c>
      <c r="AN56" s="48">
        <f t="shared" si="49"/>
        <v>310753.63607609528</v>
      </c>
      <c r="AO56" s="47">
        <f t="shared" si="50"/>
        <v>2.3254594907136021</v>
      </c>
      <c r="AP56" s="47">
        <f t="shared" si="51"/>
        <v>1.8317529058735664</v>
      </c>
      <c r="AQ56">
        <v>2020</v>
      </c>
    </row>
    <row r="57" spans="2:43">
      <c r="B57" s="97" t="s">
        <v>65</v>
      </c>
      <c r="C57" s="98">
        <v>18230724</v>
      </c>
      <c r="D57" s="61" t="s">
        <v>138</v>
      </c>
      <c r="E57" s="38" t="s">
        <v>1119</v>
      </c>
      <c r="F57" s="39" t="s">
        <v>1120</v>
      </c>
      <c r="G57" s="39">
        <v>15</v>
      </c>
      <c r="H57" s="39"/>
      <c r="I57" s="40" t="s">
        <v>257</v>
      </c>
      <c r="J57" s="41">
        <v>4</v>
      </c>
      <c r="K57" s="41">
        <v>857</v>
      </c>
      <c r="L57" s="41"/>
      <c r="M57" s="42">
        <v>175</v>
      </c>
      <c r="N57" s="42">
        <v>516</v>
      </c>
      <c r="O57" s="43">
        <v>3428</v>
      </c>
      <c r="P57" s="44">
        <v>700</v>
      </c>
      <c r="Q57" s="44">
        <v>2064</v>
      </c>
      <c r="R57" s="45">
        <v>0</v>
      </c>
      <c r="S57" s="46">
        <v>0</v>
      </c>
      <c r="T57" s="39">
        <f t="shared" si="38"/>
        <v>15</v>
      </c>
      <c r="U57" s="47">
        <f>(O57/'CI Retrofit {E}'!$A$10)*T57</f>
        <v>2.6716659692208704E-3</v>
      </c>
      <c r="V57" s="48">
        <f t="shared" si="39"/>
        <v>341</v>
      </c>
      <c r="W57" s="49">
        <f>(O57/'CI Retrofit {E}'!A$10)</f>
        <v>1.7811106461472468E-4</v>
      </c>
      <c r="X57" s="44">
        <f>W57*'CI Retrofit {E}'!A$8</f>
        <v>405.82278526217192</v>
      </c>
      <c r="Y57" s="44">
        <f t="shared" si="40"/>
        <v>1364</v>
      </c>
      <c r="Z57" s="44">
        <f>X57+('CI Retrofit {E}'!A$6*W57)</f>
        <v>1147.7552914708599</v>
      </c>
      <c r="AA57" s="50">
        <f t="shared" si="41"/>
        <v>2469.8227852621721</v>
      </c>
      <c r="AB57" s="51">
        <f t="shared" si="42"/>
        <v>1072.9693292239504</v>
      </c>
      <c r="AC57" s="44">
        <f t="shared" si="28"/>
        <v>2308.892946865637</v>
      </c>
      <c r="AD57" s="44">
        <f t="shared" si="43"/>
        <v>0</v>
      </c>
      <c r="AE57" s="44">
        <f t="shared" si="44"/>
        <v>0</v>
      </c>
      <c r="AF57" s="52">
        <f>HLOOKUP(I57,ElecAvoidedCostsWOCC!$A$5:$Q$50,G57+1,FALSE)</f>
        <v>1.0545904948077327</v>
      </c>
      <c r="AG57" s="44">
        <f t="shared" si="45"/>
        <v>3615.1362162009077</v>
      </c>
      <c r="AH57" s="52">
        <f>HLOOKUP(I57,ElecAvoidedCostsWOCC!$A$5:$Q$50,T57+1,FALSE)</f>
        <v>1.0545904948077327</v>
      </c>
      <c r="AI57" s="44">
        <f t="shared" si="46"/>
        <v>0</v>
      </c>
      <c r="AJ57" s="44">
        <f t="shared" si="47"/>
        <v>3615.1362162009077</v>
      </c>
      <c r="AK57" s="44">
        <f>HLOOKUP(I57,ElecAvoidedCostsWOCC!$A$5:$Q$50,G57+1,FALSE)*J57*L57</f>
        <v>0</v>
      </c>
      <c r="AL57" s="44">
        <f t="shared" si="48"/>
        <v>3615.1362162009077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3615.1362162009077</v>
      </c>
      <c r="AN57" s="48">
        <f t="shared" si="49"/>
        <v>3976.649837820999</v>
      </c>
      <c r="AO57" s="47">
        <f t="shared" si="50"/>
        <v>3.3692819708235628</v>
      </c>
      <c r="AP57" s="47">
        <f t="shared" si="51"/>
        <v>1.7223188468826029</v>
      </c>
      <c r="AQ57">
        <v>2020</v>
      </c>
    </row>
    <row r="58" spans="2:43">
      <c r="B58" s="97" t="s">
        <v>65</v>
      </c>
      <c r="C58" s="98">
        <v>18230724</v>
      </c>
      <c r="D58" s="61" t="s">
        <v>138</v>
      </c>
      <c r="E58" s="38" t="s">
        <v>1123</v>
      </c>
      <c r="F58" s="39" t="s">
        <v>1124</v>
      </c>
      <c r="G58" s="39">
        <v>15</v>
      </c>
      <c r="H58" s="39"/>
      <c r="I58" s="40" t="s">
        <v>257</v>
      </c>
      <c r="J58" s="41">
        <v>17</v>
      </c>
      <c r="K58" s="41">
        <v>1230</v>
      </c>
      <c r="L58" s="41"/>
      <c r="M58" s="42">
        <v>250</v>
      </c>
      <c r="N58" s="42">
        <v>677</v>
      </c>
      <c r="O58" s="43">
        <v>20910</v>
      </c>
      <c r="P58" s="44">
        <v>4250</v>
      </c>
      <c r="Q58" s="44">
        <v>11509</v>
      </c>
      <c r="R58" s="45">
        <v>0</v>
      </c>
      <c r="S58" s="46">
        <v>0</v>
      </c>
      <c r="T58" s="39">
        <f t="shared" si="38"/>
        <v>15</v>
      </c>
      <c r="U58" s="47">
        <f>(O58/'CI Retrofit {E}'!$A$10)*T58</f>
        <v>1.6296538919605714E-2</v>
      </c>
      <c r="V58" s="48">
        <f t="shared" si="39"/>
        <v>427</v>
      </c>
      <c r="W58" s="49">
        <f>(O58/'CI Retrofit {E}'!A$10)</f>
        <v>1.0864359279737143E-3</v>
      </c>
      <c r="X58" s="44">
        <f>W58*'CI Retrofit {E}'!A$8</f>
        <v>2475.4242823313925</v>
      </c>
      <c r="Y58" s="44">
        <f t="shared" si="40"/>
        <v>7259</v>
      </c>
      <c r="Z58" s="44">
        <f>X58+('CI Retrofit {E}'!A$6*W58)</f>
        <v>7001.0394237618657</v>
      </c>
      <c r="AA58" s="50">
        <f t="shared" si="41"/>
        <v>13984.424282331393</v>
      </c>
      <c r="AB58" s="51">
        <f t="shared" si="42"/>
        <v>6544.8625070224034</v>
      </c>
      <c r="AC58" s="44">
        <f t="shared" si="28"/>
        <v>13073.220793055429</v>
      </c>
      <c r="AD58" s="44">
        <f t="shared" si="43"/>
        <v>0</v>
      </c>
      <c r="AE58" s="44">
        <f t="shared" si="44"/>
        <v>0</v>
      </c>
      <c r="AF58" s="52">
        <f>HLOOKUP(I58,ElecAvoidedCostsWOCC!$A$5:$Q$50,G58+1,FALSE)</f>
        <v>1.0545904948077327</v>
      </c>
      <c r="AG58" s="44">
        <f t="shared" si="45"/>
        <v>22051.487246429693</v>
      </c>
      <c r="AH58" s="52">
        <f>HLOOKUP(I58,ElecAvoidedCostsWOCC!$A$5:$Q$50,T58+1,FALSE)</f>
        <v>1.0545904948077327</v>
      </c>
      <c r="AI58" s="44">
        <f t="shared" si="46"/>
        <v>0</v>
      </c>
      <c r="AJ58" s="44">
        <f t="shared" si="47"/>
        <v>22051.487246429693</v>
      </c>
      <c r="AK58" s="44">
        <f>HLOOKUP(I58,ElecAvoidedCostsWOCC!$A$5:$Q$50,G58+1,FALSE)*J58*L58</f>
        <v>0</v>
      </c>
      <c r="AL58" s="44">
        <f t="shared" si="48"/>
        <v>22051.487246429693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22051.487246429693</v>
      </c>
      <c r="AN58" s="48">
        <f t="shared" si="49"/>
        <v>24256.635971072665</v>
      </c>
      <c r="AO58" s="47">
        <f t="shared" si="50"/>
        <v>3.3692819708235637</v>
      </c>
      <c r="AP58" s="47">
        <f t="shared" si="51"/>
        <v>1.8554445270256532</v>
      </c>
      <c r="AQ58">
        <v>2020</v>
      </c>
    </row>
    <row r="59" spans="2:43">
      <c r="B59" s="97" t="s">
        <v>65</v>
      </c>
      <c r="C59" s="98">
        <v>18230724</v>
      </c>
      <c r="D59" s="61" t="s">
        <v>138</v>
      </c>
      <c r="E59" s="38" t="s">
        <v>1125</v>
      </c>
      <c r="F59" s="39" t="s">
        <v>1126</v>
      </c>
      <c r="G59" s="39">
        <v>15</v>
      </c>
      <c r="H59" s="39"/>
      <c r="I59" s="40" t="s">
        <v>257</v>
      </c>
      <c r="J59" s="41">
        <v>15</v>
      </c>
      <c r="K59" s="41">
        <v>3204</v>
      </c>
      <c r="L59" s="41"/>
      <c r="M59" s="42">
        <v>645</v>
      </c>
      <c r="N59" s="42">
        <v>1203</v>
      </c>
      <c r="O59" s="43">
        <v>48060</v>
      </c>
      <c r="P59" s="44">
        <v>9675</v>
      </c>
      <c r="Q59" s="44">
        <v>18045</v>
      </c>
      <c r="R59" s="45">
        <v>0</v>
      </c>
      <c r="S59" s="46">
        <v>0</v>
      </c>
      <c r="T59" s="39">
        <f t="shared" si="38"/>
        <v>15</v>
      </c>
      <c r="U59" s="47">
        <f>(O59/'CI Retrofit {E}'!$A$10)*T59</f>
        <v>3.745632044362749E-2</v>
      </c>
      <c r="V59" s="48">
        <f t="shared" si="39"/>
        <v>558</v>
      </c>
      <c r="W59" s="49">
        <f>(O59/'CI Retrofit {E}'!A$10)</f>
        <v>2.4970880295751658E-3</v>
      </c>
      <c r="X59" s="44">
        <f>W59*'CI Retrofit {E}'!A$8</f>
        <v>5689.5691539381514</v>
      </c>
      <c r="Y59" s="44">
        <f t="shared" si="40"/>
        <v>8370</v>
      </c>
      <c r="Z59" s="44">
        <f>X59+('CI Retrofit {E}'!A$6*W59)</f>
        <v>16091.341688474189</v>
      </c>
      <c r="AA59" s="50">
        <f t="shared" si="41"/>
        <v>23734.569153938151</v>
      </c>
      <c r="AB59" s="51">
        <f t="shared" si="42"/>
        <v>15042.854714849198</v>
      </c>
      <c r="AC59" s="44">
        <f t="shared" si="28"/>
        <v>22188.061282544779</v>
      </c>
      <c r="AD59" s="44">
        <f t="shared" si="43"/>
        <v>0</v>
      </c>
      <c r="AE59" s="44">
        <f t="shared" si="44"/>
        <v>0</v>
      </c>
      <c r="AF59" s="52">
        <f>HLOOKUP(I59,ElecAvoidedCostsWOCC!$A$5:$Q$50,G59+1,FALSE)</f>
        <v>1.0545904948077327</v>
      </c>
      <c r="AG59" s="44">
        <f t="shared" si="45"/>
        <v>50683.619180459631</v>
      </c>
      <c r="AH59" s="52">
        <f>HLOOKUP(I59,ElecAvoidedCostsWOCC!$A$5:$Q$50,T59+1,FALSE)</f>
        <v>1.0545904948077327</v>
      </c>
      <c r="AI59" s="44">
        <f t="shared" si="46"/>
        <v>0</v>
      </c>
      <c r="AJ59" s="44">
        <f t="shared" si="47"/>
        <v>50683.619180459631</v>
      </c>
      <c r="AK59" s="44">
        <f>HLOOKUP(I59,ElecAvoidedCostsWOCC!$A$5:$Q$50,G59+1,FALSE)*J59*L59</f>
        <v>0</v>
      </c>
      <c r="AL59" s="44">
        <f t="shared" si="48"/>
        <v>50683.619180459631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50683.619180459631</v>
      </c>
      <c r="AN59" s="48">
        <f t="shared" si="49"/>
        <v>55751.981098505596</v>
      </c>
      <c r="AO59" s="47">
        <f t="shared" si="50"/>
        <v>3.3692819708235628</v>
      </c>
      <c r="AP59" s="47">
        <f t="shared" si="51"/>
        <v>2.512701780861105</v>
      </c>
      <c r="AQ59">
        <v>2020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3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3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36 J60:L67">
    <cfRule type="expression" dxfId="244" priority="9">
      <formula>ISTEXT(J5)</formula>
    </cfRule>
    <cfRule type="notContainsBlanks" dxfId="243" priority="10">
      <formula>LEN(TRIM(J5))&gt;0</formula>
    </cfRule>
  </conditionalFormatting>
  <conditionalFormatting sqref="M5:N36 R5:S36 R60:S67 M60:N67">
    <cfRule type="expression" dxfId="242" priority="7">
      <formula>ISTEXT(M5)</formula>
    </cfRule>
  </conditionalFormatting>
  <conditionalFormatting sqref="M5:N36 R5:S36 R60:S67 M60:N67">
    <cfRule type="notContainsBlanks" dxfId="241" priority="8">
      <formula>LEN(TRIM(M5))&gt;0</formula>
    </cfRule>
  </conditionalFormatting>
  <conditionalFormatting sqref="R5:S36 R60:S67">
    <cfRule type="expression" dxfId="240" priority="6">
      <formula>"istext($AB17)"</formula>
    </cfRule>
  </conditionalFormatting>
  <conditionalFormatting sqref="R37:S59">
    <cfRule type="expression" dxfId="239" priority="1">
      <formula>"istext($AB17)"</formula>
    </cfRule>
  </conditionalFormatting>
  <conditionalFormatting sqref="J37:L59">
    <cfRule type="expression" dxfId="238" priority="4">
      <formula>ISTEXT(J37)</formula>
    </cfRule>
    <cfRule type="notContainsBlanks" dxfId="237" priority="5">
      <formula>LEN(TRIM(J37))&gt;0</formula>
    </cfRule>
  </conditionalFormatting>
  <conditionalFormatting sqref="M37:N59 R37:S59">
    <cfRule type="expression" dxfId="236" priority="2">
      <formula>ISTEXT(M37)</formula>
    </cfRule>
  </conditionalFormatting>
  <conditionalFormatting sqref="M37:N59 R37:S59">
    <cfRule type="notContainsBlanks" dxfId="235" priority="3">
      <formula>LEN(TRIM(M37))&gt;0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4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1000</v>
      </c>
      <c r="F5" s="39" t="s">
        <v>1001</v>
      </c>
      <c r="G5" s="39">
        <v>15</v>
      </c>
      <c r="H5" s="39"/>
      <c r="I5" s="40" t="s">
        <v>256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2" si="0">G5+H5</f>
        <v>15</v>
      </c>
      <c r="U5" s="47">
        <f t="shared" ref="U5:U22" si="1">(O5/$A$10)*T5</f>
        <v>0.13186548883473675</v>
      </c>
      <c r="V5" s="48">
        <f t="shared" ref="V5:V22" si="2">N5-M5</f>
        <v>44110</v>
      </c>
      <c r="W5" s="49">
        <f t="shared" ref="W5:W22" si="3">(O5/A$10)</f>
        <v>8.7910325889824503E-3</v>
      </c>
      <c r="X5" s="44">
        <f t="shared" ref="X5:X22" si="4">W5*A$8</f>
        <v>3780.5154343893382</v>
      </c>
      <c r="Y5" s="44">
        <f t="shared" ref="Y5:Y22" si="5">Q5-P5</f>
        <v>44110</v>
      </c>
      <c r="Z5" s="44">
        <f t="shared" ref="Z5:Z22" si="6">X5+(A$6*W5)</f>
        <v>10975.702910640564</v>
      </c>
      <c r="AA5" s="50">
        <f t="shared" ref="AA5:AA22" si="7">Q5+X5</f>
        <v>53513.515434389337</v>
      </c>
      <c r="AB5" s="51">
        <f t="shared" ref="AB5:AC18" si="8">Z5/(1+ElecDiscountRate)^1</f>
        <v>10260.543059400359</v>
      </c>
      <c r="AC5" s="44">
        <f t="shared" si="8"/>
        <v>50026.657412722569</v>
      </c>
      <c r="AD5" s="44">
        <f t="shared" ref="AD5:AD22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2" si="10">AF5*J5*K5</f>
        <v>26932.097598299169</v>
      </c>
      <c r="AH5" s="52">
        <f>HLOOKUP(I5,ElecAvoidedCostsWOCC!$A$5:$Q$50,T5+1,FALSE)</f>
        <v>1.0293963841416951</v>
      </c>
      <c r="AI5" s="44">
        <f t="shared" ref="AI5:AI22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2.6248218483547907</v>
      </c>
      <c r="AP5" s="47">
        <f>AN5/AC5</f>
        <v>0.59219042187285742</v>
      </c>
      <c r="AQ5">
        <v>2021</v>
      </c>
    </row>
    <row r="6" spans="1:43" ht="13.5" customHeight="1">
      <c r="A6" s="53">
        <f>SUMIF('Program Costs'!D:D,C2,'Program Costs'!L:L)</f>
        <v>818468.98</v>
      </c>
      <c r="B6" s="97" t="s">
        <v>65</v>
      </c>
      <c r="C6" s="100">
        <v>18231137</v>
      </c>
      <c r="D6" s="100" t="s">
        <v>99</v>
      </c>
      <c r="E6" s="38" t="s">
        <v>1002</v>
      </c>
      <c r="F6" s="39" t="s">
        <v>1003</v>
      </c>
      <c r="G6" s="39">
        <v>15</v>
      </c>
      <c r="H6" s="39"/>
      <c r="I6" s="40" t="s">
        <v>256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0.31354733302221038</v>
      </c>
      <c r="V6" s="48">
        <f t="shared" si="2"/>
        <v>7675</v>
      </c>
      <c r="W6" s="49">
        <f t="shared" si="3"/>
        <v>2.0903155534814026E-2</v>
      </c>
      <c r="X6" s="44">
        <f t="shared" si="4"/>
        <v>8989.2400382913765</v>
      </c>
      <c r="Y6" s="44">
        <f t="shared" si="5"/>
        <v>7675</v>
      </c>
      <c r="Z6" s="44">
        <f t="shared" si="6"/>
        <v>26097.824427651965</v>
      </c>
      <c r="AA6" s="50">
        <f t="shared" si="7"/>
        <v>29044.240038291377</v>
      </c>
      <c r="AB6" s="51">
        <f t="shared" si="8"/>
        <v>24397.330492336136</v>
      </c>
      <c r="AC6" s="44">
        <f t="shared" si="8"/>
        <v>27151.762212107482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2" si="12">AG6+AI6</f>
        <v>64038.646117816439</v>
      </c>
      <c r="AK6" s="44">
        <f>HLOOKUP(I6,ElecAvoidedCostsWOCC!$A$5:$Q$50,G6+1,FALSE)*J6*L6</f>
        <v>0</v>
      </c>
      <c r="AL6" s="44">
        <f t="shared" ref="AL6:AL22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2" si="14">AM6*1.1+AD6+AE6</f>
        <v>70442.510729598085</v>
      </c>
      <c r="AO6" s="47">
        <f t="shared" ref="AO6:AO22" si="15">IFERROR(AM6/AB6,0)</f>
        <v>2.6248218483547912</v>
      </c>
      <c r="AP6" s="47">
        <f t="shared" ref="AP6:AP22" si="16">AN6/AC6</f>
        <v>2.5943992209163662</v>
      </c>
      <c r="AQ6">
        <v>2021</v>
      </c>
    </row>
    <row r="7" spans="1:43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1012</v>
      </c>
      <c r="F7" s="39" t="s">
        <v>1013</v>
      </c>
      <c r="G7" s="39">
        <v>20</v>
      </c>
      <c r="H7" s="39"/>
      <c r="I7" s="40" t="s">
        <v>260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0.90181754254366853</v>
      </c>
      <c r="V7" s="48">
        <f t="shared" si="2"/>
        <v>14134</v>
      </c>
      <c r="W7" s="49">
        <f t="shared" si="3"/>
        <v>4.5090877127183425E-2</v>
      </c>
      <c r="X7" s="44">
        <f t="shared" si="4"/>
        <v>19390.982254247498</v>
      </c>
      <c r="Y7" s="44">
        <f t="shared" si="5"/>
        <v>14134</v>
      </c>
      <c r="Z7" s="44">
        <f t="shared" si="6"/>
        <v>56296.466463838646</v>
      </c>
      <c r="AA7" s="50">
        <f t="shared" si="7"/>
        <v>66502.982254247501</v>
      </c>
      <c r="AB7" s="51">
        <f t="shared" si="8"/>
        <v>52628.275650966287</v>
      </c>
      <c r="AC7" s="44">
        <f t="shared" si="8"/>
        <v>62169.750634988777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3.2110107765237319</v>
      </c>
      <c r="AP7" s="47">
        <f t="shared" si="16"/>
        <v>2.9900225494391557</v>
      </c>
      <c r="AQ7">
        <v>2021</v>
      </c>
    </row>
    <row r="8" spans="1:43" ht="13.5" customHeight="1">
      <c r="A8" s="53">
        <f>SUMIF('Program Costs'!D:D,C2,'Program Costs'!O:O)</f>
        <v>430042.25</v>
      </c>
      <c r="B8" s="97" t="s">
        <v>65</v>
      </c>
      <c r="C8" s="100">
        <v>18231137</v>
      </c>
      <c r="D8" s="100" t="s">
        <v>99</v>
      </c>
      <c r="E8" s="38" t="s">
        <v>1012</v>
      </c>
      <c r="F8" s="39" t="s">
        <v>1013</v>
      </c>
      <c r="G8" s="39">
        <v>20</v>
      </c>
      <c r="H8" s="39"/>
      <c r="I8" s="40" t="s">
        <v>260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0.84120131814079291</v>
      </c>
      <c r="V8" s="48">
        <f t="shared" si="2"/>
        <v>81514.75</v>
      </c>
      <c r="W8" s="49">
        <f t="shared" si="3"/>
        <v>4.2060065907039645E-2</v>
      </c>
      <c r="X8" s="44">
        <f t="shared" si="4"/>
        <v>18087.605377811618</v>
      </c>
      <c r="Y8" s="44">
        <f t="shared" si="5"/>
        <v>81514.75</v>
      </c>
      <c r="Z8" s="44">
        <f t="shared" si="6"/>
        <v>52512.464619479128</v>
      </c>
      <c r="AA8" s="50">
        <f t="shared" si="7"/>
        <v>145645.35537781162</v>
      </c>
      <c r="AB8" s="51">
        <f t="shared" si="8"/>
        <v>49090.833522930843</v>
      </c>
      <c r="AC8" s="44">
        <f t="shared" si="8"/>
        <v>136155.32894999682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3.2110107765237323</v>
      </c>
      <c r="AP8" s="47">
        <f t="shared" si="16"/>
        <v>1.2735036987161115</v>
      </c>
      <c r="AQ8">
        <v>2021</v>
      </c>
    </row>
    <row r="9" spans="1:43" ht="13.5" customHeight="1">
      <c r="A9" s="36" t="s">
        <v>250</v>
      </c>
      <c r="B9" s="97" t="s">
        <v>65</v>
      </c>
      <c r="C9" s="100">
        <v>18231137</v>
      </c>
      <c r="D9" s="100" t="s">
        <v>99</v>
      </c>
      <c r="E9" s="38" t="s">
        <v>1042</v>
      </c>
      <c r="F9" s="39" t="s">
        <v>1043</v>
      </c>
      <c r="G9" s="39">
        <v>15</v>
      </c>
      <c r="H9" s="39"/>
      <c r="I9" s="40" t="s">
        <v>256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5.8999612546738591</v>
      </c>
      <c r="V9" s="48">
        <f t="shared" si="2"/>
        <v>480979</v>
      </c>
      <c r="W9" s="49">
        <f t="shared" si="3"/>
        <v>0.39333075031159059</v>
      </c>
      <c r="X9" s="44">
        <f t="shared" si="4"/>
        <v>169148.84085818462</v>
      </c>
      <c r="Y9" s="44">
        <f t="shared" si="5"/>
        <v>480979</v>
      </c>
      <c r="Z9" s="44">
        <f t="shared" si="6"/>
        <v>491077.85886834684</v>
      </c>
      <c r="AA9" s="50">
        <f t="shared" si="7"/>
        <v>1059834.8408581847</v>
      </c>
      <c r="AB9" s="51">
        <f t="shared" si="8"/>
        <v>459079.98398461886</v>
      </c>
      <c r="AC9" s="44">
        <f t="shared" si="8"/>
        <v>990777.63939252566</v>
      </c>
      <c r="AD9" s="44">
        <f t="shared" si="9"/>
        <v>0</v>
      </c>
      <c r="AE9" s="44">
        <f t="shared" ref="AE9:AE22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2.6248218483547912</v>
      </c>
      <c r="AP9" s="47">
        <f t="shared" si="16"/>
        <v>1.3378415464931357</v>
      </c>
      <c r="AQ9">
        <v>2021</v>
      </c>
    </row>
    <row r="10" spans="1:43" ht="13.5" customHeight="1">
      <c r="A10" s="54">
        <f>SUM(O5:O997)</f>
        <v>2976100.9</v>
      </c>
      <c r="B10" s="97" t="s">
        <v>65</v>
      </c>
      <c r="C10" s="100">
        <v>18231137</v>
      </c>
      <c r="D10" s="100" t="s">
        <v>99</v>
      </c>
      <c r="E10" s="38" t="s">
        <v>1044</v>
      </c>
      <c r="F10" s="39" t="s">
        <v>1045</v>
      </c>
      <c r="G10" s="39">
        <v>5</v>
      </c>
      <c r="H10" s="39"/>
      <c r="I10" s="40" t="s">
        <v>260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1.6954465488720494</v>
      </c>
      <c r="V10" s="48">
        <f t="shared" si="2"/>
        <v>15649.11</v>
      </c>
      <c r="W10" s="49">
        <f t="shared" si="3"/>
        <v>0.33908930977440987</v>
      </c>
      <c r="X10" s="44">
        <f t="shared" si="4"/>
        <v>145822.72972633422</v>
      </c>
      <c r="Y10" s="44">
        <f t="shared" si="5"/>
        <v>15649.11</v>
      </c>
      <c r="Z10" s="44">
        <f t="shared" si="6"/>
        <v>423356.8112262995</v>
      </c>
      <c r="AA10" s="50">
        <f t="shared" si="7"/>
        <v>198660.8397263342</v>
      </c>
      <c r="AB10" s="51">
        <f t="shared" si="8"/>
        <v>395771.53522137</v>
      </c>
      <c r="AC10" s="44">
        <f t="shared" si="8"/>
        <v>185716.40621326931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0.88145973472954908</v>
      </c>
      <c r="AP10" s="47">
        <f t="shared" si="16"/>
        <v>2.0662813131007622</v>
      </c>
      <c r="AQ10">
        <v>2021</v>
      </c>
    </row>
    <row r="11" spans="1:43" ht="13.5" customHeight="1">
      <c r="A11" s="36" t="s">
        <v>251</v>
      </c>
      <c r="B11" s="97" t="s">
        <v>65</v>
      </c>
      <c r="C11" s="100">
        <v>18231137</v>
      </c>
      <c r="D11" s="100" t="s">
        <v>99</v>
      </c>
      <c r="E11" s="38" t="s">
        <v>1046</v>
      </c>
      <c r="F11" s="39" t="s">
        <v>1047</v>
      </c>
      <c r="G11" s="39">
        <v>5</v>
      </c>
      <c r="H11" s="39"/>
      <c r="I11" s="40" t="s">
        <v>256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SUM(P5:P998)</f>
        <v>623441</v>
      </c>
      <c r="B12" s="97" t="s">
        <v>65</v>
      </c>
      <c r="C12" s="100">
        <v>18231137</v>
      </c>
      <c r="D12" s="100" t="s">
        <v>99</v>
      </c>
      <c r="E12" s="38" t="s">
        <v>1048</v>
      </c>
      <c r="F12" s="39" t="s">
        <v>1049</v>
      </c>
      <c r="G12" s="39">
        <v>3</v>
      </c>
      <c r="H12" s="39"/>
      <c r="I12" s="40" t="s">
        <v>256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0.18780210039249678</v>
      </c>
      <c r="V12" s="48">
        <f t="shared" si="2"/>
        <v>0</v>
      </c>
      <c r="W12" s="49">
        <f t="shared" si="3"/>
        <v>6.2600700130832257E-2</v>
      </c>
      <c r="X12" s="44">
        <f t="shared" si="4"/>
        <v>26920.945935838397</v>
      </c>
      <c r="Y12" s="44">
        <f t="shared" si="5"/>
        <v>0</v>
      </c>
      <c r="Z12" s="44">
        <f t="shared" si="6"/>
        <v>78157.67711920655</v>
      </c>
      <c r="AA12" s="50">
        <f t="shared" si="7"/>
        <v>30646.945935838397</v>
      </c>
      <c r="AB12" s="51">
        <f t="shared" si="8"/>
        <v>73065.043581571037</v>
      </c>
      <c r="AC12" s="44">
        <f t="shared" si="8"/>
        <v>28650.038268522385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0.56271837829287819</v>
      </c>
      <c r="AP12" s="47">
        <f t="shared" si="16"/>
        <v>1.5785859234688095</v>
      </c>
      <c r="AQ12">
        <v>2021</v>
      </c>
    </row>
    <row r="13" spans="1:43" ht="13.5" customHeight="1">
      <c r="A13" s="56" t="s">
        <v>252</v>
      </c>
      <c r="B13" s="97" t="s">
        <v>65</v>
      </c>
      <c r="C13" s="100">
        <v>18231137</v>
      </c>
      <c r="D13" s="100" t="s">
        <v>99</v>
      </c>
      <c r="E13" s="38" t="s">
        <v>1050</v>
      </c>
      <c r="F13" s="39" t="s">
        <v>1051</v>
      </c>
      <c r="G13" s="39">
        <v>1</v>
      </c>
      <c r="H13" s="39"/>
      <c r="I13" s="40" t="s">
        <v>256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7.9031636554116616E-2</v>
      </c>
      <c r="AG13" s="44">
        <f t="shared" si="10"/>
        <v>0</v>
      </c>
      <c r="AH13" s="52">
        <f>HLOOKUP(I13,ElecAvoidedCostsWOCC!$A$5:$Q$50,T13+1,FALSE)</f>
        <v>7.9031636554116616E-2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SUM(Y5:Y998)</f>
        <v>677598.86</v>
      </c>
      <c r="B14" s="97" t="s">
        <v>65</v>
      </c>
      <c r="C14" s="100">
        <v>18231137</v>
      </c>
      <c r="D14" s="100" t="s">
        <v>99</v>
      </c>
      <c r="E14" s="38" t="s">
        <v>1052</v>
      </c>
      <c r="F14" s="39" t="s">
        <v>1053</v>
      </c>
      <c r="G14" s="39">
        <v>1</v>
      </c>
      <c r="H14" s="39"/>
      <c r="I14" s="40" t="s">
        <v>256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7.9031636554116616E-2</v>
      </c>
      <c r="AG14" s="44">
        <f t="shared" si="10"/>
        <v>0</v>
      </c>
      <c r="AH14" s="52">
        <f>HLOOKUP(I14,ElecAvoidedCostsWOCC!$A$5:$Q$50,T14+1,FALSE)</f>
        <v>7.9031636554116616E-2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65</v>
      </c>
      <c r="C15" s="100">
        <v>18231137</v>
      </c>
      <c r="D15" s="100" t="s">
        <v>99</v>
      </c>
      <c r="E15" s="38" t="s">
        <v>994</v>
      </c>
      <c r="F15" s="39" t="s">
        <v>995</v>
      </c>
      <c r="G15" s="39">
        <v>15</v>
      </c>
      <c r="H15" s="39"/>
      <c r="I15" s="40" t="s">
        <v>256</v>
      </c>
      <c r="J15" s="41">
        <v>1</v>
      </c>
      <c r="K15" s="41">
        <v>11371</v>
      </c>
      <c r="L15" s="41"/>
      <c r="M15" s="42">
        <v>1800</v>
      </c>
      <c r="N15" s="42">
        <v>2571</v>
      </c>
      <c r="O15" s="43">
        <v>11371</v>
      </c>
      <c r="P15" s="44">
        <v>1800</v>
      </c>
      <c r="Q15" s="44">
        <v>2571</v>
      </c>
      <c r="R15" s="45"/>
      <c r="S15" s="46"/>
      <c r="T15" s="39">
        <f t="shared" si="0"/>
        <v>15</v>
      </c>
      <c r="U15" s="47">
        <f t="shared" si="1"/>
        <v>5.7311564940556961E-2</v>
      </c>
      <c r="V15" s="48">
        <f t="shared" si="2"/>
        <v>771</v>
      </c>
      <c r="W15" s="49">
        <f t="shared" si="3"/>
        <v>3.8207709960371306E-3</v>
      </c>
      <c r="X15" s="44">
        <f t="shared" si="4"/>
        <v>1643.0929558705488</v>
      </c>
      <c r="Y15" s="44">
        <f t="shared" si="5"/>
        <v>771</v>
      </c>
      <c r="Z15" s="44">
        <f t="shared" si="6"/>
        <v>4770.2754958106434</v>
      </c>
      <c r="AA15" s="50">
        <f t="shared" si="7"/>
        <v>4214.0929558705484</v>
      </c>
      <c r="AB15" s="51">
        <f t="shared" si="8"/>
        <v>4459.4517115178487</v>
      </c>
      <c r="AC15" s="44">
        <f t="shared" si="8"/>
        <v>3939.5091669351668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11705.266284075215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11705.266284075215</v>
      </c>
      <c r="AK15" s="44">
        <f>HLOOKUP(I15,ElecAvoidedCostsWOCC!$A$5:$Q$50,G15+1,FALSE)*J15*L15</f>
        <v>0</v>
      </c>
      <c r="AL15" s="44">
        <f t="shared" si="13"/>
        <v>11705.266284075215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11705.266284075215</v>
      </c>
      <c r="AN15" s="48">
        <f t="shared" si="14"/>
        <v>12875.792912482737</v>
      </c>
      <c r="AO15" s="47">
        <f t="shared" si="15"/>
        <v>2.6248218483547907</v>
      </c>
      <c r="AP15" s="47">
        <f t="shared" si="16"/>
        <v>3.2683749083644753</v>
      </c>
    </row>
    <row r="16" spans="1:43" ht="13.5" customHeight="1">
      <c r="A16" s="54">
        <f>SUM(U5:U997)</f>
        <v>11.561760725249606</v>
      </c>
      <c r="B16" s="97" t="s">
        <v>65</v>
      </c>
      <c r="C16" s="100">
        <v>18231137</v>
      </c>
      <c r="D16" s="100" t="s">
        <v>99</v>
      </c>
      <c r="E16" s="38" t="s">
        <v>1002</v>
      </c>
      <c r="F16" s="39" t="s">
        <v>1003</v>
      </c>
      <c r="G16" s="39">
        <v>15</v>
      </c>
      <c r="H16" s="39"/>
      <c r="I16" s="40" t="s">
        <v>256</v>
      </c>
      <c r="J16" s="41">
        <v>1</v>
      </c>
      <c r="K16" s="41">
        <v>33021</v>
      </c>
      <c r="L16" s="41"/>
      <c r="M16" s="42">
        <v>8748</v>
      </c>
      <c r="N16" s="42">
        <v>13559</v>
      </c>
      <c r="O16" s="43">
        <v>33021</v>
      </c>
      <c r="P16" s="44">
        <v>8748</v>
      </c>
      <c r="Q16" s="44">
        <v>13559</v>
      </c>
      <c r="R16" s="45"/>
      <c r="S16" s="46"/>
      <c r="T16" s="39">
        <f t="shared" si="0"/>
        <v>15</v>
      </c>
      <c r="U16" s="47">
        <f t="shared" si="1"/>
        <v>0.16643084916912596</v>
      </c>
      <c r="V16" s="48">
        <f t="shared" si="2"/>
        <v>4811</v>
      </c>
      <c r="W16" s="49">
        <f t="shared" si="3"/>
        <v>1.1095389944608397E-2</v>
      </c>
      <c r="X16" s="44">
        <f t="shared" si="4"/>
        <v>4771.4864564067702</v>
      </c>
      <c r="Y16" s="44">
        <f t="shared" si="5"/>
        <v>4811</v>
      </c>
      <c r="Z16" s="44">
        <f t="shared" si="6"/>
        <v>13852.718947072661</v>
      </c>
      <c r="AA16" s="50">
        <f t="shared" si="7"/>
        <v>18330.486456406768</v>
      </c>
      <c r="AB16" s="51">
        <f t="shared" si="8"/>
        <v>12950.097174041937</v>
      </c>
      <c r="AC16" s="44">
        <f t="shared" si="8"/>
        <v>17136.100267744943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33991.698000742916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33991.698000742916</v>
      </c>
      <c r="AK16" s="44">
        <f>HLOOKUP(I16,ElecAvoidedCostsWOCC!$A$5:$Q$50,G16+1,FALSE)*J16*L16</f>
        <v>0</v>
      </c>
      <c r="AL16" s="44">
        <f t="shared" si="13"/>
        <v>33991.698000742916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33991.698000742916</v>
      </c>
      <c r="AN16" s="48">
        <f t="shared" si="14"/>
        <v>37390.867800817214</v>
      </c>
      <c r="AO16" s="47">
        <f t="shared" si="15"/>
        <v>2.6248218483547912</v>
      </c>
      <c r="AP16" s="47">
        <f t="shared" si="16"/>
        <v>2.1819939902661258</v>
      </c>
    </row>
    <row r="17" spans="1:42" ht="13.5" customHeight="1">
      <c r="A17" s="58" t="s">
        <v>254</v>
      </c>
      <c r="B17" s="37" t="s">
        <v>65</v>
      </c>
      <c r="C17">
        <v>18231137</v>
      </c>
      <c r="D17" t="s">
        <v>99</v>
      </c>
      <c r="E17" s="38" t="s">
        <v>1002</v>
      </c>
      <c r="F17" s="39" t="s">
        <v>1003</v>
      </c>
      <c r="G17" s="39">
        <v>15</v>
      </c>
      <c r="H17" s="39"/>
      <c r="I17" s="40" t="s">
        <v>256</v>
      </c>
      <c r="J17" s="41">
        <v>1</v>
      </c>
      <c r="K17" s="41">
        <v>58321</v>
      </c>
      <c r="L17" s="41"/>
      <c r="M17" s="42">
        <v>9086</v>
      </c>
      <c r="N17" s="42">
        <v>16400</v>
      </c>
      <c r="O17" s="43">
        <v>58321</v>
      </c>
      <c r="P17" s="44">
        <v>9086</v>
      </c>
      <c r="Q17" s="44">
        <v>16400</v>
      </c>
      <c r="R17" s="45"/>
      <c r="S17" s="46"/>
      <c r="T17" s="39">
        <f t="shared" si="0"/>
        <v>15</v>
      </c>
      <c r="U17" s="47">
        <f t="shared" si="1"/>
        <v>0.29394668708980937</v>
      </c>
      <c r="V17" s="48">
        <f t="shared" si="2"/>
        <v>7314</v>
      </c>
      <c r="W17" s="49">
        <f t="shared" si="3"/>
        <v>1.9596445805987291E-2</v>
      </c>
      <c r="X17" s="44">
        <f t="shared" si="4"/>
        <v>8427.2996464098378</v>
      </c>
      <c r="Y17" s="44">
        <f t="shared" si="5"/>
        <v>7314</v>
      </c>
      <c r="Z17" s="44">
        <f t="shared" si="6"/>
        <v>24466.382656861533</v>
      </c>
      <c r="AA17" s="50">
        <f t="shared" si="7"/>
        <v>24827.29964640984</v>
      </c>
      <c r="AB17" s="51">
        <f t="shared" si="8"/>
        <v>22872.190947799878</v>
      </c>
      <c r="AC17" s="44">
        <f t="shared" si="8"/>
        <v>23209.591143694342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60035.426519527799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60035.426519527799</v>
      </c>
      <c r="AK17" s="44">
        <f>HLOOKUP(I17,ElecAvoidedCostsWOCC!$A$5:$Q$50,G17+1,FALSE)*J17*L17</f>
        <v>0</v>
      </c>
      <c r="AL17" s="44">
        <f t="shared" si="13"/>
        <v>60035.426519527799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60035.426519527799</v>
      </c>
      <c r="AN17" s="48">
        <f t="shared" si="14"/>
        <v>66038.969171480581</v>
      </c>
      <c r="AO17" s="47">
        <f t="shared" si="15"/>
        <v>2.6248218483547912</v>
      </c>
      <c r="AP17" s="47">
        <f t="shared" si="16"/>
        <v>2.8453309996984699</v>
      </c>
    </row>
    <row r="18" spans="1:42" ht="13.5" customHeight="1">
      <c r="A18" s="59">
        <f>A6+A8</f>
        <v>1248511.23</v>
      </c>
      <c r="B18" s="37" t="s">
        <v>65</v>
      </c>
      <c r="C18">
        <v>18231137</v>
      </c>
      <c r="D18" t="s">
        <v>99</v>
      </c>
      <c r="E18" s="38" t="s">
        <v>1012</v>
      </c>
      <c r="F18" s="39" t="s">
        <v>1013</v>
      </c>
      <c r="G18" s="39">
        <v>20</v>
      </c>
      <c r="H18" s="39"/>
      <c r="I18" s="40" t="s">
        <v>256</v>
      </c>
      <c r="J18" s="41">
        <v>1</v>
      </c>
      <c r="K18" s="41">
        <v>159583</v>
      </c>
      <c r="L18" s="41"/>
      <c r="M18" s="42">
        <v>48161</v>
      </c>
      <c r="N18" s="42">
        <v>68802</v>
      </c>
      <c r="O18" s="43">
        <v>159583</v>
      </c>
      <c r="P18" s="44">
        <v>48161</v>
      </c>
      <c r="Q18" s="44">
        <v>68802</v>
      </c>
      <c r="R18" s="45"/>
      <c r="S18" s="46"/>
      <c r="T18" s="39">
        <f t="shared" si="0"/>
        <v>20</v>
      </c>
      <c r="U18" s="47">
        <f t="shared" si="1"/>
        <v>1.0724300375702989</v>
      </c>
      <c r="V18" s="48">
        <f t="shared" si="2"/>
        <v>20641</v>
      </c>
      <c r="W18" s="49">
        <f t="shared" si="3"/>
        <v>5.3621501878514943E-2</v>
      </c>
      <c r="X18" s="44">
        <f t="shared" si="4"/>
        <v>23059.511316215794</v>
      </c>
      <c r="Y18" s="44">
        <f t="shared" si="5"/>
        <v>20641</v>
      </c>
      <c r="Z18" s="44">
        <f t="shared" si="6"/>
        <v>66947.047264791996</v>
      </c>
      <c r="AA18" s="50">
        <f t="shared" si="7"/>
        <v>91861.511316215794</v>
      </c>
      <c r="AB18" s="51">
        <f t="shared" si="8"/>
        <v>62584.881055241647</v>
      </c>
      <c r="AC18" s="44">
        <f t="shared" si="8"/>
        <v>85875.957105932306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1.2902164218576104</v>
      </c>
      <c r="AG18" s="44">
        <f t="shared" si="10"/>
        <v>205896.60724930305</v>
      </c>
      <c r="AH18" s="52">
        <f>HLOOKUP(I18,ElecAvoidedCostsWOCC!$A$5:$Q$50,T18+1,FALSE)</f>
        <v>1.2902164218576104</v>
      </c>
      <c r="AI18" s="44">
        <f t="shared" si="11"/>
        <v>0</v>
      </c>
      <c r="AJ18" s="44">
        <f t="shared" si="12"/>
        <v>205896.60724930305</v>
      </c>
      <c r="AK18" s="44">
        <f>HLOOKUP(I18,ElecAvoidedCostsWOCC!$A$5:$Q$50,G18+1,FALSE)*J18*L18</f>
        <v>0</v>
      </c>
      <c r="AL18" s="44">
        <f t="shared" si="13"/>
        <v>205896.60724930305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205896.60724930305</v>
      </c>
      <c r="AN18" s="48">
        <f t="shared" si="14"/>
        <v>226486.26797423337</v>
      </c>
      <c r="AO18" s="47">
        <f t="shared" si="15"/>
        <v>3.2898777432774025</v>
      </c>
      <c r="AP18" s="47">
        <f t="shared" si="16"/>
        <v>2.637365283682966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ref="AB19:AC22" si="18">Z19/(1+ElecDiscountRate)^1</f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A8+SUM(Q5:Q904)</f>
        <v>1731082.11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18"/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(SUM(AM5:AM998)/(SUM(AB5:AB998)))</f>
        <v>1.991325485395711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ref="T23:T45" si="19">G23+H23</f>
        <v>0</v>
      </c>
      <c r="U23" s="47">
        <f t="shared" ref="U23:U45" si="20">(O23/$A$10)*T23</f>
        <v>0</v>
      </c>
      <c r="V23" s="48">
        <f t="shared" ref="V23:V45" si="21">N23-M23</f>
        <v>0</v>
      </c>
      <c r="W23" s="49">
        <f t="shared" ref="W23:W45" si="22">(O23/A$10)</f>
        <v>0</v>
      </c>
      <c r="X23" s="44">
        <f t="shared" ref="X23:X45" si="23">W23*A$8</f>
        <v>0</v>
      </c>
      <c r="Y23" s="44">
        <f t="shared" ref="Y23:Y45" si="24">Q23-P23</f>
        <v>0</v>
      </c>
      <c r="Z23" s="44">
        <f t="shared" ref="Z23:Z45" si="25">X23+(A$6*W23)</f>
        <v>0</v>
      </c>
      <c r="AA23" s="50">
        <f t="shared" ref="AA23:AA45" si="26">Q23+X23</f>
        <v>0</v>
      </c>
      <c r="AB23" s="51">
        <f t="shared" ref="AB23:AB45" si="27">Z23/(1+ElecDiscountRate)^1</f>
        <v>0</v>
      </c>
      <c r="AC23" s="44">
        <f t="shared" ref="AC23:AC45" si="28">AA23/(1+ElecDiscountRate)^1</f>
        <v>0</v>
      </c>
      <c r="AD23" s="44">
        <f t="shared" ref="AD23:AD45" si="29">-PV(ElecDiscountRate,T23,R23)*J23</f>
        <v>0</v>
      </c>
      <c r="AE23" s="44">
        <f t="shared" ref="AE23:AE45" si="30">-PV(ElecDiscountRate,T23,S23)*J23</f>
        <v>0</v>
      </c>
      <c r="AF23" s="52" t="e">
        <f>HLOOKUP(I23,ElecAvoidedCostsWOCC!$A$5:$Q$50,G23+1,FALSE)</f>
        <v>#N/A</v>
      </c>
      <c r="AG23" s="44" t="e">
        <f t="shared" ref="AG23:AG45" si="31">AF23*J23*K23</f>
        <v>#N/A</v>
      </c>
      <c r="AH23" s="52" t="e">
        <f>HLOOKUP(I23,ElecAvoidedCostsWOCC!$A$5:$Q$50,T23+1,FALSE)</f>
        <v>#N/A</v>
      </c>
      <c r="AI23" s="44" t="e">
        <f t="shared" ref="AI23:AI45" si="32">AH23*J23*L23</f>
        <v>#N/A</v>
      </c>
      <c r="AJ23" s="44" t="e">
        <f t="shared" ref="AJ23:AJ45" si="33">AG23+AI23</f>
        <v>#N/A</v>
      </c>
      <c r="AK23" s="44" t="e">
        <f>HLOOKUP(I23,ElecAvoidedCostsWOCC!$A$5:$Q$50,G23+1,FALSE)*J23*L23</f>
        <v>#N/A</v>
      </c>
      <c r="AL23" s="44" t="e">
        <f t="shared" ref="AL23:AL45" si="34">AG23+AI23-AK23</f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ref="AN23:AN45" si="35">AM23*1.1+AD23+AE23</f>
        <v>0</v>
      </c>
      <c r="AO23" s="47">
        <f t="shared" ref="AO23:AO45" si="36">IFERROR(AM23/AB23,0)</f>
        <v>0</v>
      </c>
      <c r="AP23" s="47" t="e">
        <f t="shared" ref="AP23:AP45" si="37">AN23/AC23</f>
        <v>#DIV/0!</v>
      </c>
    </row>
    <row r="24" spans="1:42" ht="13.5" customHeight="1">
      <c r="A24" s="60">
        <f>(SUM(AN5:AN998)/SUM(AC5:AC998))</f>
        <v>1.5798276918313952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</sheetData>
  <conditionalFormatting sqref="J5:L4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45 R5:S45">
    <cfRule type="expression" dxfId="232" priority="2">
      <formula>ISTEXT(M5)</formula>
    </cfRule>
  </conditionalFormatting>
  <conditionalFormatting sqref="M5:N45 R5:S45">
    <cfRule type="notContainsBlanks" dxfId="231" priority="3">
      <formula>LEN(TRIM(M5))&gt;0</formula>
    </cfRule>
  </conditionalFormatting>
  <conditionalFormatting sqref="R5:S45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18230013</v>
      </c>
      <c r="D2" s="20" t="s">
        <v>507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18230013</v>
      </c>
      <c r="D5" s="100" t="s">
        <v>507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57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4722671.5999999996</v>
      </c>
      <c r="B6" s="97" t="s">
        <v>129</v>
      </c>
      <c r="C6" s="98">
        <v>18230715</v>
      </c>
      <c r="D6" s="61" t="s">
        <v>130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2.0160662075311593E-2</v>
      </c>
      <c r="V6" s="48">
        <f t="shared" si="2"/>
        <v>0</v>
      </c>
      <c r="W6" s="49">
        <f t="shared" si="3"/>
        <v>1.3440441383541061E-3</v>
      </c>
      <c r="X6" s="44">
        <f t="shared" si="4"/>
        <v>766.61525049322927</v>
      </c>
      <c r="Y6" s="44">
        <f t="shared" si="5"/>
        <v>0</v>
      </c>
      <c r="Z6" s="44">
        <f t="shared" si="6"/>
        <v>7114.0943318446371</v>
      </c>
      <c r="AA6" s="50">
        <f t="shared" si="7"/>
        <v>11829.615250493229</v>
      </c>
      <c r="AB6" s="51">
        <f t="shared" si="8"/>
        <v>6650.5509318917793</v>
      </c>
      <c r="AC6" s="44">
        <f t="shared" si="8"/>
        <v>11058.815789934773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5.7081105374797785</v>
      </c>
      <c r="AP6" s="47">
        <f t="shared" ref="AP6:AP24" si="16">AN6/AC6</f>
        <v>3.7760180324028592</v>
      </c>
      <c r="AQ6">
        <v>2021</v>
      </c>
    </row>
    <row r="7" spans="1:43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4.4068305490831051E-2</v>
      </c>
      <c r="V7" s="48">
        <f t="shared" si="2"/>
        <v>0</v>
      </c>
      <c r="W7" s="49">
        <f t="shared" si="3"/>
        <v>2.93788703272207E-3</v>
      </c>
      <c r="X7" s="44">
        <f t="shared" si="4"/>
        <v>1675.7105955382399</v>
      </c>
      <c r="Y7" s="44">
        <f t="shared" si="5"/>
        <v>0</v>
      </c>
      <c r="Z7" s="44">
        <f t="shared" si="6"/>
        <v>15550.386248983028</v>
      </c>
      <c r="AA7" s="50">
        <f t="shared" si="7"/>
        <v>29889.710595538239</v>
      </c>
      <c r="AB7" s="51">
        <f t="shared" si="8"/>
        <v>14537.147096366296</v>
      </c>
      <c r="AC7" s="44">
        <f t="shared" si="8"/>
        <v>27942.143213553554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5.7081105374797803</v>
      </c>
      <c r="AP7" s="47">
        <f t="shared" si="16"/>
        <v>3.2666644816977866</v>
      </c>
      <c r="AQ7">
        <v>2021</v>
      </c>
    </row>
    <row r="8" spans="1:43" ht="13.5" customHeight="1">
      <c r="A8" s="53">
        <f>SUMIF('Program Costs'!D:D,C2,'Program Costs'!O:O)</f>
        <v>570379.52000000048</v>
      </c>
      <c r="B8" s="97" t="s">
        <v>129</v>
      </c>
      <c r="C8" s="98">
        <v>18230715</v>
      </c>
      <c r="D8" s="61" t="s">
        <v>130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0.75842532316484013</v>
      </c>
      <c r="V8" s="48">
        <f t="shared" si="2"/>
        <v>0</v>
      </c>
      <c r="W8" s="49">
        <f t="shared" si="3"/>
        <v>5.0561688210989345E-2</v>
      </c>
      <c r="X8" s="44">
        <f t="shared" si="4"/>
        <v>28839.351452173785</v>
      </c>
      <c r="Y8" s="44">
        <f t="shared" si="5"/>
        <v>0</v>
      </c>
      <c r="Z8" s="44">
        <f t="shared" si="6"/>
        <v>267625.60041426797</v>
      </c>
      <c r="AA8" s="50">
        <f t="shared" si="7"/>
        <v>484683.35145217378</v>
      </c>
      <c r="AB8" s="51">
        <f t="shared" si="8"/>
        <v>250187.52960107315</v>
      </c>
      <c r="AC8" s="44">
        <f t="shared" si="8"/>
        <v>453102.13279627345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5.7081105374797794</v>
      </c>
      <c r="AP8" s="47">
        <f t="shared" si="16"/>
        <v>3.4670061510710948</v>
      </c>
      <c r="AQ8">
        <v>2021</v>
      </c>
    </row>
    <row r="9" spans="1:43" ht="13.5" customHeight="1">
      <c r="A9" s="36" t="s">
        <v>250</v>
      </c>
      <c r="B9" s="97" t="s">
        <v>129</v>
      </c>
      <c r="C9" s="98">
        <v>18230715</v>
      </c>
      <c r="D9" s="61" t="s">
        <v>130</v>
      </c>
      <c r="E9" s="38" t="s">
        <v>990</v>
      </c>
      <c r="F9" s="39" t="s">
        <v>991</v>
      </c>
      <c r="G9" s="39">
        <v>15</v>
      </c>
      <c r="H9" s="39"/>
      <c r="I9" s="40" t="s">
        <v>261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2021</v>
      </c>
    </row>
    <row r="10" spans="1:43" ht="13.5" customHeight="1">
      <c r="A10" s="54">
        <f>SUM(O5:O999)</f>
        <v>27438087</v>
      </c>
      <c r="B10" s="97" t="s">
        <v>129</v>
      </c>
      <c r="C10" s="98">
        <v>18230715</v>
      </c>
      <c r="D10" s="61" t="s">
        <v>130</v>
      </c>
      <c r="E10" s="38" t="s">
        <v>990</v>
      </c>
      <c r="F10" s="39" t="s">
        <v>991</v>
      </c>
      <c r="G10" s="39">
        <v>15</v>
      </c>
      <c r="H10" s="39"/>
      <c r="I10" s="40" t="s">
        <v>261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8.2604155311556519E-4</v>
      </c>
      <c r="V10" s="48">
        <f t="shared" si="2"/>
        <v>1807.0200000000002</v>
      </c>
      <c r="W10" s="49">
        <f t="shared" si="3"/>
        <v>5.5069436874371014E-5</v>
      </c>
      <c r="X10" s="44">
        <f t="shared" si="4"/>
        <v>31.410478971074067</v>
      </c>
      <c r="Y10" s="44">
        <f t="shared" si="5"/>
        <v>1807.0200000000002</v>
      </c>
      <c r="Z10" s="44">
        <f t="shared" si="6"/>
        <v>291.48534452565877</v>
      </c>
      <c r="AA10" s="50">
        <f t="shared" si="7"/>
        <v>3023.2304789710743</v>
      </c>
      <c r="AB10" s="51">
        <f t="shared" si="8"/>
        <v>272.49260963415793</v>
      </c>
      <c r="AC10" s="44">
        <f t="shared" si="8"/>
        <v>2826.2414499121942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7.6454946706933562</v>
      </c>
      <c r="AP10" s="47">
        <f t="shared" si="16"/>
        <v>0.81085601313667144</v>
      </c>
      <c r="AQ10">
        <v>2021</v>
      </c>
    </row>
    <row r="11" spans="1:43" ht="13.5" customHeight="1">
      <c r="A11" s="36" t="s">
        <v>251</v>
      </c>
      <c r="B11" s="97" t="s">
        <v>129</v>
      </c>
      <c r="C11" s="98">
        <v>18230715</v>
      </c>
      <c r="D11" s="61" t="s">
        <v>130</v>
      </c>
      <c r="E11" s="38" t="s">
        <v>994</v>
      </c>
      <c r="F11" s="39" t="s">
        <v>995</v>
      </c>
      <c r="G11" s="39">
        <v>15</v>
      </c>
      <c r="H11" s="39"/>
      <c r="I11" s="40" t="s">
        <v>256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0.12014011764012555</v>
      </c>
      <c r="V11" s="48">
        <f t="shared" si="2"/>
        <v>1746</v>
      </c>
      <c r="W11" s="49">
        <f t="shared" si="3"/>
        <v>8.0093411760083708E-3</v>
      </c>
      <c r="X11" s="44">
        <f t="shared" si="4"/>
        <v>4568.3641754878936</v>
      </c>
      <c r="Y11" s="44">
        <f t="shared" si="5"/>
        <v>1746</v>
      </c>
      <c r="Z11" s="44">
        <f t="shared" si="6"/>
        <v>42393.852282133223</v>
      </c>
      <c r="AA11" s="50">
        <f t="shared" si="7"/>
        <v>29214.364175487892</v>
      </c>
      <c r="AB11" s="51">
        <f t="shared" si="8"/>
        <v>39631.534338724145</v>
      </c>
      <c r="AC11" s="44">
        <f t="shared" si="8"/>
        <v>27310.801323256885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5.7081105374797803</v>
      </c>
      <c r="AP11" s="47">
        <f t="shared" si="16"/>
        <v>9.1115340669624914</v>
      </c>
      <c r="AQ11">
        <v>2021</v>
      </c>
    </row>
    <row r="12" spans="1:43" ht="13.5" customHeight="1">
      <c r="A12" s="55">
        <f>SUM(P5:P1000)</f>
        <v>4722671.5999999996</v>
      </c>
      <c r="B12" s="97" t="s">
        <v>129</v>
      </c>
      <c r="C12" s="98">
        <v>18230715</v>
      </c>
      <c r="D12" s="61" t="s">
        <v>130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1.8428398452122408E-2</v>
      </c>
      <c r="V12" s="48">
        <f t="shared" si="2"/>
        <v>0</v>
      </c>
      <c r="W12" s="49">
        <f t="shared" si="3"/>
        <v>9.2141992260612044E-4</v>
      </c>
      <c r="X12" s="44">
        <f t="shared" si="4"/>
        <v>525.55905317451652</v>
      </c>
      <c r="Y12" s="44">
        <f t="shared" si="5"/>
        <v>0</v>
      </c>
      <c r="Z12" s="44">
        <f t="shared" si="6"/>
        <v>4877.1227533406391</v>
      </c>
      <c r="AA12" s="50">
        <f t="shared" si="7"/>
        <v>4949.5590531745165</v>
      </c>
      <c r="AB12" s="51">
        <f t="shared" si="8"/>
        <v>4559.3369667576317</v>
      </c>
      <c r="AC12" s="44">
        <f t="shared" si="8"/>
        <v>4627.0534291619297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7.3153945445942661</v>
      </c>
      <c r="AP12" s="47">
        <f t="shared" si="16"/>
        <v>7.929167927846799</v>
      </c>
      <c r="AQ12">
        <v>2021</v>
      </c>
    </row>
    <row r="13" spans="1:43" ht="13.5" customHeight="1">
      <c r="A13" s="56" t="s">
        <v>252</v>
      </c>
      <c r="B13" s="97" t="s">
        <v>129</v>
      </c>
      <c r="C13" s="98">
        <v>18230715</v>
      </c>
      <c r="D13" s="61" t="s">
        <v>130</v>
      </c>
      <c r="E13" s="38" t="s">
        <v>996</v>
      </c>
      <c r="F13" s="39" t="s">
        <v>997</v>
      </c>
      <c r="G13" s="39">
        <v>1</v>
      </c>
      <c r="H13" s="39"/>
      <c r="I13" s="40" t="s">
        <v>257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1.4782371671902636E-4</v>
      </c>
      <c r="V13" s="48">
        <f t="shared" si="2"/>
        <v>0</v>
      </c>
      <c r="W13" s="49">
        <f t="shared" si="3"/>
        <v>1.4782371671902636E-4</v>
      </c>
      <c r="X13" s="44">
        <f t="shared" si="4"/>
        <v>84.315620586814305</v>
      </c>
      <c r="Y13" s="44">
        <f t="shared" si="5"/>
        <v>0</v>
      </c>
      <c r="Z13" s="44">
        <f t="shared" si="6"/>
        <v>782.43848934220523</v>
      </c>
      <c r="AA13" s="50">
        <f t="shared" si="7"/>
        <v>4027.3156205868145</v>
      </c>
      <c r="AB13" s="51">
        <f t="shared" si="8"/>
        <v>731.45600574198852</v>
      </c>
      <c r="AC13" s="44">
        <f t="shared" si="8"/>
        <v>3764.9019543674058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0.45262129496892323</v>
      </c>
      <c r="AP13" s="47">
        <f t="shared" si="16"/>
        <v>9.6730227081331666E-2</v>
      </c>
      <c r="AQ13">
        <v>2021</v>
      </c>
    </row>
    <row r="14" spans="1:43" ht="13.5" customHeight="1">
      <c r="A14" s="55">
        <f>SUM(Y5:Y1000)</f>
        <v>1094457.4600000002</v>
      </c>
      <c r="B14" s="97" t="s">
        <v>129</v>
      </c>
      <c r="C14" s="98">
        <v>18230715</v>
      </c>
      <c r="D14" s="61" t="s">
        <v>130</v>
      </c>
      <c r="E14" s="38" t="s">
        <v>996</v>
      </c>
      <c r="F14" s="39" t="s">
        <v>997</v>
      </c>
      <c r="G14" s="39">
        <v>7</v>
      </c>
      <c r="H14" s="39"/>
      <c r="I14" s="40" t="s">
        <v>257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1.2481227280896077</v>
      </c>
      <c r="V14" s="48">
        <f t="shared" si="2"/>
        <v>479800</v>
      </c>
      <c r="W14" s="49">
        <f t="shared" si="3"/>
        <v>0.17830324686994395</v>
      </c>
      <c r="X14" s="44">
        <f t="shared" si="4"/>
        <v>101700.52036412022</v>
      </c>
      <c r="Y14" s="44">
        <f t="shared" si="5"/>
        <v>479800</v>
      </c>
      <c r="Z14" s="44">
        <f t="shared" si="6"/>
        <v>943768.20054459339</v>
      </c>
      <c r="AA14" s="50">
        <f t="shared" si="7"/>
        <v>1358011.5203641201</v>
      </c>
      <c r="AB14" s="51">
        <f t="shared" si="8"/>
        <v>882273.72211329651</v>
      </c>
      <c r="AC14" s="44">
        <f t="shared" si="8"/>
        <v>1269525.5869534635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2.854169526740165</v>
      </c>
      <c r="AP14" s="47">
        <f t="shared" si="16"/>
        <v>2.1818974564636866</v>
      </c>
      <c r="AQ14">
        <v>2021</v>
      </c>
    </row>
    <row r="15" spans="1:43" ht="13.5" customHeight="1">
      <c r="A15" s="57" t="s">
        <v>253</v>
      </c>
      <c r="B15" s="97" t="s">
        <v>129</v>
      </c>
      <c r="C15" s="98">
        <v>18230715</v>
      </c>
      <c r="D15" s="61" t="s">
        <v>130</v>
      </c>
      <c r="E15" s="38" t="s">
        <v>996</v>
      </c>
      <c r="F15" s="39" t="s">
        <v>997</v>
      </c>
      <c r="G15" s="39">
        <v>10</v>
      </c>
      <c r="H15" s="39"/>
      <c r="I15" s="40" t="s">
        <v>257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0.10345837885855526</v>
      </c>
      <c r="V15" s="48">
        <f t="shared" si="2"/>
        <v>41706</v>
      </c>
      <c r="W15" s="49">
        <f t="shared" si="3"/>
        <v>1.0345837885855526E-2</v>
      </c>
      <c r="X15" s="44">
        <f t="shared" si="4"/>
        <v>5901.0540473320953</v>
      </c>
      <c r="Y15" s="44">
        <f t="shared" si="5"/>
        <v>41706</v>
      </c>
      <c r="Z15" s="44">
        <f t="shared" si="6"/>
        <v>54761.048809066029</v>
      </c>
      <c r="AA15" s="50">
        <f t="shared" si="7"/>
        <v>97285.054047332102</v>
      </c>
      <c r="AB15" s="51">
        <f t="shared" si="8"/>
        <v>51192.903439343761</v>
      </c>
      <c r="AC15" s="44">
        <f t="shared" si="8"/>
        <v>90946.11016858193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4.0361287300797546</v>
      </c>
      <c r="AP15" s="47">
        <f t="shared" si="16"/>
        <v>2.4990982325819613</v>
      </c>
      <c r="AQ15">
        <v>2021</v>
      </c>
    </row>
    <row r="16" spans="1:43" ht="13.5" customHeight="1">
      <c r="A16" s="54">
        <f>SUM(U5:U999)</f>
        <v>16.494743383531073</v>
      </c>
      <c r="B16" s="97" t="s">
        <v>129</v>
      </c>
      <c r="C16" s="98">
        <v>18230715</v>
      </c>
      <c r="D16" s="61" t="s">
        <v>130</v>
      </c>
      <c r="E16" s="38" t="s">
        <v>996</v>
      </c>
      <c r="F16" s="39" t="s">
        <v>997</v>
      </c>
      <c r="G16" s="39">
        <v>11</v>
      </c>
      <c r="H16" s="39"/>
      <c r="I16" s="40" t="s">
        <v>257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4.9630938191864468E-2</v>
      </c>
      <c r="V16" s="48">
        <f t="shared" si="2"/>
        <v>10812</v>
      </c>
      <c r="W16" s="49">
        <f t="shared" si="3"/>
        <v>4.5119034719876792E-3</v>
      </c>
      <c r="X16" s="44">
        <f t="shared" si="4"/>
        <v>2573.497336638668</v>
      </c>
      <c r="Y16" s="44">
        <f t="shared" si="5"/>
        <v>10812</v>
      </c>
      <c r="Z16" s="44">
        <f t="shared" si="6"/>
        <v>23881.735725736275</v>
      </c>
      <c r="AA16" s="50">
        <f t="shared" si="7"/>
        <v>35050.497336638669</v>
      </c>
      <c r="AB16" s="51">
        <f t="shared" si="8"/>
        <v>22325.638707802442</v>
      </c>
      <c r="AC16" s="44">
        <f t="shared" si="8"/>
        <v>32766.661060707364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4.4295305441437085</v>
      </c>
      <c r="AP16" s="47">
        <f t="shared" si="16"/>
        <v>3.3198777327222868</v>
      </c>
      <c r="AQ16">
        <v>2021</v>
      </c>
    </row>
    <row r="17" spans="1:43" ht="13.5" customHeight="1">
      <c r="A17" s="58" t="s">
        <v>254</v>
      </c>
      <c r="B17" s="97" t="s">
        <v>129</v>
      </c>
      <c r="C17" s="98">
        <v>18230715</v>
      </c>
      <c r="D17" s="61" t="s">
        <v>130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0.12493662550162481</v>
      </c>
      <c r="V17" s="48">
        <f t="shared" si="2"/>
        <v>60672</v>
      </c>
      <c r="W17" s="49">
        <f t="shared" si="3"/>
        <v>9.6105096539711391E-3</v>
      </c>
      <c r="X17" s="44">
        <f t="shared" si="4"/>
        <v>5481.6378833874287</v>
      </c>
      <c r="Y17" s="44">
        <f t="shared" si="5"/>
        <v>60672</v>
      </c>
      <c r="Z17" s="44">
        <f t="shared" si="6"/>
        <v>50868.91888772275</v>
      </c>
      <c r="AA17" s="50">
        <f t="shared" si="7"/>
        <v>112299.63788338743</v>
      </c>
      <c r="AB17" s="51">
        <f t="shared" si="8"/>
        <v>47554.378692832332</v>
      </c>
      <c r="AC17" s="44">
        <f t="shared" si="8"/>
        <v>104982.36690977603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5.1660655515514051</v>
      </c>
      <c r="AP17" s="47">
        <f t="shared" si="16"/>
        <v>2.5741079126341724</v>
      </c>
      <c r="AQ17">
        <v>2021</v>
      </c>
    </row>
    <row r="18" spans="1:43" ht="13.5" customHeight="1">
      <c r="A18" s="59">
        <f>A6+A8</f>
        <v>5293051.12</v>
      </c>
      <c r="B18" s="97" t="s">
        <v>129</v>
      </c>
      <c r="C18" s="98">
        <v>18230715</v>
      </c>
      <c r="D18" s="61" t="s">
        <v>130</v>
      </c>
      <c r="E18" s="38" t="s">
        <v>996</v>
      </c>
      <c r="F18" s="39" t="s">
        <v>997</v>
      </c>
      <c r="G18" s="39">
        <v>15</v>
      </c>
      <c r="H18" s="39"/>
      <c r="I18" s="40" t="s">
        <v>257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1.7096490728380591E-2</v>
      </c>
      <c r="V18" s="48">
        <f t="shared" si="2"/>
        <v>0</v>
      </c>
      <c r="W18" s="49">
        <f t="shared" si="3"/>
        <v>1.1397660485587061E-3</v>
      </c>
      <c r="X18" s="44">
        <f t="shared" si="4"/>
        <v>650.09921168921198</v>
      </c>
      <c r="Y18" s="44">
        <f t="shared" si="5"/>
        <v>0</v>
      </c>
      <c r="Z18" s="44">
        <f t="shared" si="6"/>
        <v>6032.8399598616334</v>
      </c>
      <c r="AA18" s="50">
        <f t="shared" si="7"/>
        <v>6786.0992116892121</v>
      </c>
      <c r="AB18" s="51">
        <f t="shared" si="8"/>
        <v>5639.7494249430993</v>
      </c>
      <c r="AC18" s="44">
        <f t="shared" si="8"/>
        <v>6343.9274672237179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5.8478145142866813</v>
      </c>
      <c r="AP18" s="47">
        <f t="shared" si="16"/>
        <v>5.7185756908426368</v>
      </c>
      <c r="AQ18">
        <v>2021</v>
      </c>
    </row>
    <row r="19" spans="1:43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996</v>
      </c>
      <c r="F19" s="39" t="s">
        <v>997</v>
      </c>
      <c r="G19" s="39">
        <v>20</v>
      </c>
      <c r="H19" s="39"/>
      <c r="I19" s="40" t="s">
        <v>257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6.4516159599610573E-2</v>
      </c>
      <c r="V19" s="48">
        <f t="shared" si="2"/>
        <v>0</v>
      </c>
      <c r="W19" s="49">
        <f t="shared" si="3"/>
        <v>3.2258079799805284E-3</v>
      </c>
      <c r="X19" s="44">
        <f t="shared" si="4"/>
        <v>1839.9348072334649</v>
      </c>
      <c r="Y19" s="44">
        <f t="shared" si="5"/>
        <v>0</v>
      </c>
      <c r="Z19" s="44">
        <f t="shared" si="6"/>
        <v>17074.366541340874</v>
      </c>
      <c r="AA19" s="50">
        <f t="shared" si="7"/>
        <v>8285.9348072334651</v>
      </c>
      <c r="AB19" s="51">
        <f t="shared" si="8"/>
        <v>15961.827186445613</v>
      </c>
      <c r="AC19" s="44">
        <f t="shared" si="8"/>
        <v>7746.0360916457548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7.315394544594267</v>
      </c>
      <c r="AP19" s="47">
        <f t="shared" si="16"/>
        <v>16.581870824505682</v>
      </c>
      <c r="AQ19">
        <v>2021</v>
      </c>
    </row>
    <row r="20" spans="1:43" ht="13.5" customHeight="1">
      <c r="A20" s="59">
        <f>A8+SUM(Q5:Q906)</f>
        <v>6387508.580000001</v>
      </c>
      <c r="B20" s="97" t="s">
        <v>129</v>
      </c>
      <c r="C20" s="98">
        <v>18230715</v>
      </c>
      <c r="D20" s="61" t="s">
        <v>130</v>
      </c>
      <c r="E20" s="38" t="s">
        <v>1002</v>
      </c>
      <c r="F20" s="39" t="s">
        <v>1003</v>
      </c>
      <c r="G20" s="39">
        <v>15</v>
      </c>
      <c r="H20" s="39"/>
      <c r="I20" s="40" t="s">
        <v>256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4.1569953473797206E-3</v>
      </c>
      <c r="V20" s="48">
        <f t="shared" si="2"/>
        <v>0</v>
      </c>
      <c r="W20" s="49">
        <f t="shared" si="3"/>
        <v>2.7713302315864806E-4</v>
      </c>
      <c r="X20" s="44">
        <f t="shared" si="4"/>
        <v>158.0710007253787</v>
      </c>
      <c r="Y20" s="44">
        <f t="shared" si="5"/>
        <v>0</v>
      </c>
      <c r="Z20" s="44">
        <f t="shared" si="6"/>
        <v>1466.8792586188681</v>
      </c>
      <c r="AA20" s="50">
        <f t="shared" si="7"/>
        <v>2439.0710007253788</v>
      </c>
      <c r="AB20" s="51">
        <f t="shared" si="8"/>
        <v>1371.2996715143199</v>
      </c>
      <c r="AC20" s="44">
        <f t="shared" si="8"/>
        <v>2280.1449011174896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5.7081105374797794</v>
      </c>
      <c r="AP20" s="47">
        <f t="shared" si="16"/>
        <v>3.7761999736485738</v>
      </c>
      <c r="AQ20">
        <v>2021</v>
      </c>
    </row>
    <row r="21" spans="1:43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976</v>
      </c>
      <c r="F21" s="39" t="s">
        <v>977</v>
      </c>
      <c r="G21" s="39">
        <v>15</v>
      </c>
      <c r="H21" s="39"/>
      <c r="I21" s="40" t="s">
        <v>257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0.77740678495552551</v>
      </c>
      <c r="V21" s="48">
        <f t="shared" si="2"/>
        <v>33469</v>
      </c>
      <c r="W21" s="49">
        <f t="shared" si="3"/>
        <v>5.1827118997035036E-2</v>
      </c>
      <c r="X21" s="44">
        <f t="shared" si="4"/>
        <v>29561.127256511751</v>
      </c>
      <c r="Y21" s="44">
        <f t="shared" si="5"/>
        <v>33469</v>
      </c>
      <c r="Z21" s="44">
        <f t="shared" si="6"/>
        <v>274323.59025362961</v>
      </c>
      <c r="AA21" s="50">
        <f t="shared" si="7"/>
        <v>470378.12725651177</v>
      </c>
      <c r="AB21" s="51">
        <f t="shared" ref="AB21:AC24" si="18">Z21/(1+ElecDiscountRate)^1</f>
        <v>256449.08876659771</v>
      </c>
      <c r="AC21" s="44">
        <f t="shared" si="18"/>
        <v>439729.01491681009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5.8478145142866822</v>
      </c>
      <c r="AP21" s="47">
        <f t="shared" si="16"/>
        <v>3.751477200392336</v>
      </c>
      <c r="AQ21">
        <v>2021</v>
      </c>
    </row>
    <row r="22" spans="1:43" ht="13.5" customHeight="1">
      <c r="A22" s="60">
        <f>(SUM(AM5:AM1000)/(SUM(AB5:AB1000)))</f>
        <v>6.2594849792873521</v>
      </c>
      <c r="B22" s="97" t="s">
        <v>129</v>
      </c>
      <c r="C22" s="98">
        <v>18230715</v>
      </c>
      <c r="D22" s="61" t="s">
        <v>130</v>
      </c>
      <c r="E22" s="38" t="s">
        <v>1012</v>
      </c>
      <c r="F22" s="39" t="s">
        <v>1013</v>
      </c>
      <c r="G22" s="39">
        <v>20</v>
      </c>
      <c r="H22" s="39"/>
      <c r="I22" s="40" t="s">
        <v>260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8.1814012762624455E-2</v>
      </c>
      <c r="V22" s="48">
        <f t="shared" si="2"/>
        <v>7280</v>
      </c>
      <c r="W22" s="49">
        <f t="shared" si="3"/>
        <v>4.0907006381312224E-3</v>
      </c>
      <c r="X22" s="44">
        <f t="shared" si="4"/>
        <v>2333.2518664409822</v>
      </c>
      <c r="Y22" s="44">
        <f t="shared" si="5"/>
        <v>7280</v>
      </c>
      <c r="Z22" s="44">
        <f t="shared" si="6"/>
        <v>21652.287594245183</v>
      </c>
      <c r="AA22" s="50">
        <f t="shared" si="7"/>
        <v>26601.251866440984</v>
      </c>
      <c r="AB22" s="51">
        <f t="shared" si="18"/>
        <v>20241.457973492736</v>
      </c>
      <c r="AC22" s="44">
        <f t="shared" si="18"/>
        <v>24867.955376685968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6.9828756038908066</v>
      </c>
      <c r="AP22" s="47">
        <f t="shared" si="16"/>
        <v>6.2521401145457425</v>
      </c>
      <c r="AQ22">
        <v>2021</v>
      </c>
    </row>
    <row r="23" spans="1:43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1016</v>
      </c>
      <c r="F23" s="39" t="s">
        <v>1017</v>
      </c>
      <c r="G23" s="39">
        <v>10</v>
      </c>
      <c r="H23" s="39"/>
      <c r="I23" s="40" t="s">
        <v>256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7.3678605946544302E-3</v>
      </c>
      <c r="V23" s="48">
        <f t="shared" si="2"/>
        <v>4924</v>
      </c>
      <c r="W23" s="49">
        <f t="shared" si="3"/>
        <v>7.36786059465443E-4</v>
      </c>
      <c r="X23" s="44">
        <f t="shared" si="4"/>
        <v>420.24767894059119</v>
      </c>
      <c r="Y23" s="44">
        <f t="shared" si="5"/>
        <v>4924</v>
      </c>
      <c r="Z23" s="44">
        <f t="shared" si="6"/>
        <v>3899.8462772539497</v>
      </c>
      <c r="AA23" s="50">
        <f t="shared" si="7"/>
        <v>12420.247678940592</v>
      </c>
      <c r="AB23" s="51">
        <f t="shared" si="18"/>
        <v>3645.7383165877809</v>
      </c>
      <c r="AC23" s="44">
        <f t="shared" si="18"/>
        <v>11610.96352149256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3.9281364059543962</v>
      </c>
      <c r="AP23" s="47">
        <f t="shared" si="16"/>
        <v>1.3567395263630522</v>
      </c>
      <c r="AQ23">
        <v>2021</v>
      </c>
    </row>
    <row r="24" spans="1:43" ht="13.5" customHeight="1">
      <c r="A24" s="60">
        <f>(SUM(AN5:AN1000)/SUM(AC5:AC1000))</f>
        <v>5.7056598706383443</v>
      </c>
      <c r="B24" s="97" t="s">
        <v>129</v>
      </c>
      <c r="C24" s="98">
        <v>18230715</v>
      </c>
      <c r="D24" s="61" t="s">
        <v>130</v>
      </c>
      <c r="E24" s="38" t="s">
        <v>1018</v>
      </c>
      <c r="F24" s="39" t="s">
        <v>1019</v>
      </c>
      <c r="G24" s="39">
        <v>20</v>
      </c>
      <c r="H24" s="39"/>
      <c r="I24" s="40" t="s">
        <v>261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3.6487966526237779E-2</v>
      </c>
      <c r="V24" s="48">
        <f t="shared" si="2"/>
        <v>30922</v>
      </c>
      <c r="W24" s="49">
        <f t="shared" si="3"/>
        <v>1.824398326311889E-3</v>
      </c>
      <c r="X24" s="44">
        <f t="shared" si="4"/>
        <v>1040.5994416505796</v>
      </c>
      <c r="Y24" s="44">
        <f t="shared" si="5"/>
        <v>30922</v>
      </c>
      <c r="Z24" s="44">
        <f t="shared" si="6"/>
        <v>9656.6336044112704</v>
      </c>
      <c r="AA24" s="50">
        <f t="shared" si="7"/>
        <v>44635.599441650578</v>
      </c>
      <c r="AB24" s="51">
        <f t="shared" si="18"/>
        <v>9027.4222720494254</v>
      </c>
      <c r="AC24" s="44">
        <f t="shared" si="18"/>
        <v>41727.212715388028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9.441072112728909</v>
      </c>
      <c r="AP24" s="47">
        <f t="shared" si="16"/>
        <v>2.2467687877495761</v>
      </c>
      <c r="AQ24">
        <v>2021</v>
      </c>
    </row>
    <row r="25" spans="1:43" ht="13.5" customHeight="1">
      <c r="B25" s="97" t="s">
        <v>129</v>
      </c>
      <c r="C25" s="98">
        <v>18230715</v>
      </c>
      <c r="D25" s="61" t="s">
        <v>130</v>
      </c>
      <c r="E25" s="38" t="s">
        <v>1032</v>
      </c>
      <c r="F25" s="39" t="s">
        <v>1033</v>
      </c>
      <c r="G25" s="39">
        <v>15</v>
      </c>
      <c r="H25" s="39"/>
      <c r="I25" s="40" t="s">
        <v>257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5.8161853630684969E-3</v>
      </c>
      <c r="V25" s="48">
        <f>N25-M25</f>
        <v>0</v>
      </c>
      <c r="W25" s="49">
        <f>(O25/A$10)</f>
        <v>3.877456908712331E-4</v>
      </c>
      <c r="X25" s="44">
        <f>W25*A$8</f>
        <v>221.16220104120251</v>
      </c>
      <c r="Y25" s="44">
        <f>Q25-P25</f>
        <v>0</v>
      </c>
      <c r="Z25" s="44">
        <f>X25+(A$6*W25)</f>
        <v>2052.3577633411542</v>
      </c>
      <c r="AA25" s="50">
        <f>Q25+X25</f>
        <v>2083.1622010412025</v>
      </c>
      <c r="AB25" s="51">
        <f t="shared" ref="AB25:AC27" si="19">Z25/(1+ElecDiscountRate)^1</f>
        <v>1918.6293010574498</v>
      </c>
      <c r="AC25" s="44">
        <f t="shared" si="19"/>
        <v>1947.4265691700498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5.8478145142866831</v>
      </c>
      <c r="AP25" s="47">
        <f>AN25/AC25</f>
        <v>6.3374749513380655</v>
      </c>
      <c r="AQ25">
        <v>2021</v>
      </c>
    </row>
    <row r="26" spans="1:43" ht="13.5" customHeight="1">
      <c r="B26" s="97" t="s">
        <v>129</v>
      </c>
      <c r="C26" s="61">
        <v>18230715</v>
      </c>
      <c r="D26" s="61" t="s">
        <v>130</v>
      </c>
      <c r="E26" s="38" t="s">
        <v>1054</v>
      </c>
      <c r="F26" s="39" t="s">
        <v>1055</v>
      </c>
      <c r="G26" s="39">
        <v>15</v>
      </c>
      <c r="H26" s="39"/>
      <c r="I26" s="40" t="s">
        <v>255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>G26+H26</f>
        <v>15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>
        <f>HLOOKUP(I26,ElecAvoidedCostsWOCC!$A$5:$Q$50,G26+1,FALSE)</f>
        <v>1.0178775471043147</v>
      </c>
      <c r="AG26" s="44">
        <f>AF26*J26*K26</f>
        <v>0</v>
      </c>
      <c r="AH26" s="52">
        <f>HLOOKUP(I26,ElecAvoidedCostsWOCC!$A$5:$Q$50,T26+1,FALSE)</f>
        <v>1.0178775471043147</v>
      </c>
      <c r="AI26" s="44">
        <f>AH26*J26*L26</f>
        <v>0</v>
      </c>
      <c r="AJ26" s="44">
        <f>AG26+AI26</f>
        <v>0</v>
      </c>
      <c r="AK26" s="44">
        <f>HLOOKUP(I26,ElecAvoidedCostsWOCC!$A$5:$Q$50,G26+1,FALSE)*J26*L26</f>
        <v>0</v>
      </c>
      <c r="AL26" s="44">
        <f>AG26+AI26-AK26</f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  <c r="AQ26">
        <v>2020</v>
      </c>
    </row>
    <row r="27" spans="1:43" ht="13.5" customHeight="1">
      <c r="B27" s="97" t="s">
        <v>129</v>
      </c>
      <c r="C27" s="61">
        <v>18230715</v>
      </c>
      <c r="D27" s="61" t="s">
        <v>130</v>
      </c>
      <c r="E27" s="38" t="s">
        <v>974</v>
      </c>
      <c r="F27" s="39" t="s">
        <v>975</v>
      </c>
      <c r="G27" s="39">
        <v>15</v>
      </c>
      <c r="H27" s="39"/>
      <c r="I27" s="40" t="s">
        <v>261</v>
      </c>
      <c r="J27" s="41">
        <v>1</v>
      </c>
      <c r="K27" s="41">
        <v>873680</v>
      </c>
      <c r="L27" s="41"/>
      <c r="M27" s="42">
        <v>270186</v>
      </c>
      <c r="N27" s="42">
        <v>270186</v>
      </c>
      <c r="O27" s="43">
        <v>873680</v>
      </c>
      <c r="P27" s="44">
        <v>270186</v>
      </c>
      <c r="Q27" s="44">
        <v>270186</v>
      </c>
      <c r="R27" s="45"/>
      <c r="S27" s="46"/>
      <c r="T27" s="39">
        <f>G27+H27</f>
        <v>15</v>
      </c>
      <c r="U27" s="47">
        <f>(O27/$A$10)*T27</f>
        <v>0.47762805038120915</v>
      </c>
      <c r="V27" s="48">
        <f>N27-M27</f>
        <v>0</v>
      </c>
      <c r="W27" s="49">
        <f>(O27/A$10)</f>
        <v>3.1841870025413943E-2</v>
      </c>
      <c r="X27" s="44">
        <f>W27*A$8</f>
        <v>18161.950540998008</v>
      </c>
      <c r="Y27" s="44">
        <f>Q27-P27</f>
        <v>0</v>
      </c>
      <c r="Z27" s="44">
        <f>X27+(A$6*W27)</f>
        <v>168540.64580091171</v>
      </c>
      <c r="AA27" s="50">
        <f>Q27+X27</f>
        <v>288347.95054099802</v>
      </c>
      <c r="AB27" s="51">
        <f t="shared" si="19"/>
        <v>157558.79760765794</v>
      </c>
      <c r="AC27" s="44">
        <f t="shared" si="19"/>
        <v>269559.64339627745</v>
      </c>
      <c r="AD27" s="44">
        <f>-PV(ElecDiscountRate,T27,R27)*J27</f>
        <v>0</v>
      </c>
      <c r="AE27" s="44">
        <f>-PV(ElecDiscountRate,T27,S27)*J27</f>
        <v>0</v>
      </c>
      <c r="AF27" s="52">
        <f>HLOOKUP(I27,ElecAvoidedCostsWOCC!$A$5:$Q$50,G27+1,FALSE)</f>
        <v>1.3787827893853604</v>
      </c>
      <c r="AG27" s="44">
        <f>AF27*J27*K27</f>
        <v>1204614.9474302016</v>
      </c>
      <c r="AH27" s="52">
        <f>HLOOKUP(I27,ElecAvoidedCostsWOCC!$A$5:$Q$50,T27+1,FALSE)</f>
        <v>1.3787827893853604</v>
      </c>
      <c r="AI27" s="44">
        <f>AH27*J27*L27</f>
        <v>0</v>
      </c>
      <c r="AJ27" s="44">
        <f>AG27+AI27</f>
        <v>1204614.9474302016</v>
      </c>
      <c r="AK27" s="44">
        <f>HLOOKUP(I27,ElecAvoidedCostsWOCC!$A$5:$Q$50,G27+1,FALSE)*J27*L27</f>
        <v>0</v>
      </c>
      <c r="AL27" s="44">
        <f>AG27+AI27-AK27</f>
        <v>1204614.9474302016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1204614.9474302016</v>
      </c>
      <c r="AN27" s="48">
        <f>AM27*1.1+AD27+AE27</f>
        <v>1325076.4421732218</v>
      </c>
      <c r="AO27" s="47">
        <f>IFERROR(AM27/AB27,0)</f>
        <v>7.6454946706933544</v>
      </c>
      <c r="AP27" s="47">
        <f>AN27/AC27</f>
        <v>4.9157078020957226</v>
      </c>
      <c r="AQ27">
        <v>2020</v>
      </c>
    </row>
    <row r="28" spans="1:43" ht="13.5" customHeight="1">
      <c r="B28" s="97" t="s">
        <v>129</v>
      </c>
      <c r="C28" s="61">
        <v>18230715</v>
      </c>
      <c r="D28" s="61" t="s">
        <v>130</v>
      </c>
      <c r="E28" s="38" t="s">
        <v>974</v>
      </c>
      <c r="F28" s="39" t="s">
        <v>975</v>
      </c>
      <c r="G28" s="39">
        <v>15</v>
      </c>
      <c r="H28" s="39"/>
      <c r="I28" s="40" t="s">
        <v>261</v>
      </c>
      <c r="J28" s="41">
        <v>1</v>
      </c>
      <c r="K28" s="41">
        <v>577326</v>
      </c>
      <c r="L28" s="41"/>
      <c r="M28" s="42">
        <v>170946</v>
      </c>
      <c r="N28" s="42">
        <v>170946</v>
      </c>
      <c r="O28" s="43">
        <v>577326</v>
      </c>
      <c r="P28" s="44">
        <v>170946</v>
      </c>
      <c r="Q28" s="44">
        <v>170946</v>
      </c>
      <c r="R28" s="45"/>
      <c r="S28" s="46"/>
      <c r="T28" s="39">
        <f t="shared" ref="T28:T57" si="20">G28+H28</f>
        <v>15</v>
      </c>
      <c r="U28" s="47">
        <f t="shared" ref="U28:U57" si="21">(O28/$A$10)*T28</f>
        <v>0.31561566227266502</v>
      </c>
      <c r="V28" s="48">
        <f t="shared" ref="V28:V57" si="22">N28-M28</f>
        <v>0</v>
      </c>
      <c r="W28" s="49">
        <f t="shared" ref="W28:W57" si="23">(O28/A$10)</f>
        <v>2.1041044151511E-2</v>
      </c>
      <c r="X28" s="44">
        <f t="shared" ref="X28:X57" si="24">W28*A$8</f>
        <v>12001.380663437661</v>
      </c>
      <c r="Y28" s="44">
        <f t="shared" ref="Y28:Y57" si="25">Q28-P28</f>
        <v>0</v>
      </c>
      <c r="Z28" s="44">
        <f t="shared" ref="Z28:Z57" si="26">X28+(A$6*W28)</f>
        <v>111371.32231212476</v>
      </c>
      <c r="AA28" s="50">
        <f t="shared" ref="AA28:AA57" si="27">Q28+X28</f>
        <v>182947.38066343765</v>
      </c>
      <c r="AB28" s="51">
        <f t="shared" ref="AB28:AB57" si="28">Z28/(1+ElecDiscountRate)^1</f>
        <v>104114.53894748504</v>
      </c>
      <c r="AC28" s="44">
        <f t="shared" ref="AC28:AC57" si="29">AA28/(1+ElecDiscountRate)^1</f>
        <v>171026.81187570127</v>
      </c>
      <c r="AD28" s="44">
        <f t="shared" ref="AD28:AD57" si="30">-PV(ElecDiscountRate,T28,R28)*J28</f>
        <v>0</v>
      </c>
      <c r="AE28" s="44">
        <f t="shared" ref="AE28:AE57" si="31">-PV(ElecDiscountRate,T28,S28)*J28</f>
        <v>0</v>
      </c>
      <c r="AF28" s="52">
        <f>HLOOKUP(I28,ElecAvoidedCostsWOCC!$A$5:$Q$50,G28+1,FALSE)</f>
        <v>1.3787827893853604</v>
      </c>
      <c r="AG28" s="44">
        <f t="shared" ref="AG28:AG57" si="32">AF28*J28*K28</f>
        <v>796007.15266469261</v>
      </c>
      <c r="AH28" s="52">
        <f>HLOOKUP(I28,ElecAvoidedCostsWOCC!$A$5:$Q$50,T28+1,FALSE)</f>
        <v>1.3787827893853604</v>
      </c>
      <c r="AI28" s="44">
        <f t="shared" ref="AI28:AI57" si="33">AH28*J28*L28</f>
        <v>0</v>
      </c>
      <c r="AJ28" s="44">
        <f t="shared" ref="AJ28:AJ57" si="34">AG28+AI28</f>
        <v>796007.15266469261</v>
      </c>
      <c r="AK28" s="44">
        <f>HLOOKUP(I28,ElecAvoidedCostsWOCC!$A$5:$Q$50,G28+1,FALSE)*J28*L28</f>
        <v>0</v>
      </c>
      <c r="AL28" s="44">
        <f t="shared" ref="AL28:AL57" si="35">AG28+AI28-AK28</f>
        <v>796007.15266469261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796007.15266469261</v>
      </c>
      <c r="AN28" s="48">
        <f t="shared" ref="AN28:AN57" si="36">AM28*1.1+AD28+AE28</f>
        <v>875607.86793116189</v>
      </c>
      <c r="AO28" s="47">
        <f t="shared" ref="AO28:AO57" si="37">IFERROR(AM28/AB28,0)</f>
        <v>7.6454946706933553</v>
      </c>
      <c r="AP28" s="47">
        <f t="shared" ref="AP28:AP57" si="38">AN28/AC28</f>
        <v>5.1197111045228132</v>
      </c>
      <c r="AQ28">
        <v>2020</v>
      </c>
    </row>
    <row r="29" spans="1:43">
      <c r="B29" s="97" t="s">
        <v>129</v>
      </c>
      <c r="C29" s="61">
        <v>18230715</v>
      </c>
      <c r="D29" s="61" t="s">
        <v>130</v>
      </c>
      <c r="E29" s="38" t="s">
        <v>974</v>
      </c>
      <c r="F29" s="39" t="s">
        <v>975</v>
      </c>
      <c r="G29" s="39">
        <v>15</v>
      </c>
      <c r="H29" s="39"/>
      <c r="I29" s="40" t="s">
        <v>261</v>
      </c>
      <c r="J29" s="41">
        <v>1</v>
      </c>
      <c r="K29" s="41">
        <v>98280</v>
      </c>
      <c r="L29" s="41"/>
      <c r="M29" s="42">
        <v>29484</v>
      </c>
      <c r="N29" s="42">
        <v>29524.1</v>
      </c>
      <c r="O29" s="43">
        <v>98280</v>
      </c>
      <c r="P29" s="44">
        <v>29484</v>
      </c>
      <c r="Q29" s="44">
        <v>29524.1</v>
      </c>
      <c r="R29" s="45"/>
      <c r="S29" s="46"/>
      <c r="T29" s="39">
        <f t="shared" si="20"/>
        <v>15</v>
      </c>
      <c r="U29" s="47">
        <f t="shared" si="21"/>
        <v>5.3728235499799964E-2</v>
      </c>
      <c r="V29" s="48">
        <f t="shared" si="22"/>
        <v>40.099999999998545</v>
      </c>
      <c r="W29" s="49">
        <f t="shared" si="23"/>
        <v>3.5818823666533312E-3</v>
      </c>
      <c r="X29" s="44">
        <f t="shared" si="24"/>
        <v>2043.0323449881928</v>
      </c>
      <c r="Y29" s="44">
        <f t="shared" si="25"/>
        <v>40.099999999998545</v>
      </c>
      <c r="Z29" s="44">
        <f t="shared" si="26"/>
        <v>18959.086472522667</v>
      </c>
      <c r="AA29" s="50">
        <f t="shared" si="27"/>
        <v>31567.132344988193</v>
      </c>
      <c r="AB29" s="51">
        <f t="shared" si="28"/>
        <v>17723.741677594342</v>
      </c>
      <c r="AC29" s="44">
        <f t="shared" si="29"/>
        <v>29510.266752349435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1.3787827893853604</v>
      </c>
      <c r="AG29" s="44">
        <f t="shared" si="32"/>
        <v>135506.77254079323</v>
      </c>
      <c r="AH29" s="52">
        <f>HLOOKUP(I29,ElecAvoidedCostsWOCC!$A$5:$Q$50,T29+1,FALSE)</f>
        <v>1.3787827893853604</v>
      </c>
      <c r="AI29" s="44">
        <f t="shared" si="33"/>
        <v>0</v>
      </c>
      <c r="AJ29" s="44">
        <f t="shared" si="34"/>
        <v>135506.77254079323</v>
      </c>
      <c r="AK29" s="44">
        <f>HLOOKUP(I29,ElecAvoidedCostsWOCC!$A$5:$Q$50,G29+1,FALSE)*J29*L29</f>
        <v>0</v>
      </c>
      <c r="AL29" s="44">
        <f t="shared" si="35"/>
        <v>135506.77254079323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135506.77254079323</v>
      </c>
      <c r="AN29" s="48">
        <f t="shared" si="36"/>
        <v>149057.44979487258</v>
      </c>
      <c r="AO29" s="47">
        <f t="shared" si="37"/>
        <v>7.6454946706933544</v>
      </c>
      <c r="AP29" s="47">
        <f t="shared" si="38"/>
        <v>5.051037018599823</v>
      </c>
      <c r="AQ29">
        <v>2020</v>
      </c>
    </row>
    <row r="30" spans="1:43">
      <c r="B30" s="97" t="s">
        <v>129</v>
      </c>
      <c r="C30" s="61">
        <v>18230715</v>
      </c>
      <c r="D30" s="61" t="s">
        <v>130</v>
      </c>
      <c r="E30" s="38" t="s">
        <v>990</v>
      </c>
      <c r="F30" s="39" t="s">
        <v>991</v>
      </c>
      <c r="G30" s="39">
        <v>15</v>
      </c>
      <c r="H30" s="39"/>
      <c r="I30" s="40" t="s">
        <v>256</v>
      </c>
      <c r="J30" s="41">
        <v>1</v>
      </c>
      <c r="K30" s="41">
        <v>741</v>
      </c>
      <c r="L30" s="41"/>
      <c r="M30" s="42">
        <v>592</v>
      </c>
      <c r="N30" s="42">
        <v>17352</v>
      </c>
      <c r="O30" s="43">
        <v>741</v>
      </c>
      <c r="P30" s="44">
        <v>592</v>
      </c>
      <c r="Q30" s="44">
        <v>17352</v>
      </c>
      <c r="R30" s="45"/>
      <c r="S30" s="46"/>
      <c r="T30" s="39">
        <f t="shared" si="20"/>
        <v>15</v>
      </c>
      <c r="U30" s="47">
        <f t="shared" si="21"/>
        <v>4.0509383908579345E-4</v>
      </c>
      <c r="V30" s="48">
        <f t="shared" si="22"/>
        <v>16760</v>
      </c>
      <c r="W30" s="49">
        <f t="shared" si="23"/>
        <v>2.7006255939052895E-5</v>
      </c>
      <c r="X30" s="44">
        <f t="shared" si="24"/>
        <v>15.403815299514152</v>
      </c>
      <c r="Y30" s="44">
        <f t="shared" si="25"/>
        <v>16760</v>
      </c>
      <c r="Z30" s="44">
        <f t="shared" si="26"/>
        <v>142.9454932452106</v>
      </c>
      <c r="AA30" s="50">
        <f t="shared" si="27"/>
        <v>17367.403815299513</v>
      </c>
      <c r="AB30" s="51">
        <f t="shared" si="28"/>
        <v>133.63138566440179</v>
      </c>
      <c r="AC30" s="44">
        <f t="shared" si="29"/>
        <v>16235.770604187634</v>
      </c>
      <c r="AD30" s="44">
        <f t="shared" si="30"/>
        <v>0</v>
      </c>
      <c r="AE30" s="44">
        <f t="shared" si="31"/>
        <v>0</v>
      </c>
      <c r="AF30" s="52">
        <f>HLOOKUP(I30,ElecAvoidedCostsWOCC!$A$5:$Q$50,G30+1,FALSE)</f>
        <v>1.0293963841416951</v>
      </c>
      <c r="AG30" s="44">
        <f t="shared" si="32"/>
        <v>762.78272064899602</v>
      </c>
      <c r="AH30" s="52">
        <f>HLOOKUP(I30,ElecAvoidedCostsWOCC!$A$5:$Q$50,T30+1,FALSE)</f>
        <v>1.0293963841416951</v>
      </c>
      <c r="AI30" s="44">
        <f t="shared" si="33"/>
        <v>0</v>
      </c>
      <c r="AJ30" s="44">
        <f t="shared" si="34"/>
        <v>762.78272064899602</v>
      </c>
      <c r="AK30" s="44">
        <f>HLOOKUP(I30,ElecAvoidedCostsWOCC!$A$5:$Q$50,G30+1,FALSE)*J30*L30</f>
        <v>0</v>
      </c>
      <c r="AL30" s="44">
        <f t="shared" si="35"/>
        <v>762.78272064899602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762.78272064899602</v>
      </c>
      <c r="AN30" s="48">
        <f t="shared" si="36"/>
        <v>839.06099271389564</v>
      </c>
      <c r="AO30" s="47">
        <f t="shared" si="37"/>
        <v>5.7081105374797785</v>
      </c>
      <c r="AP30" s="47">
        <f t="shared" si="38"/>
        <v>5.167977628961324E-2</v>
      </c>
      <c r="AQ30">
        <v>2020</v>
      </c>
    </row>
    <row r="31" spans="1:43">
      <c r="B31" s="97" t="s">
        <v>129</v>
      </c>
      <c r="C31" s="61">
        <v>18230715</v>
      </c>
      <c r="D31" s="61" t="s">
        <v>130</v>
      </c>
      <c r="E31" s="38" t="s">
        <v>990</v>
      </c>
      <c r="F31" s="39" t="s">
        <v>991</v>
      </c>
      <c r="G31" s="39">
        <v>15</v>
      </c>
      <c r="H31" s="39"/>
      <c r="I31" s="40" t="s">
        <v>256</v>
      </c>
      <c r="J31" s="41">
        <v>1</v>
      </c>
      <c r="K31" s="41">
        <v>771</v>
      </c>
      <c r="L31" s="41"/>
      <c r="M31" s="42">
        <v>592.79999999999995</v>
      </c>
      <c r="N31" s="42">
        <v>1492.82</v>
      </c>
      <c r="O31" s="43">
        <v>771</v>
      </c>
      <c r="P31" s="44">
        <v>592.79999999999995</v>
      </c>
      <c r="Q31" s="44">
        <v>1492.82</v>
      </c>
      <c r="R31" s="45"/>
      <c r="S31" s="46"/>
      <c r="T31" s="39">
        <f t="shared" si="20"/>
        <v>15</v>
      </c>
      <c r="U31" s="47">
        <f t="shared" si="21"/>
        <v>4.214943993726676E-4</v>
      </c>
      <c r="V31" s="48">
        <f t="shared" si="22"/>
        <v>900.02</v>
      </c>
      <c r="W31" s="49">
        <f t="shared" si="23"/>
        <v>2.8099626624844508E-5</v>
      </c>
      <c r="X31" s="44">
        <f t="shared" si="24"/>
        <v>16.027451546458046</v>
      </c>
      <c r="Y31" s="44">
        <f t="shared" si="25"/>
        <v>900.02</v>
      </c>
      <c r="Z31" s="44">
        <f t="shared" si="26"/>
        <v>148.73276017821505</v>
      </c>
      <c r="AA31" s="50">
        <f t="shared" si="27"/>
        <v>1508.8474515464579</v>
      </c>
      <c r="AB31" s="51">
        <f t="shared" si="28"/>
        <v>139.04156322166497</v>
      </c>
      <c r="AC31" s="44">
        <f t="shared" si="29"/>
        <v>1410.5332818046722</v>
      </c>
      <c r="AD31" s="44">
        <f t="shared" si="30"/>
        <v>0</v>
      </c>
      <c r="AE31" s="44">
        <f t="shared" si="31"/>
        <v>0</v>
      </c>
      <c r="AF31" s="52">
        <f>HLOOKUP(I31,ElecAvoidedCostsWOCC!$A$5:$Q$50,G31+1,FALSE)</f>
        <v>1.0293963841416951</v>
      </c>
      <c r="AG31" s="44">
        <f t="shared" si="32"/>
        <v>793.66461217324695</v>
      </c>
      <c r="AH31" s="52">
        <f>HLOOKUP(I31,ElecAvoidedCostsWOCC!$A$5:$Q$50,T31+1,FALSE)</f>
        <v>1.0293963841416951</v>
      </c>
      <c r="AI31" s="44">
        <f t="shared" si="33"/>
        <v>0</v>
      </c>
      <c r="AJ31" s="44">
        <f t="shared" si="34"/>
        <v>793.66461217324695</v>
      </c>
      <c r="AK31" s="44">
        <f>HLOOKUP(I31,ElecAvoidedCostsWOCC!$A$5:$Q$50,G31+1,FALSE)*J31*L31</f>
        <v>0</v>
      </c>
      <c r="AL31" s="44">
        <f t="shared" si="35"/>
        <v>793.66461217324695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793.66461217324695</v>
      </c>
      <c r="AN31" s="48">
        <f t="shared" si="36"/>
        <v>873.03107339057169</v>
      </c>
      <c r="AO31" s="47">
        <f t="shared" si="37"/>
        <v>5.7081105374797803</v>
      </c>
      <c r="AP31" s="47">
        <f t="shared" si="38"/>
        <v>0.61893688341305464</v>
      </c>
      <c r="AQ31">
        <v>2020</v>
      </c>
    </row>
    <row r="32" spans="1:43">
      <c r="B32" s="97" t="s">
        <v>129</v>
      </c>
      <c r="C32" s="61">
        <v>18230715</v>
      </c>
      <c r="D32" s="61" t="s">
        <v>130</v>
      </c>
      <c r="E32" s="38" t="s">
        <v>992</v>
      </c>
      <c r="F32" s="39" t="s">
        <v>993</v>
      </c>
      <c r="G32" s="39">
        <v>10</v>
      </c>
      <c r="H32" s="39"/>
      <c r="I32" s="40" t="s">
        <v>261</v>
      </c>
      <c r="J32" s="41">
        <v>1</v>
      </c>
      <c r="K32" s="41">
        <v>24960</v>
      </c>
      <c r="L32" s="41"/>
      <c r="M32" s="42">
        <v>9600</v>
      </c>
      <c r="N32" s="42">
        <v>26442</v>
      </c>
      <c r="O32" s="43">
        <v>24960</v>
      </c>
      <c r="P32" s="44">
        <v>9600</v>
      </c>
      <c r="Q32" s="44">
        <v>26442</v>
      </c>
      <c r="R32" s="45"/>
      <c r="S32" s="46"/>
      <c r="T32" s="39">
        <f t="shared" si="20"/>
        <v>10</v>
      </c>
      <c r="U32" s="47">
        <f t="shared" si="21"/>
        <v>9.0968441057862389E-3</v>
      </c>
      <c r="V32" s="48">
        <f t="shared" si="22"/>
        <v>16842</v>
      </c>
      <c r="W32" s="49">
        <f t="shared" si="23"/>
        <v>9.0968441057862385E-4</v>
      </c>
      <c r="X32" s="44">
        <f t="shared" si="24"/>
        <v>518.86535745731885</v>
      </c>
      <c r="Y32" s="44">
        <f t="shared" si="25"/>
        <v>16842</v>
      </c>
      <c r="Z32" s="44">
        <f t="shared" si="26"/>
        <v>4815.0060882597254</v>
      </c>
      <c r="AA32" s="50">
        <f t="shared" si="27"/>
        <v>26960.865357457318</v>
      </c>
      <c r="AB32" s="51">
        <f t="shared" si="28"/>
        <v>4501.2677276430077</v>
      </c>
      <c r="AC32" s="44">
        <f t="shared" si="29"/>
        <v>25204.137007999736</v>
      </c>
      <c r="AD32" s="44">
        <f t="shared" si="30"/>
        <v>0</v>
      </c>
      <c r="AE32" s="44">
        <f t="shared" si="31"/>
        <v>0</v>
      </c>
      <c r="AF32" s="52">
        <f>HLOOKUP(I32,ElecAvoidedCostsWOCC!$A$5:$Q$50,G32+1,FALSE)</f>
        <v>0.97334887994043018</v>
      </c>
      <c r="AG32" s="44">
        <f t="shared" si="32"/>
        <v>24294.788043313136</v>
      </c>
      <c r="AH32" s="52">
        <f>HLOOKUP(I32,ElecAvoidedCostsWOCC!$A$5:$Q$50,T32+1,FALSE)</f>
        <v>0.97334887994043018</v>
      </c>
      <c r="AI32" s="44">
        <f t="shared" si="33"/>
        <v>0</v>
      </c>
      <c r="AJ32" s="44">
        <f t="shared" si="34"/>
        <v>24294.788043313136</v>
      </c>
      <c r="AK32" s="44">
        <f>HLOOKUP(I32,ElecAvoidedCostsWOCC!$A$5:$Q$50,G32+1,FALSE)*J32*L32</f>
        <v>0</v>
      </c>
      <c r="AL32" s="44">
        <f t="shared" si="35"/>
        <v>24294.788043313136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24294.788043313136</v>
      </c>
      <c r="AN32" s="48">
        <f t="shared" si="36"/>
        <v>26724.266847644452</v>
      </c>
      <c r="AO32" s="47">
        <f t="shared" si="37"/>
        <v>5.3973212688760865</v>
      </c>
      <c r="AP32" s="47">
        <f t="shared" si="38"/>
        <v>1.0603127113283914</v>
      </c>
      <c r="AQ32">
        <v>2020</v>
      </c>
    </row>
    <row r="33" spans="2:43">
      <c r="B33" s="97" t="s">
        <v>129</v>
      </c>
      <c r="C33" s="61">
        <v>18230715</v>
      </c>
      <c r="D33" s="61" t="s">
        <v>130</v>
      </c>
      <c r="E33" s="38" t="s">
        <v>996</v>
      </c>
      <c r="F33" s="39" t="s">
        <v>997</v>
      </c>
      <c r="G33" s="39">
        <v>20</v>
      </c>
      <c r="H33" s="39"/>
      <c r="I33" s="40" t="s">
        <v>257</v>
      </c>
      <c r="J33" s="41">
        <v>1</v>
      </c>
      <c r="K33" s="41">
        <v>5091153</v>
      </c>
      <c r="L33" s="41"/>
      <c r="M33" s="42">
        <v>774494</v>
      </c>
      <c r="N33" s="42">
        <v>892368</v>
      </c>
      <c r="O33" s="43">
        <v>5091153</v>
      </c>
      <c r="P33" s="44">
        <v>774494</v>
      </c>
      <c r="Q33" s="44">
        <v>892368</v>
      </c>
      <c r="R33" s="45"/>
      <c r="S33" s="46"/>
      <c r="T33" s="39">
        <f t="shared" si="20"/>
        <v>20</v>
      </c>
      <c r="U33" s="47">
        <f t="shared" si="21"/>
        <v>3.7110116313866923</v>
      </c>
      <c r="V33" s="48">
        <f t="shared" si="22"/>
        <v>117874</v>
      </c>
      <c r="W33" s="49">
        <f t="shared" si="23"/>
        <v>0.18555058156933463</v>
      </c>
      <c r="X33" s="44">
        <f t="shared" si="24"/>
        <v>105834.25165123802</v>
      </c>
      <c r="Y33" s="44">
        <f t="shared" si="25"/>
        <v>117874</v>
      </c>
      <c r="Z33" s="44">
        <f t="shared" si="26"/>
        <v>982128.71359221812</v>
      </c>
      <c r="AA33" s="50">
        <f t="shared" si="27"/>
        <v>998202.25165123807</v>
      </c>
      <c r="AB33" s="51">
        <f t="shared" si="28"/>
        <v>918134.72337311215</v>
      </c>
      <c r="AC33" s="44">
        <f t="shared" si="29"/>
        <v>933160.93451550708</v>
      </c>
      <c r="AD33" s="44">
        <f t="shared" si="30"/>
        <v>0</v>
      </c>
      <c r="AE33" s="44">
        <f t="shared" si="31"/>
        <v>0</v>
      </c>
      <c r="AF33" s="52">
        <f>HLOOKUP(I33,ElecAvoidedCostsWOCC!$A$5:$Q$50,G33+1,FALSE)</f>
        <v>1.3192527795896587</v>
      </c>
      <c r="AG33" s="44">
        <f t="shared" si="32"/>
        <v>6716517.7465662295</v>
      </c>
      <c r="AH33" s="52">
        <f>HLOOKUP(I33,ElecAvoidedCostsWOCC!$A$5:$Q$50,T33+1,FALSE)</f>
        <v>1.3192527795896587</v>
      </c>
      <c r="AI33" s="44">
        <f t="shared" si="33"/>
        <v>0</v>
      </c>
      <c r="AJ33" s="44">
        <f t="shared" si="34"/>
        <v>6716517.7465662295</v>
      </c>
      <c r="AK33" s="44">
        <f>HLOOKUP(I33,ElecAvoidedCostsWOCC!$A$5:$Q$50,G33+1,FALSE)*J33*L33</f>
        <v>0</v>
      </c>
      <c r="AL33" s="44">
        <f t="shared" si="35"/>
        <v>6716517.7465662295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6716517.7465662295</v>
      </c>
      <c r="AN33" s="48">
        <f t="shared" si="36"/>
        <v>7388169.5212228531</v>
      </c>
      <c r="AO33" s="47">
        <f t="shared" si="37"/>
        <v>7.3153945445942652</v>
      </c>
      <c r="AP33" s="47">
        <f t="shared" si="38"/>
        <v>7.917358354760915</v>
      </c>
      <c r="AQ33">
        <v>2020</v>
      </c>
    </row>
    <row r="34" spans="2:43">
      <c r="B34" s="97" t="s">
        <v>129</v>
      </c>
      <c r="C34" s="61">
        <v>18230715</v>
      </c>
      <c r="D34" s="61" t="s">
        <v>130</v>
      </c>
      <c r="E34" s="38" t="s">
        <v>996</v>
      </c>
      <c r="F34" s="39" t="s">
        <v>997</v>
      </c>
      <c r="G34" s="39">
        <v>20</v>
      </c>
      <c r="H34" s="39"/>
      <c r="I34" s="40" t="s">
        <v>257</v>
      </c>
      <c r="J34" s="41">
        <v>1</v>
      </c>
      <c r="K34" s="41">
        <v>6897442</v>
      </c>
      <c r="L34" s="41"/>
      <c r="M34" s="42">
        <v>845858</v>
      </c>
      <c r="N34" s="42">
        <v>920719</v>
      </c>
      <c r="O34" s="43">
        <v>6897442</v>
      </c>
      <c r="P34" s="44">
        <v>845858</v>
      </c>
      <c r="Q34" s="44">
        <v>920719</v>
      </c>
      <c r="R34" s="45"/>
      <c r="S34" s="46"/>
      <c r="T34" s="39">
        <f t="shared" si="20"/>
        <v>20</v>
      </c>
      <c r="U34" s="47">
        <f t="shared" si="21"/>
        <v>5.0276405931652599</v>
      </c>
      <c r="V34" s="48">
        <f t="shared" si="22"/>
        <v>74861</v>
      </c>
      <c r="W34" s="49">
        <f t="shared" si="23"/>
        <v>0.25138202965826301</v>
      </c>
      <c r="X34" s="44">
        <f t="shared" si="24"/>
        <v>143383.16141310593</v>
      </c>
      <c r="Y34" s="44">
        <f t="shared" si="25"/>
        <v>74861</v>
      </c>
      <c r="Z34" s="44">
        <f t="shared" si="26"/>
        <v>1330577.9336305421</v>
      </c>
      <c r="AA34" s="50">
        <f t="shared" si="27"/>
        <v>1064102.1614131059</v>
      </c>
      <c r="AB34" s="51">
        <f t="shared" si="28"/>
        <v>1243879.53036416</v>
      </c>
      <c r="AC34" s="44">
        <f t="shared" si="29"/>
        <v>994766.90793035971</v>
      </c>
      <c r="AD34" s="44">
        <f t="shared" si="30"/>
        <v>0</v>
      </c>
      <c r="AE34" s="44">
        <f t="shared" si="31"/>
        <v>0</v>
      </c>
      <c r="AF34" s="52">
        <f>HLOOKUP(I34,ElecAvoidedCostsWOCC!$A$5:$Q$50,G34+1,FALSE)</f>
        <v>1.3192527795896587</v>
      </c>
      <c r="AG34" s="44">
        <f t="shared" si="32"/>
        <v>9099469.5305584539</v>
      </c>
      <c r="AH34" s="52">
        <f>HLOOKUP(I34,ElecAvoidedCostsWOCC!$A$5:$Q$50,T34+1,FALSE)</f>
        <v>1.3192527795896587</v>
      </c>
      <c r="AI34" s="44">
        <f t="shared" si="33"/>
        <v>0</v>
      </c>
      <c r="AJ34" s="44">
        <f t="shared" si="34"/>
        <v>9099469.5305584539</v>
      </c>
      <c r="AK34" s="44">
        <f>HLOOKUP(I34,ElecAvoidedCostsWOCC!$A$5:$Q$50,G34+1,FALSE)*J34*L34</f>
        <v>0</v>
      </c>
      <c r="AL34" s="44">
        <f t="shared" si="35"/>
        <v>9099469.5305584539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9099469.5305584539</v>
      </c>
      <c r="AN34" s="48">
        <f t="shared" si="36"/>
        <v>10009416.483614299</v>
      </c>
      <c r="AO34" s="47">
        <f t="shared" si="37"/>
        <v>7.3153945445942661</v>
      </c>
      <c r="AP34" s="47">
        <f t="shared" si="38"/>
        <v>10.06207223402633</v>
      </c>
      <c r="AQ34">
        <v>2020</v>
      </c>
    </row>
    <row r="35" spans="2:43">
      <c r="B35" s="97" t="s">
        <v>129</v>
      </c>
      <c r="C35" s="61">
        <v>18230715</v>
      </c>
      <c r="D35" s="61" t="s">
        <v>130</v>
      </c>
      <c r="E35" s="38" t="s">
        <v>996</v>
      </c>
      <c r="F35" s="39" t="s">
        <v>997</v>
      </c>
      <c r="G35" s="39">
        <v>20</v>
      </c>
      <c r="H35" s="39"/>
      <c r="I35" s="40" t="s">
        <v>257</v>
      </c>
      <c r="J35" s="41">
        <v>1</v>
      </c>
      <c r="K35" s="41">
        <v>45239</v>
      </c>
      <c r="L35" s="41"/>
      <c r="M35" s="42">
        <v>7917</v>
      </c>
      <c r="N35" s="42">
        <v>16926</v>
      </c>
      <c r="O35" s="43">
        <v>45239</v>
      </c>
      <c r="P35" s="44">
        <v>7917</v>
      </c>
      <c r="Q35" s="44">
        <v>16926</v>
      </c>
      <c r="R35" s="45"/>
      <c r="S35" s="46"/>
      <c r="T35" s="39">
        <f t="shared" si="20"/>
        <v>20</v>
      </c>
      <c r="U35" s="47">
        <f t="shared" si="21"/>
        <v>3.2975330969684587E-2</v>
      </c>
      <c r="V35" s="48">
        <f t="shared" si="22"/>
        <v>9009</v>
      </c>
      <c r="W35" s="49">
        <f t="shared" si="23"/>
        <v>1.6487665484842292E-3</v>
      </c>
      <c r="X35" s="44">
        <f t="shared" si="24"/>
        <v>940.42267251649218</v>
      </c>
      <c r="Y35" s="44">
        <f t="shared" si="25"/>
        <v>9009</v>
      </c>
      <c r="Z35" s="44">
        <f t="shared" si="26"/>
        <v>8727.0056260729834</v>
      </c>
      <c r="AA35" s="50">
        <f t="shared" si="27"/>
        <v>17866.422672516492</v>
      </c>
      <c r="AB35" s="51">
        <f t="shared" si="28"/>
        <v>8158.3674171010398</v>
      </c>
      <c r="AC35" s="44">
        <f t="shared" si="29"/>
        <v>16702.274163332233</v>
      </c>
      <c r="AD35" s="44">
        <f t="shared" si="30"/>
        <v>0</v>
      </c>
      <c r="AE35" s="44">
        <f t="shared" si="31"/>
        <v>0</v>
      </c>
      <c r="AF35" s="52">
        <f>HLOOKUP(I35,ElecAvoidedCostsWOCC!$A$5:$Q$50,G35+1,FALSE)</f>
        <v>1.3192527795896587</v>
      </c>
      <c r="AG35" s="44">
        <f t="shared" si="32"/>
        <v>59681.676495856569</v>
      </c>
      <c r="AH35" s="52">
        <f>HLOOKUP(I35,ElecAvoidedCostsWOCC!$A$5:$Q$50,T35+1,FALSE)</f>
        <v>1.3192527795896587</v>
      </c>
      <c r="AI35" s="44">
        <f t="shared" si="33"/>
        <v>0</v>
      </c>
      <c r="AJ35" s="44">
        <f t="shared" si="34"/>
        <v>59681.676495856569</v>
      </c>
      <c r="AK35" s="44">
        <f>HLOOKUP(I35,ElecAvoidedCostsWOCC!$A$5:$Q$50,G35+1,FALSE)*J35*L35</f>
        <v>0</v>
      </c>
      <c r="AL35" s="44">
        <f t="shared" si="35"/>
        <v>59681.676495856569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59681.676495856569</v>
      </c>
      <c r="AN35" s="48">
        <f t="shared" si="36"/>
        <v>65649.844145442228</v>
      </c>
      <c r="AO35" s="47">
        <f t="shared" si="37"/>
        <v>7.315394544594267</v>
      </c>
      <c r="AP35" s="47">
        <f t="shared" si="38"/>
        <v>3.9305931338121787</v>
      </c>
      <c r="AQ35">
        <v>2020</v>
      </c>
    </row>
    <row r="36" spans="2:43">
      <c r="B36" s="97" t="s">
        <v>129</v>
      </c>
      <c r="C36" s="61">
        <v>18230715</v>
      </c>
      <c r="D36" s="61" t="s">
        <v>130</v>
      </c>
      <c r="E36" s="38" t="s">
        <v>996</v>
      </c>
      <c r="F36" s="39" t="s">
        <v>997</v>
      </c>
      <c r="G36" s="39">
        <v>20</v>
      </c>
      <c r="H36" s="39"/>
      <c r="I36" s="40" t="s">
        <v>257</v>
      </c>
      <c r="J36" s="41">
        <v>1</v>
      </c>
      <c r="K36" s="41">
        <v>385520</v>
      </c>
      <c r="L36" s="41"/>
      <c r="M36" s="42">
        <v>67646</v>
      </c>
      <c r="N36" s="42">
        <v>67646</v>
      </c>
      <c r="O36" s="43">
        <v>385520</v>
      </c>
      <c r="P36" s="44">
        <v>67646</v>
      </c>
      <c r="Q36" s="44">
        <v>67646</v>
      </c>
      <c r="R36" s="45"/>
      <c r="S36" s="46"/>
      <c r="T36" s="39">
        <f t="shared" si="20"/>
        <v>20</v>
      </c>
      <c r="U36" s="47">
        <f t="shared" si="21"/>
        <v>0.28101084452425562</v>
      </c>
      <c r="V36" s="48">
        <f t="shared" si="22"/>
        <v>0</v>
      </c>
      <c r="W36" s="49">
        <f t="shared" si="23"/>
        <v>1.4050542226212782E-2</v>
      </c>
      <c r="X36" s="44">
        <f t="shared" si="24"/>
        <v>8014.1415307269845</v>
      </c>
      <c r="Y36" s="44">
        <f t="shared" si="25"/>
        <v>0</v>
      </c>
      <c r="Z36" s="44">
        <f t="shared" si="26"/>
        <v>74370.238267062858</v>
      </c>
      <c r="AA36" s="50">
        <f t="shared" si="27"/>
        <v>75660.141530726978</v>
      </c>
      <c r="AB36" s="51">
        <f t="shared" si="28"/>
        <v>69524.388395870672</v>
      </c>
      <c r="AC36" s="44">
        <f t="shared" si="29"/>
        <v>70730.243554947156</v>
      </c>
      <c r="AD36" s="44">
        <f t="shared" si="30"/>
        <v>0</v>
      </c>
      <c r="AE36" s="44">
        <f t="shared" si="31"/>
        <v>0</v>
      </c>
      <c r="AF36" s="52">
        <f>HLOOKUP(I36,ElecAvoidedCostsWOCC!$A$5:$Q$50,G36+1,FALSE)</f>
        <v>1.3192527795896587</v>
      </c>
      <c r="AG36" s="44">
        <f t="shared" si="32"/>
        <v>508598.33158740524</v>
      </c>
      <c r="AH36" s="52">
        <f>HLOOKUP(I36,ElecAvoidedCostsWOCC!$A$5:$Q$50,T36+1,FALSE)</f>
        <v>1.3192527795896587</v>
      </c>
      <c r="AI36" s="44">
        <f t="shared" si="33"/>
        <v>0</v>
      </c>
      <c r="AJ36" s="44">
        <f t="shared" si="34"/>
        <v>508598.33158740524</v>
      </c>
      <c r="AK36" s="44">
        <f>HLOOKUP(I36,ElecAvoidedCostsWOCC!$A$5:$Q$50,G36+1,FALSE)*J36*L36</f>
        <v>0</v>
      </c>
      <c r="AL36" s="44">
        <f t="shared" si="35"/>
        <v>508598.33158740524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508598.33158740524</v>
      </c>
      <c r="AN36" s="48">
        <f t="shared" si="36"/>
        <v>559458.16474614583</v>
      </c>
      <c r="AO36" s="47">
        <f t="shared" si="37"/>
        <v>7.3153945445942661</v>
      </c>
      <c r="AP36" s="47">
        <f t="shared" si="38"/>
        <v>7.9097446386074983</v>
      </c>
      <c r="AQ36">
        <v>2020</v>
      </c>
    </row>
    <row r="37" spans="2:43">
      <c r="B37" s="97" t="s">
        <v>129</v>
      </c>
      <c r="C37" s="61">
        <v>18230715</v>
      </c>
      <c r="D37" s="61" t="s">
        <v>130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3963588</v>
      </c>
      <c r="L37" s="41"/>
      <c r="M37" s="42">
        <v>595885</v>
      </c>
      <c r="N37" s="42">
        <v>733321</v>
      </c>
      <c r="O37" s="43">
        <v>3963588</v>
      </c>
      <c r="P37" s="44">
        <v>595885</v>
      </c>
      <c r="Q37" s="44">
        <v>733321</v>
      </c>
      <c r="R37" s="45"/>
      <c r="S37" s="46"/>
      <c r="T37" s="39">
        <f t="shared" si="20"/>
        <v>20</v>
      </c>
      <c r="U37" s="47">
        <f t="shared" si="21"/>
        <v>2.8891139531702774</v>
      </c>
      <c r="V37" s="48">
        <f t="shared" si="22"/>
        <v>137436</v>
      </c>
      <c r="W37" s="49">
        <f t="shared" si="23"/>
        <v>0.14445569765851388</v>
      </c>
      <c r="X37" s="44">
        <f t="shared" si="24"/>
        <v>82394.571491728333</v>
      </c>
      <c r="Y37" s="44">
        <f t="shared" si="25"/>
        <v>137436</v>
      </c>
      <c r="Z37" s="44">
        <f t="shared" si="26"/>
        <v>764611.39228177827</v>
      </c>
      <c r="AA37" s="50">
        <f t="shared" si="27"/>
        <v>815715.5714917283</v>
      </c>
      <c r="AB37" s="51">
        <f t="shared" si="28"/>
        <v>714790.49479459494</v>
      </c>
      <c r="AC37" s="44">
        <f t="shared" si="29"/>
        <v>762564.8046103844</v>
      </c>
      <c r="AD37" s="44">
        <f t="shared" si="30"/>
        <v>0</v>
      </c>
      <c r="AE37" s="44">
        <f t="shared" si="31"/>
        <v>0</v>
      </c>
      <c r="AF37" s="52">
        <f>HLOOKUP(I37,ElecAvoidedCostsWOCC!$A$5:$Q$50,G37+1,FALSE)</f>
        <v>1.3192527795896587</v>
      </c>
      <c r="AG37" s="44">
        <f t="shared" si="32"/>
        <v>5228974.4861482158</v>
      </c>
      <c r="AH37" s="52">
        <f>HLOOKUP(I37,ElecAvoidedCostsWOCC!$A$5:$Q$50,T37+1,FALSE)</f>
        <v>1.3192527795896587</v>
      </c>
      <c r="AI37" s="44">
        <f t="shared" si="33"/>
        <v>0</v>
      </c>
      <c r="AJ37" s="44">
        <f t="shared" si="34"/>
        <v>5228974.4861482158</v>
      </c>
      <c r="AK37" s="44">
        <f>HLOOKUP(I37,ElecAvoidedCostsWOCC!$A$5:$Q$50,G37+1,FALSE)*J37*L37</f>
        <v>0</v>
      </c>
      <c r="AL37" s="44">
        <f t="shared" si="35"/>
        <v>5228974.4861482158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5228974.4861482158</v>
      </c>
      <c r="AN37" s="48">
        <f t="shared" si="36"/>
        <v>5751871.9347630376</v>
      </c>
      <c r="AO37" s="47">
        <f t="shared" si="37"/>
        <v>7.3153945445942661</v>
      </c>
      <c r="AP37" s="47">
        <f t="shared" si="38"/>
        <v>7.5427975432223482</v>
      </c>
      <c r="AQ37">
        <v>2020</v>
      </c>
    </row>
    <row r="38" spans="2:43">
      <c r="B38" s="97" t="s">
        <v>129</v>
      </c>
      <c r="C38" s="61">
        <v>18230715</v>
      </c>
      <c r="D38" s="61" t="s">
        <v>130</v>
      </c>
      <c r="E38" s="38" t="s">
        <v>1002</v>
      </c>
      <c r="F38" s="39" t="s">
        <v>1003</v>
      </c>
      <c r="G38" s="39">
        <v>15</v>
      </c>
      <c r="H38" s="39"/>
      <c r="I38" s="40" t="s">
        <v>256</v>
      </c>
      <c r="J38" s="41">
        <v>1</v>
      </c>
      <c r="K38" s="41">
        <v>40470</v>
      </c>
      <c r="L38" s="41"/>
      <c r="M38" s="42">
        <v>9301</v>
      </c>
      <c r="N38" s="42">
        <v>9301</v>
      </c>
      <c r="O38" s="43">
        <v>40470</v>
      </c>
      <c r="P38" s="44">
        <v>9301</v>
      </c>
      <c r="Q38" s="44">
        <v>9301</v>
      </c>
      <c r="R38" s="45"/>
      <c r="S38" s="46"/>
      <c r="T38" s="39">
        <f t="shared" si="20"/>
        <v>15</v>
      </c>
      <c r="U38" s="47">
        <f t="shared" si="21"/>
        <v>2.212435582699333E-2</v>
      </c>
      <c r="V38" s="48">
        <f t="shared" si="22"/>
        <v>0</v>
      </c>
      <c r="W38" s="49">
        <f t="shared" si="23"/>
        <v>1.4749570551328888E-3</v>
      </c>
      <c r="X38" s="44">
        <f t="shared" si="24"/>
        <v>841.28529712731131</v>
      </c>
      <c r="Y38" s="44">
        <f t="shared" si="25"/>
        <v>0</v>
      </c>
      <c r="Z38" s="44">
        <f t="shared" si="26"/>
        <v>7807.0230926230388</v>
      </c>
      <c r="AA38" s="50">
        <f t="shared" si="27"/>
        <v>10142.285297127311</v>
      </c>
      <c r="AB38" s="51">
        <f t="shared" si="28"/>
        <v>7298.3295247480955</v>
      </c>
      <c r="AC38" s="44">
        <f t="shared" si="29"/>
        <v>9481.4296504882768</v>
      </c>
      <c r="AD38" s="44">
        <f t="shared" si="30"/>
        <v>0</v>
      </c>
      <c r="AE38" s="44">
        <f t="shared" si="31"/>
        <v>0</v>
      </c>
      <c r="AF38" s="52">
        <f>HLOOKUP(I38,ElecAvoidedCostsWOCC!$A$5:$Q$50,G38+1,FALSE)</f>
        <v>1.0293963841416951</v>
      </c>
      <c r="AG38" s="44">
        <f t="shared" si="32"/>
        <v>41659.671666214403</v>
      </c>
      <c r="AH38" s="52">
        <f>HLOOKUP(I38,ElecAvoidedCostsWOCC!$A$5:$Q$50,T38+1,FALSE)</f>
        <v>1.0293963841416951</v>
      </c>
      <c r="AI38" s="44">
        <f t="shared" si="33"/>
        <v>0</v>
      </c>
      <c r="AJ38" s="44">
        <f t="shared" si="34"/>
        <v>41659.671666214403</v>
      </c>
      <c r="AK38" s="44">
        <f>HLOOKUP(I38,ElecAvoidedCostsWOCC!$A$5:$Q$50,G38+1,FALSE)*J38*L38</f>
        <v>0</v>
      </c>
      <c r="AL38" s="44">
        <f t="shared" si="35"/>
        <v>41659.671666214403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41659.671666214403</v>
      </c>
      <c r="AN38" s="48">
        <f t="shared" si="36"/>
        <v>45825.638832835844</v>
      </c>
      <c r="AO38" s="47">
        <f t="shared" si="37"/>
        <v>5.7081105374797803</v>
      </c>
      <c r="AP38" s="47">
        <f t="shared" si="38"/>
        <v>4.8331992665764183</v>
      </c>
      <c r="AQ38">
        <v>2020</v>
      </c>
    </row>
    <row r="39" spans="2:43">
      <c r="B39" s="97" t="s">
        <v>129</v>
      </c>
      <c r="C39" s="61">
        <v>18230715</v>
      </c>
      <c r="D39" s="61" t="s">
        <v>130</v>
      </c>
      <c r="E39" s="38" t="s">
        <v>1006</v>
      </c>
      <c r="F39" s="39" t="s">
        <v>1007</v>
      </c>
      <c r="G39" s="39">
        <v>24</v>
      </c>
      <c r="H39" s="39"/>
      <c r="I39" s="40" t="s">
        <v>255</v>
      </c>
      <c r="J39" s="41">
        <v>1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/>
      <c r="S39" s="46"/>
      <c r="T39" s="39">
        <f t="shared" si="20"/>
        <v>24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>
        <f>HLOOKUP(I39,ElecAvoidedCostsWOCC!$A$5:$Q$50,G39+1,FALSE)</f>
        <v>1.4345808139443847</v>
      </c>
      <c r="AG39" s="44">
        <f t="shared" si="32"/>
        <v>0</v>
      </c>
      <c r="AH39" s="52">
        <f>HLOOKUP(I39,ElecAvoidedCostsWOCC!$A$5:$Q$50,T39+1,FALSE)</f>
        <v>1.4345808139443847</v>
      </c>
      <c r="AI39" s="44">
        <f t="shared" si="33"/>
        <v>0</v>
      </c>
      <c r="AJ39" s="44">
        <f t="shared" si="34"/>
        <v>0</v>
      </c>
      <c r="AK39" s="44">
        <f>HLOOKUP(I39,ElecAvoidedCostsWOCC!$A$5:$Q$50,G39+1,FALSE)*J39*L39</f>
        <v>0</v>
      </c>
      <c r="AL39" s="44">
        <f t="shared" si="35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  <c r="AQ39">
        <v>2020</v>
      </c>
    </row>
    <row r="40" spans="2:43">
      <c r="B40" s="97" t="s">
        <v>129</v>
      </c>
      <c r="C40" s="61">
        <v>18230715</v>
      </c>
      <c r="D40" s="61" t="s">
        <v>130</v>
      </c>
      <c r="E40" s="38" t="s">
        <v>976</v>
      </c>
      <c r="F40" s="39" t="s">
        <v>977</v>
      </c>
      <c r="G40" s="39">
        <v>15</v>
      </c>
      <c r="H40" s="39"/>
      <c r="I40" s="40" t="s">
        <v>257</v>
      </c>
      <c r="J40" s="41">
        <v>1</v>
      </c>
      <c r="K40" s="41">
        <v>162336</v>
      </c>
      <c r="L40" s="41"/>
      <c r="M40" s="42">
        <v>24966</v>
      </c>
      <c r="N40" s="42">
        <v>24966</v>
      </c>
      <c r="O40" s="43">
        <v>162336</v>
      </c>
      <c r="P40" s="44">
        <v>24966</v>
      </c>
      <c r="Q40" s="44">
        <v>24966</v>
      </c>
      <c r="R40" s="45"/>
      <c r="S40" s="46"/>
      <c r="T40" s="39">
        <f t="shared" si="20"/>
        <v>15</v>
      </c>
      <c r="U40" s="47">
        <f t="shared" si="21"/>
        <v>8.8746711824333815E-2</v>
      </c>
      <c r="V40" s="48">
        <f t="shared" si="22"/>
        <v>0</v>
      </c>
      <c r="W40" s="49">
        <f t="shared" si="23"/>
        <v>5.916447454955588E-3</v>
      </c>
      <c r="X40" s="44">
        <f t="shared" si="24"/>
        <v>3374.620459462793</v>
      </c>
      <c r="Y40" s="44">
        <f t="shared" si="25"/>
        <v>0</v>
      </c>
      <c r="Z40" s="44">
        <f t="shared" si="26"/>
        <v>31316.058827873825</v>
      </c>
      <c r="AA40" s="50">
        <f t="shared" si="27"/>
        <v>28340.620459462792</v>
      </c>
      <c r="AB40" s="51">
        <f t="shared" si="28"/>
        <v>29275.552797862787</v>
      </c>
      <c r="AC40" s="44">
        <f t="shared" si="29"/>
        <v>26493.989398394682</v>
      </c>
      <c r="AD40" s="44">
        <f t="shared" si="30"/>
        <v>0</v>
      </c>
      <c r="AE40" s="44">
        <f t="shared" si="31"/>
        <v>0</v>
      </c>
      <c r="AF40" s="52">
        <f>HLOOKUP(I40,ElecAvoidedCostsWOCC!$A$5:$Q$50,G40+1,FALSE)</f>
        <v>1.0545904948077327</v>
      </c>
      <c r="AG40" s="44">
        <f t="shared" si="32"/>
        <v>171198.00256510809</v>
      </c>
      <c r="AH40" s="52">
        <f>HLOOKUP(I40,ElecAvoidedCostsWOCC!$A$5:$Q$50,T40+1,FALSE)</f>
        <v>1.0545904948077327</v>
      </c>
      <c r="AI40" s="44">
        <f t="shared" si="33"/>
        <v>0</v>
      </c>
      <c r="AJ40" s="44">
        <f t="shared" si="34"/>
        <v>171198.00256510809</v>
      </c>
      <c r="AK40" s="44">
        <f>HLOOKUP(I40,ElecAvoidedCostsWOCC!$A$5:$Q$50,G40+1,FALSE)*J40*L40</f>
        <v>0</v>
      </c>
      <c r="AL40" s="44">
        <f t="shared" si="35"/>
        <v>171198.00256510809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171198.00256510809</v>
      </c>
      <c r="AN40" s="48">
        <f t="shared" si="36"/>
        <v>188317.80282161891</v>
      </c>
      <c r="AO40" s="47">
        <f t="shared" si="37"/>
        <v>5.8478145142866822</v>
      </c>
      <c r="AP40" s="47">
        <f t="shared" si="38"/>
        <v>7.1079443714516399</v>
      </c>
      <c r="AQ40">
        <v>2020</v>
      </c>
    </row>
    <row r="41" spans="2:43">
      <c r="B41" s="97" t="s">
        <v>129</v>
      </c>
      <c r="C41" s="61">
        <v>18230715</v>
      </c>
      <c r="D41" s="61" t="s">
        <v>130</v>
      </c>
      <c r="E41" s="38" t="s">
        <v>976</v>
      </c>
      <c r="F41" s="39" t="s">
        <v>977</v>
      </c>
      <c r="G41" s="39">
        <v>15</v>
      </c>
      <c r="H41" s="39"/>
      <c r="I41" s="40" t="s">
        <v>257</v>
      </c>
      <c r="J41" s="41">
        <v>1</v>
      </c>
      <c r="K41" s="41">
        <v>40979</v>
      </c>
      <c r="L41" s="41"/>
      <c r="M41" s="42">
        <v>6147</v>
      </c>
      <c r="N41" s="42">
        <v>6147</v>
      </c>
      <c r="O41" s="43">
        <v>40979</v>
      </c>
      <c r="P41" s="44">
        <v>6147</v>
      </c>
      <c r="Q41" s="44">
        <v>6147</v>
      </c>
      <c r="R41" s="45"/>
      <c r="S41" s="46"/>
      <c r="T41" s="39">
        <f t="shared" si="20"/>
        <v>15</v>
      </c>
      <c r="U41" s="47">
        <f t="shared" si="21"/>
        <v>2.2402618666527298E-2</v>
      </c>
      <c r="V41" s="48">
        <f t="shared" si="22"/>
        <v>0</v>
      </c>
      <c r="W41" s="49">
        <f t="shared" si="23"/>
        <v>1.4935079111018199E-3</v>
      </c>
      <c r="X41" s="44">
        <f t="shared" si="24"/>
        <v>851.86632545045939</v>
      </c>
      <c r="Y41" s="44">
        <f t="shared" si="25"/>
        <v>0</v>
      </c>
      <c r="Z41" s="44">
        <f t="shared" si="26"/>
        <v>7905.2137215863477</v>
      </c>
      <c r="AA41" s="50">
        <f t="shared" si="27"/>
        <v>6998.866325450459</v>
      </c>
      <c r="AB41" s="51">
        <f t="shared" si="28"/>
        <v>7390.1222039696613</v>
      </c>
      <c r="AC41" s="44">
        <f t="shared" si="29"/>
        <v>6542.8310044409263</v>
      </c>
      <c r="AD41" s="44">
        <f t="shared" si="30"/>
        <v>0</v>
      </c>
      <c r="AE41" s="44">
        <f t="shared" si="31"/>
        <v>0</v>
      </c>
      <c r="AF41" s="52">
        <f>HLOOKUP(I41,ElecAvoidedCostsWOCC!$A$5:$Q$50,G41+1,FALSE)</f>
        <v>1.0545904948077327</v>
      </c>
      <c r="AG41" s="44">
        <f t="shared" si="32"/>
        <v>43216.063886726079</v>
      </c>
      <c r="AH41" s="52">
        <f>HLOOKUP(I41,ElecAvoidedCostsWOCC!$A$5:$Q$50,T41+1,FALSE)</f>
        <v>1.0545904948077327</v>
      </c>
      <c r="AI41" s="44">
        <f t="shared" si="33"/>
        <v>0</v>
      </c>
      <c r="AJ41" s="44">
        <f t="shared" si="34"/>
        <v>43216.063886726079</v>
      </c>
      <c r="AK41" s="44">
        <f>HLOOKUP(I41,ElecAvoidedCostsWOCC!$A$5:$Q$50,G41+1,FALSE)*J41*L41</f>
        <v>0</v>
      </c>
      <c r="AL41" s="44">
        <f t="shared" si="35"/>
        <v>43216.063886726079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43216.063886726079</v>
      </c>
      <c r="AN41" s="48">
        <f t="shared" si="36"/>
        <v>47537.67027539869</v>
      </c>
      <c r="AO41" s="47">
        <f t="shared" si="37"/>
        <v>5.8478145142866831</v>
      </c>
      <c r="AP41" s="47">
        <f t="shared" si="38"/>
        <v>7.2656118189714274</v>
      </c>
      <c r="AQ41">
        <v>2020</v>
      </c>
    </row>
    <row r="42" spans="2:43">
      <c r="B42" s="97" t="s">
        <v>129</v>
      </c>
      <c r="C42" s="61">
        <v>18230715</v>
      </c>
      <c r="D42" s="61" t="s">
        <v>130</v>
      </c>
      <c r="E42" s="38" t="s">
        <v>976</v>
      </c>
      <c r="F42" s="39" t="s">
        <v>977</v>
      </c>
      <c r="G42" s="39">
        <v>15</v>
      </c>
      <c r="H42" s="39"/>
      <c r="I42" s="40" t="s">
        <v>257</v>
      </c>
      <c r="J42" s="41">
        <v>1</v>
      </c>
      <c r="K42" s="41">
        <v>25113</v>
      </c>
      <c r="L42" s="41"/>
      <c r="M42" s="42">
        <v>4395</v>
      </c>
      <c r="N42" s="42">
        <v>17565</v>
      </c>
      <c r="O42" s="43">
        <v>25113</v>
      </c>
      <c r="P42" s="44">
        <v>4395</v>
      </c>
      <c r="Q42" s="44">
        <v>17565</v>
      </c>
      <c r="R42" s="45"/>
      <c r="S42" s="46"/>
      <c r="T42" s="39">
        <f t="shared" si="20"/>
        <v>15</v>
      </c>
      <c r="U42" s="47">
        <f t="shared" si="21"/>
        <v>1.3728909016142416E-2</v>
      </c>
      <c r="V42" s="48">
        <f t="shared" si="22"/>
        <v>13170</v>
      </c>
      <c r="W42" s="49">
        <f t="shared" si="23"/>
        <v>9.1526060107616105E-4</v>
      </c>
      <c r="X42" s="44">
        <f t="shared" si="24"/>
        <v>522.04590231673262</v>
      </c>
      <c r="Y42" s="44">
        <f t="shared" si="25"/>
        <v>13170</v>
      </c>
      <c r="Z42" s="44">
        <f t="shared" si="26"/>
        <v>4844.5211496180473</v>
      </c>
      <c r="AA42" s="50">
        <f t="shared" si="27"/>
        <v>18087.045902316731</v>
      </c>
      <c r="AB42" s="51">
        <f t="shared" si="28"/>
        <v>4528.8596331850486</v>
      </c>
      <c r="AC42" s="44">
        <f t="shared" si="29"/>
        <v>16908.521924199991</v>
      </c>
      <c r="AD42" s="44">
        <f t="shared" si="30"/>
        <v>0</v>
      </c>
      <c r="AE42" s="44">
        <f t="shared" si="31"/>
        <v>0</v>
      </c>
      <c r="AF42" s="52">
        <f>HLOOKUP(I42,ElecAvoidedCostsWOCC!$A$5:$Q$50,G42+1,FALSE)</f>
        <v>1.0545904948077327</v>
      </c>
      <c r="AG42" s="44">
        <f t="shared" si="32"/>
        <v>26483.931096106593</v>
      </c>
      <c r="AH42" s="52">
        <f>HLOOKUP(I42,ElecAvoidedCostsWOCC!$A$5:$Q$50,T42+1,FALSE)</f>
        <v>1.0545904948077327</v>
      </c>
      <c r="AI42" s="44">
        <f t="shared" si="33"/>
        <v>0</v>
      </c>
      <c r="AJ42" s="44">
        <f t="shared" si="34"/>
        <v>26483.931096106593</v>
      </c>
      <c r="AK42" s="44">
        <f>HLOOKUP(I42,ElecAvoidedCostsWOCC!$A$5:$Q$50,G42+1,FALSE)*J42*L42</f>
        <v>0</v>
      </c>
      <c r="AL42" s="44">
        <f t="shared" si="35"/>
        <v>26483.931096106593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26483.931096106593</v>
      </c>
      <c r="AN42" s="48">
        <f t="shared" si="36"/>
        <v>29132.324205717254</v>
      </c>
      <c r="AO42" s="47">
        <f t="shared" si="37"/>
        <v>5.847814514286684</v>
      </c>
      <c r="AP42" s="47">
        <f t="shared" si="38"/>
        <v>1.722937364739267</v>
      </c>
      <c r="AQ42">
        <v>2020</v>
      </c>
    </row>
    <row r="43" spans="2:43">
      <c r="B43" s="97" t="s">
        <v>129</v>
      </c>
      <c r="C43" s="61">
        <v>18230715</v>
      </c>
      <c r="D43" s="61" t="s">
        <v>130</v>
      </c>
      <c r="E43" s="38" t="s">
        <v>1010</v>
      </c>
      <c r="F43" s="39" t="s">
        <v>1011</v>
      </c>
      <c r="G43" s="39">
        <v>15</v>
      </c>
      <c r="H43" s="39"/>
      <c r="I43" s="40" t="s">
        <v>256</v>
      </c>
      <c r="J43" s="41">
        <v>1</v>
      </c>
      <c r="K43" s="41">
        <v>96426</v>
      </c>
      <c r="L43" s="41"/>
      <c r="M43" s="42">
        <v>11839</v>
      </c>
      <c r="N43" s="42">
        <v>46266.32</v>
      </c>
      <c r="O43" s="43">
        <v>96426</v>
      </c>
      <c r="P43" s="44">
        <v>11839</v>
      </c>
      <c r="Q43" s="44">
        <v>46266.32</v>
      </c>
      <c r="R43" s="45"/>
      <c r="S43" s="46"/>
      <c r="T43" s="39">
        <f t="shared" si="20"/>
        <v>15</v>
      </c>
      <c r="U43" s="47">
        <f t="shared" si="21"/>
        <v>5.2714680874071142E-2</v>
      </c>
      <c r="V43" s="48">
        <f t="shared" si="22"/>
        <v>34427.32</v>
      </c>
      <c r="W43" s="49">
        <f t="shared" si="23"/>
        <v>3.5143120582714093E-3</v>
      </c>
      <c r="X43" s="44">
        <f t="shared" si="24"/>
        <v>2004.4916249270602</v>
      </c>
      <c r="Y43" s="44">
        <f t="shared" si="25"/>
        <v>34427.32</v>
      </c>
      <c r="Z43" s="44">
        <f t="shared" si="26"/>
        <v>18601.433376062989</v>
      </c>
      <c r="AA43" s="50">
        <f t="shared" si="27"/>
        <v>48270.811624927061</v>
      </c>
      <c r="AB43" s="51">
        <f t="shared" si="28"/>
        <v>17389.39270455547</v>
      </c>
      <c r="AC43" s="44">
        <f t="shared" si="29"/>
        <v>45125.560086872072</v>
      </c>
      <c r="AD43" s="44">
        <f t="shared" si="30"/>
        <v>0</v>
      </c>
      <c r="AE43" s="44">
        <f t="shared" si="31"/>
        <v>0</v>
      </c>
      <c r="AF43" s="52">
        <f>HLOOKUP(I43,ElecAvoidedCostsWOCC!$A$5:$Q$50,G43+1,FALSE)</f>
        <v>1.0293963841416951</v>
      </c>
      <c r="AG43" s="44">
        <f t="shared" si="32"/>
        <v>99260.575737247098</v>
      </c>
      <c r="AH43" s="52">
        <f>HLOOKUP(I43,ElecAvoidedCostsWOCC!$A$5:$Q$50,T43+1,FALSE)</f>
        <v>1.0293963841416951</v>
      </c>
      <c r="AI43" s="44">
        <f t="shared" si="33"/>
        <v>0</v>
      </c>
      <c r="AJ43" s="44">
        <f t="shared" si="34"/>
        <v>99260.575737247098</v>
      </c>
      <c r="AK43" s="44">
        <f>HLOOKUP(I43,ElecAvoidedCostsWOCC!$A$5:$Q$50,G43+1,FALSE)*J43*L43</f>
        <v>0</v>
      </c>
      <c r="AL43" s="44">
        <f t="shared" si="35"/>
        <v>99260.575737247098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99260.575737247098</v>
      </c>
      <c r="AN43" s="48">
        <f t="shared" si="36"/>
        <v>109186.63331097181</v>
      </c>
      <c r="AO43" s="47">
        <f t="shared" si="37"/>
        <v>5.7081105374797803</v>
      </c>
      <c r="AP43" s="47">
        <f t="shared" si="38"/>
        <v>2.4196183515678156</v>
      </c>
      <c r="AQ43">
        <v>2020</v>
      </c>
    </row>
    <row r="44" spans="2:43">
      <c r="B44" s="97" t="s">
        <v>129</v>
      </c>
      <c r="C44" s="61">
        <v>18230715</v>
      </c>
      <c r="D44" s="61" t="s">
        <v>130</v>
      </c>
      <c r="E44" s="38" t="s">
        <v>2098</v>
      </c>
      <c r="F44" s="39" t="s">
        <v>2099</v>
      </c>
      <c r="G44" s="39">
        <v>7</v>
      </c>
      <c r="H44" s="39"/>
      <c r="I44" s="40" t="s">
        <v>256</v>
      </c>
      <c r="J44" s="41">
        <v>1</v>
      </c>
      <c r="K44" s="41">
        <v>52409</v>
      </c>
      <c r="L44" s="41"/>
      <c r="M44" s="42">
        <v>10440</v>
      </c>
      <c r="N44" s="42">
        <v>10440</v>
      </c>
      <c r="O44" s="43">
        <v>52409</v>
      </c>
      <c r="P44" s="44">
        <v>10440</v>
      </c>
      <c r="Q44" s="44">
        <v>10440</v>
      </c>
      <c r="R44" s="45"/>
      <c r="S44" s="46"/>
      <c r="T44" s="39">
        <f t="shared" si="20"/>
        <v>7</v>
      </c>
      <c r="U44" s="47">
        <f t="shared" si="21"/>
        <v>1.3370574996718978E-2</v>
      </c>
      <c r="V44" s="48">
        <f t="shared" si="22"/>
        <v>0</v>
      </c>
      <c r="W44" s="49">
        <f t="shared" si="23"/>
        <v>1.9100821423884253E-3</v>
      </c>
      <c r="X44" s="44">
        <f t="shared" si="24"/>
        <v>1089.4717355360826</v>
      </c>
      <c r="Y44" s="44">
        <f t="shared" si="25"/>
        <v>0</v>
      </c>
      <c r="Z44" s="44">
        <f t="shared" si="26"/>
        <v>10110.162423061054</v>
      </c>
      <c r="AA44" s="50">
        <f t="shared" si="27"/>
        <v>11529.471735536083</v>
      </c>
      <c r="AB44" s="51">
        <f t="shared" si="28"/>
        <v>9451.3998532869518</v>
      </c>
      <c r="AC44" s="44">
        <f t="shared" si="29"/>
        <v>10778.229162883128</v>
      </c>
      <c r="AD44" s="44">
        <f t="shared" si="30"/>
        <v>0</v>
      </c>
      <c r="AE44" s="44">
        <f t="shared" si="31"/>
        <v>0</v>
      </c>
      <c r="AF44" s="52">
        <f>HLOOKUP(I44,ElecAvoidedCostsWOCC!$A$5:$Q$50,G44+1,FALSE)</f>
        <v>0.49980838947667638</v>
      </c>
      <c r="AG44" s="44">
        <f t="shared" si="32"/>
        <v>26194.457884083131</v>
      </c>
      <c r="AH44" s="52">
        <f>HLOOKUP(I44,ElecAvoidedCostsWOCC!$A$5:$Q$50,T44+1,FALSE)</f>
        <v>0.49980838947667638</v>
      </c>
      <c r="AI44" s="44">
        <f t="shared" si="33"/>
        <v>0</v>
      </c>
      <c r="AJ44" s="44">
        <f t="shared" si="34"/>
        <v>26194.457884083131</v>
      </c>
      <c r="AK44" s="44">
        <f>HLOOKUP(I44,ElecAvoidedCostsWOCC!$A$5:$Q$50,G44+1,FALSE)*J44*L44</f>
        <v>0</v>
      </c>
      <c r="AL44" s="44">
        <f t="shared" si="35"/>
        <v>26194.457884083131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26194.457884083131</v>
      </c>
      <c r="AN44" s="48">
        <f t="shared" si="36"/>
        <v>28813.903672491448</v>
      </c>
      <c r="AO44" s="47">
        <f t="shared" si="37"/>
        <v>2.7714897571467549</v>
      </c>
      <c r="AP44" s="47">
        <f t="shared" si="38"/>
        <v>2.6733430173963622</v>
      </c>
      <c r="AQ44">
        <v>2020</v>
      </c>
    </row>
    <row r="45" spans="2:43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3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3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3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HLOOKUP(I51,ElecAvoidedCostsWOCC!$A$5:$Q$50,G51+1,FALSE)</f>
        <v>#N/A</v>
      </c>
      <c r="AG51" s="44" t="e">
        <f t="shared" si="32"/>
        <v>#N/A</v>
      </c>
      <c r="AH51" s="52" t="e">
        <f>HLOOKUP(I51,ElecAvoidedCostsWOCC!$A$5:$Q$50,T51+1,FALSE)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HLOOKUP(I51,ElecAvoidedCostsWOCC!$A$5:$Q$50,G51+1,FALSE)*J51*L51</f>
        <v>#N/A</v>
      </c>
      <c r="AL51" s="44" t="e">
        <f t="shared" si="35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HLOOKUP(I52,ElecAvoidedCostsWOCC!$A$5:$Q$50,G52+1,FALSE)</f>
        <v>#N/A</v>
      </c>
      <c r="AG52" s="44" t="e">
        <f t="shared" si="32"/>
        <v>#N/A</v>
      </c>
      <c r="AH52" s="52" t="e">
        <f>HLOOKUP(I52,ElecAvoidedCostsWOCC!$A$5:$Q$50,T52+1,FALSE)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HLOOKUP(I52,ElecAvoidedCostsWOCC!$A$5:$Q$50,G52+1,FALSE)*J52*L52</f>
        <v>#N/A</v>
      </c>
      <c r="AL52" s="44" t="e">
        <f t="shared" si="35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HLOOKUP(I53,ElecAvoidedCostsWOCC!$A$5:$Q$50,G53+1,FALSE)</f>
        <v>#N/A</v>
      </c>
      <c r="AG53" s="44" t="e">
        <f t="shared" si="32"/>
        <v>#N/A</v>
      </c>
      <c r="AH53" s="52" t="e">
        <f>HLOOKUP(I53,ElecAvoidedCostsWOCC!$A$5:$Q$50,T53+1,FALSE)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HLOOKUP(I53,ElecAvoidedCostsWOCC!$A$5:$Q$50,G53+1,FALSE)*J53*L53</f>
        <v>#N/A</v>
      </c>
      <c r="AL53" s="44" t="e">
        <f t="shared" si="35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HLOOKUP(I54,ElecAvoidedCostsWOCC!$A$5:$Q$50,G54+1,FALSE)</f>
        <v>#N/A</v>
      </c>
      <c r="AG54" s="44" t="e">
        <f t="shared" si="32"/>
        <v>#N/A</v>
      </c>
      <c r="AH54" s="52" t="e">
        <f>HLOOKUP(I54,ElecAvoidedCostsWOCC!$A$5:$Q$50,T54+1,FALSE)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HLOOKUP(I54,ElecAvoidedCostsWOCC!$A$5:$Q$50,G54+1,FALSE)*J54*L54</f>
        <v>#N/A</v>
      </c>
      <c r="AL54" s="44" t="e">
        <f t="shared" si="35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HLOOKUP(I55,ElecAvoidedCostsWOCC!$A$5:$Q$50,G55+1,FALSE)</f>
        <v>#N/A</v>
      </c>
      <c r="AG55" s="44" t="e">
        <f t="shared" si="32"/>
        <v>#N/A</v>
      </c>
      <c r="AH55" s="52" t="e">
        <f>HLOOKUP(I55,ElecAvoidedCostsWOCC!$A$5:$Q$50,T55+1,FALSE)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HLOOKUP(I55,ElecAvoidedCostsWOCC!$A$5:$Q$50,G55+1,FALSE)*J55*L55</f>
        <v>#N/A</v>
      </c>
      <c r="AL55" s="44" t="e">
        <f t="shared" si="35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HLOOKUP(I56,ElecAvoidedCostsWOCC!$A$5:$Q$50,G56+1,FALSE)</f>
        <v>#N/A</v>
      </c>
      <c r="AG56" s="44" t="e">
        <f t="shared" si="32"/>
        <v>#N/A</v>
      </c>
      <c r="AH56" s="52" t="e">
        <f>HLOOKUP(I56,ElecAvoidedCostsWOCC!$A$5:$Q$50,T56+1,FALSE)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HLOOKUP(I56,ElecAvoidedCostsWOCC!$A$5:$Q$50,G56+1,FALSE)*J56*L56</f>
        <v>#N/A</v>
      </c>
      <c r="AL56" s="44" t="e">
        <f t="shared" si="35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HLOOKUP(I57,ElecAvoidedCostsWOCC!$A$5:$Q$50,G57+1,FALSE)</f>
        <v>#N/A</v>
      </c>
      <c r="AG57" s="44" t="e">
        <f t="shared" si="32"/>
        <v>#N/A</v>
      </c>
      <c r="AH57" s="52" t="e">
        <f>HLOOKUP(I57,ElecAvoidedCostsWOCC!$A$5:$Q$50,T57+1,FALSE)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HLOOKUP(I57,ElecAvoidedCostsWOCC!$A$5:$Q$50,G57+1,FALSE)*J57*L57</f>
        <v>#N/A</v>
      </c>
      <c r="AL57" s="44" t="e">
        <f t="shared" si="35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</sheetData>
  <conditionalFormatting sqref="J5:L5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57 R5:S57">
    <cfRule type="expression" dxfId="222" priority="2">
      <formula>ISTEXT(M5)</formula>
    </cfRule>
  </conditionalFormatting>
  <conditionalFormatting sqref="M5:N57 R5:S57">
    <cfRule type="notContainsBlanks" dxfId="221" priority="3">
      <formula>LEN(TRIM(M5))&gt;0</formula>
    </cfRule>
  </conditionalFormatting>
  <conditionalFormatting sqref="R5:S5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0.36098525396517694</v>
      </c>
      <c r="V5" s="48">
        <f t="shared" ref="V5:V19" si="2">N5-M5</f>
        <v>37148</v>
      </c>
      <c r="W5" s="49">
        <f t="shared" ref="W5:W19" si="3">(O5/A$10)</f>
        <v>0.12032841798839232</v>
      </c>
      <c r="X5" s="44">
        <f t="shared" ref="X5:X19" si="4">W5*A$8</f>
        <v>186825.3082662911</v>
      </c>
      <c r="Y5" s="44">
        <f t="shared" ref="Y5:Y19" si="5">Q5-P5</f>
        <v>37148</v>
      </c>
      <c r="Z5" s="44">
        <f t="shared" ref="Z5:Z19" si="6">X5+(A$6*W5)</f>
        <v>305179.85888600186</v>
      </c>
      <c r="AA5" s="50">
        <f t="shared" ref="AA5:AA19" si="7">Q5+X5</f>
        <v>284601.3082662911</v>
      </c>
      <c r="AB5" s="51">
        <f t="shared" ref="AB5:AC15" si="8">Z5/(1+ElecDiscountRate)^1</f>
        <v>285294.81058801705</v>
      </c>
      <c r="AC5" s="44">
        <f t="shared" si="8"/>
        <v>266057.12654603261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1.8908361964059825</v>
      </c>
      <c r="AP5" s="47">
        <f>AN5/AC5</f>
        <v>2.2303117291413939</v>
      </c>
      <c r="AQ5">
        <v>2021</v>
      </c>
    </row>
    <row r="6" spans="1:43" ht="13.5" customHeight="1">
      <c r="A6" s="53">
        <f>SUMIF('Program Costs'!D:D,C2,'Program Costs'!L:L)</f>
        <v>983596</v>
      </c>
      <c r="B6" s="97" t="s">
        <v>136</v>
      </c>
      <c r="C6" s="98">
        <v>18230723</v>
      </c>
      <c r="D6" s="61" t="s">
        <v>137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0.31366171456633052</v>
      </c>
      <c r="V6" s="48">
        <f t="shared" si="2"/>
        <v>33464</v>
      </c>
      <c r="W6" s="49">
        <f t="shared" si="3"/>
        <v>0.1045539048554435</v>
      </c>
      <c r="X6" s="44">
        <f t="shared" si="4"/>
        <v>162333.35259960798</v>
      </c>
      <c r="Y6" s="44">
        <f t="shared" si="5"/>
        <v>33464</v>
      </c>
      <c r="Z6" s="44">
        <f t="shared" si="6"/>
        <v>265172.15519980277</v>
      </c>
      <c r="AA6" s="50">
        <f t="shared" si="7"/>
        <v>247291.35259960798</v>
      </c>
      <c r="AB6" s="51">
        <f t="shared" si="8"/>
        <v>247893.94708778418</v>
      </c>
      <c r="AC6" s="44">
        <f t="shared" si="8"/>
        <v>231178.22997065342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1.8908361964059828</v>
      </c>
      <c r="AP6" s="47">
        <f t="shared" ref="AP6:AP19" si="16">AN6/AC6</f>
        <v>2.2303117940272186</v>
      </c>
      <c r="AQ6">
        <v>2021</v>
      </c>
    </row>
    <row r="7" spans="1:43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3.4001365922373193E-3</v>
      </c>
      <c r="V7" s="48">
        <f t="shared" si="2"/>
        <v>461</v>
      </c>
      <c r="W7" s="49">
        <f t="shared" si="3"/>
        <v>1.1333788640791064E-3</v>
      </c>
      <c r="X7" s="44">
        <f t="shared" si="4"/>
        <v>1759.7161103248623</v>
      </c>
      <c r="Y7" s="44">
        <f t="shared" si="5"/>
        <v>461</v>
      </c>
      <c r="Z7" s="44">
        <f t="shared" si="6"/>
        <v>2874.503027517615</v>
      </c>
      <c r="AA7" s="50">
        <f t="shared" si="7"/>
        <v>2680.7161103248623</v>
      </c>
      <c r="AB7" s="51">
        <f t="shared" si="8"/>
        <v>2687.2048495069785</v>
      </c>
      <c r="AC7" s="44">
        <f t="shared" si="8"/>
        <v>2506.0447885620847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1.8908361964059828</v>
      </c>
      <c r="AP7" s="47">
        <f t="shared" si="16"/>
        <v>2.2302756286622407</v>
      </c>
      <c r="AQ7">
        <v>2021</v>
      </c>
    </row>
    <row r="8" spans="1:43" ht="13.5" customHeight="1">
      <c r="A8" s="53">
        <f>SUMIF('Program Costs'!D:D,C2,'Program Costs'!O:O)</f>
        <v>1552628.3099999996</v>
      </c>
      <c r="B8" s="97" t="s">
        <v>136</v>
      </c>
      <c r="C8" s="98">
        <v>18230723</v>
      </c>
      <c r="D8" s="61" t="s">
        <v>137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0.29601331621713345</v>
      </c>
      <c r="V8" s="48">
        <f t="shared" si="2"/>
        <v>55184</v>
      </c>
      <c r="W8" s="49">
        <f t="shared" si="3"/>
        <v>9.867110540571114E-2</v>
      </c>
      <c r="X8" s="44">
        <f t="shared" si="4"/>
        <v>153199.55163190112</v>
      </c>
      <c r="Y8" s="44">
        <f t="shared" si="5"/>
        <v>55184</v>
      </c>
      <c r="Z8" s="44">
        <f t="shared" si="6"/>
        <v>250252.05622453697</v>
      </c>
      <c r="AA8" s="50">
        <f t="shared" si="7"/>
        <v>248819.55163190112</v>
      </c>
      <c r="AB8" s="51">
        <f t="shared" si="8"/>
        <v>233946.01871976905</v>
      </c>
      <c r="AC8" s="44">
        <f t="shared" si="8"/>
        <v>232606.85391408909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1.8908361964059823</v>
      </c>
      <c r="AP8" s="47">
        <f t="shared" si="16"/>
        <v>2.0918943360119928</v>
      </c>
      <c r="AQ8">
        <v>2021</v>
      </c>
    </row>
    <row r="9" spans="1:43" ht="13.5" customHeight="1">
      <c r="A9" s="36" t="s">
        <v>250</v>
      </c>
      <c r="B9" s="97" t="s">
        <v>136</v>
      </c>
      <c r="C9" s="98">
        <v>18230723</v>
      </c>
      <c r="D9" s="61" t="s">
        <v>137</v>
      </c>
      <c r="E9" s="38" t="s">
        <v>1062</v>
      </c>
      <c r="F9" s="39" t="s">
        <v>1063</v>
      </c>
      <c r="G9" s="39">
        <v>3</v>
      </c>
      <c r="H9" s="39"/>
      <c r="I9" s="40" t="s">
        <v>256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SUM(O5:O994)</f>
        <v>20314478</v>
      </c>
      <c r="B10" s="97" t="s">
        <v>136</v>
      </c>
      <c r="C10" s="98">
        <v>18230723</v>
      </c>
      <c r="D10" s="61" t="s">
        <v>137</v>
      </c>
      <c r="E10" s="38" t="s">
        <v>1064</v>
      </c>
      <c r="F10" s="39" t="s">
        <v>1065</v>
      </c>
      <c r="G10" s="39">
        <v>3</v>
      </c>
      <c r="H10" s="39"/>
      <c r="I10" s="40" t="s">
        <v>256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136</v>
      </c>
      <c r="C11" s="98">
        <v>18230723</v>
      </c>
      <c r="D11" s="61" t="s">
        <v>137</v>
      </c>
      <c r="E11" s="38" t="s">
        <v>1066</v>
      </c>
      <c r="F11" s="39" t="s">
        <v>1067</v>
      </c>
      <c r="G11" s="39">
        <v>3</v>
      </c>
      <c r="H11" s="39"/>
      <c r="I11" s="40" t="s">
        <v>256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SUM(P5:P995)</f>
        <v>983596</v>
      </c>
      <c r="B12" s="97" t="s">
        <v>136</v>
      </c>
      <c r="C12" s="98">
        <v>18230723</v>
      </c>
      <c r="D12" s="61" t="s">
        <v>137</v>
      </c>
      <c r="E12" s="38" t="s">
        <v>1066</v>
      </c>
      <c r="F12" s="39" t="s">
        <v>1067</v>
      </c>
      <c r="G12" s="39">
        <v>3</v>
      </c>
      <c r="H12" s="39"/>
      <c r="I12" s="40" t="s">
        <v>256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136</v>
      </c>
      <c r="C13" s="98">
        <v>18230723</v>
      </c>
      <c r="D13" s="61" t="s">
        <v>137</v>
      </c>
      <c r="E13" s="38" t="s">
        <v>1068</v>
      </c>
      <c r="F13" s="39" t="s">
        <v>1069</v>
      </c>
      <c r="G13" s="39">
        <v>3</v>
      </c>
      <c r="H13" s="39"/>
      <c r="I13" s="40" t="s">
        <v>256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SUM(Y5:Y995)</f>
        <v>357710.4</v>
      </c>
      <c r="B14" s="97" t="s">
        <v>136</v>
      </c>
      <c r="C14" s="98">
        <v>18230723</v>
      </c>
      <c r="D14" s="61" t="s">
        <v>137</v>
      </c>
      <c r="E14" s="38" t="s">
        <v>1070</v>
      </c>
      <c r="F14" s="39" t="s">
        <v>1071</v>
      </c>
      <c r="G14" s="39">
        <v>3</v>
      </c>
      <c r="H14" s="39"/>
      <c r="I14" s="40" t="s">
        <v>256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136</v>
      </c>
      <c r="C15" s="98">
        <v>18230723</v>
      </c>
      <c r="D15" s="61" t="s">
        <v>137</v>
      </c>
      <c r="E15" s="38" t="s">
        <v>1072</v>
      </c>
      <c r="F15" s="39" t="s">
        <v>1073</v>
      </c>
      <c r="G15" s="39">
        <v>3</v>
      </c>
      <c r="H15" s="39"/>
      <c r="I15" s="40" t="s">
        <v>256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  <c r="AQ15">
        <v>2021</v>
      </c>
    </row>
    <row r="16" spans="1:43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1072</v>
      </c>
      <c r="F16" s="39" t="s">
        <v>1073</v>
      </c>
      <c r="G16" s="39">
        <v>3</v>
      </c>
      <c r="H16" s="39"/>
      <c r="I16" s="40" t="s">
        <v>256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  <c r="AQ16">
        <v>2021</v>
      </c>
    </row>
    <row r="17" spans="1:43" ht="13.5" customHeight="1">
      <c r="A17" s="58" t="s">
        <v>254</v>
      </c>
      <c r="B17" s="97" t="s">
        <v>136</v>
      </c>
      <c r="C17" s="100">
        <v>18230723</v>
      </c>
      <c r="D17" s="100" t="s">
        <v>137</v>
      </c>
      <c r="E17" s="38" t="s">
        <v>2100</v>
      </c>
      <c r="F17" s="39" t="s">
        <v>2101</v>
      </c>
      <c r="G17" s="39">
        <v>3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3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0.31684706098619264</v>
      </c>
      <c r="AG17" s="44">
        <f t="shared" si="10"/>
        <v>0</v>
      </c>
      <c r="AH17" s="52">
        <f>HLOOKUP(I17,ElecAvoidedCostsWOCC!$A$5:$Q$50,T17+1,FALSE)</f>
        <v>0.31684706098619264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2020</v>
      </c>
    </row>
    <row r="18" spans="1:43" ht="13.5" customHeight="1">
      <c r="A18" s="59">
        <f>A6+A8</f>
        <v>2536224.3099999996</v>
      </c>
      <c r="B18" s="97" t="s">
        <v>136</v>
      </c>
      <c r="C18" s="100">
        <v>18230723</v>
      </c>
      <c r="D18" s="100" t="s">
        <v>137</v>
      </c>
      <c r="E18" s="38" t="s">
        <v>2102</v>
      </c>
      <c r="F18" s="39" t="s">
        <v>2103</v>
      </c>
      <c r="G18" s="39">
        <v>3</v>
      </c>
      <c r="H18" s="39"/>
      <c r="I18" s="40" t="s">
        <v>261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3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0.31684706098619264</v>
      </c>
      <c r="AG18" s="44">
        <f t="shared" si="10"/>
        <v>0</v>
      </c>
      <c r="AH18" s="52">
        <f>HLOOKUP(I18,ElecAvoidedCostsWOCC!$A$5:$Q$50,T18+1,FALSE)</f>
        <v>0.31684706098619264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3" ht="13.5" customHeight="1">
      <c r="A19" s="58" t="s">
        <v>231</v>
      </c>
      <c r="B19" s="97" t="s">
        <v>136</v>
      </c>
      <c r="C19" s="101">
        <v>18230723</v>
      </c>
      <c r="D19" s="101" t="s">
        <v>137</v>
      </c>
      <c r="E19" s="38" t="s">
        <v>2104</v>
      </c>
      <c r="F19" s="39" t="s">
        <v>2105</v>
      </c>
      <c r="G19" s="39">
        <v>3</v>
      </c>
      <c r="H19" s="39"/>
      <c r="I19" s="40" t="s">
        <v>261</v>
      </c>
      <c r="J19" s="41">
        <v>1</v>
      </c>
      <c r="K19" s="41"/>
      <c r="L19" s="41"/>
      <c r="M19" s="42"/>
      <c r="N19" s="42"/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3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0.31684706098619264</v>
      </c>
      <c r="AG19" s="44">
        <f t="shared" si="10"/>
        <v>0</v>
      </c>
      <c r="AH19" s="52">
        <f>HLOOKUP(I19,ElecAvoidedCostsWOCC!$A$5:$Q$50,T19+1,FALSE)</f>
        <v>0.31684706098619264</v>
      </c>
      <c r="AI19" s="44">
        <f t="shared" si="11"/>
        <v>0</v>
      </c>
      <c r="AJ19" s="44">
        <f t="shared" si="12"/>
        <v>0</v>
      </c>
      <c r="AK19" s="44">
        <f>HLOOKUP(I19,ElecAvoidedCostsWOCC!$A$5:$Q$50,G19+1,FALSE)*J19*L19</f>
        <v>0</v>
      </c>
      <c r="AL19" s="44">
        <f t="shared" si="13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3" ht="13.5" customHeight="1">
      <c r="A20" s="59">
        <f>A8+SUM(Q5:Q901)</f>
        <v>2893934.7099999995</v>
      </c>
      <c r="B20" s="97" t="s">
        <v>136</v>
      </c>
      <c r="C20" s="101">
        <v>18230723</v>
      </c>
      <c r="D20" s="101" t="s">
        <v>137</v>
      </c>
      <c r="E20" s="38" t="s">
        <v>2106</v>
      </c>
      <c r="F20" s="39" t="s">
        <v>2107</v>
      </c>
      <c r="G20" s="39">
        <v>3</v>
      </c>
      <c r="H20" s="39"/>
      <c r="I20" s="40" t="s">
        <v>261</v>
      </c>
      <c r="J20" s="41">
        <v>1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/>
      <c r="S20" s="46"/>
      <c r="T20" s="39">
        <f t="shared" ref="T20:T28" si="19">G20+H20</f>
        <v>3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>
        <f>HLOOKUP(I20,ElecAvoidedCostsWOCC!$A$5:$Q$50,G20+1,FALSE)</f>
        <v>0.31684706098619264</v>
      </c>
      <c r="AG20" s="44">
        <f t="shared" ref="AG20:AG28" si="31">AF20*J20*K20</f>
        <v>0</v>
      </c>
      <c r="AH20" s="52">
        <f>HLOOKUP(I20,ElecAvoidedCostsWOCC!$A$5:$Q$50,T20+1,FALSE)</f>
        <v>0.31684706098619264</v>
      </c>
      <c r="AI20" s="44">
        <f t="shared" ref="AI20:AI28" si="32">AH20*J20*L20</f>
        <v>0</v>
      </c>
      <c r="AJ20" s="44">
        <f t="shared" ref="AJ20:AJ28" si="33">AG20+AI20</f>
        <v>0</v>
      </c>
      <c r="AK20" s="44">
        <f>HLOOKUP(I20,ElecAvoidedCostsWOCC!$A$5:$Q$50,G20+1,FALSE)*J20*L20</f>
        <v>0</v>
      </c>
      <c r="AL20" s="44">
        <f t="shared" ref="AL20:AL28" si="34">AG20+AI20-AK20</f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3" ht="13.5" customHeight="1">
      <c r="A21" s="58" t="s">
        <v>245</v>
      </c>
      <c r="B21" s="97" t="s">
        <v>136</v>
      </c>
      <c r="C21" s="101">
        <v>18230723</v>
      </c>
      <c r="D21" s="101" t="s">
        <v>137</v>
      </c>
      <c r="E21" s="38" t="s">
        <v>2106</v>
      </c>
      <c r="F21" s="39" t="s">
        <v>2107</v>
      </c>
      <c r="G21" s="39">
        <v>3</v>
      </c>
      <c r="H21" s="39"/>
      <c r="I21" s="40" t="s">
        <v>261</v>
      </c>
      <c r="J21" s="41">
        <v>1</v>
      </c>
      <c r="K21" s="41"/>
      <c r="L21" s="41"/>
      <c r="M21" s="42"/>
      <c r="N21" s="42">
        <v>900</v>
      </c>
      <c r="O21" s="43">
        <v>0</v>
      </c>
      <c r="P21" s="44">
        <v>0</v>
      </c>
      <c r="Q21" s="44">
        <v>900</v>
      </c>
      <c r="R21" s="45"/>
      <c r="S21" s="46"/>
      <c r="T21" s="39">
        <f t="shared" si="19"/>
        <v>3</v>
      </c>
      <c r="U21" s="47">
        <f t="shared" si="20"/>
        <v>0</v>
      </c>
      <c r="V21" s="48">
        <f t="shared" si="21"/>
        <v>900</v>
      </c>
      <c r="W21" s="49">
        <f t="shared" si="22"/>
        <v>0</v>
      </c>
      <c r="X21" s="44">
        <f t="shared" si="23"/>
        <v>0</v>
      </c>
      <c r="Y21" s="44">
        <f t="shared" si="24"/>
        <v>900</v>
      </c>
      <c r="Z21" s="44">
        <f t="shared" si="25"/>
        <v>0</v>
      </c>
      <c r="AA21" s="50">
        <f t="shared" si="26"/>
        <v>900</v>
      </c>
      <c r="AB21" s="51">
        <f t="shared" si="27"/>
        <v>0</v>
      </c>
      <c r="AC21" s="44">
        <f t="shared" si="28"/>
        <v>841.35738992240806</v>
      </c>
      <c r="AD21" s="44">
        <f t="shared" si="29"/>
        <v>0</v>
      </c>
      <c r="AE21" s="44">
        <f t="shared" si="30"/>
        <v>0</v>
      </c>
      <c r="AF21" s="52">
        <f>HLOOKUP(I21,ElecAvoidedCostsWOCC!$A$5:$Q$50,G21+1,FALSE)</f>
        <v>0.31684706098619264</v>
      </c>
      <c r="AG21" s="44">
        <f t="shared" si="31"/>
        <v>0</v>
      </c>
      <c r="AH21" s="52">
        <f>HLOOKUP(I21,ElecAvoidedCostsWOCC!$A$5:$Q$50,T21+1,FALSE)</f>
        <v>0.31684706098619264</v>
      </c>
      <c r="AI21" s="44">
        <f t="shared" si="32"/>
        <v>0</v>
      </c>
      <c r="AJ21" s="44">
        <f t="shared" si="33"/>
        <v>0</v>
      </c>
      <c r="AK21" s="44">
        <f>HLOOKUP(I21,ElecAvoidedCostsWOCC!$A$5:$Q$50,G21+1,FALSE)*J21*L21</f>
        <v>0</v>
      </c>
      <c r="AL21" s="44">
        <f t="shared" si="3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>
        <f t="shared" si="37"/>
        <v>0</v>
      </c>
    </row>
    <row r="22" spans="1:43" ht="13.5" customHeight="1">
      <c r="A22" s="60">
        <f>(SUM(AM5:AM995)/(SUM(AB5:AB995)))</f>
        <v>2.4472353960697646</v>
      </c>
      <c r="B22" s="97" t="s">
        <v>136</v>
      </c>
      <c r="C22" s="101">
        <v>18230723</v>
      </c>
      <c r="D22" s="101" t="s">
        <v>137</v>
      </c>
      <c r="E22" s="38" t="s">
        <v>2108</v>
      </c>
      <c r="F22" s="39" t="s">
        <v>2109</v>
      </c>
      <c r="G22" s="39">
        <v>3</v>
      </c>
      <c r="H22" s="39"/>
      <c r="I22" s="40" t="s">
        <v>261</v>
      </c>
      <c r="J22" s="41">
        <v>1</v>
      </c>
      <c r="K22" s="41"/>
      <c r="L22" s="41"/>
      <c r="M22" s="42"/>
      <c r="N22" s="42"/>
      <c r="O22" s="43">
        <v>0</v>
      </c>
      <c r="P22" s="44">
        <v>0</v>
      </c>
      <c r="Q22" s="44">
        <v>0</v>
      </c>
      <c r="R22" s="45"/>
      <c r="S22" s="46"/>
      <c r="T22" s="39">
        <f t="shared" si="19"/>
        <v>3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>
        <f>HLOOKUP(I22,ElecAvoidedCostsWOCC!$A$5:$Q$50,G22+1,FALSE)</f>
        <v>0.31684706098619264</v>
      </c>
      <c r="AG22" s="44">
        <f t="shared" si="31"/>
        <v>0</v>
      </c>
      <c r="AH22" s="52">
        <f>HLOOKUP(I22,ElecAvoidedCostsWOCC!$A$5:$Q$50,T22+1,FALSE)</f>
        <v>0.31684706098619264</v>
      </c>
      <c r="AI22" s="44">
        <f t="shared" si="32"/>
        <v>0</v>
      </c>
      <c r="AJ22" s="44">
        <f t="shared" si="33"/>
        <v>0</v>
      </c>
      <c r="AK22" s="44">
        <f>HLOOKUP(I22,ElecAvoidedCostsWOCC!$A$5:$Q$50,G22+1,FALSE)*J22*L22</f>
        <v>0</v>
      </c>
      <c r="AL22" s="44">
        <f t="shared" si="34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3" ht="13.5" customHeight="1">
      <c r="A23" s="58" t="s">
        <v>246</v>
      </c>
      <c r="B23" s="97" t="s">
        <v>136</v>
      </c>
      <c r="C23" s="101">
        <v>18230723</v>
      </c>
      <c r="D23" s="101" t="s">
        <v>137</v>
      </c>
      <c r="E23" s="38" t="s">
        <v>2108</v>
      </c>
      <c r="F23" s="39" t="s">
        <v>2109</v>
      </c>
      <c r="G23" s="39">
        <v>3</v>
      </c>
      <c r="H23" s="39"/>
      <c r="I23" s="40" t="s">
        <v>261</v>
      </c>
      <c r="J23" s="41">
        <v>1</v>
      </c>
      <c r="K23" s="41">
        <v>771254</v>
      </c>
      <c r="L23" s="41"/>
      <c r="M23" s="42">
        <v>20309</v>
      </c>
      <c r="N23" s="42">
        <v>30850</v>
      </c>
      <c r="O23" s="43">
        <v>771254</v>
      </c>
      <c r="P23" s="44">
        <v>20309</v>
      </c>
      <c r="Q23" s="44">
        <v>30850</v>
      </c>
      <c r="R23" s="45"/>
      <c r="S23" s="46"/>
      <c r="T23" s="39">
        <f t="shared" si="19"/>
        <v>3</v>
      </c>
      <c r="U23" s="47">
        <f t="shared" si="20"/>
        <v>0.11389719194359807</v>
      </c>
      <c r="V23" s="48">
        <f t="shared" si="21"/>
        <v>10541</v>
      </c>
      <c r="W23" s="49">
        <f t="shared" si="22"/>
        <v>3.7965730647866021E-2</v>
      </c>
      <c r="X23" s="44">
        <f t="shared" si="23"/>
        <v>58946.668213711411</v>
      </c>
      <c r="Y23" s="44">
        <f t="shared" si="24"/>
        <v>10541</v>
      </c>
      <c r="Z23" s="44">
        <f t="shared" si="25"/>
        <v>96289.609016029834</v>
      </c>
      <c r="AA23" s="50">
        <f t="shared" si="26"/>
        <v>89796.668213711411</v>
      </c>
      <c r="AB23" s="51">
        <f t="shared" si="27"/>
        <v>90015.526798195599</v>
      </c>
      <c r="AC23" s="44">
        <f t="shared" si="28"/>
        <v>83945.655991129664</v>
      </c>
      <c r="AD23" s="44">
        <f t="shared" si="29"/>
        <v>0</v>
      </c>
      <c r="AE23" s="44">
        <f t="shared" si="30"/>
        <v>0</v>
      </c>
      <c r="AF23" s="52">
        <f>HLOOKUP(I23,ElecAvoidedCostsWOCC!$A$5:$Q$50,G23+1,FALSE)</f>
        <v>0.31684706098619264</v>
      </c>
      <c r="AG23" s="44">
        <f t="shared" si="31"/>
        <v>244369.56317384503</v>
      </c>
      <c r="AH23" s="52">
        <f>HLOOKUP(I23,ElecAvoidedCostsWOCC!$A$5:$Q$50,T23+1,FALSE)</f>
        <v>0.31684706098619264</v>
      </c>
      <c r="AI23" s="44">
        <f t="shared" si="32"/>
        <v>0</v>
      </c>
      <c r="AJ23" s="44">
        <f t="shared" si="33"/>
        <v>244369.56317384503</v>
      </c>
      <c r="AK23" s="44">
        <f>HLOOKUP(I23,ElecAvoidedCostsWOCC!$A$5:$Q$50,G23+1,FALSE)*J23*L23</f>
        <v>0</v>
      </c>
      <c r="AL23" s="44">
        <f t="shared" si="34"/>
        <v>244369.56317384503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244369.56317384503</v>
      </c>
      <c r="AN23" s="48">
        <f t="shared" si="35"/>
        <v>268806.51949122956</v>
      </c>
      <c r="AO23" s="47">
        <f t="shared" si="36"/>
        <v>2.7147490201517495</v>
      </c>
      <c r="AP23" s="47">
        <f t="shared" si="37"/>
        <v>3.2021492514113379</v>
      </c>
    </row>
    <row r="24" spans="1:43" ht="13.5" customHeight="1">
      <c r="A24" s="60">
        <f>(SUM(AN5:AN995)/SUM(AC5:AC995))</f>
        <v>2.3592141421134825</v>
      </c>
      <c r="B24" s="97" t="s">
        <v>136</v>
      </c>
      <c r="C24" s="101">
        <v>18230723</v>
      </c>
      <c r="D24" s="101" t="s">
        <v>137</v>
      </c>
      <c r="E24" s="38" t="s">
        <v>2110</v>
      </c>
      <c r="F24" s="39" t="s">
        <v>2111</v>
      </c>
      <c r="G24" s="39">
        <v>3</v>
      </c>
      <c r="H24" s="39"/>
      <c r="I24" s="40" t="s">
        <v>261</v>
      </c>
      <c r="J24" s="41">
        <v>1</v>
      </c>
      <c r="K24" s="41"/>
      <c r="L24" s="41"/>
      <c r="M24" s="42"/>
      <c r="N24" s="42"/>
      <c r="O24" s="43">
        <v>0</v>
      </c>
      <c r="P24" s="44">
        <v>0</v>
      </c>
      <c r="Q24" s="44">
        <v>0</v>
      </c>
      <c r="R24" s="45"/>
      <c r="S24" s="46"/>
      <c r="T24" s="39">
        <f t="shared" si="19"/>
        <v>3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>
        <f>HLOOKUP(I24,ElecAvoidedCostsWOCC!$A$5:$Q$50,G24+1,FALSE)</f>
        <v>0.31684706098619264</v>
      </c>
      <c r="AG24" s="44">
        <f t="shared" si="31"/>
        <v>0</v>
      </c>
      <c r="AH24" s="52">
        <f>HLOOKUP(I24,ElecAvoidedCostsWOCC!$A$5:$Q$50,T24+1,FALSE)</f>
        <v>0.31684706098619264</v>
      </c>
      <c r="AI24" s="44">
        <f t="shared" si="32"/>
        <v>0</v>
      </c>
      <c r="AJ24" s="44">
        <f t="shared" si="33"/>
        <v>0</v>
      </c>
      <c r="AK24" s="44">
        <f>HLOOKUP(I24,ElecAvoidedCostsWOCC!$A$5:$Q$50,G24+1,FALSE)*J24*L24</f>
        <v>0</v>
      </c>
      <c r="AL24" s="44">
        <f t="shared" si="34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3" ht="13.5" customHeight="1">
      <c r="B25" s="97" t="s">
        <v>136</v>
      </c>
      <c r="C25" s="101">
        <v>18230723</v>
      </c>
      <c r="D25" s="101" t="s">
        <v>137</v>
      </c>
      <c r="E25" s="38" t="s">
        <v>2110</v>
      </c>
      <c r="F25" s="39" t="s">
        <v>2111</v>
      </c>
      <c r="G25" s="39">
        <v>3</v>
      </c>
      <c r="H25" s="39"/>
      <c r="I25" s="40" t="s">
        <v>261</v>
      </c>
      <c r="J25" s="41">
        <v>1</v>
      </c>
      <c r="K25" s="41"/>
      <c r="L25" s="41"/>
      <c r="M25" s="42">
        <v>9000</v>
      </c>
      <c r="N25" s="42">
        <v>9000</v>
      </c>
      <c r="O25" s="43">
        <v>0</v>
      </c>
      <c r="P25" s="44">
        <v>9000</v>
      </c>
      <c r="Q25" s="44">
        <v>9000</v>
      </c>
      <c r="R25" s="45"/>
      <c r="S25" s="46"/>
      <c r="T25" s="39">
        <f t="shared" si="19"/>
        <v>3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9000</v>
      </c>
      <c r="AB25" s="51">
        <f t="shared" si="27"/>
        <v>0</v>
      </c>
      <c r="AC25" s="44">
        <f t="shared" si="28"/>
        <v>8413.5738992240804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0.31684706098619264</v>
      </c>
      <c r="AG25" s="44">
        <f t="shared" si="31"/>
        <v>0</v>
      </c>
      <c r="AH25" s="52">
        <f>HLOOKUP(I25,ElecAvoidedCostsWOCC!$A$5:$Q$50,T25+1,FALSE)</f>
        <v>0.31684706098619264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</row>
    <row r="26" spans="1:43" ht="13.5" customHeight="1">
      <c r="B26" s="97" t="s">
        <v>136</v>
      </c>
      <c r="C26" s="101">
        <v>18230723</v>
      </c>
      <c r="D26" s="101" t="s">
        <v>137</v>
      </c>
      <c r="E26" s="38" t="s">
        <v>2112</v>
      </c>
      <c r="F26" s="39" t="s">
        <v>2113</v>
      </c>
      <c r="G26" s="39">
        <v>3</v>
      </c>
      <c r="H26" s="39"/>
      <c r="I26" s="40" t="s">
        <v>261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 t="shared" si="19"/>
        <v>3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0.31684706098619264</v>
      </c>
      <c r="AG26" s="44">
        <f t="shared" si="31"/>
        <v>0</v>
      </c>
      <c r="AH26" s="52">
        <f>HLOOKUP(I26,ElecAvoidedCostsWOCC!$A$5:$Q$50,T26+1,FALSE)</f>
        <v>0.31684706098619264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 t="s">
        <v>136</v>
      </c>
      <c r="C27" s="101">
        <v>18230723</v>
      </c>
      <c r="D27" s="101" t="s">
        <v>137</v>
      </c>
      <c r="E27" s="38" t="s">
        <v>2112</v>
      </c>
      <c r="F27" s="39" t="s">
        <v>2113</v>
      </c>
      <c r="G27" s="39">
        <v>3</v>
      </c>
      <c r="H27" s="39"/>
      <c r="I27" s="40" t="s">
        <v>261</v>
      </c>
      <c r="J27" s="41">
        <v>1</v>
      </c>
      <c r="K27" s="41"/>
      <c r="L27" s="41"/>
      <c r="M27" s="42"/>
      <c r="N27" s="42">
        <v>900</v>
      </c>
      <c r="O27" s="43">
        <v>0</v>
      </c>
      <c r="P27" s="44">
        <v>0</v>
      </c>
      <c r="Q27" s="44">
        <v>900</v>
      </c>
      <c r="R27" s="45"/>
      <c r="S27" s="46"/>
      <c r="T27" s="39">
        <f t="shared" si="19"/>
        <v>3</v>
      </c>
      <c r="U27" s="47">
        <f t="shared" si="20"/>
        <v>0</v>
      </c>
      <c r="V27" s="48">
        <f t="shared" si="21"/>
        <v>900</v>
      </c>
      <c r="W27" s="49">
        <f t="shared" si="22"/>
        <v>0</v>
      </c>
      <c r="X27" s="44">
        <f t="shared" si="23"/>
        <v>0</v>
      </c>
      <c r="Y27" s="44">
        <f t="shared" si="24"/>
        <v>900</v>
      </c>
      <c r="Z27" s="44">
        <f t="shared" si="25"/>
        <v>0</v>
      </c>
      <c r="AA27" s="50">
        <f t="shared" si="26"/>
        <v>900</v>
      </c>
      <c r="AB27" s="51">
        <f t="shared" si="27"/>
        <v>0</v>
      </c>
      <c r="AC27" s="44">
        <f t="shared" si="28"/>
        <v>841.35738992240806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0.31684706098619264</v>
      </c>
      <c r="AG27" s="44">
        <f t="shared" si="31"/>
        <v>0</v>
      </c>
      <c r="AH27" s="52">
        <f>HLOOKUP(I27,ElecAvoidedCostsWOCC!$A$5:$Q$50,T27+1,FALSE)</f>
        <v>0.31684706098619264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3" ht="13.5" customHeight="1">
      <c r="B28" s="97" t="s">
        <v>136</v>
      </c>
      <c r="C28" s="101">
        <v>18230723</v>
      </c>
      <c r="D28" s="101" t="s">
        <v>137</v>
      </c>
      <c r="E28" s="38" t="s">
        <v>1056</v>
      </c>
      <c r="F28" s="39" t="s">
        <v>1057</v>
      </c>
      <c r="G28" s="39">
        <v>3</v>
      </c>
      <c r="H28" s="39"/>
      <c r="I28" s="40" t="s">
        <v>261</v>
      </c>
      <c r="J28" s="41">
        <v>1</v>
      </c>
      <c r="K28" s="41">
        <v>2398507</v>
      </c>
      <c r="L28" s="41"/>
      <c r="M28" s="42">
        <v>51958</v>
      </c>
      <c r="N28" s="42">
        <v>95214</v>
      </c>
      <c r="O28" s="43">
        <v>2398507</v>
      </c>
      <c r="P28" s="44">
        <v>51958</v>
      </c>
      <c r="Q28" s="44">
        <v>95214</v>
      </c>
      <c r="R28" s="45"/>
      <c r="S28" s="46"/>
      <c r="T28" s="39">
        <f t="shared" si="19"/>
        <v>3</v>
      </c>
      <c r="U28" s="47">
        <f t="shared" si="20"/>
        <v>0.35420654175805061</v>
      </c>
      <c r="V28" s="48">
        <f t="shared" si="21"/>
        <v>43256</v>
      </c>
      <c r="W28" s="49">
        <f t="shared" si="22"/>
        <v>0.11806884725268353</v>
      </c>
      <c r="X28" s="44">
        <f t="shared" si="23"/>
        <v>183317.03477358213</v>
      </c>
      <c r="Y28" s="44">
        <f t="shared" si="24"/>
        <v>43256</v>
      </c>
      <c r="Z28" s="44">
        <f t="shared" si="25"/>
        <v>299449.08065593266</v>
      </c>
      <c r="AA28" s="50">
        <f t="shared" si="26"/>
        <v>278531.03477358213</v>
      </c>
      <c r="AB28" s="51">
        <f t="shared" si="27"/>
        <v>279937.44101704465</v>
      </c>
      <c r="AC28" s="44">
        <f t="shared" si="28"/>
        <v>260382.38269943171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0.31684706098619264</v>
      </c>
      <c r="AG28" s="44">
        <f t="shared" si="31"/>
        <v>759959.89370480995</v>
      </c>
      <c r="AH28" s="52">
        <f>HLOOKUP(I28,ElecAvoidedCostsWOCC!$A$5:$Q$50,T28+1,FALSE)</f>
        <v>0.31684706098619264</v>
      </c>
      <c r="AI28" s="44">
        <f t="shared" si="32"/>
        <v>0</v>
      </c>
      <c r="AJ28" s="44">
        <f t="shared" si="33"/>
        <v>759959.89370480995</v>
      </c>
      <c r="AK28" s="44">
        <f>HLOOKUP(I28,ElecAvoidedCostsWOCC!$A$5:$Q$50,G28+1,FALSE)*J28*L28</f>
        <v>0</v>
      </c>
      <c r="AL28" s="44">
        <f t="shared" si="34"/>
        <v>759959.89370480995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759959.89370480995</v>
      </c>
      <c r="AN28" s="48">
        <f t="shared" si="35"/>
        <v>835955.88307529106</v>
      </c>
      <c r="AO28" s="47">
        <f t="shared" si="36"/>
        <v>2.714749020151749</v>
      </c>
      <c r="AP28" s="47">
        <f t="shared" si="37"/>
        <v>3.2104932538399247</v>
      </c>
    </row>
    <row r="29" spans="1:43">
      <c r="B29" s="97" t="s">
        <v>136</v>
      </c>
      <c r="C29" s="101">
        <v>18230723</v>
      </c>
      <c r="D29" s="101" t="s">
        <v>137</v>
      </c>
      <c r="E29" s="38" t="s">
        <v>1058</v>
      </c>
      <c r="F29" s="39" t="s">
        <v>1059</v>
      </c>
      <c r="G29" s="39">
        <v>3</v>
      </c>
      <c r="H29" s="39"/>
      <c r="I29" s="40" t="s">
        <v>261</v>
      </c>
      <c r="J29" s="41">
        <v>1</v>
      </c>
      <c r="K29" s="41">
        <v>416681</v>
      </c>
      <c r="L29" s="41"/>
      <c r="M29" s="42">
        <v>8334</v>
      </c>
      <c r="N29" s="42">
        <v>16667</v>
      </c>
      <c r="O29" s="43">
        <v>416681</v>
      </c>
      <c r="P29" s="44">
        <v>8334</v>
      </c>
      <c r="Q29" s="44">
        <v>16667</v>
      </c>
      <c r="R29" s="45"/>
      <c r="S29" s="46"/>
      <c r="T29" s="39">
        <f t="shared" ref="T29:T64" si="38">G29+H29</f>
        <v>3</v>
      </c>
      <c r="U29" s="47">
        <f t="shared" ref="U29:U64" si="39">(O29/$A$10)*T29</f>
        <v>6.1534586318191392E-2</v>
      </c>
      <c r="V29" s="48">
        <f t="shared" ref="V29:V64" si="40">N29-M29</f>
        <v>8333</v>
      </c>
      <c r="W29" s="49">
        <f t="shared" ref="W29:W64" si="41">(O29/A$10)</f>
        <v>2.0511528772730464E-2</v>
      </c>
      <c r="X29" s="44">
        <f t="shared" ref="X29:X64" si="42">W29*A$8</f>
        <v>31846.780253920868</v>
      </c>
      <c r="Y29" s="44">
        <f t="shared" ref="Y29:Y64" si="43">Q29-P29</f>
        <v>8333</v>
      </c>
      <c r="Z29" s="44">
        <f t="shared" ref="Z29:Z64" si="44">X29+(A$6*W29)</f>
        <v>52021.83790866346</v>
      </c>
      <c r="AA29" s="50">
        <f t="shared" ref="AA29:AA64" si="45">Q29+X29</f>
        <v>48513.780253920864</v>
      </c>
      <c r="AB29" s="51">
        <f t="shared" ref="AB29:AB64" si="46">Z29/(1+ElecDiscountRate)^1</f>
        <v>48632.175290888525</v>
      </c>
      <c r="AC29" s="44">
        <f t="shared" ref="AC29:AC64" si="47">AA29/(1+ElecDiscountRate)^1</f>
        <v>45352.697255231244</v>
      </c>
      <c r="AD29" s="44">
        <f t="shared" ref="AD29:AD64" si="48">-PV(ElecDiscountRate,T29,R29)*J29</f>
        <v>0</v>
      </c>
      <c r="AE29" s="44">
        <f t="shared" ref="AE29:AE64" si="49">-PV(ElecDiscountRate,T29,S29)*J29</f>
        <v>0</v>
      </c>
      <c r="AF29" s="52">
        <f>HLOOKUP(I29,ElecAvoidedCostsWOCC!$A$5:$Q$50,G29+1,FALSE)</f>
        <v>0.31684706098619264</v>
      </c>
      <c r="AG29" s="44">
        <f t="shared" ref="AG29:AG64" si="50">AF29*J29*K29</f>
        <v>132024.15021878775</v>
      </c>
      <c r="AH29" s="52">
        <f>HLOOKUP(I29,ElecAvoidedCostsWOCC!$A$5:$Q$50,T29+1,FALSE)</f>
        <v>0.31684706098619264</v>
      </c>
      <c r="AI29" s="44">
        <f t="shared" ref="AI29:AI64" si="51">AH29*J29*L29</f>
        <v>0</v>
      </c>
      <c r="AJ29" s="44">
        <f t="shared" ref="AJ29:AJ64" si="52">AG29+AI29</f>
        <v>132024.15021878775</v>
      </c>
      <c r="AK29" s="44">
        <f>HLOOKUP(I29,ElecAvoidedCostsWOCC!$A$5:$Q$50,G29+1,FALSE)*J29*L29</f>
        <v>0</v>
      </c>
      <c r="AL29" s="44">
        <f t="shared" ref="AL29:AL64" si="53">AG29+AI29-AK29</f>
        <v>132024.15021878775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132024.15021878775</v>
      </c>
      <c r="AN29" s="48">
        <f t="shared" ref="AN29:AN64" si="54">AM29*1.1+AD29+AE29</f>
        <v>145226.56524066653</v>
      </c>
      <c r="AO29" s="47">
        <f t="shared" ref="AO29:AO64" si="55">IFERROR(AM29/AB29,0)</f>
        <v>2.7147490201517495</v>
      </c>
      <c r="AP29" s="47">
        <f t="shared" ref="AP29:AP64" si="56">AN29/AC29</f>
        <v>3.2021593869792442</v>
      </c>
    </row>
    <row r="30" spans="1:43">
      <c r="B30" s="97" t="s">
        <v>136</v>
      </c>
      <c r="C30" s="101">
        <v>18230723</v>
      </c>
      <c r="D30" s="101" t="s">
        <v>137</v>
      </c>
      <c r="E30" s="38" t="s">
        <v>1058</v>
      </c>
      <c r="F30" s="39" t="s">
        <v>1059</v>
      </c>
      <c r="G30" s="39">
        <v>3</v>
      </c>
      <c r="H30" s="39"/>
      <c r="I30" s="40" t="s">
        <v>261</v>
      </c>
      <c r="J30" s="41">
        <v>1</v>
      </c>
      <c r="K30" s="41">
        <v>2964068</v>
      </c>
      <c r="L30" s="41"/>
      <c r="M30" s="42">
        <v>61204</v>
      </c>
      <c r="N30" s="42">
        <v>117559</v>
      </c>
      <c r="O30" s="43">
        <v>2964068</v>
      </c>
      <c r="P30" s="44">
        <v>61204</v>
      </c>
      <c r="Q30" s="44">
        <v>117559</v>
      </c>
      <c r="R30" s="45"/>
      <c r="S30" s="46"/>
      <c r="T30" s="39">
        <f t="shared" si="38"/>
        <v>3</v>
      </c>
      <c r="U30" s="47">
        <f t="shared" si="39"/>
        <v>0.43772741785439917</v>
      </c>
      <c r="V30" s="48">
        <f t="shared" si="40"/>
        <v>56355</v>
      </c>
      <c r="W30" s="49">
        <f t="shared" si="41"/>
        <v>0.14590913928479973</v>
      </c>
      <c r="X30" s="44">
        <f t="shared" si="42"/>
        <v>226542.66034131317</v>
      </c>
      <c r="Y30" s="44">
        <f t="shared" si="43"/>
        <v>56355</v>
      </c>
      <c r="Z30" s="44">
        <f t="shared" si="44"/>
        <v>370058.30610528507</v>
      </c>
      <c r="AA30" s="50">
        <f t="shared" si="45"/>
        <v>344101.66034131317</v>
      </c>
      <c r="AB30" s="51">
        <f t="shared" si="46"/>
        <v>345945.87838205573</v>
      </c>
      <c r="AC30" s="44">
        <f t="shared" si="47"/>
        <v>321680.52756970469</v>
      </c>
      <c r="AD30" s="44">
        <f t="shared" si="48"/>
        <v>0</v>
      </c>
      <c r="AE30" s="44">
        <f t="shared" si="49"/>
        <v>0</v>
      </c>
      <c r="AF30" s="52">
        <f>HLOOKUP(I30,ElecAvoidedCostsWOCC!$A$5:$Q$50,G30+1,FALSE)</f>
        <v>0.31684706098619264</v>
      </c>
      <c r="AG30" s="44">
        <f t="shared" si="50"/>
        <v>939156.23436322203</v>
      </c>
      <c r="AH30" s="52">
        <f>HLOOKUP(I30,ElecAvoidedCostsWOCC!$A$5:$Q$50,T30+1,FALSE)</f>
        <v>0.31684706098619264</v>
      </c>
      <c r="AI30" s="44">
        <f t="shared" si="51"/>
        <v>0</v>
      </c>
      <c r="AJ30" s="44">
        <f t="shared" si="52"/>
        <v>939156.23436322203</v>
      </c>
      <c r="AK30" s="44">
        <f>HLOOKUP(I30,ElecAvoidedCostsWOCC!$A$5:$Q$50,G30+1,FALSE)*J30*L30</f>
        <v>0</v>
      </c>
      <c r="AL30" s="44">
        <f t="shared" si="53"/>
        <v>939156.23436322203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939156.23436322203</v>
      </c>
      <c r="AN30" s="48">
        <f t="shared" si="54"/>
        <v>1033071.8577995443</v>
      </c>
      <c r="AO30" s="47">
        <f t="shared" si="55"/>
        <v>2.7147490201517495</v>
      </c>
      <c r="AP30" s="47">
        <f t="shared" si="56"/>
        <v>3.2114839701501325</v>
      </c>
    </row>
    <row r="31" spans="1:43">
      <c r="B31" s="97" t="s">
        <v>136</v>
      </c>
      <c r="C31" s="101">
        <v>18230723</v>
      </c>
      <c r="D31" s="101" t="s">
        <v>137</v>
      </c>
      <c r="E31" s="38" t="s">
        <v>1058</v>
      </c>
      <c r="F31" s="39" t="s">
        <v>1059</v>
      </c>
      <c r="G31" s="39">
        <v>3</v>
      </c>
      <c r="H31" s="39"/>
      <c r="I31" s="40" t="s">
        <v>261</v>
      </c>
      <c r="J31" s="41">
        <v>1</v>
      </c>
      <c r="K31" s="41">
        <v>88654</v>
      </c>
      <c r="L31" s="41"/>
      <c r="M31" s="42">
        <v>1773</v>
      </c>
      <c r="N31" s="42">
        <v>3546</v>
      </c>
      <c r="O31" s="43">
        <v>88654</v>
      </c>
      <c r="P31" s="44">
        <v>1773</v>
      </c>
      <c r="Q31" s="44">
        <v>3546</v>
      </c>
      <c r="R31" s="45"/>
      <c r="S31" s="46"/>
      <c r="T31" s="39">
        <f t="shared" si="38"/>
        <v>3</v>
      </c>
      <c r="U31" s="47">
        <f t="shared" si="39"/>
        <v>1.3092238944067379E-2</v>
      </c>
      <c r="V31" s="48">
        <f t="shared" si="40"/>
        <v>1773</v>
      </c>
      <c r="W31" s="49">
        <f t="shared" si="41"/>
        <v>4.3640796480224594E-3</v>
      </c>
      <c r="X31" s="44">
        <f t="shared" si="42"/>
        <v>6775.7936086145037</v>
      </c>
      <c r="Y31" s="44">
        <f t="shared" si="43"/>
        <v>1773</v>
      </c>
      <c r="Z31" s="44">
        <f t="shared" si="44"/>
        <v>11068.284894090802</v>
      </c>
      <c r="AA31" s="50">
        <f t="shared" si="45"/>
        <v>10321.793608614504</v>
      </c>
      <c r="AB31" s="51">
        <f t="shared" si="46"/>
        <v>10347.092543788727</v>
      </c>
      <c r="AC31" s="44">
        <f t="shared" si="47"/>
        <v>9649.2414776241021</v>
      </c>
      <c r="AD31" s="44">
        <f t="shared" si="48"/>
        <v>0</v>
      </c>
      <c r="AE31" s="44">
        <f t="shared" si="49"/>
        <v>0</v>
      </c>
      <c r="AF31" s="52">
        <f>HLOOKUP(I31,ElecAvoidedCostsWOCC!$A$5:$Q$50,G31+1,FALSE)</f>
        <v>0.31684706098619264</v>
      </c>
      <c r="AG31" s="44">
        <f t="shared" si="50"/>
        <v>28089.759344669921</v>
      </c>
      <c r="AH31" s="52">
        <f>HLOOKUP(I31,ElecAvoidedCostsWOCC!$A$5:$Q$50,T31+1,FALSE)</f>
        <v>0.31684706098619264</v>
      </c>
      <c r="AI31" s="44">
        <f t="shared" si="51"/>
        <v>0</v>
      </c>
      <c r="AJ31" s="44">
        <f t="shared" si="52"/>
        <v>28089.759344669921</v>
      </c>
      <c r="AK31" s="44">
        <f>HLOOKUP(I31,ElecAvoidedCostsWOCC!$A$5:$Q$50,G31+1,FALSE)*J31*L31</f>
        <v>0</v>
      </c>
      <c r="AL31" s="44">
        <f t="shared" si="53"/>
        <v>28089.759344669921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28089.759344669921</v>
      </c>
      <c r="AN31" s="48">
        <f t="shared" si="54"/>
        <v>30898.735279136916</v>
      </c>
      <c r="AO31" s="47">
        <f t="shared" si="55"/>
        <v>2.7147490201517495</v>
      </c>
      <c r="AP31" s="47">
        <f t="shared" si="56"/>
        <v>3.2021931828308849</v>
      </c>
    </row>
    <row r="32" spans="1:43">
      <c r="B32" s="97" t="s">
        <v>136</v>
      </c>
      <c r="C32" s="101">
        <v>18230723</v>
      </c>
      <c r="D32" s="101" t="s">
        <v>137</v>
      </c>
      <c r="E32" s="38" t="s">
        <v>1060</v>
      </c>
      <c r="F32" s="39" t="s">
        <v>1061</v>
      </c>
      <c r="G32" s="39">
        <v>3</v>
      </c>
      <c r="H32" s="39"/>
      <c r="I32" s="40" t="s">
        <v>261</v>
      </c>
      <c r="J32" s="41">
        <v>1</v>
      </c>
      <c r="K32" s="41">
        <v>1229415</v>
      </c>
      <c r="L32" s="41"/>
      <c r="M32" s="42">
        <v>27089</v>
      </c>
      <c r="N32" s="42">
        <v>49177</v>
      </c>
      <c r="O32" s="43">
        <v>1229415</v>
      </c>
      <c r="P32" s="44">
        <v>27089</v>
      </c>
      <c r="Q32" s="44">
        <v>49177</v>
      </c>
      <c r="R32" s="45"/>
      <c r="S32" s="46"/>
      <c r="T32" s="39">
        <f t="shared" si="38"/>
        <v>3</v>
      </c>
      <c r="U32" s="47">
        <f t="shared" si="39"/>
        <v>0.1815574586755318</v>
      </c>
      <c r="V32" s="48">
        <f t="shared" si="40"/>
        <v>22088</v>
      </c>
      <c r="W32" s="49">
        <f t="shared" si="41"/>
        <v>6.0519152891843932E-2</v>
      </c>
      <c r="X32" s="44">
        <f t="shared" si="42"/>
        <v>93963.750077095232</v>
      </c>
      <c r="Y32" s="44">
        <f t="shared" si="43"/>
        <v>22088</v>
      </c>
      <c r="Z32" s="44">
        <f t="shared" si="44"/>
        <v>153490.14678490136</v>
      </c>
      <c r="AA32" s="50">
        <f t="shared" si="45"/>
        <v>143140.75007709523</v>
      </c>
      <c r="AB32" s="51">
        <f t="shared" si="46"/>
        <v>143488.96586416877</v>
      </c>
      <c r="AC32" s="44">
        <f t="shared" si="47"/>
        <v>133813.9198626673</v>
      </c>
      <c r="AD32" s="44">
        <f t="shared" si="48"/>
        <v>0</v>
      </c>
      <c r="AE32" s="44">
        <f t="shared" si="49"/>
        <v>0</v>
      </c>
      <c r="AF32" s="52">
        <f>HLOOKUP(I32,ElecAvoidedCostsWOCC!$A$5:$Q$50,G32+1,FALSE)</f>
        <v>0.31684706098619264</v>
      </c>
      <c r="AG32" s="44">
        <f t="shared" si="50"/>
        <v>389536.52948234003</v>
      </c>
      <c r="AH32" s="52">
        <f>HLOOKUP(I32,ElecAvoidedCostsWOCC!$A$5:$Q$50,T32+1,FALSE)</f>
        <v>0.31684706098619264</v>
      </c>
      <c r="AI32" s="44">
        <f t="shared" si="51"/>
        <v>0</v>
      </c>
      <c r="AJ32" s="44">
        <f t="shared" si="52"/>
        <v>389536.52948234003</v>
      </c>
      <c r="AK32" s="44">
        <f>HLOOKUP(I32,ElecAvoidedCostsWOCC!$A$5:$Q$50,G32+1,FALSE)*J32*L32</f>
        <v>0</v>
      </c>
      <c r="AL32" s="44">
        <f t="shared" si="53"/>
        <v>389536.52948234003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389536.52948234003</v>
      </c>
      <c r="AN32" s="48">
        <f t="shared" si="54"/>
        <v>428490.18243057409</v>
      </c>
      <c r="AO32" s="47">
        <f t="shared" si="55"/>
        <v>2.7147490201517499</v>
      </c>
      <c r="AP32" s="47">
        <f t="shared" si="56"/>
        <v>3.2021345975839575</v>
      </c>
    </row>
    <row r="33" spans="2:42">
      <c r="B33" s="97" t="s">
        <v>136</v>
      </c>
      <c r="C33" s="101">
        <v>18230723</v>
      </c>
      <c r="D33" s="101" t="s">
        <v>137</v>
      </c>
      <c r="E33" s="38" t="s">
        <v>1060</v>
      </c>
      <c r="F33" s="39" t="s">
        <v>1061</v>
      </c>
      <c r="G33" s="39">
        <v>3</v>
      </c>
      <c r="H33" s="39"/>
      <c r="I33" s="40" t="s">
        <v>261</v>
      </c>
      <c r="J33" s="41">
        <v>1</v>
      </c>
      <c r="K33" s="41">
        <v>1663735</v>
      </c>
      <c r="L33" s="41"/>
      <c r="M33" s="42">
        <v>46981</v>
      </c>
      <c r="N33" s="42">
        <v>66549</v>
      </c>
      <c r="O33" s="43">
        <v>1663735</v>
      </c>
      <c r="P33" s="44">
        <v>46981</v>
      </c>
      <c r="Q33" s="44">
        <v>66549</v>
      </c>
      <c r="R33" s="45"/>
      <c r="S33" s="46"/>
      <c r="T33" s="39">
        <f t="shared" si="38"/>
        <v>3</v>
      </c>
      <c r="U33" s="47">
        <f t="shared" si="39"/>
        <v>0.24569693594883413</v>
      </c>
      <c r="V33" s="48">
        <f t="shared" si="40"/>
        <v>19568</v>
      </c>
      <c r="W33" s="49">
        <f t="shared" si="41"/>
        <v>8.1898978649611376E-2</v>
      </c>
      <c r="X33" s="44">
        <f t="shared" si="42"/>
        <v>127158.67281147216</v>
      </c>
      <c r="Y33" s="44">
        <f t="shared" si="43"/>
        <v>19568</v>
      </c>
      <c r="Z33" s="44">
        <f t="shared" si="44"/>
        <v>207714.18061531533</v>
      </c>
      <c r="AA33" s="50">
        <f t="shared" si="45"/>
        <v>193707.67281147215</v>
      </c>
      <c r="AB33" s="51">
        <f t="shared" si="46"/>
        <v>194179.84539152595</v>
      </c>
      <c r="AC33" s="44">
        <f t="shared" si="47"/>
        <v>181085.98000511556</v>
      </c>
      <c r="AD33" s="44">
        <f t="shared" si="48"/>
        <v>0</v>
      </c>
      <c r="AE33" s="44">
        <f t="shared" si="49"/>
        <v>0</v>
      </c>
      <c r="AF33" s="52">
        <f>HLOOKUP(I33,ElecAvoidedCostsWOCC!$A$5:$Q$50,G33+1,FALSE)</f>
        <v>0.31684706098619264</v>
      </c>
      <c r="AG33" s="44">
        <f t="shared" si="50"/>
        <v>527149.54500986321</v>
      </c>
      <c r="AH33" s="52">
        <f>HLOOKUP(I33,ElecAvoidedCostsWOCC!$A$5:$Q$50,T33+1,FALSE)</f>
        <v>0.31684706098619264</v>
      </c>
      <c r="AI33" s="44">
        <f t="shared" si="51"/>
        <v>0</v>
      </c>
      <c r="AJ33" s="44">
        <f t="shared" si="52"/>
        <v>527149.54500986321</v>
      </c>
      <c r="AK33" s="44">
        <f>HLOOKUP(I33,ElecAvoidedCostsWOCC!$A$5:$Q$50,G33+1,FALSE)*J33*L33</f>
        <v>0</v>
      </c>
      <c r="AL33" s="44">
        <f t="shared" si="53"/>
        <v>527149.54500986321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527149.54500986321</v>
      </c>
      <c r="AN33" s="48">
        <f t="shared" si="54"/>
        <v>579864.49951084959</v>
      </c>
      <c r="AO33" s="47">
        <f t="shared" si="55"/>
        <v>2.714749020151749</v>
      </c>
      <c r="AP33" s="47">
        <f t="shared" si="56"/>
        <v>3.2021501581429375</v>
      </c>
    </row>
    <row r="34" spans="2:42">
      <c r="B34" s="97" t="s">
        <v>136</v>
      </c>
      <c r="C34" s="101">
        <v>18230723</v>
      </c>
      <c r="D34" s="101" t="s">
        <v>137</v>
      </c>
      <c r="E34" s="38" t="s">
        <v>1060</v>
      </c>
      <c r="F34" s="39" t="s">
        <v>1061</v>
      </c>
      <c r="G34" s="39">
        <v>3</v>
      </c>
      <c r="H34" s="39"/>
      <c r="I34" s="40" t="s">
        <v>261</v>
      </c>
      <c r="J34" s="41">
        <v>1</v>
      </c>
      <c r="K34" s="41">
        <v>4186321</v>
      </c>
      <c r="L34" s="41"/>
      <c r="M34" s="42">
        <v>102229</v>
      </c>
      <c r="N34" s="42">
        <v>167453</v>
      </c>
      <c r="O34" s="43">
        <v>4186321</v>
      </c>
      <c r="P34" s="44">
        <v>102229</v>
      </c>
      <c r="Q34" s="44">
        <v>167453</v>
      </c>
      <c r="R34" s="45"/>
      <c r="S34" s="46"/>
      <c r="T34" s="39">
        <f t="shared" si="38"/>
        <v>3</v>
      </c>
      <c r="U34" s="47">
        <f t="shared" si="39"/>
        <v>0.6182272072164493</v>
      </c>
      <c r="V34" s="48">
        <f t="shared" si="40"/>
        <v>65224</v>
      </c>
      <c r="W34" s="49">
        <f t="shared" si="41"/>
        <v>0.20607573573881643</v>
      </c>
      <c r="X34" s="44">
        <f t="shared" si="42"/>
        <v>319959.02131216507</v>
      </c>
      <c r="Y34" s="44">
        <f t="shared" si="43"/>
        <v>65224</v>
      </c>
      <c r="Z34" s="44">
        <f t="shared" si="44"/>
        <v>522654.29068192199</v>
      </c>
      <c r="AA34" s="50">
        <f t="shared" si="45"/>
        <v>487412.02131216507</v>
      </c>
      <c r="AB34" s="51">
        <f t="shared" si="46"/>
        <v>488598.94426654384</v>
      </c>
      <c r="AC34" s="44">
        <f t="shared" si="47"/>
        <v>455653.00674223149</v>
      </c>
      <c r="AD34" s="44">
        <f t="shared" si="48"/>
        <v>0</v>
      </c>
      <c r="AE34" s="44">
        <f t="shared" si="49"/>
        <v>0</v>
      </c>
      <c r="AF34" s="52">
        <f>HLOOKUP(I34,ElecAvoidedCostsWOCC!$A$5:$Q$50,G34+1,FALSE)</f>
        <v>0.31684706098619264</v>
      </c>
      <c r="AG34" s="44">
        <f t="shared" si="50"/>
        <v>1326423.505194779</v>
      </c>
      <c r="AH34" s="52">
        <f>HLOOKUP(I34,ElecAvoidedCostsWOCC!$A$5:$Q$50,T34+1,FALSE)</f>
        <v>0.31684706098619264</v>
      </c>
      <c r="AI34" s="44">
        <f t="shared" si="51"/>
        <v>0</v>
      </c>
      <c r="AJ34" s="44">
        <f t="shared" si="52"/>
        <v>1326423.505194779</v>
      </c>
      <c r="AK34" s="44">
        <f>HLOOKUP(I34,ElecAvoidedCostsWOCC!$A$5:$Q$50,G34+1,FALSE)*J34*L34</f>
        <v>0</v>
      </c>
      <c r="AL34" s="44">
        <f t="shared" si="53"/>
        <v>1326423.505194779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1326423.505194779</v>
      </c>
      <c r="AN34" s="48">
        <f t="shared" si="54"/>
        <v>1459065.8557142571</v>
      </c>
      <c r="AO34" s="47">
        <f t="shared" si="55"/>
        <v>2.714749020151749</v>
      </c>
      <c r="AP34" s="47">
        <f t="shared" si="56"/>
        <v>3.2021424946717594</v>
      </c>
    </row>
    <row r="35" spans="2:42">
      <c r="B35" s="97" t="s">
        <v>136</v>
      </c>
      <c r="C35" s="101">
        <v>18230723</v>
      </c>
      <c r="D35" s="101" t="s">
        <v>137</v>
      </c>
      <c r="E35" s="38" t="s">
        <v>1062</v>
      </c>
      <c r="F35" s="39" t="s">
        <v>1063</v>
      </c>
      <c r="G35" s="39">
        <v>3</v>
      </c>
      <c r="H35" s="39"/>
      <c r="I35" s="40" t="s">
        <v>261</v>
      </c>
      <c r="J35" s="41">
        <v>1</v>
      </c>
      <c r="K35" s="41"/>
      <c r="L35" s="41"/>
      <c r="M35" s="42">
        <v>37200</v>
      </c>
      <c r="N35" s="42">
        <v>37200</v>
      </c>
      <c r="O35" s="43">
        <v>0</v>
      </c>
      <c r="P35" s="44">
        <v>37200</v>
      </c>
      <c r="Q35" s="44">
        <v>37200</v>
      </c>
      <c r="R35" s="45"/>
      <c r="S35" s="46"/>
      <c r="T35" s="39">
        <f t="shared" si="38"/>
        <v>3</v>
      </c>
      <c r="U35" s="47">
        <f t="shared" si="39"/>
        <v>0</v>
      </c>
      <c r="V35" s="48">
        <f t="shared" si="40"/>
        <v>0</v>
      </c>
      <c r="W35" s="49">
        <f t="shared" si="41"/>
        <v>0</v>
      </c>
      <c r="X35" s="44">
        <f t="shared" si="42"/>
        <v>0</v>
      </c>
      <c r="Y35" s="44">
        <f t="shared" si="43"/>
        <v>0</v>
      </c>
      <c r="Z35" s="44">
        <f t="shared" si="44"/>
        <v>0</v>
      </c>
      <c r="AA35" s="50">
        <f t="shared" si="45"/>
        <v>37200</v>
      </c>
      <c r="AB35" s="51">
        <f t="shared" si="46"/>
        <v>0</v>
      </c>
      <c r="AC35" s="44">
        <f t="shared" si="47"/>
        <v>34776.105450126197</v>
      </c>
      <c r="AD35" s="44">
        <f t="shared" si="48"/>
        <v>0</v>
      </c>
      <c r="AE35" s="44">
        <f t="shared" si="49"/>
        <v>0</v>
      </c>
      <c r="AF35" s="52">
        <f>HLOOKUP(I35,ElecAvoidedCostsWOCC!$A$5:$Q$50,G35+1,FALSE)</f>
        <v>0.31684706098619264</v>
      </c>
      <c r="AG35" s="44">
        <f t="shared" si="50"/>
        <v>0</v>
      </c>
      <c r="AH35" s="52">
        <f>HLOOKUP(I35,ElecAvoidedCostsWOCC!$A$5:$Q$50,T35+1,FALSE)</f>
        <v>0.31684706098619264</v>
      </c>
      <c r="AI35" s="44">
        <f t="shared" si="51"/>
        <v>0</v>
      </c>
      <c r="AJ35" s="44">
        <f t="shared" si="52"/>
        <v>0</v>
      </c>
      <c r="AK35" s="44">
        <f>HLOOKUP(I35,ElecAvoidedCostsWOCC!$A$5:$Q$50,G35+1,FALSE)*J35*L35</f>
        <v>0</v>
      </c>
      <c r="AL35" s="44">
        <f t="shared" si="53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54"/>
        <v>0</v>
      </c>
      <c r="AO35" s="47">
        <f t="shared" si="55"/>
        <v>0</v>
      </c>
      <c r="AP35" s="47">
        <f t="shared" si="56"/>
        <v>0</v>
      </c>
    </row>
    <row r="36" spans="2:42">
      <c r="B36" s="97" t="s">
        <v>136</v>
      </c>
      <c r="C36" s="101">
        <v>18230723</v>
      </c>
      <c r="D36" s="101" t="s">
        <v>137</v>
      </c>
      <c r="E36" s="38" t="s">
        <v>1064</v>
      </c>
      <c r="F36" s="39" t="s">
        <v>1065</v>
      </c>
      <c r="G36" s="39">
        <v>3</v>
      </c>
      <c r="H36" s="39"/>
      <c r="I36" s="40" t="s">
        <v>261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38"/>
        <v>3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>
        <f>HLOOKUP(I36,ElecAvoidedCostsWOCC!$A$5:$Q$50,G36+1,FALSE)</f>
        <v>0.31684706098619264</v>
      </c>
      <c r="AG36" s="44">
        <f t="shared" si="50"/>
        <v>0</v>
      </c>
      <c r="AH36" s="52">
        <f>HLOOKUP(I36,ElecAvoidedCostsWOCC!$A$5:$Q$50,T36+1,FALSE)</f>
        <v>0.31684706098619264</v>
      </c>
      <c r="AI36" s="44">
        <f t="shared" si="51"/>
        <v>0</v>
      </c>
      <c r="AJ36" s="44">
        <f t="shared" si="52"/>
        <v>0</v>
      </c>
      <c r="AK36" s="44">
        <f>HLOOKUP(I36,ElecAvoidedCostsWOCC!$A$5:$Q$50,G36+1,FALSE)*J36*L36</f>
        <v>0</v>
      </c>
      <c r="AL36" s="44">
        <f t="shared" si="53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2">
      <c r="B37" s="97" t="s">
        <v>136</v>
      </c>
      <c r="C37" s="101">
        <v>18230723</v>
      </c>
      <c r="D37" s="101" t="s">
        <v>137</v>
      </c>
      <c r="E37" s="38" t="s">
        <v>1064</v>
      </c>
      <c r="F37" s="39" t="s">
        <v>1065</v>
      </c>
      <c r="G37" s="39">
        <v>3</v>
      </c>
      <c r="H37" s="39"/>
      <c r="I37" s="40" t="s">
        <v>261</v>
      </c>
      <c r="J37" s="41">
        <v>1</v>
      </c>
      <c r="K37" s="41"/>
      <c r="L37" s="41"/>
      <c r="M37" s="42">
        <v>61090</v>
      </c>
      <c r="N37" s="42">
        <v>61090</v>
      </c>
      <c r="O37" s="43">
        <v>0</v>
      </c>
      <c r="P37" s="44">
        <v>61090</v>
      </c>
      <c r="Q37" s="44">
        <v>61090</v>
      </c>
      <c r="R37" s="45"/>
      <c r="S37" s="46"/>
      <c r="T37" s="39">
        <f t="shared" si="38"/>
        <v>3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61090</v>
      </c>
      <c r="AB37" s="51">
        <f t="shared" si="46"/>
        <v>0</v>
      </c>
      <c r="AC37" s="44">
        <f t="shared" si="47"/>
        <v>57109.469944844343</v>
      </c>
      <c r="AD37" s="44">
        <f t="shared" si="48"/>
        <v>0</v>
      </c>
      <c r="AE37" s="44">
        <f t="shared" si="49"/>
        <v>0</v>
      </c>
      <c r="AF37" s="52">
        <f>HLOOKUP(I37,ElecAvoidedCostsWOCC!$A$5:$Q$50,G37+1,FALSE)</f>
        <v>0.31684706098619264</v>
      </c>
      <c r="AG37" s="44">
        <f t="shared" si="50"/>
        <v>0</v>
      </c>
      <c r="AH37" s="52">
        <f>HLOOKUP(I37,ElecAvoidedCostsWOCC!$A$5:$Q$50,T37+1,FALSE)</f>
        <v>0.31684706098619264</v>
      </c>
      <c r="AI37" s="44">
        <f t="shared" si="51"/>
        <v>0</v>
      </c>
      <c r="AJ37" s="44">
        <f t="shared" si="52"/>
        <v>0</v>
      </c>
      <c r="AK37" s="44">
        <f>HLOOKUP(I37,ElecAvoidedCostsWOCC!$A$5:$Q$50,G37+1,FALSE)*J37*L37</f>
        <v>0</v>
      </c>
      <c r="AL37" s="44">
        <f t="shared" si="53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>
        <f t="shared" si="56"/>
        <v>0</v>
      </c>
    </row>
    <row r="38" spans="2:42">
      <c r="B38" s="97" t="s">
        <v>136</v>
      </c>
      <c r="C38" s="101">
        <v>18230723</v>
      </c>
      <c r="D38" s="101" t="s">
        <v>137</v>
      </c>
      <c r="E38" s="38" t="s">
        <v>1064</v>
      </c>
      <c r="F38" s="39" t="s">
        <v>1065</v>
      </c>
      <c r="G38" s="39">
        <v>3</v>
      </c>
      <c r="H38" s="39"/>
      <c r="I38" s="40" t="s">
        <v>261</v>
      </c>
      <c r="J38" s="41">
        <v>1</v>
      </c>
      <c r="K38" s="41"/>
      <c r="L38" s="41"/>
      <c r="M38" s="42">
        <v>3400</v>
      </c>
      <c r="N38" s="42">
        <v>3400</v>
      </c>
      <c r="O38" s="43">
        <v>0</v>
      </c>
      <c r="P38" s="44">
        <v>3400</v>
      </c>
      <c r="Q38" s="44">
        <v>3400</v>
      </c>
      <c r="R38" s="45"/>
      <c r="S38" s="46"/>
      <c r="T38" s="39">
        <f t="shared" si="38"/>
        <v>3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3400</v>
      </c>
      <c r="AB38" s="51">
        <f t="shared" si="46"/>
        <v>0</v>
      </c>
      <c r="AC38" s="44">
        <f t="shared" si="47"/>
        <v>3178.4612508179862</v>
      </c>
      <c r="AD38" s="44">
        <f t="shared" si="48"/>
        <v>0</v>
      </c>
      <c r="AE38" s="44">
        <f t="shared" si="49"/>
        <v>0</v>
      </c>
      <c r="AF38" s="52">
        <f>HLOOKUP(I38,ElecAvoidedCostsWOCC!$A$5:$Q$50,G38+1,FALSE)</f>
        <v>0.31684706098619264</v>
      </c>
      <c r="AG38" s="44">
        <f t="shared" si="50"/>
        <v>0</v>
      </c>
      <c r="AH38" s="52">
        <f>HLOOKUP(I38,ElecAvoidedCostsWOCC!$A$5:$Q$50,T38+1,FALSE)</f>
        <v>0.31684706098619264</v>
      </c>
      <c r="AI38" s="44">
        <f t="shared" si="51"/>
        <v>0</v>
      </c>
      <c r="AJ38" s="44">
        <f t="shared" si="52"/>
        <v>0</v>
      </c>
      <c r="AK38" s="44">
        <f>HLOOKUP(I38,ElecAvoidedCostsWOCC!$A$5:$Q$50,G38+1,FALSE)*J38*L38</f>
        <v>0</v>
      </c>
      <c r="AL38" s="44">
        <f t="shared" si="5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>
        <f t="shared" si="56"/>
        <v>0</v>
      </c>
    </row>
    <row r="39" spans="2:42">
      <c r="B39" s="97" t="s">
        <v>136</v>
      </c>
      <c r="C39" s="101">
        <v>18230723</v>
      </c>
      <c r="D39" s="101" t="s">
        <v>137</v>
      </c>
      <c r="E39" s="38" t="s">
        <v>1066</v>
      </c>
      <c r="F39" s="39" t="s">
        <v>1067</v>
      </c>
      <c r="G39" s="39">
        <v>3</v>
      </c>
      <c r="H39" s="39"/>
      <c r="I39" s="40" t="s">
        <v>261</v>
      </c>
      <c r="J39" s="41">
        <v>1</v>
      </c>
      <c r="K39" s="41"/>
      <c r="L39" s="41"/>
      <c r="M39" s="42">
        <v>30235</v>
      </c>
      <c r="N39" s="42">
        <v>30235</v>
      </c>
      <c r="O39" s="43">
        <v>0</v>
      </c>
      <c r="P39" s="44">
        <v>30235</v>
      </c>
      <c r="Q39" s="44">
        <v>30235</v>
      </c>
      <c r="R39" s="45"/>
      <c r="S39" s="46"/>
      <c r="T39" s="39">
        <f t="shared" si="38"/>
        <v>3</v>
      </c>
      <c r="U39" s="47">
        <f t="shared" si="39"/>
        <v>0</v>
      </c>
      <c r="V39" s="48">
        <f t="shared" si="40"/>
        <v>0</v>
      </c>
      <c r="W39" s="49">
        <f t="shared" si="41"/>
        <v>0</v>
      </c>
      <c r="X39" s="44">
        <f t="shared" si="42"/>
        <v>0</v>
      </c>
      <c r="Y39" s="44">
        <f t="shared" si="43"/>
        <v>0</v>
      </c>
      <c r="Z39" s="44">
        <f t="shared" si="44"/>
        <v>0</v>
      </c>
      <c r="AA39" s="50">
        <f t="shared" si="45"/>
        <v>30235</v>
      </c>
      <c r="AB39" s="51">
        <f t="shared" si="46"/>
        <v>0</v>
      </c>
      <c r="AC39" s="44">
        <f t="shared" si="47"/>
        <v>28264.93409367112</v>
      </c>
      <c r="AD39" s="44">
        <f t="shared" si="48"/>
        <v>0</v>
      </c>
      <c r="AE39" s="44">
        <f t="shared" si="49"/>
        <v>0</v>
      </c>
      <c r="AF39" s="52">
        <f>HLOOKUP(I39,ElecAvoidedCostsWOCC!$A$5:$Q$50,G39+1,FALSE)</f>
        <v>0.31684706098619264</v>
      </c>
      <c r="AG39" s="44">
        <f t="shared" si="50"/>
        <v>0</v>
      </c>
      <c r="AH39" s="52">
        <f>HLOOKUP(I39,ElecAvoidedCostsWOCC!$A$5:$Q$50,T39+1,FALSE)</f>
        <v>0.31684706098619264</v>
      </c>
      <c r="AI39" s="44">
        <f t="shared" si="51"/>
        <v>0</v>
      </c>
      <c r="AJ39" s="44">
        <f t="shared" si="52"/>
        <v>0</v>
      </c>
      <c r="AK39" s="44">
        <f>HLOOKUP(I39,ElecAvoidedCostsWOCC!$A$5:$Q$50,G39+1,FALSE)*J39*L39</f>
        <v>0</v>
      </c>
      <c r="AL39" s="44">
        <f t="shared" si="5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54"/>
        <v>0</v>
      </c>
      <c r="AO39" s="47">
        <f t="shared" si="55"/>
        <v>0</v>
      </c>
      <c r="AP39" s="47">
        <f t="shared" si="56"/>
        <v>0</v>
      </c>
    </row>
    <row r="40" spans="2:42">
      <c r="B40" s="97" t="s">
        <v>136</v>
      </c>
      <c r="C40" s="101">
        <v>18230723</v>
      </c>
      <c r="D40" s="101" t="s">
        <v>137</v>
      </c>
      <c r="E40" s="38" t="s">
        <v>1066</v>
      </c>
      <c r="F40" s="39" t="s">
        <v>1067</v>
      </c>
      <c r="G40" s="39">
        <v>3</v>
      </c>
      <c r="H40" s="39"/>
      <c r="I40" s="40" t="s">
        <v>261</v>
      </c>
      <c r="J40" s="41">
        <v>1</v>
      </c>
      <c r="K40" s="41"/>
      <c r="L40" s="41"/>
      <c r="M40" s="42">
        <v>20000</v>
      </c>
      <c r="N40" s="42">
        <v>20000</v>
      </c>
      <c r="O40" s="43">
        <v>0</v>
      </c>
      <c r="P40" s="44">
        <v>20000</v>
      </c>
      <c r="Q40" s="44">
        <v>20000</v>
      </c>
      <c r="R40" s="45"/>
      <c r="S40" s="46"/>
      <c r="T40" s="39">
        <f t="shared" si="38"/>
        <v>3</v>
      </c>
      <c r="U40" s="47">
        <f t="shared" si="39"/>
        <v>0</v>
      </c>
      <c r="V40" s="48">
        <f t="shared" si="40"/>
        <v>0</v>
      </c>
      <c r="W40" s="49">
        <f t="shared" si="41"/>
        <v>0</v>
      </c>
      <c r="X40" s="44">
        <f t="shared" si="42"/>
        <v>0</v>
      </c>
      <c r="Y40" s="44">
        <f t="shared" si="43"/>
        <v>0</v>
      </c>
      <c r="Z40" s="44">
        <f t="shared" si="44"/>
        <v>0</v>
      </c>
      <c r="AA40" s="50">
        <f t="shared" si="45"/>
        <v>20000</v>
      </c>
      <c r="AB40" s="51">
        <f t="shared" si="46"/>
        <v>0</v>
      </c>
      <c r="AC40" s="44">
        <f t="shared" si="47"/>
        <v>18696.830887164622</v>
      </c>
      <c r="AD40" s="44">
        <f t="shared" si="48"/>
        <v>0</v>
      </c>
      <c r="AE40" s="44">
        <f t="shared" si="49"/>
        <v>0</v>
      </c>
      <c r="AF40" s="52">
        <f>HLOOKUP(I40,ElecAvoidedCostsWOCC!$A$5:$Q$50,G40+1,FALSE)</f>
        <v>0.31684706098619264</v>
      </c>
      <c r="AG40" s="44">
        <f t="shared" si="50"/>
        <v>0</v>
      </c>
      <c r="AH40" s="52">
        <f>HLOOKUP(I40,ElecAvoidedCostsWOCC!$A$5:$Q$50,T40+1,FALSE)</f>
        <v>0.31684706098619264</v>
      </c>
      <c r="AI40" s="44">
        <f t="shared" si="51"/>
        <v>0</v>
      </c>
      <c r="AJ40" s="44">
        <f t="shared" si="52"/>
        <v>0</v>
      </c>
      <c r="AK40" s="44">
        <f>HLOOKUP(I40,ElecAvoidedCostsWOCC!$A$5:$Q$50,G40+1,FALSE)*J40*L40</f>
        <v>0</v>
      </c>
      <c r="AL40" s="44">
        <f t="shared" si="5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54"/>
        <v>0</v>
      </c>
      <c r="AO40" s="47">
        <f t="shared" si="55"/>
        <v>0</v>
      </c>
      <c r="AP40" s="47">
        <f t="shared" si="56"/>
        <v>0</v>
      </c>
    </row>
    <row r="41" spans="2:42">
      <c r="B41" s="97" t="s">
        <v>136</v>
      </c>
      <c r="C41" s="101">
        <v>18230723</v>
      </c>
      <c r="D41" s="101" t="s">
        <v>137</v>
      </c>
      <c r="E41" s="38" t="s">
        <v>1066</v>
      </c>
      <c r="F41" s="39" t="s">
        <v>1067</v>
      </c>
      <c r="G41" s="39">
        <v>3</v>
      </c>
      <c r="H41" s="39"/>
      <c r="I41" s="40" t="s">
        <v>261</v>
      </c>
      <c r="J41" s="41">
        <v>1</v>
      </c>
      <c r="K41" s="41"/>
      <c r="L41" s="41"/>
      <c r="M41" s="42">
        <v>84599</v>
      </c>
      <c r="N41" s="42">
        <v>84599</v>
      </c>
      <c r="O41" s="43">
        <v>0</v>
      </c>
      <c r="P41" s="44">
        <v>84599</v>
      </c>
      <c r="Q41" s="44">
        <v>84599</v>
      </c>
      <c r="R41" s="45"/>
      <c r="S41" s="46"/>
      <c r="T41" s="39">
        <f t="shared" si="38"/>
        <v>3</v>
      </c>
      <c r="U41" s="47">
        <f t="shared" si="39"/>
        <v>0</v>
      </c>
      <c r="V41" s="48">
        <f t="shared" si="40"/>
        <v>0</v>
      </c>
      <c r="W41" s="49">
        <f t="shared" si="41"/>
        <v>0</v>
      </c>
      <c r="X41" s="44">
        <f t="shared" si="42"/>
        <v>0</v>
      </c>
      <c r="Y41" s="44">
        <f t="shared" si="43"/>
        <v>0</v>
      </c>
      <c r="Z41" s="44">
        <f t="shared" si="44"/>
        <v>0</v>
      </c>
      <c r="AA41" s="50">
        <f t="shared" si="45"/>
        <v>84599</v>
      </c>
      <c r="AB41" s="51">
        <f t="shared" si="46"/>
        <v>0</v>
      </c>
      <c r="AC41" s="44">
        <f t="shared" si="47"/>
        <v>79086.659811161997</v>
      </c>
      <c r="AD41" s="44">
        <f t="shared" si="48"/>
        <v>0</v>
      </c>
      <c r="AE41" s="44">
        <f t="shared" si="49"/>
        <v>0</v>
      </c>
      <c r="AF41" s="52">
        <f>HLOOKUP(I41,ElecAvoidedCostsWOCC!$A$5:$Q$50,G41+1,FALSE)</f>
        <v>0.31684706098619264</v>
      </c>
      <c r="AG41" s="44">
        <f t="shared" si="50"/>
        <v>0</v>
      </c>
      <c r="AH41" s="52">
        <f>HLOOKUP(I41,ElecAvoidedCostsWOCC!$A$5:$Q$50,T41+1,FALSE)</f>
        <v>0.31684706098619264</v>
      </c>
      <c r="AI41" s="44">
        <f t="shared" si="51"/>
        <v>0</v>
      </c>
      <c r="AJ41" s="44">
        <f t="shared" si="52"/>
        <v>0</v>
      </c>
      <c r="AK41" s="44">
        <f>HLOOKUP(I41,ElecAvoidedCostsWOCC!$A$5:$Q$50,G41+1,FALSE)*J41*L41</f>
        <v>0</v>
      </c>
      <c r="AL41" s="44">
        <f t="shared" si="5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54"/>
        <v>0</v>
      </c>
      <c r="AO41" s="47">
        <f t="shared" si="55"/>
        <v>0</v>
      </c>
      <c r="AP41" s="47">
        <f t="shared" si="56"/>
        <v>0</v>
      </c>
    </row>
    <row r="42" spans="2:42">
      <c r="B42" s="97" t="s">
        <v>136</v>
      </c>
      <c r="C42" s="101">
        <v>18230723</v>
      </c>
      <c r="D42" s="101" t="s">
        <v>137</v>
      </c>
      <c r="E42" s="38" t="s">
        <v>1068</v>
      </c>
      <c r="F42" s="39" t="s">
        <v>1069</v>
      </c>
      <c r="G42" s="39">
        <v>3</v>
      </c>
      <c r="H42" s="39"/>
      <c r="I42" s="40" t="s">
        <v>261</v>
      </c>
      <c r="J42" s="41">
        <v>1</v>
      </c>
      <c r="K42" s="41"/>
      <c r="L42" s="41"/>
      <c r="M42" s="42">
        <v>13577</v>
      </c>
      <c r="N42" s="42">
        <v>13577</v>
      </c>
      <c r="O42" s="43">
        <v>0</v>
      </c>
      <c r="P42" s="44">
        <v>13577</v>
      </c>
      <c r="Q42" s="44">
        <v>13577</v>
      </c>
      <c r="R42" s="45"/>
      <c r="S42" s="46"/>
      <c r="T42" s="39">
        <f t="shared" si="38"/>
        <v>3</v>
      </c>
      <c r="U42" s="47">
        <f t="shared" si="39"/>
        <v>0</v>
      </c>
      <c r="V42" s="48">
        <f t="shared" si="40"/>
        <v>0</v>
      </c>
      <c r="W42" s="49">
        <f t="shared" si="41"/>
        <v>0</v>
      </c>
      <c r="X42" s="44">
        <f t="shared" si="42"/>
        <v>0</v>
      </c>
      <c r="Y42" s="44">
        <f t="shared" si="43"/>
        <v>0</v>
      </c>
      <c r="Z42" s="44">
        <f t="shared" si="44"/>
        <v>0</v>
      </c>
      <c r="AA42" s="50">
        <f t="shared" si="45"/>
        <v>13577</v>
      </c>
      <c r="AB42" s="51">
        <f t="shared" si="46"/>
        <v>0</v>
      </c>
      <c r="AC42" s="44">
        <f t="shared" si="47"/>
        <v>12692.343647751704</v>
      </c>
      <c r="AD42" s="44">
        <f t="shared" si="48"/>
        <v>0</v>
      </c>
      <c r="AE42" s="44">
        <f t="shared" si="49"/>
        <v>0</v>
      </c>
      <c r="AF42" s="52">
        <f>HLOOKUP(I42,ElecAvoidedCostsWOCC!$A$5:$Q$50,G42+1,FALSE)</f>
        <v>0.31684706098619264</v>
      </c>
      <c r="AG42" s="44">
        <f t="shared" si="50"/>
        <v>0</v>
      </c>
      <c r="AH42" s="52">
        <f>HLOOKUP(I42,ElecAvoidedCostsWOCC!$A$5:$Q$50,T42+1,FALSE)</f>
        <v>0.31684706098619264</v>
      </c>
      <c r="AI42" s="44">
        <f t="shared" si="51"/>
        <v>0</v>
      </c>
      <c r="AJ42" s="44">
        <f t="shared" si="52"/>
        <v>0</v>
      </c>
      <c r="AK42" s="44">
        <f>HLOOKUP(I42,ElecAvoidedCostsWOCC!$A$5:$Q$50,G42+1,FALSE)*J42*L42</f>
        <v>0</v>
      </c>
      <c r="AL42" s="44">
        <f t="shared" si="5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54"/>
        <v>0</v>
      </c>
      <c r="AO42" s="47">
        <f t="shared" si="55"/>
        <v>0</v>
      </c>
      <c r="AP42" s="47">
        <f t="shared" si="56"/>
        <v>0</v>
      </c>
    </row>
    <row r="43" spans="2:42">
      <c r="B43" s="97" t="s">
        <v>136</v>
      </c>
      <c r="C43" s="101">
        <v>18230723</v>
      </c>
      <c r="D43" s="101" t="s">
        <v>137</v>
      </c>
      <c r="E43" s="38" t="s">
        <v>2114</v>
      </c>
      <c r="F43" s="39" t="s">
        <v>2115</v>
      </c>
      <c r="G43" s="39">
        <v>3</v>
      </c>
      <c r="H43" s="39"/>
      <c r="I43" s="40" t="s">
        <v>261</v>
      </c>
      <c r="J43" s="41">
        <v>1</v>
      </c>
      <c r="K43" s="41"/>
      <c r="L43" s="41"/>
      <c r="M43" s="42"/>
      <c r="N43" s="42"/>
      <c r="O43" s="43">
        <v>0</v>
      </c>
      <c r="P43" s="44">
        <v>0</v>
      </c>
      <c r="Q43" s="44">
        <v>0</v>
      </c>
      <c r="R43" s="45"/>
      <c r="S43" s="46"/>
      <c r="T43" s="39">
        <f t="shared" si="38"/>
        <v>3</v>
      </c>
      <c r="U43" s="47">
        <f t="shared" si="39"/>
        <v>0</v>
      </c>
      <c r="V43" s="48">
        <f t="shared" si="40"/>
        <v>0</v>
      </c>
      <c r="W43" s="49">
        <f t="shared" si="41"/>
        <v>0</v>
      </c>
      <c r="X43" s="44">
        <f t="shared" si="42"/>
        <v>0</v>
      </c>
      <c r="Y43" s="44">
        <f t="shared" si="43"/>
        <v>0</v>
      </c>
      <c r="Z43" s="44">
        <f t="shared" si="44"/>
        <v>0</v>
      </c>
      <c r="AA43" s="50">
        <f t="shared" si="45"/>
        <v>0</v>
      </c>
      <c r="AB43" s="51">
        <f t="shared" si="46"/>
        <v>0</v>
      </c>
      <c r="AC43" s="44">
        <f t="shared" si="47"/>
        <v>0</v>
      </c>
      <c r="AD43" s="44">
        <f t="shared" si="48"/>
        <v>0</v>
      </c>
      <c r="AE43" s="44">
        <f t="shared" si="49"/>
        <v>0</v>
      </c>
      <c r="AF43" s="52">
        <f>HLOOKUP(I43,ElecAvoidedCostsWOCC!$A$5:$Q$50,G43+1,FALSE)</f>
        <v>0.31684706098619264</v>
      </c>
      <c r="AG43" s="44">
        <f t="shared" si="50"/>
        <v>0</v>
      </c>
      <c r="AH43" s="52">
        <f>HLOOKUP(I43,ElecAvoidedCostsWOCC!$A$5:$Q$50,T43+1,FALSE)</f>
        <v>0.31684706098619264</v>
      </c>
      <c r="AI43" s="44">
        <f t="shared" si="51"/>
        <v>0</v>
      </c>
      <c r="AJ43" s="44">
        <f t="shared" si="52"/>
        <v>0</v>
      </c>
      <c r="AK43" s="44">
        <f>HLOOKUP(I43,ElecAvoidedCostsWOCC!$A$5:$Q$50,G43+1,FALSE)*J43*L43</f>
        <v>0</v>
      </c>
      <c r="AL43" s="44">
        <f t="shared" si="5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54"/>
        <v>0</v>
      </c>
      <c r="AO43" s="47">
        <f t="shared" si="55"/>
        <v>0</v>
      </c>
      <c r="AP43" s="47" t="e">
        <f t="shared" si="56"/>
        <v>#DIV/0!</v>
      </c>
    </row>
    <row r="44" spans="2:42">
      <c r="B44" s="97" t="s">
        <v>136</v>
      </c>
      <c r="C44" s="101">
        <v>18230723</v>
      </c>
      <c r="D44" s="101" t="s">
        <v>137</v>
      </c>
      <c r="E44" s="38" t="s">
        <v>2114</v>
      </c>
      <c r="F44" s="39" t="s">
        <v>2115</v>
      </c>
      <c r="G44" s="39">
        <v>3</v>
      </c>
      <c r="H44" s="39"/>
      <c r="I44" s="40" t="s">
        <v>261</v>
      </c>
      <c r="J44" s="41">
        <v>1</v>
      </c>
      <c r="K44" s="41"/>
      <c r="L44" s="41"/>
      <c r="M44" s="42">
        <v>6170</v>
      </c>
      <c r="N44" s="42">
        <v>6170</v>
      </c>
      <c r="O44" s="43">
        <v>0</v>
      </c>
      <c r="P44" s="44">
        <v>6170</v>
      </c>
      <c r="Q44" s="44">
        <v>6170</v>
      </c>
      <c r="R44" s="45"/>
      <c r="S44" s="46"/>
      <c r="T44" s="39">
        <f t="shared" si="38"/>
        <v>3</v>
      </c>
      <c r="U44" s="47">
        <f t="shared" si="39"/>
        <v>0</v>
      </c>
      <c r="V44" s="48">
        <f t="shared" si="40"/>
        <v>0</v>
      </c>
      <c r="W44" s="49">
        <f t="shared" si="41"/>
        <v>0</v>
      </c>
      <c r="X44" s="44">
        <f t="shared" si="42"/>
        <v>0</v>
      </c>
      <c r="Y44" s="44">
        <f t="shared" si="43"/>
        <v>0</v>
      </c>
      <c r="Z44" s="44">
        <f t="shared" si="44"/>
        <v>0</v>
      </c>
      <c r="AA44" s="50">
        <f t="shared" si="45"/>
        <v>6170</v>
      </c>
      <c r="AB44" s="51">
        <f t="shared" si="46"/>
        <v>0</v>
      </c>
      <c r="AC44" s="44">
        <f t="shared" si="47"/>
        <v>5767.9723286902863</v>
      </c>
      <c r="AD44" s="44">
        <f t="shared" si="48"/>
        <v>0</v>
      </c>
      <c r="AE44" s="44">
        <f t="shared" si="49"/>
        <v>0</v>
      </c>
      <c r="AF44" s="52">
        <f>HLOOKUP(I44,ElecAvoidedCostsWOCC!$A$5:$Q$50,G44+1,FALSE)</f>
        <v>0.31684706098619264</v>
      </c>
      <c r="AG44" s="44">
        <f t="shared" si="50"/>
        <v>0</v>
      </c>
      <c r="AH44" s="52">
        <f>HLOOKUP(I44,ElecAvoidedCostsWOCC!$A$5:$Q$50,T44+1,FALSE)</f>
        <v>0.31684706098619264</v>
      </c>
      <c r="AI44" s="44">
        <f t="shared" si="51"/>
        <v>0</v>
      </c>
      <c r="AJ44" s="44">
        <f t="shared" si="52"/>
        <v>0</v>
      </c>
      <c r="AK44" s="44">
        <f>HLOOKUP(I44,ElecAvoidedCostsWOCC!$A$5:$Q$50,G44+1,FALSE)*J44*L44</f>
        <v>0</v>
      </c>
      <c r="AL44" s="44">
        <f t="shared" si="5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54"/>
        <v>0</v>
      </c>
      <c r="AO44" s="47">
        <f t="shared" si="55"/>
        <v>0</v>
      </c>
      <c r="AP44" s="47">
        <f t="shared" si="56"/>
        <v>0</v>
      </c>
    </row>
    <row r="45" spans="2:42">
      <c r="B45" s="97" t="s">
        <v>136</v>
      </c>
      <c r="C45" s="101">
        <v>18230723</v>
      </c>
      <c r="D45" s="101" t="s">
        <v>137</v>
      </c>
      <c r="E45" s="38" t="s">
        <v>1070</v>
      </c>
      <c r="F45" s="39" t="s">
        <v>1071</v>
      </c>
      <c r="G45" s="39">
        <v>3</v>
      </c>
      <c r="H45" s="39"/>
      <c r="I45" s="40" t="s">
        <v>261</v>
      </c>
      <c r="J45" s="41">
        <v>1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/>
      <c r="S45" s="46"/>
      <c r="T45" s="39">
        <f t="shared" si="38"/>
        <v>3</v>
      </c>
      <c r="U45" s="47">
        <f t="shared" si="39"/>
        <v>0</v>
      </c>
      <c r="V45" s="48">
        <f t="shared" si="40"/>
        <v>0</v>
      </c>
      <c r="W45" s="49">
        <f t="shared" si="41"/>
        <v>0</v>
      </c>
      <c r="X45" s="44">
        <f t="shared" si="42"/>
        <v>0</v>
      </c>
      <c r="Y45" s="44">
        <f t="shared" si="43"/>
        <v>0</v>
      </c>
      <c r="Z45" s="44">
        <f t="shared" si="44"/>
        <v>0</v>
      </c>
      <c r="AA45" s="50">
        <f t="shared" si="45"/>
        <v>0</v>
      </c>
      <c r="AB45" s="51">
        <f t="shared" si="46"/>
        <v>0</v>
      </c>
      <c r="AC45" s="44">
        <f t="shared" si="47"/>
        <v>0</v>
      </c>
      <c r="AD45" s="44">
        <f t="shared" si="48"/>
        <v>0</v>
      </c>
      <c r="AE45" s="44">
        <f t="shared" si="49"/>
        <v>0</v>
      </c>
      <c r="AF45" s="52">
        <f>HLOOKUP(I45,ElecAvoidedCostsWOCC!$A$5:$Q$50,G45+1,FALSE)</f>
        <v>0.31684706098619264</v>
      </c>
      <c r="AG45" s="44">
        <f t="shared" si="50"/>
        <v>0</v>
      </c>
      <c r="AH45" s="52">
        <f>HLOOKUP(I45,ElecAvoidedCostsWOCC!$A$5:$Q$50,T45+1,FALSE)</f>
        <v>0.31684706098619264</v>
      </c>
      <c r="AI45" s="44">
        <f t="shared" si="51"/>
        <v>0</v>
      </c>
      <c r="AJ45" s="44">
        <f t="shared" si="52"/>
        <v>0</v>
      </c>
      <c r="AK45" s="44">
        <f>HLOOKUP(I45,ElecAvoidedCostsWOCC!$A$5:$Q$50,G45+1,FALSE)*J45*L45</f>
        <v>0</v>
      </c>
      <c r="AL45" s="44">
        <f t="shared" si="53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54"/>
        <v>0</v>
      </c>
      <c r="AO45" s="47">
        <f t="shared" si="55"/>
        <v>0</v>
      </c>
      <c r="AP45" s="47" t="e">
        <f t="shared" si="56"/>
        <v>#DIV/0!</v>
      </c>
    </row>
    <row r="46" spans="2:42">
      <c r="B46" s="97" t="s">
        <v>136</v>
      </c>
      <c r="C46" s="101">
        <v>18230723</v>
      </c>
      <c r="D46" s="101" t="s">
        <v>137</v>
      </c>
      <c r="E46" s="38" t="s">
        <v>1070</v>
      </c>
      <c r="F46" s="39" t="s">
        <v>1071</v>
      </c>
      <c r="G46" s="39">
        <v>3</v>
      </c>
      <c r="H46" s="39"/>
      <c r="I46" s="40" t="s">
        <v>261</v>
      </c>
      <c r="J46" s="41">
        <v>1</v>
      </c>
      <c r="K46" s="41"/>
      <c r="L46" s="41"/>
      <c r="M46" s="42">
        <v>2344</v>
      </c>
      <c r="N46" s="42">
        <v>3601.4</v>
      </c>
      <c r="O46" s="43">
        <v>0</v>
      </c>
      <c r="P46" s="44">
        <v>2344</v>
      </c>
      <c r="Q46" s="44">
        <v>3601.4</v>
      </c>
      <c r="R46" s="45"/>
      <c r="S46" s="46"/>
      <c r="T46" s="39">
        <f t="shared" si="38"/>
        <v>3</v>
      </c>
      <c r="U46" s="47">
        <f t="shared" si="39"/>
        <v>0</v>
      </c>
      <c r="V46" s="48">
        <f t="shared" si="40"/>
        <v>1257.4000000000001</v>
      </c>
      <c r="W46" s="49">
        <f t="shared" si="41"/>
        <v>0</v>
      </c>
      <c r="X46" s="44">
        <f t="shared" si="42"/>
        <v>0</v>
      </c>
      <c r="Y46" s="44">
        <f t="shared" si="43"/>
        <v>1257.4000000000001</v>
      </c>
      <c r="Z46" s="44">
        <f t="shared" si="44"/>
        <v>0</v>
      </c>
      <c r="AA46" s="50">
        <f t="shared" si="45"/>
        <v>3601.4</v>
      </c>
      <c r="AB46" s="51">
        <f t="shared" si="46"/>
        <v>0</v>
      </c>
      <c r="AC46" s="44">
        <f t="shared" si="47"/>
        <v>3366.7383378517338</v>
      </c>
      <c r="AD46" s="44">
        <f t="shared" si="48"/>
        <v>0</v>
      </c>
      <c r="AE46" s="44">
        <f t="shared" si="49"/>
        <v>0</v>
      </c>
      <c r="AF46" s="52">
        <f>HLOOKUP(I46,ElecAvoidedCostsWOCC!$A$5:$Q$50,G46+1,FALSE)</f>
        <v>0.31684706098619264</v>
      </c>
      <c r="AG46" s="44">
        <f t="shared" si="50"/>
        <v>0</v>
      </c>
      <c r="AH46" s="52">
        <f>HLOOKUP(I46,ElecAvoidedCostsWOCC!$A$5:$Q$50,T46+1,FALSE)</f>
        <v>0.31684706098619264</v>
      </c>
      <c r="AI46" s="44">
        <f t="shared" si="51"/>
        <v>0</v>
      </c>
      <c r="AJ46" s="44">
        <f t="shared" si="52"/>
        <v>0</v>
      </c>
      <c r="AK46" s="44">
        <f>HLOOKUP(I46,ElecAvoidedCostsWOCC!$A$5:$Q$50,G46+1,FALSE)*J46*L46</f>
        <v>0</v>
      </c>
      <c r="AL46" s="44">
        <f t="shared" si="53"/>
        <v>0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54"/>
        <v>0</v>
      </c>
      <c r="AO46" s="47">
        <f t="shared" si="55"/>
        <v>0</v>
      </c>
      <c r="AP46" s="47">
        <f t="shared" si="56"/>
        <v>0</v>
      </c>
    </row>
    <row r="47" spans="2:42">
      <c r="B47" s="97" t="s">
        <v>136</v>
      </c>
      <c r="C47" s="101">
        <v>18230723</v>
      </c>
      <c r="D47" s="101" t="s">
        <v>137</v>
      </c>
      <c r="E47" s="38" t="s">
        <v>1070</v>
      </c>
      <c r="F47" s="39" t="s">
        <v>1071</v>
      </c>
      <c r="G47" s="39">
        <v>3</v>
      </c>
      <c r="H47" s="39"/>
      <c r="I47" s="40" t="s">
        <v>261</v>
      </c>
      <c r="J47" s="41">
        <v>1</v>
      </c>
      <c r="K47" s="41"/>
      <c r="L47" s="41"/>
      <c r="M47" s="42">
        <v>340</v>
      </c>
      <c r="N47" s="42">
        <v>1598</v>
      </c>
      <c r="O47" s="43">
        <v>0</v>
      </c>
      <c r="P47" s="44">
        <v>340</v>
      </c>
      <c r="Q47" s="44">
        <v>1598</v>
      </c>
      <c r="R47" s="45"/>
      <c r="S47" s="46"/>
      <c r="T47" s="39">
        <f t="shared" si="38"/>
        <v>3</v>
      </c>
      <c r="U47" s="47">
        <f t="shared" si="39"/>
        <v>0</v>
      </c>
      <c r="V47" s="48">
        <f t="shared" si="40"/>
        <v>1258</v>
      </c>
      <c r="W47" s="49">
        <f t="shared" si="41"/>
        <v>0</v>
      </c>
      <c r="X47" s="44">
        <f t="shared" si="42"/>
        <v>0</v>
      </c>
      <c r="Y47" s="44">
        <f t="shared" si="43"/>
        <v>1258</v>
      </c>
      <c r="Z47" s="44">
        <f t="shared" si="44"/>
        <v>0</v>
      </c>
      <c r="AA47" s="50">
        <f t="shared" si="45"/>
        <v>1598</v>
      </c>
      <c r="AB47" s="51">
        <f t="shared" si="46"/>
        <v>0</v>
      </c>
      <c r="AC47" s="44">
        <f t="shared" si="47"/>
        <v>1493.8767878844535</v>
      </c>
      <c r="AD47" s="44">
        <f t="shared" si="48"/>
        <v>0</v>
      </c>
      <c r="AE47" s="44">
        <f t="shared" si="49"/>
        <v>0</v>
      </c>
      <c r="AF47" s="52">
        <f>HLOOKUP(I47,ElecAvoidedCostsWOCC!$A$5:$Q$50,G47+1,FALSE)</f>
        <v>0.31684706098619264</v>
      </c>
      <c r="AG47" s="44">
        <f t="shared" si="50"/>
        <v>0</v>
      </c>
      <c r="AH47" s="52">
        <f>HLOOKUP(I47,ElecAvoidedCostsWOCC!$A$5:$Q$50,T47+1,FALSE)</f>
        <v>0.31684706098619264</v>
      </c>
      <c r="AI47" s="44">
        <f t="shared" si="51"/>
        <v>0</v>
      </c>
      <c r="AJ47" s="44">
        <f t="shared" si="52"/>
        <v>0</v>
      </c>
      <c r="AK47" s="44">
        <f>HLOOKUP(I47,ElecAvoidedCostsWOCC!$A$5:$Q$50,G47+1,FALSE)*J47*L47</f>
        <v>0</v>
      </c>
      <c r="AL47" s="44">
        <f t="shared" si="5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54"/>
        <v>0</v>
      </c>
      <c r="AO47" s="47">
        <f t="shared" si="55"/>
        <v>0</v>
      </c>
      <c r="AP47" s="47">
        <f t="shared" si="56"/>
        <v>0</v>
      </c>
    </row>
    <row r="48" spans="2:42">
      <c r="B48" s="97" t="s">
        <v>136</v>
      </c>
      <c r="C48" s="101">
        <v>18230723</v>
      </c>
      <c r="D48" s="101" t="s">
        <v>137</v>
      </c>
      <c r="E48" s="38" t="s">
        <v>1072</v>
      </c>
      <c r="F48" s="39" t="s">
        <v>1073</v>
      </c>
      <c r="G48" s="39">
        <v>3</v>
      </c>
      <c r="H48" s="39"/>
      <c r="I48" s="40" t="s">
        <v>261</v>
      </c>
      <c r="J48" s="41">
        <v>1</v>
      </c>
      <c r="K48" s="41"/>
      <c r="L48" s="41"/>
      <c r="M48" s="42">
        <v>1443</v>
      </c>
      <c r="N48" s="42">
        <v>1443</v>
      </c>
      <c r="O48" s="43">
        <v>0</v>
      </c>
      <c r="P48" s="44">
        <v>1443</v>
      </c>
      <c r="Q48" s="44">
        <v>1443</v>
      </c>
      <c r="R48" s="45"/>
      <c r="S48" s="46"/>
      <c r="T48" s="39">
        <f t="shared" si="38"/>
        <v>3</v>
      </c>
      <c r="U48" s="47">
        <f t="shared" si="39"/>
        <v>0</v>
      </c>
      <c r="V48" s="48">
        <f t="shared" si="40"/>
        <v>0</v>
      </c>
      <c r="W48" s="49">
        <f t="shared" si="41"/>
        <v>0</v>
      </c>
      <c r="X48" s="44">
        <f t="shared" si="42"/>
        <v>0</v>
      </c>
      <c r="Y48" s="44">
        <f t="shared" si="43"/>
        <v>0</v>
      </c>
      <c r="Z48" s="44">
        <f t="shared" si="44"/>
        <v>0</v>
      </c>
      <c r="AA48" s="50">
        <f t="shared" si="45"/>
        <v>1443</v>
      </c>
      <c r="AB48" s="51">
        <f t="shared" si="46"/>
        <v>0</v>
      </c>
      <c r="AC48" s="44">
        <f t="shared" si="47"/>
        <v>1348.9763485089277</v>
      </c>
      <c r="AD48" s="44">
        <f t="shared" si="48"/>
        <v>0</v>
      </c>
      <c r="AE48" s="44">
        <f t="shared" si="49"/>
        <v>0</v>
      </c>
      <c r="AF48" s="52">
        <f>HLOOKUP(I48,ElecAvoidedCostsWOCC!$A$5:$Q$50,G48+1,FALSE)</f>
        <v>0.31684706098619264</v>
      </c>
      <c r="AG48" s="44">
        <f t="shared" si="50"/>
        <v>0</v>
      </c>
      <c r="AH48" s="52">
        <f>HLOOKUP(I48,ElecAvoidedCostsWOCC!$A$5:$Q$50,T48+1,FALSE)</f>
        <v>0.31684706098619264</v>
      </c>
      <c r="AI48" s="44">
        <f t="shared" si="51"/>
        <v>0</v>
      </c>
      <c r="AJ48" s="44">
        <f t="shared" si="52"/>
        <v>0</v>
      </c>
      <c r="AK48" s="44">
        <f>HLOOKUP(I48,ElecAvoidedCostsWOCC!$A$5:$Q$50,G48+1,FALSE)*J48*L48</f>
        <v>0</v>
      </c>
      <c r="AL48" s="44">
        <f t="shared" si="5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54"/>
        <v>0</v>
      </c>
      <c r="AO48" s="47">
        <f t="shared" si="55"/>
        <v>0</v>
      </c>
      <c r="AP48" s="47">
        <f t="shared" si="56"/>
        <v>0</v>
      </c>
    </row>
    <row r="49" spans="2:42">
      <c r="B49" s="97" t="s">
        <v>136</v>
      </c>
      <c r="C49" s="101">
        <v>18230723</v>
      </c>
      <c r="D49" s="101" t="s">
        <v>137</v>
      </c>
      <c r="E49" s="38" t="s">
        <v>1072</v>
      </c>
      <c r="F49" s="39" t="s">
        <v>1073</v>
      </c>
      <c r="G49" s="39">
        <v>3</v>
      </c>
      <c r="H49" s="39"/>
      <c r="I49" s="40" t="s">
        <v>261</v>
      </c>
      <c r="J49" s="41">
        <v>1</v>
      </c>
      <c r="K49" s="41"/>
      <c r="L49" s="41"/>
      <c r="M49" s="42">
        <v>2000</v>
      </c>
      <c r="N49" s="42">
        <v>2000</v>
      </c>
      <c r="O49" s="43">
        <v>0</v>
      </c>
      <c r="P49" s="44">
        <v>2000</v>
      </c>
      <c r="Q49" s="44">
        <v>2000</v>
      </c>
      <c r="R49" s="45"/>
      <c r="S49" s="46"/>
      <c r="T49" s="39">
        <f t="shared" si="38"/>
        <v>3</v>
      </c>
      <c r="U49" s="47">
        <f t="shared" si="39"/>
        <v>0</v>
      </c>
      <c r="V49" s="48">
        <f t="shared" si="40"/>
        <v>0</v>
      </c>
      <c r="W49" s="49">
        <f t="shared" si="41"/>
        <v>0</v>
      </c>
      <c r="X49" s="44">
        <f t="shared" si="42"/>
        <v>0</v>
      </c>
      <c r="Y49" s="44">
        <f t="shared" si="43"/>
        <v>0</v>
      </c>
      <c r="Z49" s="44">
        <f t="shared" si="44"/>
        <v>0</v>
      </c>
      <c r="AA49" s="50">
        <f t="shared" si="45"/>
        <v>2000</v>
      </c>
      <c r="AB49" s="51">
        <f t="shared" si="46"/>
        <v>0</v>
      </c>
      <c r="AC49" s="44">
        <f t="shared" si="47"/>
        <v>1869.6830887164624</v>
      </c>
      <c r="AD49" s="44">
        <f t="shared" si="48"/>
        <v>0</v>
      </c>
      <c r="AE49" s="44">
        <f t="shared" si="49"/>
        <v>0</v>
      </c>
      <c r="AF49" s="52">
        <f>HLOOKUP(I49,ElecAvoidedCostsWOCC!$A$5:$Q$50,G49+1,FALSE)</f>
        <v>0.31684706098619264</v>
      </c>
      <c r="AG49" s="44">
        <f t="shared" si="50"/>
        <v>0</v>
      </c>
      <c r="AH49" s="52">
        <f>HLOOKUP(I49,ElecAvoidedCostsWOCC!$A$5:$Q$50,T49+1,FALSE)</f>
        <v>0.31684706098619264</v>
      </c>
      <c r="AI49" s="44">
        <f t="shared" si="51"/>
        <v>0</v>
      </c>
      <c r="AJ49" s="44">
        <f t="shared" si="52"/>
        <v>0</v>
      </c>
      <c r="AK49" s="44">
        <f>HLOOKUP(I49,ElecAvoidedCostsWOCC!$A$5:$Q$50,G49+1,FALSE)*J49*L49</f>
        <v>0</v>
      </c>
      <c r="AL49" s="44">
        <f t="shared" si="5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54"/>
        <v>0</v>
      </c>
      <c r="AO49" s="47">
        <f t="shared" si="55"/>
        <v>0</v>
      </c>
      <c r="AP49" s="47">
        <f t="shared" si="56"/>
        <v>0</v>
      </c>
    </row>
    <row r="50" spans="2:42">
      <c r="B50" s="97" t="s">
        <v>136</v>
      </c>
      <c r="C50" s="101">
        <v>18230723</v>
      </c>
      <c r="D50" s="101" t="s">
        <v>137</v>
      </c>
      <c r="E50" s="38" t="s">
        <v>1072</v>
      </c>
      <c r="F50" s="39" t="s">
        <v>1073</v>
      </c>
      <c r="G50" s="39">
        <v>3</v>
      </c>
      <c r="H50" s="39"/>
      <c r="I50" s="40" t="s">
        <v>261</v>
      </c>
      <c r="J50" s="41">
        <v>1</v>
      </c>
      <c r="K50" s="41"/>
      <c r="L50" s="41"/>
      <c r="M50" s="42">
        <v>3904</v>
      </c>
      <c r="N50" s="42">
        <v>3904</v>
      </c>
      <c r="O50" s="43">
        <v>0</v>
      </c>
      <c r="P50" s="44">
        <v>3904</v>
      </c>
      <c r="Q50" s="44">
        <v>3904</v>
      </c>
      <c r="R50" s="45"/>
      <c r="S50" s="46"/>
      <c r="T50" s="39">
        <f t="shared" si="38"/>
        <v>3</v>
      </c>
      <c r="U50" s="47">
        <f t="shared" si="39"/>
        <v>0</v>
      </c>
      <c r="V50" s="48">
        <f t="shared" si="40"/>
        <v>0</v>
      </c>
      <c r="W50" s="49">
        <f t="shared" si="41"/>
        <v>0</v>
      </c>
      <c r="X50" s="44">
        <f t="shared" si="42"/>
        <v>0</v>
      </c>
      <c r="Y50" s="44">
        <f t="shared" si="43"/>
        <v>0</v>
      </c>
      <c r="Z50" s="44">
        <f t="shared" si="44"/>
        <v>0</v>
      </c>
      <c r="AA50" s="50">
        <f t="shared" si="45"/>
        <v>3904</v>
      </c>
      <c r="AB50" s="51">
        <f t="shared" si="46"/>
        <v>0</v>
      </c>
      <c r="AC50" s="44">
        <f t="shared" si="47"/>
        <v>3649.6213891745347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0.31684706098619264</v>
      </c>
      <c r="AG50" s="44">
        <f t="shared" si="50"/>
        <v>0</v>
      </c>
      <c r="AH50" s="52">
        <f>HLOOKUP(I50,ElecAvoidedCostsWOCC!$A$5:$Q$50,T50+1,FALSE)</f>
        <v>0.31684706098619264</v>
      </c>
      <c r="AI50" s="44">
        <f t="shared" si="51"/>
        <v>0</v>
      </c>
      <c r="AJ50" s="44">
        <f t="shared" si="52"/>
        <v>0</v>
      </c>
      <c r="AK50" s="44">
        <f>HLOOKUP(I50,ElecAvoidedCostsWOCC!$A$5:$Q$50,G50+1,FALSE)*J50*L50</f>
        <v>0</v>
      </c>
      <c r="AL50" s="44">
        <f t="shared" si="5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54"/>
        <v>0</v>
      </c>
      <c r="AO50" s="47">
        <f t="shared" si="55"/>
        <v>0</v>
      </c>
      <c r="AP50" s="47">
        <f t="shared" si="56"/>
        <v>0</v>
      </c>
    </row>
    <row r="51" spans="2:42">
      <c r="B51" s="37"/>
      <c r="C51" s="101"/>
      <c r="D51" s="10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38"/>
        <v>0</v>
      </c>
      <c r="U51" s="47">
        <f t="shared" si="39"/>
        <v>0</v>
      </c>
      <c r="V51" s="48">
        <f t="shared" si="40"/>
        <v>0</v>
      </c>
      <c r="W51" s="49">
        <f t="shared" si="41"/>
        <v>0</v>
      </c>
      <c r="X51" s="44">
        <f t="shared" si="42"/>
        <v>0</v>
      </c>
      <c r="Y51" s="44">
        <f t="shared" si="43"/>
        <v>0</v>
      </c>
      <c r="Z51" s="44">
        <f t="shared" si="44"/>
        <v>0</v>
      </c>
      <c r="AA51" s="50">
        <f t="shared" si="45"/>
        <v>0</v>
      </c>
      <c r="AB51" s="51">
        <f t="shared" si="46"/>
        <v>0</v>
      </c>
      <c r="AC51" s="44">
        <f t="shared" si="47"/>
        <v>0</v>
      </c>
      <c r="AD51" s="44">
        <f t="shared" si="48"/>
        <v>0</v>
      </c>
      <c r="AE51" s="44">
        <f t="shared" si="49"/>
        <v>0</v>
      </c>
      <c r="AF51" s="52" t="e">
        <f>HLOOKUP(I51,ElecAvoidedCostsWOCC!$A$5:$Q$50,G51+1,FALSE)</f>
        <v>#N/A</v>
      </c>
      <c r="AG51" s="44" t="e">
        <f t="shared" si="50"/>
        <v>#N/A</v>
      </c>
      <c r="AH51" s="52" t="e">
        <f>HLOOKUP(I51,ElecAvoidedCostsWOCC!$A$5:$Q$50,T51+1,FALSE)</f>
        <v>#N/A</v>
      </c>
      <c r="AI51" s="44" t="e">
        <f t="shared" si="51"/>
        <v>#N/A</v>
      </c>
      <c r="AJ51" s="44" t="e">
        <f t="shared" si="52"/>
        <v>#N/A</v>
      </c>
      <c r="AK51" s="44" t="e">
        <f>HLOOKUP(I51,ElecAvoidedCostsWOCC!$A$5:$Q$50,G51+1,FALSE)*J51*L51</f>
        <v>#N/A</v>
      </c>
      <c r="AL51" s="44" t="e">
        <f t="shared" si="5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54"/>
        <v>0</v>
      </c>
      <c r="AO51" s="47">
        <f t="shared" si="55"/>
        <v>0</v>
      </c>
      <c r="AP51" s="47" t="e">
        <f t="shared" si="56"/>
        <v>#DIV/0!</v>
      </c>
    </row>
    <row r="52" spans="2:42">
      <c r="B52" s="37"/>
      <c r="C52" s="101"/>
      <c r="D52" s="10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38"/>
        <v>0</v>
      </c>
      <c r="U52" s="47">
        <f t="shared" si="39"/>
        <v>0</v>
      </c>
      <c r="V52" s="48">
        <f t="shared" si="40"/>
        <v>0</v>
      </c>
      <c r="W52" s="49">
        <f t="shared" si="41"/>
        <v>0</v>
      </c>
      <c r="X52" s="44">
        <f t="shared" si="42"/>
        <v>0</v>
      </c>
      <c r="Y52" s="44">
        <f t="shared" si="43"/>
        <v>0</v>
      </c>
      <c r="Z52" s="44">
        <f t="shared" si="44"/>
        <v>0</v>
      </c>
      <c r="AA52" s="50">
        <f t="shared" si="45"/>
        <v>0</v>
      </c>
      <c r="AB52" s="51">
        <f t="shared" si="46"/>
        <v>0</v>
      </c>
      <c r="AC52" s="44">
        <f t="shared" si="47"/>
        <v>0</v>
      </c>
      <c r="AD52" s="44">
        <f t="shared" si="48"/>
        <v>0</v>
      </c>
      <c r="AE52" s="44">
        <f t="shared" si="49"/>
        <v>0</v>
      </c>
      <c r="AF52" s="52" t="e">
        <f>HLOOKUP(I52,ElecAvoidedCostsWOCC!$A$5:$Q$50,G52+1,FALSE)</f>
        <v>#N/A</v>
      </c>
      <c r="AG52" s="44" t="e">
        <f t="shared" si="50"/>
        <v>#N/A</v>
      </c>
      <c r="AH52" s="52" t="e">
        <f>HLOOKUP(I52,ElecAvoidedCostsWOCC!$A$5:$Q$50,T52+1,FALSE)</f>
        <v>#N/A</v>
      </c>
      <c r="AI52" s="44" t="e">
        <f t="shared" si="51"/>
        <v>#N/A</v>
      </c>
      <c r="AJ52" s="44" t="e">
        <f t="shared" si="52"/>
        <v>#N/A</v>
      </c>
      <c r="AK52" s="44" t="e">
        <f>HLOOKUP(I52,ElecAvoidedCostsWOCC!$A$5:$Q$50,G52+1,FALSE)*J52*L52</f>
        <v>#N/A</v>
      </c>
      <c r="AL52" s="44" t="e">
        <f t="shared" si="5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54"/>
        <v>0</v>
      </c>
      <c r="AO52" s="47">
        <f t="shared" si="55"/>
        <v>0</v>
      </c>
      <c r="AP52" s="47" t="e">
        <f t="shared" si="56"/>
        <v>#DIV/0!</v>
      </c>
    </row>
    <row r="53" spans="2:42">
      <c r="B53" s="37"/>
      <c r="C53" s="101"/>
      <c r="D53" s="10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e">
        <f>HLOOKUP(I53,ElecAvoidedCostsWOCC!$A$5:$Q$50,G53+1,FALSE)</f>
        <v>#N/A</v>
      </c>
      <c r="AG53" s="44" t="e">
        <f t="shared" si="50"/>
        <v>#N/A</v>
      </c>
      <c r="AH53" s="52" t="e">
        <f>HLOOKUP(I53,ElecAvoidedCostsWOCC!$A$5:$Q$50,T53+1,FALSE)</f>
        <v>#N/A</v>
      </c>
      <c r="AI53" s="44" t="e">
        <f t="shared" si="51"/>
        <v>#N/A</v>
      </c>
      <c r="AJ53" s="44" t="e">
        <f t="shared" si="52"/>
        <v>#N/A</v>
      </c>
      <c r="AK53" s="44" t="e">
        <f>HLOOKUP(I53,ElecAvoidedCostsWOCC!$A$5:$Q$50,G53+1,FALSE)*J53*L53</f>
        <v>#N/A</v>
      </c>
      <c r="AL53" s="44" t="e">
        <f t="shared" si="5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</row>
    <row r="54" spans="2:42">
      <c r="B54" s="37"/>
      <c r="C54" s="101"/>
      <c r="D54" s="10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38"/>
        <v>0</v>
      </c>
      <c r="U54" s="47">
        <f t="shared" si="39"/>
        <v>0</v>
      </c>
      <c r="V54" s="48">
        <f t="shared" si="40"/>
        <v>0</v>
      </c>
      <c r="W54" s="49">
        <f t="shared" si="41"/>
        <v>0</v>
      </c>
      <c r="X54" s="44">
        <f t="shared" si="42"/>
        <v>0</v>
      </c>
      <c r="Y54" s="44">
        <f t="shared" si="43"/>
        <v>0</v>
      </c>
      <c r="Z54" s="44">
        <f t="shared" si="44"/>
        <v>0</v>
      </c>
      <c r="AA54" s="50">
        <f t="shared" si="45"/>
        <v>0</v>
      </c>
      <c r="AB54" s="51">
        <f t="shared" si="46"/>
        <v>0</v>
      </c>
      <c r="AC54" s="44">
        <f t="shared" si="47"/>
        <v>0</v>
      </c>
      <c r="AD54" s="44">
        <f t="shared" si="48"/>
        <v>0</v>
      </c>
      <c r="AE54" s="44">
        <f t="shared" si="49"/>
        <v>0</v>
      </c>
      <c r="AF54" s="52" t="e">
        <f>HLOOKUP(I54,ElecAvoidedCostsWOCC!$A$5:$Q$50,G54+1,FALSE)</f>
        <v>#N/A</v>
      </c>
      <c r="AG54" s="44" t="e">
        <f t="shared" si="50"/>
        <v>#N/A</v>
      </c>
      <c r="AH54" s="52" t="e">
        <f>HLOOKUP(I54,ElecAvoidedCostsWOCC!$A$5:$Q$50,T54+1,FALSE)</f>
        <v>#N/A</v>
      </c>
      <c r="AI54" s="44" t="e">
        <f t="shared" si="51"/>
        <v>#N/A</v>
      </c>
      <c r="AJ54" s="44" t="e">
        <f t="shared" si="52"/>
        <v>#N/A</v>
      </c>
      <c r="AK54" s="44" t="e">
        <f>HLOOKUP(I54,ElecAvoidedCostsWOCC!$A$5:$Q$50,G54+1,FALSE)*J54*L54</f>
        <v>#N/A</v>
      </c>
      <c r="AL54" s="44" t="e">
        <f t="shared" si="5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54"/>
        <v>0</v>
      </c>
      <c r="AO54" s="47">
        <f t="shared" si="55"/>
        <v>0</v>
      </c>
      <c r="AP54" s="47" t="e">
        <f t="shared" si="56"/>
        <v>#DIV/0!</v>
      </c>
    </row>
    <row r="55" spans="2:42">
      <c r="B55" s="37"/>
      <c r="C55" s="101"/>
      <c r="D55" s="10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38"/>
        <v>0</v>
      </c>
      <c r="U55" s="47">
        <f t="shared" si="39"/>
        <v>0</v>
      </c>
      <c r="V55" s="48">
        <f t="shared" si="40"/>
        <v>0</v>
      </c>
      <c r="W55" s="49">
        <f t="shared" si="41"/>
        <v>0</v>
      </c>
      <c r="X55" s="44">
        <f t="shared" si="42"/>
        <v>0</v>
      </c>
      <c r="Y55" s="44">
        <f t="shared" si="43"/>
        <v>0</v>
      </c>
      <c r="Z55" s="44">
        <f t="shared" si="44"/>
        <v>0</v>
      </c>
      <c r="AA55" s="50">
        <f t="shared" si="45"/>
        <v>0</v>
      </c>
      <c r="AB55" s="51">
        <f t="shared" si="46"/>
        <v>0</v>
      </c>
      <c r="AC55" s="44">
        <f t="shared" si="47"/>
        <v>0</v>
      </c>
      <c r="AD55" s="44">
        <f t="shared" si="48"/>
        <v>0</v>
      </c>
      <c r="AE55" s="44">
        <f t="shared" si="49"/>
        <v>0</v>
      </c>
      <c r="AF55" s="52" t="e">
        <f>HLOOKUP(I55,ElecAvoidedCostsWOCC!$A$5:$Q$50,G55+1,FALSE)</f>
        <v>#N/A</v>
      </c>
      <c r="AG55" s="44" t="e">
        <f t="shared" si="50"/>
        <v>#N/A</v>
      </c>
      <c r="AH55" s="52" t="e">
        <f>HLOOKUP(I55,ElecAvoidedCostsWOCC!$A$5:$Q$50,T55+1,FALSE)</f>
        <v>#N/A</v>
      </c>
      <c r="AI55" s="44" t="e">
        <f t="shared" si="51"/>
        <v>#N/A</v>
      </c>
      <c r="AJ55" s="44" t="e">
        <f t="shared" si="52"/>
        <v>#N/A</v>
      </c>
      <c r="AK55" s="44" t="e">
        <f>HLOOKUP(I55,ElecAvoidedCostsWOCC!$A$5:$Q$50,G55+1,FALSE)*J55*L55</f>
        <v>#N/A</v>
      </c>
      <c r="AL55" s="44" t="e">
        <f t="shared" si="5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54"/>
        <v>0</v>
      </c>
      <c r="AO55" s="47">
        <f t="shared" si="55"/>
        <v>0</v>
      </c>
      <c r="AP55" s="47" t="e">
        <f t="shared" si="56"/>
        <v>#DIV/0!</v>
      </c>
    </row>
    <row r="56" spans="2:42">
      <c r="B56" s="37"/>
      <c r="C56" s="101"/>
      <c r="D56" s="10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2">
      <c r="B57" s="37"/>
      <c r="C57" s="101"/>
      <c r="D57" s="10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2">
      <c r="B58" s="37"/>
      <c r="C58" s="101"/>
      <c r="D58" s="10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2">
      <c r="B59" s="37"/>
      <c r="C59" s="101"/>
      <c r="D59" s="10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2">
      <c r="B60" s="37"/>
      <c r="C60" s="101"/>
      <c r="D60" s="10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2">
      <c r="B61" s="37"/>
      <c r="C61" s="101"/>
      <c r="D61" s="10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2">
      <c r="B62" s="37"/>
      <c r="C62" s="101"/>
      <c r="D62" s="10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2">
      <c r="B63" s="37"/>
      <c r="C63" s="101"/>
      <c r="D63" s="10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2">
      <c r="B64" s="37"/>
      <c r="C64" s="101"/>
      <c r="D64" s="10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</sheetData>
  <conditionalFormatting sqref="J5:L6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64 M5:N64">
    <cfRule type="expression" dxfId="217" priority="2">
      <formula>ISTEXT(M5)</formula>
    </cfRule>
  </conditionalFormatting>
  <conditionalFormatting sqref="R5:S64 M5:N64">
    <cfRule type="notContainsBlanks" dxfId="216" priority="3">
      <formula>LEN(TRIM(M5))&gt;0</formula>
    </cfRule>
  </conditionalFormatting>
  <conditionalFormatting sqref="R5:S6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18236102</v>
      </c>
      <c r="D2" s="20" t="s">
        <v>509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18236102</v>
      </c>
      <c r="D5" s="61" t="s">
        <v>509</v>
      </c>
      <c r="E5" s="38" t="s">
        <v>1074</v>
      </c>
      <c r="F5" s="39" t="s">
        <v>1075</v>
      </c>
      <c r="G5" s="39">
        <v>14</v>
      </c>
      <c r="H5" s="39"/>
      <c r="I5" s="40" t="s">
        <v>256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  <c r="AQ5">
        <v>2021</v>
      </c>
    </row>
    <row r="6" spans="1:43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 t="s">
        <v>298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24" sqref="C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992</v>
      </c>
      <c r="F5" s="39" t="s">
        <v>993</v>
      </c>
      <c r="G5" s="39">
        <v>7</v>
      </c>
      <c r="H5" s="39"/>
      <c r="I5" s="40" t="s">
        <v>256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7.0238704352529019E-2</v>
      </c>
      <c r="V5" s="48">
        <f t="shared" ref="V5:V24" si="2">N5-M5</f>
        <v>0</v>
      </c>
      <c r="W5" s="49">
        <f t="shared" ref="W5:W24" si="3">(O5/A$10)</f>
        <v>1.003410062178986E-2</v>
      </c>
      <c r="X5" s="44">
        <f t="shared" ref="X5:X24" si="4">W5*A$8</f>
        <v>4705.8851243557519</v>
      </c>
      <c r="Y5" s="44">
        <f t="shared" ref="Y5:Y24" si="5">Q5-P5</f>
        <v>0</v>
      </c>
      <c r="Z5" s="44">
        <f t="shared" ref="Z5:Z24" si="6">X5+(A$6*W5)</f>
        <v>50401.695409781751</v>
      </c>
      <c r="AA5" s="50">
        <f t="shared" ref="AA5:AA24" si="7">Q5+X5</f>
        <v>18817.885124355751</v>
      </c>
      <c r="AB5" s="51">
        <f t="shared" ref="AB5:AC20" si="8">Z5/(1+ElecDiscountRate)^1</f>
        <v>47117.598775153543</v>
      </c>
      <c r="AC5" s="44">
        <f t="shared" si="8"/>
        <v>17591.740791208515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1.1963659238949471</v>
      </c>
      <c r="AP5" s="47">
        <f>AN5/AC5</f>
        <v>3.5247721806116412</v>
      </c>
      <c r="AQ5">
        <v>2021</v>
      </c>
    </row>
    <row r="6" spans="1:43" ht="13.5" customHeight="1">
      <c r="A6" s="53">
        <f>SUMIF('Program Costs'!C:C,D2,'Program Costs'!L:L)</f>
        <v>4554051.43</v>
      </c>
      <c r="B6" s="97" t="s">
        <v>133</v>
      </c>
      <c r="C6" s="98">
        <v>18230720</v>
      </c>
      <c r="D6" s="61" t="s">
        <v>134</v>
      </c>
      <c r="E6" s="38" t="s">
        <v>992</v>
      </c>
      <c r="F6" s="39" t="s">
        <v>993</v>
      </c>
      <c r="G6" s="39">
        <v>10</v>
      </c>
      <c r="H6" s="39"/>
      <c r="I6" s="40" t="s">
        <v>256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0.2100895100174191</v>
      </c>
      <c r="V6" s="48">
        <f t="shared" si="2"/>
        <v>0</v>
      </c>
      <c r="W6" s="49">
        <f t="shared" si="3"/>
        <v>2.100895100174191E-2</v>
      </c>
      <c r="X6" s="44">
        <f t="shared" si="4"/>
        <v>9852.9717534146766</v>
      </c>
      <c r="Y6" s="44">
        <f t="shared" si="5"/>
        <v>0</v>
      </c>
      <c r="Z6" s="44">
        <f t="shared" si="6"/>
        <v>105528.81510569734</v>
      </c>
      <c r="AA6" s="50">
        <f t="shared" si="7"/>
        <v>112578.97175341468</v>
      </c>
      <c r="AB6" s="51">
        <f t="shared" si="8"/>
        <v>98652.72048770434</v>
      </c>
      <c r="AC6" s="44">
        <f t="shared" si="8"/>
        <v>105243.49981622386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1.6956543059113176</v>
      </c>
      <c r="AP6" s="47">
        <f t="shared" ref="AP6:AP24" si="16">AN6/AC6</f>
        <v>1.7484120314759781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994</v>
      </c>
      <c r="F7" s="39" t="s">
        <v>995</v>
      </c>
      <c r="G7" s="39">
        <v>15</v>
      </c>
      <c r="H7" s="39"/>
      <c r="I7" s="40" t="s">
        <v>256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0.11222404399441956</v>
      </c>
      <c r="V7" s="48">
        <f t="shared" si="2"/>
        <v>25786.740000000005</v>
      </c>
      <c r="W7" s="49">
        <f t="shared" si="3"/>
        <v>7.4816029329613041E-3</v>
      </c>
      <c r="X7" s="44">
        <f t="shared" si="4"/>
        <v>3508.7911986952668</v>
      </c>
      <c r="Y7" s="44">
        <f t="shared" si="5"/>
        <v>25786.740000000005</v>
      </c>
      <c r="Z7" s="44">
        <f t="shared" si="6"/>
        <v>37580.395734239886</v>
      </c>
      <c r="AA7" s="50">
        <f t="shared" si="7"/>
        <v>71342.531198695273</v>
      </c>
      <c r="AB7" s="51">
        <f t="shared" si="8"/>
        <v>35131.715185790301</v>
      </c>
      <c r="AC7" s="44">
        <f t="shared" si="8"/>
        <v>66693.962044213578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2.4640137742731238</v>
      </c>
      <c r="AP7" s="47">
        <f t="shared" si="16"/>
        <v>1.4277384372765995</v>
      </c>
      <c r="AQ7">
        <v>2021</v>
      </c>
    </row>
    <row r="8" spans="1:43" ht="13.5" customHeight="1">
      <c r="A8" s="53">
        <f>SUMIF('Program Costs'!C:C,D2,'Program Costs'!O:O)</f>
        <v>468989.23000000045</v>
      </c>
      <c r="B8" s="97" t="s">
        <v>133</v>
      </c>
      <c r="C8" s="98">
        <v>18230720</v>
      </c>
      <c r="D8" s="61" t="s">
        <v>134</v>
      </c>
      <c r="E8" s="38" t="s">
        <v>994</v>
      </c>
      <c r="F8" s="39" t="s">
        <v>995</v>
      </c>
      <c r="G8" s="39">
        <v>15</v>
      </c>
      <c r="H8" s="39"/>
      <c r="I8" s="40" t="s">
        <v>256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4.7007238719744028E-2</v>
      </c>
      <c r="V8" s="48">
        <f t="shared" si="2"/>
        <v>0</v>
      </c>
      <c r="W8" s="49">
        <f t="shared" si="3"/>
        <v>3.133815914649602E-3</v>
      </c>
      <c r="X8" s="44">
        <f t="shared" si="4"/>
        <v>1469.7259127732639</v>
      </c>
      <c r="Y8" s="44">
        <f t="shared" si="5"/>
        <v>0</v>
      </c>
      <c r="Z8" s="44">
        <f t="shared" si="6"/>
        <v>15741.28476024004</v>
      </c>
      <c r="AA8" s="50">
        <f t="shared" si="7"/>
        <v>13156.725912773263</v>
      </c>
      <c r="AB8" s="51">
        <f t="shared" si="8"/>
        <v>14715.606955445488</v>
      </c>
      <c r="AC8" s="44">
        <f t="shared" si="8"/>
        <v>12299.453970994917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2.4640137742731238</v>
      </c>
      <c r="AP8" s="47">
        <f t="shared" si="16"/>
        <v>3.2428597360961877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18230720</v>
      </c>
      <c r="D9" s="61" t="s">
        <v>134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2.2013989182000557</v>
      </c>
      <c r="V9" s="48">
        <f t="shared" si="2"/>
        <v>607573</v>
      </c>
      <c r="W9" s="49">
        <f t="shared" si="3"/>
        <v>0.1100699459100028</v>
      </c>
      <c r="X9" s="44">
        <f t="shared" si="4"/>
        <v>51621.619178473913</v>
      </c>
      <c r="Y9" s="44">
        <f t="shared" si="5"/>
        <v>607573</v>
      </c>
      <c r="Z9" s="44">
        <f t="shared" si="6"/>
        <v>552885.81374994479</v>
      </c>
      <c r="AA9" s="50">
        <f t="shared" si="7"/>
        <v>1277786.6191784739</v>
      </c>
      <c r="AB9" s="51">
        <f t="shared" si="8"/>
        <v>516860.62797975575</v>
      </c>
      <c r="AC9" s="44">
        <f t="shared" si="8"/>
        <v>1194528.0164330876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3.1578282872708976</v>
      </c>
      <c r="AP9" s="47">
        <f t="shared" si="16"/>
        <v>1.5029976677593893</v>
      </c>
      <c r="AQ9">
        <v>2021</v>
      </c>
    </row>
    <row r="10" spans="1:43" ht="13.5" customHeight="1">
      <c r="A10" s="54">
        <f>SUM(O5:O999)</f>
        <v>11239971</v>
      </c>
      <c r="B10" s="97" t="s">
        <v>133</v>
      </c>
      <c r="C10" s="98">
        <v>18230720</v>
      </c>
      <c r="D10" s="61" t="s">
        <v>134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5.0685949278694755</v>
      </c>
      <c r="V10" s="48">
        <f t="shared" si="2"/>
        <v>2224783.5</v>
      </c>
      <c r="W10" s="49">
        <f t="shared" si="3"/>
        <v>0.25342974639347376</v>
      </c>
      <c r="X10" s="44">
        <f t="shared" si="4"/>
        <v>118855.82162017065</v>
      </c>
      <c r="Y10" s="44">
        <f t="shared" si="5"/>
        <v>2224783.5</v>
      </c>
      <c r="Z10" s="44">
        <f t="shared" si="6"/>
        <v>1272987.9205879071</v>
      </c>
      <c r="AA10" s="50">
        <f t="shared" si="7"/>
        <v>3751531.5816201703</v>
      </c>
      <c r="AB10" s="51">
        <f t="shared" si="8"/>
        <v>1190041.9936317725</v>
      </c>
      <c r="AC10" s="44">
        <f t="shared" si="8"/>
        <v>3507087.5774704777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3.1578282872708985</v>
      </c>
      <c r="AP10" s="47">
        <f t="shared" si="16"/>
        <v>1.1786825981018803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18230720</v>
      </c>
      <c r="D11" s="61" t="s">
        <v>134</v>
      </c>
      <c r="E11" s="38" t="s">
        <v>1076</v>
      </c>
      <c r="F11" s="39" t="s">
        <v>1077</v>
      </c>
      <c r="G11" s="39">
        <v>15</v>
      </c>
      <c r="H11" s="39"/>
      <c r="I11" s="40" t="s">
        <v>256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0.96131431299956205</v>
      </c>
      <c r="V11" s="48">
        <f t="shared" si="2"/>
        <v>644847</v>
      </c>
      <c r="W11" s="49">
        <f t="shared" si="3"/>
        <v>6.4087620866637468E-2</v>
      </c>
      <c r="X11" s="44">
        <f t="shared" si="4"/>
        <v>30056.403962776269</v>
      </c>
      <c r="Y11" s="44">
        <f t="shared" si="5"/>
        <v>644847</v>
      </c>
      <c r="Z11" s="44">
        <f t="shared" si="6"/>
        <v>321914.7254157844</v>
      </c>
      <c r="AA11" s="50">
        <f t="shared" si="7"/>
        <v>1031054.4039627763</v>
      </c>
      <c r="AB11" s="51">
        <f t="shared" si="8"/>
        <v>300939.25905934785</v>
      </c>
      <c r="AC11" s="44">
        <f t="shared" si="8"/>
        <v>963872.49131791736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2.4640137742731238</v>
      </c>
      <c r="AP11" s="47">
        <f t="shared" si="16"/>
        <v>0.84624297803196047</v>
      </c>
      <c r="AQ11">
        <v>2021</v>
      </c>
    </row>
    <row r="12" spans="1:43" ht="13.5" customHeight="1">
      <c r="A12" s="55">
        <f>SUM(P5:P1000)</f>
        <v>3928732.4499999997</v>
      </c>
      <c r="B12" s="97" t="s">
        <v>133</v>
      </c>
      <c r="C12" s="98">
        <v>18230720</v>
      </c>
      <c r="D12" s="61" t="s">
        <v>134</v>
      </c>
      <c r="E12" s="38" t="s">
        <v>1078</v>
      </c>
      <c r="F12" s="39" t="s">
        <v>1079</v>
      </c>
      <c r="G12" s="39">
        <v>5</v>
      </c>
      <c r="H12" s="39"/>
      <c r="I12" s="40" t="s">
        <v>256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18230720</v>
      </c>
      <c r="D13" s="61" t="s">
        <v>134</v>
      </c>
      <c r="E13" s="38" t="s">
        <v>1080</v>
      </c>
      <c r="F13" s="39" t="s">
        <v>1081</v>
      </c>
      <c r="G13" s="39">
        <v>4</v>
      </c>
      <c r="H13" s="39"/>
      <c r="I13" s="40" t="s">
        <v>256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0.78331732350554995</v>
      </c>
      <c r="V13" s="48">
        <f t="shared" si="2"/>
        <v>351341</v>
      </c>
      <c r="W13" s="49">
        <f t="shared" si="3"/>
        <v>0.19582933087638749</v>
      </c>
      <c r="X13" s="44">
        <f t="shared" si="4"/>
        <v>91841.847099132283</v>
      </c>
      <c r="Y13" s="44">
        <f t="shared" si="5"/>
        <v>351341</v>
      </c>
      <c r="Z13" s="44">
        <f t="shared" si="6"/>
        <v>983658.69141268777</v>
      </c>
      <c r="AA13" s="50">
        <f t="shared" si="7"/>
        <v>800564.84709913225</v>
      </c>
      <c r="AB13" s="51">
        <f t="shared" si="8"/>
        <v>919565.01020163379</v>
      </c>
      <c r="AC13" s="44">
        <f t="shared" si="8"/>
        <v>748401.278021064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0.68110519053360319</v>
      </c>
      <c r="AP13" s="47">
        <f t="shared" si="16"/>
        <v>0.92056570701121865</v>
      </c>
      <c r="AQ13">
        <v>2021</v>
      </c>
    </row>
    <row r="14" spans="1:43" ht="13.5" customHeight="1">
      <c r="A14" s="55">
        <f>SUM(Y5:Y1000)</f>
        <v>5196956.3000000007</v>
      </c>
      <c r="B14" s="97" t="s">
        <v>133</v>
      </c>
      <c r="C14" s="100">
        <v>18230720</v>
      </c>
      <c r="D14" s="100" t="s">
        <v>134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11563</v>
      </c>
      <c r="L14" s="41"/>
      <c r="M14" s="42">
        <v>3000</v>
      </c>
      <c r="N14" s="42">
        <v>5306.64</v>
      </c>
      <c r="O14" s="43">
        <v>11563</v>
      </c>
      <c r="P14" s="44">
        <v>3000</v>
      </c>
      <c r="Q14" s="44">
        <v>5306.64</v>
      </c>
      <c r="R14" s="45"/>
      <c r="S14" s="46"/>
      <c r="T14" s="39">
        <f t="shared" si="0"/>
        <v>20</v>
      </c>
      <c r="U14" s="47">
        <f t="shared" si="1"/>
        <v>2.0574786180498149E-2</v>
      </c>
      <c r="V14" s="48">
        <f t="shared" si="2"/>
        <v>2306.6400000000003</v>
      </c>
      <c r="W14" s="49">
        <f t="shared" si="3"/>
        <v>1.0287393090249075E-3</v>
      </c>
      <c r="X14" s="44">
        <f t="shared" si="4"/>
        <v>482.46765641032391</v>
      </c>
      <c r="Y14" s="44">
        <f t="shared" si="5"/>
        <v>2306.6400000000003</v>
      </c>
      <c r="Z14" s="44">
        <f t="shared" si="6"/>
        <v>5167.3993777724154</v>
      </c>
      <c r="AA14" s="50">
        <f t="shared" si="7"/>
        <v>5789.1076564103241</v>
      </c>
      <c r="AB14" s="51">
        <f t="shared" si="8"/>
        <v>4830.6996146325273</v>
      </c>
      <c r="AC14" s="44">
        <f t="shared" si="8"/>
        <v>5411.8983419746883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15254.519890395224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15254.519890395224</v>
      </c>
      <c r="AK14" s="44">
        <f>HLOOKUP(I14,ElecAvoidedCostsWOCC!$A$5:$Q$50,G14+1,FALSE)*J14*L14</f>
        <v>0</v>
      </c>
      <c r="AL14" s="44">
        <f t="shared" si="13"/>
        <v>15254.519890395224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15254.519890395224</v>
      </c>
      <c r="AN14" s="48">
        <f t="shared" si="14"/>
        <v>16779.971879434746</v>
      </c>
      <c r="AO14" s="47">
        <f t="shared" si="15"/>
        <v>3.1578282872708989</v>
      </c>
      <c r="AP14" s="47">
        <f t="shared" si="16"/>
        <v>3.1005704133962144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18230720</v>
      </c>
      <c r="D15" s="100" t="s">
        <v>134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1426823</v>
      </c>
      <c r="L15" s="41"/>
      <c r="M15" s="42">
        <v>603167</v>
      </c>
      <c r="N15" s="42">
        <v>1583686.42</v>
      </c>
      <c r="O15" s="43">
        <v>1426823</v>
      </c>
      <c r="P15" s="44">
        <v>603167</v>
      </c>
      <c r="Q15" s="44">
        <v>1583686.42</v>
      </c>
      <c r="R15" s="45"/>
      <c r="S15" s="46"/>
      <c r="T15" s="39">
        <f t="shared" si="0"/>
        <v>20</v>
      </c>
      <c r="U15" s="47">
        <f t="shared" si="1"/>
        <v>2.5388375112355717</v>
      </c>
      <c r="V15" s="48">
        <f t="shared" si="2"/>
        <v>980519.41999999993</v>
      </c>
      <c r="W15" s="49">
        <f t="shared" si="3"/>
        <v>0.12694187556177858</v>
      </c>
      <c r="X15" s="44">
        <f t="shared" si="4"/>
        <v>59534.37247447441</v>
      </c>
      <c r="Y15" s="44">
        <f t="shared" si="5"/>
        <v>980519.41999999993</v>
      </c>
      <c r="Z15" s="44">
        <f t="shared" si="6"/>
        <v>637634.20240347413</v>
      </c>
      <c r="AA15" s="50">
        <f t="shared" si="7"/>
        <v>1643220.7924744743</v>
      </c>
      <c r="AB15" s="51">
        <f t="shared" si="8"/>
        <v>596086.94251049275</v>
      </c>
      <c r="AC15" s="44">
        <f t="shared" si="8"/>
        <v>1536151.063358394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1882340.2087324555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1882340.2087324555</v>
      </c>
      <c r="AK15" s="44">
        <f>HLOOKUP(I15,ElecAvoidedCostsWOCC!$A$5:$Q$50,G15+1,FALSE)*J15*L15</f>
        <v>0</v>
      </c>
      <c r="AL15" s="44">
        <f t="shared" si="13"/>
        <v>1882340.2087324555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1882340.2087324555</v>
      </c>
      <c r="AN15" s="48">
        <f t="shared" si="14"/>
        <v>2070574.2296057013</v>
      </c>
      <c r="AO15" s="47">
        <f t="shared" si="15"/>
        <v>3.157828287270898</v>
      </c>
      <c r="AP15" s="47">
        <f t="shared" si="16"/>
        <v>1.3478975336442045</v>
      </c>
      <c r="AQ15">
        <v>2020</v>
      </c>
    </row>
    <row r="16" spans="1:43" ht="13.5" customHeight="1">
      <c r="A16" s="54">
        <f>SUM(U5:U999)</f>
        <v>12.841414359521035</v>
      </c>
      <c r="B16" s="97" t="s">
        <v>133</v>
      </c>
      <c r="C16" s="100">
        <v>18230720</v>
      </c>
      <c r="D16" s="100" t="s">
        <v>134</v>
      </c>
      <c r="E16" s="38" t="s">
        <v>2116</v>
      </c>
      <c r="F16" s="39" t="s">
        <v>2117</v>
      </c>
      <c r="G16" s="39">
        <v>4</v>
      </c>
      <c r="H16" s="39"/>
      <c r="I16" s="40" t="s">
        <v>256</v>
      </c>
      <c r="J16" s="41">
        <v>1</v>
      </c>
      <c r="K16" s="41">
        <v>2326160</v>
      </c>
      <c r="L16" s="41"/>
      <c r="M16" s="42">
        <v>348924</v>
      </c>
      <c r="N16" s="42">
        <v>708723</v>
      </c>
      <c r="O16" s="43">
        <v>2326160</v>
      </c>
      <c r="P16" s="44">
        <v>348924</v>
      </c>
      <c r="Q16" s="44">
        <v>708723</v>
      </c>
      <c r="R16" s="45"/>
      <c r="S16" s="46"/>
      <c r="T16" s="39">
        <f t="shared" si="0"/>
        <v>4</v>
      </c>
      <c r="U16" s="47">
        <f t="shared" si="1"/>
        <v>0.82781708244620911</v>
      </c>
      <c r="V16" s="48">
        <f t="shared" si="2"/>
        <v>359799</v>
      </c>
      <c r="W16" s="49">
        <f t="shared" si="3"/>
        <v>0.20695427061155228</v>
      </c>
      <c r="X16" s="44">
        <f t="shared" si="4"/>
        <v>97059.324019323627</v>
      </c>
      <c r="Y16" s="44">
        <f t="shared" si="5"/>
        <v>359799</v>
      </c>
      <c r="Z16" s="44">
        <f t="shared" si="6"/>
        <v>1039539.7160424702</v>
      </c>
      <c r="AA16" s="50">
        <f t="shared" si="7"/>
        <v>805782.32401932357</v>
      </c>
      <c r="AB16" s="51">
        <f t="shared" si="8"/>
        <v>971804.9135668599</v>
      </c>
      <c r="AC16" s="44">
        <f t="shared" si="8"/>
        <v>753278.7922027891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0.28454679420867346</v>
      </c>
      <c r="AG16" s="44">
        <f t="shared" si="10"/>
        <v>661901.37081644789</v>
      </c>
      <c r="AH16" s="52">
        <f>HLOOKUP(I16,ElecAvoidedCostsWOCC!$A$5:$Q$50,T16+1,FALSE)</f>
        <v>0.28454679420867346</v>
      </c>
      <c r="AI16" s="44">
        <f t="shared" si="11"/>
        <v>0</v>
      </c>
      <c r="AJ16" s="44">
        <f t="shared" si="12"/>
        <v>661901.37081644789</v>
      </c>
      <c r="AK16" s="44">
        <f>HLOOKUP(I16,ElecAvoidedCostsWOCC!$A$5:$Q$50,G16+1,FALSE)*J16*L16</f>
        <v>0</v>
      </c>
      <c r="AL16" s="44">
        <f t="shared" si="13"/>
        <v>661901.37081644789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661901.37081644789</v>
      </c>
      <c r="AN16" s="48">
        <f t="shared" si="14"/>
        <v>728091.50789809274</v>
      </c>
      <c r="AO16" s="47">
        <f t="shared" si="15"/>
        <v>0.68110519053360319</v>
      </c>
      <c r="AP16" s="47">
        <f t="shared" si="16"/>
        <v>0.96656313098760949</v>
      </c>
      <c r="AQ16">
        <v>2020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5023040.66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9594677.9800000004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2.0580145331095201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1.1851611664561601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70" zoomScaleNormal="70" workbookViewId="0">
      <selection activeCell="H15" sqref="H15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4.140625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2454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329</v>
      </c>
      <c r="C2" s="279">
        <f>GasDiscountRate</f>
        <v>6.9699999999999998E-2</v>
      </c>
      <c r="D2" s="279"/>
      <c r="E2" s="280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5" t="s">
        <v>332</v>
      </c>
      <c r="V2" s="115" t="s">
        <v>332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433</v>
      </c>
      <c r="C3" s="283" t="s">
        <v>335</v>
      </c>
      <c r="D3" s="283" t="s">
        <v>336</v>
      </c>
      <c r="E3" s="283" t="s">
        <v>434</v>
      </c>
      <c r="F3" s="283" t="s">
        <v>337</v>
      </c>
      <c r="G3" s="283" t="s">
        <v>338</v>
      </c>
      <c r="H3" s="283" t="s">
        <v>435</v>
      </c>
      <c r="I3" s="283" t="s">
        <v>340</v>
      </c>
      <c r="J3" s="283" t="s">
        <v>436</v>
      </c>
      <c r="K3" s="283" t="s">
        <v>437</v>
      </c>
      <c r="L3" s="283" t="s">
        <v>438</v>
      </c>
      <c r="M3" s="283" t="s">
        <v>344</v>
      </c>
      <c r="N3" s="283" t="s">
        <v>439</v>
      </c>
      <c r="O3" s="283" t="s">
        <v>440</v>
      </c>
      <c r="P3" s="283" t="s">
        <v>1816</v>
      </c>
      <c r="Q3" s="283" t="s">
        <v>441</v>
      </c>
      <c r="R3" s="283" t="s">
        <v>442</v>
      </c>
      <c r="S3" s="283" t="s">
        <v>443</v>
      </c>
      <c r="T3" s="284" t="s">
        <v>1815</v>
      </c>
      <c r="U3" s="283" t="s">
        <v>350</v>
      </c>
      <c r="V3" s="283" t="s">
        <v>351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25" t="s">
        <v>354</v>
      </c>
      <c r="B5" s="291" t="s">
        <v>444</v>
      </c>
      <c r="C5" s="292" t="s">
        <v>356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363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25"/>
      <c r="B6" s="302" t="s">
        <v>445</v>
      </c>
      <c r="C6" s="131" t="s">
        <v>465</v>
      </c>
      <c r="D6" s="131"/>
      <c r="E6" s="303"/>
      <c r="F6" s="144">
        <f>'G201 LIW {G}'!A16</f>
        <v>25.30328240820371</v>
      </c>
      <c r="G6" s="304" t="s">
        <v>365</v>
      </c>
      <c r="H6" s="258">
        <f>'G201 LIW {G}'!A$10</f>
        <v>31511.619999999992</v>
      </c>
      <c r="I6" s="259">
        <f>'G201 LIW {G}'!A$8</f>
        <v>148048.47999999998</v>
      </c>
      <c r="J6" s="259">
        <f>'G201 LIW {G}'!A$12</f>
        <v>1131730.1000000003</v>
      </c>
      <c r="K6" s="259">
        <f>'G201 LIW {G}'!A$14</f>
        <v>85379.56</v>
      </c>
      <c r="L6" s="259">
        <f>SUM('G201 LIW {G}'!Q$6:Q$998)</f>
        <v>1217109.6599999999</v>
      </c>
      <c r="M6" s="259"/>
      <c r="N6" s="260">
        <f>'G201 LIW {G}'!A$18</f>
        <v>1254182.27</v>
      </c>
      <c r="O6" s="259">
        <f>'G201 LIW {G}'!A$20</f>
        <v>1365158.14</v>
      </c>
      <c r="P6" s="259">
        <f>SUM('G201 LIW {G}'!R$6:R$998)</f>
        <v>41.57</v>
      </c>
      <c r="Q6" s="266">
        <f t="shared" ref="Q6:Q19" si="0">N6/(1+ElecDiscountRate)^1</f>
        <v>1172461.690193512</v>
      </c>
      <c r="R6" s="266">
        <f>O6/(1+ElecDiscountRate)^1</f>
        <v>1276206.5438908103</v>
      </c>
      <c r="S6" s="259">
        <f>SUM('G201 LIW {G}'!AM$6:AM$998)</f>
        <v>522625.20654943452</v>
      </c>
      <c r="T6" s="259">
        <f>SUM('G201 LIW {G}'!AD$6:AD$998)</f>
        <v>4087.9044343295677</v>
      </c>
      <c r="U6" s="133">
        <f>IFERROR(S6/Q6,0)</f>
        <v>0.44575034811003206</v>
      </c>
      <c r="V6" s="133">
        <f>IFERROR(((S6*1.1)+(T6))/R6,0)</f>
        <v>0.45366922337944349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366</v>
      </c>
      <c r="D7" s="306"/>
      <c r="E7" s="307"/>
      <c r="F7" s="306"/>
      <c r="G7" s="306"/>
      <c r="H7" s="262">
        <f t="shared" ref="H7:P7" si="1">SUM(H8:H16)</f>
        <v>3622618.3000000012</v>
      </c>
      <c r="I7" s="262">
        <f t="shared" si="1"/>
        <v>2319516.85</v>
      </c>
      <c r="J7" s="262">
        <f t="shared" si="1"/>
        <v>10113946.679999998</v>
      </c>
      <c r="K7" s="262">
        <f t="shared" si="1"/>
        <v>16824624.569999978</v>
      </c>
      <c r="L7" s="262">
        <f t="shared" si="1"/>
        <v>26938571.24999997</v>
      </c>
      <c r="M7" s="262">
        <f t="shared" si="1"/>
        <v>0</v>
      </c>
      <c r="N7" s="262">
        <f t="shared" si="1"/>
        <v>12837404.540000001</v>
      </c>
      <c r="O7" s="262">
        <f t="shared" si="1"/>
        <v>29258088.099999972</v>
      </c>
      <c r="P7" s="262">
        <f t="shared" si="1"/>
        <v>596.8900000000001</v>
      </c>
      <c r="Q7" s="263">
        <f t="shared" si="0"/>
        <v>12000939.08572497</v>
      </c>
      <c r="R7" s="263">
        <f>O7/(1+ElecDiscountRate)^1</f>
        <v>27351676.264373161</v>
      </c>
      <c r="S7" s="262">
        <f>SUM(S8:S16)</f>
        <v>35368505.854797177</v>
      </c>
      <c r="T7" s="262">
        <f>SUM(T8:T16)</f>
        <v>2606614.3345346386</v>
      </c>
      <c r="U7" s="142">
        <f>S7/Q7</f>
        <v>2.9471448527613773</v>
      </c>
      <c r="V7" s="142">
        <f>((S7*1.1)+(T7))/R7</f>
        <v>1.517712127533581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369</v>
      </c>
      <c r="D8" s="174"/>
      <c r="E8" s="310"/>
      <c r="F8" s="144">
        <f>'SF Existing Space Heat {G}'!A$16</f>
        <v>19.903915925152326</v>
      </c>
      <c r="G8" s="145" t="s">
        <v>365</v>
      </c>
      <c r="H8" s="258">
        <f>'SF Existing Space Heat {G}'!A$10</f>
        <v>1052890.3999999999</v>
      </c>
      <c r="I8" s="259">
        <f>'SF Existing Space Heat {G}'!A$8</f>
        <v>258949.83999999985</v>
      </c>
      <c r="J8" s="259">
        <f>'SF Existing Space Heat {G}'!A$12</f>
        <v>3382248.2199999997</v>
      </c>
      <c r="K8" s="259">
        <f>'SF Existing Space Heat {G}'!A$14</f>
        <v>2451632.13</v>
      </c>
      <c r="L8" s="259">
        <f>SUM('SF Existing Space Heat {G}'!Q$5:Q$1000)</f>
        <v>5833880.3499999996</v>
      </c>
      <c r="M8" s="259"/>
      <c r="N8" s="260">
        <f>'SF Existing Space Heat {G}'!A$18</f>
        <v>3641889.33</v>
      </c>
      <c r="O8" s="259">
        <f>'SF Existing Space Heat {G}'!A$20</f>
        <v>6092830.1899999995</v>
      </c>
      <c r="P8" s="259">
        <f>SUM('SF Existing Space Heat {G}'!R$5:R$1000)</f>
        <v>23.590000000000003</v>
      </c>
      <c r="Q8" s="261">
        <f t="shared" si="0"/>
        <v>3404589.445638964</v>
      </c>
      <c r="R8" s="261">
        <f>O8/(1+ElecDiscountRate)^1</f>
        <v>5695830.7843320547</v>
      </c>
      <c r="S8" s="259">
        <f>SUM('SF Existing Space Heat {G}'!AM$5:AM$1000)</f>
        <v>14430012.943431279</v>
      </c>
      <c r="T8" s="259">
        <f>SUM('SF Existing Space Heat {G}'!AD$5:AD$1000)</f>
        <v>129838.0487398048</v>
      </c>
      <c r="U8" s="133">
        <f t="shared" ref="U8:U19" si="2">IFERROR(S8/Q8,0)</f>
        <v>4.2384003045991623</v>
      </c>
      <c r="V8" s="133">
        <f t="shared" ref="V8:V19" si="3">IFERROR(((S8*1.1)+(T8))/R8,0)</f>
        <v>2.8095729828446534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370</v>
      </c>
      <c r="D9" s="131"/>
      <c r="E9" s="311"/>
      <c r="F9" s="144">
        <f>'SF Existing Water Heat {G}'!A$16</f>
        <v>19.202786054970538</v>
      </c>
      <c r="G9" s="312" t="s">
        <v>265</v>
      </c>
      <c r="H9" s="258">
        <f>'SF Existing Water Heat {G}'!A$10</f>
        <v>124706.8</v>
      </c>
      <c r="I9" s="259">
        <f>'SF Existing Water Heat {G}'!A$8</f>
        <v>126263.42000000004</v>
      </c>
      <c r="J9" s="259">
        <f>'SF Existing Water Heat {G}'!A$12</f>
        <v>642665.56000000006</v>
      </c>
      <c r="K9" s="259">
        <f>'SF Existing Water Heat {G}'!A$14</f>
        <v>1559641.3899999638</v>
      </c>
      <c r="L9" s="259">
        <f>SUM('SF Existing Water Heat {G}'!Q$5:Q$1000)</f>
        <v>2202306.9499999643</v>
      </c>
      <c r="M9" s="259"/>
      <c r="N9" s="260">
        <f>'SF Existing Water Heat {G}'!A$18</f>
        <v>769092.9800000001</v>
      </c>
      <c r="O9" s="259">
        <f>'SF Existing Water Heat {G}'!A$20</f>
        <v>2328570.3699999643</v>
      </c>
      <c r="P9" s="259">
        <f>SUM('SF Existing Water Heat {G}'!R$5:R$1000)</f>
        <v>99.69</v>
      </c>
      <c r="Q9" s="261">
        <f t="shared" si="0"/>
        <v>718980.06917827437</v>
      </c>
      <c r="R9" s="261">
        <f t="shared" ref="R9:R19" si="4">O9/(1+ElecDiscountRate)^1</f>
        <v>2176844.3208375843</v>
      </c>
      <c r="S9" s="259">
        <f>SUM('SF Existing Water Heat {G}'!AM$5:AM$1000)</f>
        <v>1577206.8468760736</v>
      </c>
      <c r="T9" s="259">
        <f>SUM('SF Existing Water Heat {G}'!AD$5:AD$1000)</f>
        <v>363693.10992247512</v>
      </c>
      <c r="U9" s="133">
        <f t="shared" si="2"/>
        <v>2.1936725571248039</v>
      </c>
      <c r="V9" s="133">
        <f t="shared" si="3"/>
        <v>0.96406556104970798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371</v>
      </c>
      <c r="D10" s="174"/>
      <c r="E10" s="311"/>
      <c r="F10" s="144">
        <v>0</v>
      </c>
      <c r="G10" s="304" t="s">
        <v>365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372</v>
      </c>
      <c r="D11" s="174"/>
      <c r="E11" s="310"/>
      <c r="F11" s="144">
        <f>'Home Appliances {G}'!A$16</f>
        <v>13.537125662702394</v>
      </c>
      <c r="G11" s="304" t="s">
        <v>365</v>
      </c>
      <c r="H11" s="258">
        <f>'Home Appliances {G}'!A$10</f>
        <v>13958.000000000029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1922.0600000000011</v>
      </c>
      <c r="L11" s="259">
        <f>SUM('Home Appliances {G}'!Q$5:Q$1000)</f>
        <v>1922.0600000000011</v>
      </c>
      <c r="M11" s="259"/>
      <c r="N11" s="260">
        <f>'Home Appliances {G}'!A$18</f>
        <v>0</v>
      </c>
      <c r="O11" s="259">
        <f>'Home Appliances {G}'!A$20</f>
        <v>1922.0600000000011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1796.8215387491828</v>
      </c>
      <c r="S11" s="259">
        <f>SUM('Home Appliances {G}'!AM$5:AM$1000)</f>
        <v>130096.64617219009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662.36462398793878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446</v>
      </c>
      <c r="D12" s="174"/>
      <c r="E12" s="310"/>
      <c r="F12" s="144">
        <f>'Web Enabled Thermostats {G}'!A$16</f>
        <v>11.021243523834992</v>
      </c>
      <c r="G12" s="304" t="s">
        <v>365</v>
      </c>
      <c r="H12" s="258">
        <f>'Web Enabled Thermostats {G}'!A$10</f>
        <v>599081.4</v>
      </c>
      <c r="I12" s="259">
        <f>'Web Enabled Thermostats {G}'!A$8</f>
        <v>447141.90999999992</v>
      </c>
      <c r="J12" s="259">
        <f>'Web Enabled Thermostats {G}'!A$12</f>
        <v>1353667.0499999991</v>
      </c>
      <c r="K12" s="259">
        <f>'Web Enabled Thermostats {G}'!A$14</f>
        <v>1880691.1300000115</v>
      </c>
      <c r="L12" s="259">
        <f>SUM('Web Enabled Thermostats {G}'!Q$5:Q$1000)</f>
        <v>3234358.1800000104</v>
      </c>
      <c r="M12" s="259"/>
      <c r="N12" s="260">
        <f>'Web Enabled Thermostats {G}'!A$18</f>
        <v>1975650.5499999998</v>
      </c>
      <c r="O12" s="259">
        <f>'Web Enabled Thermostats {G}'!A$20</f>
        <v>3681500.0900000101</v>
      </c>
      <c r="P12" s="259">
        <f>SUM('Web Enabled Thermostats {G}'!R$5:R$1000)</f>
        <v>20.85</v>
      </c>
      <c r="Q12" s="261">
        <f t="shared" si="0"/>
        <v>1846920.2112741887</v>
      </c>
      <c r="R12" s="261">
        <f t="shared" si="4"/>
        <v>3441619.2296905764</v>
      </c>
      <c r="S12" s="259">
        <f>SUM('Web Enabled Thermostats {G}'!AM$5:AM$1000)</f>
        <v>4947208.293842244</v>
      </c>
      <c r="T12" s="259">
        <f>SUM('Web Enabled Thermostats {G}'!AD$5:AD$1000)</f>
        <v>77151.078603646936</v>
      </c>
      <c r="U12" s="133">
        <f t="shared" si="2"/>
        <v>2.6786258895446107</v>
      </c>
      <c r="V12" s="133">
        <f t="shared" si="3"/>
        <v>1.6036289413475633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375</v>
      </c>
      <c r="D13" s="174"/>
      <c r="E13" s="310"/>
      <c r="F13" s="144">
        <f>'Residential Showerheads {G}'!A$16</f>
        <v>10</v>
      </c>
      <c r="G13" s="312" t="s">
        <v>447</v>
      </c>
      <c r="H13" s="258">
        <f>'Residential Showerheads {G}'!A$10</f>
        <v>31822.630000000005</v>
      </c>
      <c r="I13" s="259">
        <f>'Residential Showerheads {G}'!A$8</f>
        <v>121239.04999999999</v>
      </c>
      <c r="J13" s="259">
        <f>'Residential Showerheads {G}'!A$12</f>
        <v>46461.399999999994</v>
      </c>
      <c r="K13" s="259">
        <f>'Residential Showerheads {G}'!A$14</f>
        <v>-14946.339999999971</v>
      </c>
      <c r="L13" s="259">
        <f>SUM('Residential Showerheads {G}'!Q$5:Q$1000)</f>
        <v>31515.060000000016</v>
      </c>
      <c r="M13" s="259"/>
      <c r="N13" s="260">
        <f>'Residential Showerheads {G}'!A$18</f>
        <v>185141.91999999998</v>
      </c>
      <c r="O13" s="259">
        <f>'Residential Showerheads {G}'!A$20</f>
        <v>152754.11000000002</v>
      </c>
      <c r="P13" s="259">
        <f>SUM('Residential Showerheads {G}'!R$5:R$1000)</f>
        <v>152.47999999999999</v>
      </c>
      <c r="Q13" s="261">
        <f t="shared" si="0"/>
        <v>173078.35841824807</v>
      </c>
      <c r="R13" s="261">
        <f t="shared" si="4"/>
        <v>142800.88809946715</v>
      </c>
      <c r="S13" s="259">
        <f>SUM('Residential Showerheads {G}'!AM$5:AM$1000)</f>
        <v>227212.31251100751</v>
      </c>
      <c r="T13" s="259">
        <f>SUM('Residential Showerheads {G}'!AD$5:AD$1000)</f>
        <v>541014.69384878059</v>
      </c>
      <c r="U13" s="133">
        <f t="shared" si="2"/>
        <v>1.3127713631414473</v>
      </c>
      <c r="V13" s="133">
        <f t="shared" si="3"/>
        <v>5.5388187576253616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376</v>
      </c>
      <c r="D14" s="174"/>
      <c r="E14" s="310"/>
      <c r="F14" s="144">
        <f>'SF Existing Weatherization {G}'!A$16</f>
        <v>35.395790652571499</v>
      </c>
      <c r="G14" s="304" t="s">
        <v>365</v>
      </c>
      <c r="H14" s="258">
        <f>'SF Existing Weatherization {G}'!A$10</f>
        <v>579208.07000000111</v>
      </c>
      <c r="I14" s="259">
        <f>'SF Existing Weatherization {G}'!A$8</f>
        <v>349374.63000000035</v>
      </c>
      <c r="J14" s="259">
        <f>'SF Existing Weatherization {G}'!A$12</f>
        <v>3863176.9499999988</v>
      </c>
      <c r="K14" s="259">
        <f>'SF Existing Weatherization {G}'!A$14</f>
        <v>10945684.200000003</v>
      </c>
      <c r="L14" s="259">
        <f>SUM('SF Existing Weatherization {G}'!Q$5:Q$1000)</f>
        <v>14808861.149999999</v>
      </c>
      <c r="M14" s="259"/>
      <c r="N14" s="260">
        <f>'SF Existing Weatherization {G}'!A$18</f>
        <v>4353413.6900000004</v>
      </c>
      <c r="O14" s="259">
        <f>'SF Existing Weatherization {G}'!A$20</f>
        <v>15158235.779999999</v>
      </c>
      <c r="P14" s="259">
        <f>SUM('SF Existing Weatherization {G}'!R$5:R$1000)</f>
        <v>165.88000000000005</v>
      </c>
      <c r="Q14" s="261">
        <f t="shared" si="0"/>
        <v>4069751.9771898664</v>
      </c>
      <c r="R14" s="261">
        <f t="shared" si="4"/>
        <v>14170548.546321396</v>
      </c>
      <c r="S14" s="259">
        <f>SUM('SF Existing Weatherization {G}'!AM$5:AM$1000)</f>
        <v>12633220.114345051</v>
      </c>
      <c r="T14" s="259">
        <f>SUM('SF Existing Weatherization {G}'!AD$5:AD$1000)</f>
        <v>447872.69132230809</v>
      </c>
      <c r="U14" s="133">
        <f t="shared" si="2"/>
        <v>3.1041744521906214</v>
      </c>
      <c r="V14" s="133">
        <f t="shared" si="3"/>
        <v>1.0122695511900706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377</v>
      </c>
      <c r="D15" s="174"/>
      <c r="E15" s="310"/>
      <c r="F15" s="144">
        <f>'Home Energy Reports {G}'!A$16</f>
        <v>1.7407782949520498</v>
      </c>
      <c r="G15" s="304" t="s">
        <v>365</v>
      </c>
      <c r="H15" s="258">
        <f>'Home Energy Reports {G}'!A$10</f>
        <v>1220951</v>
      </c>
      <c r="I15" s="259">
        <f>'Home Energy Reports {G}'!A$8</f>
        <v>946123.68999999983</v>
      </c>
      <c r="J15" s="259">
        <f>'Home Energy Reports {G}'!A$12</f>
        <v>825727.5</v>
      </c>
      <c r="K15" s="259">
        <f>'Home Energy Reports {G}'!A$14</f>
        <v>0</v>
      </c>
      <c r="L15" s="259">
        <f>SUM('Home Energy Reports {G}'!Q$5:Q$1000)</f>
        <v>825727.5</v>
      </c>
      <c r="M15" s="259"/>
      <c r="N15" s="260">
        <f>'Home Energy Reports {G}'!A$18</f>
        <v>1841791.7599999998</v>
      </c>
      <c r="O15" s="259">
        <f>'Home Energy Reports {G}'!A$20</f>
        <v>1771851.19</v>
      </c>
      <c r="P15" s="259">
        <f>SUM('Home Energy Reports {G}'!R$5:R$1000)</f>
        <v>0</v>
      </c>
      <c r="Q15" s="261">
        <f t="shared" si="0"/>
        <v>1721783.4533046645</v>
      </c>
      <c r="R15" s="261">
        <f t="shared" si="4"/>
        <v>1656400.1028325697</v>
      </c>
      <c r="S15" s="259">
        <f>SUM('Home Energy Reports {G}'!AM$5:AM$1000)</f>
        <v>1423548.6976193287</v>
      </c>
      <c r="T15" s="259">
        <f>SUM('Home Energy Reports {G}'!AD$5:AD$1000)</f>
        <v>0</v>
      </c>
      <c r="U15" s="133">
        <f t="shared" si="2"/>
        <v>0.82678730294862235</v>
      </c>
      <c r="V15" s="133">
        <f t="shared" si="3"/>
        <v>0.94536553378827259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1819</v>
      </c>
      <c r="D16" s="174"/>
      <c r="E16" s="310"/>
      <c r="F16" s="144">
        <f>IFERROR('Efficiency Boost {G}'!A$16,)</f>
        <v>0</v>
      </c>
      <c r="G16" s="304" t="s">
        <v>365</v>
      </c>
      <c r="H16" s="258">
        <f>IFERROR('Efficiency Boost {G}'!A$10,0)</f>
        <v>0</v>
      </c>
      <c r="I16" s="259">
        <f>'Efficiency Boost {G}'!A$8</f>
        <v>70424.309999999983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70424.309999999983</v>
      </c>
      <c r="O16" s="259">
        <f>'Efficiency Boost {G}'!A$20</f>
        <v>70424.309999999983</v>
      </c>
      <c r="P16" s="259">
        <f>SUM('Efficiency Boost {G}'!R$5:R$1000)</f>
        <v>0</v>
      </c>
      <c r="Q16" s="261">
        <f t="shared" si="0"/>
        <v>65835.570720762815</v>
      </c>
      <c r="R16" s="261">
        <f>O16/(1+ElecDiscountRate)^1</f>
        <v>65835.570720762815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378</v>
      </c>
      <c r="D17" s="174"/>
      <c r="E17" s="310"/>
      <c r="F17" s="144">
        <f>'SF New Construction {G}'!A$16</f>
        <v>15.974835638177284</v>
      </c>
      <c r="G17" s="304" t="s">
        <v>365</v>
      </c>
      <c r="H17" s="258">
        <f>'SF New Construction {G}'!A$10</f>
        <v>13233</v>
      </c>
      <c r="I17" s="259">
        <f>'SF New Construction {G}'!A$8</f>
        <v>33646.69</v>
      </c>
      <c r="J17" s="259">
        <f>'SF New Construction {G}'!A$12</f>
        <v>35500</v>
      </c>
      <c r="K17" s="259">
        <f>'SF New Construction {G}'!A$14</f>
        <v>44052.819999999701</v>
      </c>
      <c r="L17" s="259">
        <f>SUM('SF New Construction {G}'!Q$5:Q$1000)</f>
        <v>79552.819999999701</v>
      </c>
      <c r="M17" s="259"/>
      <c r="N17" s="260">
        <f>'SF New Construction {G}'!A$18</f>
        <v>63146.69</v>
      </c>
      <c r="O17" s="259">
        <f>'SF New Construction {G}'!A$20</f>
        <v>113199.5099999997</v>
      </c>
      <c r="P17" s="259">
        <f>SUM('SF New Construction {G}'!R$5:R$1000)</f>
        <v>23.590000000000003</v>
      </c>
      <c r="Q17" s="261">
        <f t="shared" si="0"/>
        <v>59032.149200710475</v>
      </c>
      <c r="R17" s="261">
        <f t="shared" si="4"/>
        <v>105823.60474899475</v>
      </c>
      <c r="S17" s="259">
        <f>SUM('SF New Construction {G}'!AM$5:AM$1000)</f>
        <v>145758.91878857467</v>
      </c>
      <c r="T17" s="259">
        <f>SUM('SF New Construction {G}'!AD$5:AD$1000)</f>
        <v>906.00425714286951</v>
      </c>
      <c r="U17" s="133">
        <f t="shared" si="2"/>
        <v>2.4691447077928919</v>
      </c>
      <c r="V17" s="133">
        <f t="shared" si="3"/>
        <v>1.523675320898636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B18" s="309" t="s">
        <v>145</v>
      </c>
      <c r="C18" s="147" t="s">
        <v>449</v>
      </c>
      <c r="D18" s="147"/>
      <c r="E18" s="310"/>
      <c r="F18" s="144">
        <f>'Multi Family Retrofit {G}'!A$16</f>
        <v>35.451549087343864</v>
      </c>
      <c r="G18" s="304" t="s">
        <v>365</v>
      </c>
      <c r="H18" s="258">
        <f>'Multi Family Retrofit {G}'!A$10</f>
        <v>60870.679999999993</v>
      </c>
      <c r="I18" s="259">
        <f>'Multi Family Retrofit {G}'!A$8</f>
        <v>223926.00000000006</v>
      </c>
      <c r="J18" s="259">
        <f>'Multi Family Retrofit {G}'!A$12</f>
        <v>385065.39999999997</v>
      </c>
      <c r="K18" s="259">
        <f>'Multi Family Retrofit {G}'!A$14</f>
        <v>654779.93999999983</v>
      </c>
      <c r="L18" s="259">
        <f>SUM('Multi Family Retrofit {G}'!Q$5:Q$1000)</f>
        <v>1039845.34</v>
      </c>
      <c r="M18" s="259"/>
      <c r="N18" s="260">
        <f>'Multi Family Retrofit {G}'!A$18</f>
        <v>609367.57000000007</v>
      </c>
      <c r="O18" s="259">
        <f>'Multi Family Retrofit {G}'!A$20</f>
        <v>1263771.3400000001</v>
      </c>
      <c r="P18" s="259">
        <f>SUM('Multi Family Retrofit {G}'!R$5:R$1000)</f>
        <v>128.4</v>
      </c>
      <c r="Q18" s="261">
        <f t="shared" si="0"/>
        <v>569662.12022062263</v>
      </c>
      <c r="R18" s="261">
        <f t="shared" si="4"/>
        <v>1181425.9512012713</v>
      </c>
      <c r="S18" s="259">
        <f>SUM('Multi Family Retrofit {G}'!AM$5:AM$1000)</f>
        <v>1249865.5466676103</v>
      </c>
      <c r="T18" s="259">
        <f>SUM('Multi Family Retrofit {G}'!AD$5:AD$1000)</f>
        <v>61357.740508226547</v>
      </c>
      <c r="U18" s="133">
        <f t="shared" si="2"/>
        <v>2.1940471418102256</v>
      </c>
      <c r="V18" s="133">
        <f t="shared" si="3"/>
        <v>1.2156579431679682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102</v>
      </c>
      <c r="C19" s="174" t="s">
        <v>381</v>
      </c>
      <c r="D19" s="174"/>
      <c r="E19" s="314"/>
      <c r="F19" s="144">
        <f>'MF New Construction {G}'!A$16</f>
        <v>15.000000000000002</v>
      </c>
      <c r="G19" s="304" t="s">
        <v>365</v>
      </c>
      <c r="H19" s="258">
        <f>'MF New Construction {G}'!A$10</f>
        <v>79154</v>
      </c>
      <c r="I19" s="259">
        <f>'MF New Construction {G}'!A$8</f>
        <v>282553.3</v>
      </c>
      <c r="J19" s="259">
        <f>'MF New Construction {G}'!A$12</f>
        <v>354447.69</v>
      </c>
      <c r="K19" s="259">
        <f>'MF New Construction {G}'!A$14</f>
        <v>0</v>
      </c>
      <c r="L19" s="259">
        <f>SUM('MF New Construction {G}'!Q$5:Q$1000)</f>
        <v>354447.69</v>
      </c>
      <c r="M19" s="259"/>
      <c r="N19" s="260">
        <f>'MF New Construction {G}'!A$18</f>
        <v>637000.99</v>
      </c>
      <c r="O19" s="259">
        <f>'MF New Construction {G}'!A$20</f>
        <v>637000.99</v>
      </c>
      <c r="P19" s="259">
        <f>SUM('MF New Construction {G}'!R$5:R$1000)</f>
        <v>0</v>
      </c>
      <c r="Q19" s="261">
        <f t="shared" si="0"/>
        <v>595494.98924932221</v>
      </c>
      <c r="R19" s="261">
        <f t="shared" si="4"/>
        <v>595494.98924932221</v>
      </c>
      <c r="S19" s="259">
        <f>SUM('MF New Construction {G}'!AM$5:AM$1000)</f>
        <v>834706.72650542215</v>
      </c>
      <c r="T19" s="259">
        <f>SUM('MF New Construction {G}'!AD$5:AD$1000)</f>
        <v>0</v>
      </c>
      <c r="U19" s="133">
        <f t="shared" si="2"/>
        <v>1.4017023511107103</v>
      </c>
      <c r="V19" s="133">
        <f t="shared" si="3"/>
        <v>1.5418725862217817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322" customFormat="1" ht="12.75">
      <c r="A20" s="315"/>
      <c r="B20" s="316" t="s">
        <v>450</v>
      </c>
      <c r="C20" s="317"/>
      <c r="D20" s="316"/>
      <c r="E20" s="316"/>
      <c r="F20" s="317"/>
      <c r="G20" s="318"/>
      <c r="H20" s="319">
        <f>SUM(H8:H19,H6)</f>
        <v>3807387.6000000015</v>
      </c>
      <c r="I20" s="319">
        <f>SUM(I8:I19,I6)</f>
        <v>3007691.32</v>
      </c>
      <c r="J20" s="319">
        <f>SUM(J8:J19,J6)</f>
        <v>12020689.869999997</v>
      </c>
      <c r="K20" s="319">
        <f>SUM(K8:K19,K6)</f>
        <v>17608836.889999978</v>
      </c>
      <c r="L20" s="319">
        <f>SUM(L8:L19,L6)</f>
        <v>29629526.759999972</v>
      </c>
      <c r="M20" s="320"/>
      <c r="N20" s="319">
        <f t="shared" ref="N20:T20" si="5">SUM(N8:N19,N6)</f>
        <v>15401102.060000001</v>
      </c>
      <c r="O20" s="319">
        <f t="shared" si="5"/>
        <v>32637218.079999968</v>
      </c>
      <c r="P20" s="319">
        <f t="shared" si="5"/>
        <v>790.45000000000016</v>
      </c>
      <c r="Q20" s="319">
        <f t="shared" si="5"/>
        <v>14397590.034589136</v>
      </c>
      <c r="R20" s="319">
        <f t="shared" si="5"/>
        <v>30510627.35346356</v>
      </c>
      <c r="S20" s="319">
        <f t="shared" si="5"/>
        <v>38121462.253308222</v>
      </c>
      <c r="T20" s="319">
        <f t="shared" si="5"/>
        <v>2672965.9837343376</v>
      </c>
      <c r="U20" s="506">
        <f>S20/Q20</f>
        <v>2.6477668944402675</v>
      </c>
      <c r="V20" s="506">
        <f>(S20*1.1+T20)/R20</f>
        <v>1.4620012215943392</v>
      </c>
      <c r="W20" s="2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23" t="s">
        <v>451</v>
      </c>
      <c r="C21" s="504"/>
      <c r="D21" s="157"/>
      <c r="E21" s="316"/>
      <c r="F21" s="317"/>
      <c r="G21" s="318"/>
      <c r="H21" s="319">
        <f t="shared" ref="H21:T21" si="6">H20-H6</f>
        <v>3775875.9800000014</v>
      </c>
      <c r="I21" s="319">
        <f t="shared" si="6"/>
        <v>2859642.84</v>
      </c>
      <c r="J21" s="319">
        <f t="shared" si="6"/>
        <v>10888959.769999998</v>
      </c>
      <c r="K21" s="319">
        <f t="shared" si="6"/>
        <v>17523457.32999998</v>
      </c>
      <c r="L21" s="319">
        <f t="shared" si="6"/>
        <v>28412417.099999972</v>
      </c>
      <c r="M21" s="320">
        <f t="shared" si="6"/>
        <v>0</v>
      </c>
      <c r="N21" s="319">
        <f t="shared" si="6"/>
        <v>14146919.790000001</v>
      </c>
      <c r="O21" s="319">
        <f t="shared" si="6"/>
        <v>31272059.939999968</v>
      </c>
      <c r="P21" s="319">
        <f t="shared" si="6"/>
        <v>748.88000000000011</v>
      </c>
      <c r="Q21" s="319">
        <f t="shared" si="6"/>
        <v>13225128.344395624</v>
      </c>
      <c r="R21" s="319">
        <f t="shared" si="6"/>
        <v>29234420.809572749</v>
      </c>
      <c r="S21" s="319">
        <f t="shared" si="6"/>
        <v>37598837.046758786</v>
      </c>
      <c r="T21" s="319">
        <f t="shared" si="6"/>
        <v>2668878.0793000082</v>
      </c>
      <c r="U21" s="506">
        <f>S21/Q21</f>
        <v>2.8429846628060846</v>
      </c>
      <c r="V21" s="506">
        <f>(S21*1.1+T21)/R21</f>
        <v>1.50601919283853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21" customFormat="1" ht="12.75">
      <c r="B22" s="309" t="s">
        <v>141</v>
      </c>
      <c r="C22" s="501" t="s">
        <v>1812</v>
      </c>
      <c r="D22" s="508"/>
      <c r="E22" s="324"/>
      <c r="F22" s="144"/>
      <c r="G22" s="325"/>
      <c r="H22" s="258">
        <f>SUM(H23:H25)</f>
        <v>751108.7</v>
      </c>
      <c r="I22" s="259">
        <f t="shared" ref="I22:T22" si="7">SUM(I23:I25)</f>
        <v>870239.29</v>
      </c>
      <c r="J22" s="259">
        <f t="shared" si="7"/>
        <v>2571738.13</v>
      </c>
      <c r="K22" s="259">
        <f t="shared" si="7"/>
        <v>3695424.94</v>
      </c>
      <c r="L22" s="259">
        <f t="shared" si="7"/>
        <v>6267163.0700000003</v>
      </c>
      <c r="M22" s="259">
        <f t="shared" si="7"/>
        <v>0</v>
      </c>
      <c r="N22" s="260">
        <f>SUM(N23:N25)</f>
        <v>3445337.74</v>
      </c>
      <c r="O22" s="259">
        <f t="shared" si="7"/>
        <v>7137402.3600000003</v>
      </c>
      <c r="P22" s="259">
        <f t="shared" si="7"/>
        <v>0</v>
      </c>
      <c r="Q22" s="261">
        <f t="shared" si="7"/>
        <v>3220844.8536972981</v>
      </c>
      <c r="R22" s="261">
        <f t="shared" si="7"/>
        <v>6672340.2449284839</v>
      </c>
      <c r="S22" s="259">
        <f t="shared" si="7"/>
        <v>8052954.7906147335</v>
      </c>
      <c r="T22" s="259">
        <f t="shared" si="7"/>
        <v>0</v>
      </c>
      <c r="U22" s="133">
        <f>IFERROR(S22/Q22,0)</f>
        <v>2.5002616258807131</v>
      </c>
      <c r="V22" s="133">
        <f>IFERROR(((S22*1.1)+(T22))/R22,0)</f>
        <v>1.3276076975254958</v>
      </c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146" t="s">
        <v>384</v>
      </c>
      <c r="D23" s="508"/>
      <c r="E23" s="324"/>
      <c r="F23" s="144">
        <f>'CI Retrofit {G}'!A$16</f>
        <v>16.150254916816092</v>
      </c>
      <c r="G23" s="325" t="s">
        <v>365</v>
      </c>
      <c r="H23" s="258">
        <f>'CI Retrofit {G}'!A$10</f>
        <v>748263.7</v>
      </c>
      <c r="I23" s="259">
        <f>'CI Retrofit {G}'!A$8</f>
        <v>827013.10000000009</v>
      </c>
      <c r="J23" s="259">
        <f>'CI Retrofit {G}'!A$12</f>
        <v>2571738.13</v>
      </c>
      <c r="K23" s="259">
        <f>'CI Retrofit {G}'!A$14</f>
        <v>3695424.94</v>
      </c>
      <c r="L23" s="259">
        <f>SUM('CI Retrofit {G}'!Q$5:Q$1000)</f>
        <v>6267163.0700000003</v>
      </c>
      <c r="M23" s="259"/>
      <c r="N23" s="260">
        <f>'CI Retrofit {G}'!A$18</f>
        <v>3402111.5500000003</v>
      </c>
      <c r="O23" s="259">
        <f>'CI Retrofit {G}'!A$20</f>
        <v>7094176.1699999999</v>
      </c>
      <c r="P23" s="259">
        <f>SUM('CI Retrofit {G}'!R$5:R$1000)</f>
        <v>0</v>
      </c>
      <c r="Q23" s="261">
        <f t="shared" ref="Q23:Q28" si="8">N23/(1+ElecDiscountRate)^1</f>
        <v>3180435.2154809758</v>
      </c>
      <c r="R23" s="261">
        <f t="shared" ref="R23:R28" si="9">O23/(1+ElecDiscountRate)^1</f>
        <v>6631930.6067121616</v>
      </c>
      <c r="S23" s="259">
        <f>SUM('CI Retrofit {G}'!AM$5:AM$1000)</f>
        <v>8043016.8509555776</v>
      </c>
      <c r="T23" s="259">
        <f>SUM('CI Retrofit {G}'!AD$5:AD$1000)</f>
        <v>0</v>
      </c>
      <c r="U23" s="133">
        <f t="shared" ref="U23:U28" si="10">IFERROR(S23/Q23,0)</f>
        <v>2.5289044756534165</v>
      </c>
      <c r="V23" s="133">
        <f t="shared" ref="V23:V28" si="11">IFERROR(((S23*1.1)+(T23))/R23,0)</f>
        <v>1.3340487198549371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1811</v>
      </c>
      <c r="D24" s="508"/>
      <c r="E24" s="324"/>
      <c r="F24" s="144">
        <f>'CBA {G}'!A$16</f>
        <v>5</v>
      </c>
      <c r="G24" s="325" t="s">
        <v>365</v>
      </c>
      <c r="H24" s="258">
        <f>'CBA {G}'!A$10</f>
        <v>2845</v>
      </c>
      <c r="I24" s="259">
        <f>'CBA {G}'!A$8</f>
        <v>42645</v>
      </c>
      <c r="J24" s="259">
        <f>'CBA {G}'!A$12</f>
        <v>0</v>
      </c>
      <c r="K24" s="259">
        <f>'CBA {G}'!A$14</f>
        <v>0</v>
      </c>
      <c r="L24" s="259">
        <f>SUM('CBA {G}'!Q$5:Q$1000)</f>
        <v>0</v>
      </c>
      <c r="M24" s="259"/>
      <c r="N24" s="260">
        <f>'CBA {G}'!A$18</f>
        <v>42645</v>
      </c>
      <c r="O24" s="259">
        <f>'CBA {G}'!A$20</f>
        <v>42645</v>
      </c>
      <c r="P24" s="259">
        <f>SUM('CBA {G}'!R$5:R$1000)</f>
        <v>0</v>
      </c>
      <c r="Q24" s="261">
        <f t="shared" si="8"/>
        <v>39866.317659156768</v>
      </c>
      <c r="R24" s="261">
        <f t="shared" si="9"/>
        <v>39866.317659156768</v>
      </c>
      <c r="S24" s="259">
        <f>SUM('CBA {G}'!AM$5:AM$1000)</f>
        <v>9937.9396591560362</v>
      </c>
      <c r="T24" s="259">
        <f>SUM('CBA {G}'!AD$5:AD$1000)</f>
        <v>0</v>
      </c>
      <c r="U24" s="133">
        <f>IFERROR(S24/Q24,0)</f>
        <v>0.24928160519168047</v>
      </c>
      <c r="V24" s="133">
        <f>IFERROR(((S24*1.1)+(T24))/R24,0)</f>
        <v>0.27420976571084849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1805</v>
      </c>
      <c r="D25" s="508"/>
      <c r="E25" s="324"/>
      <c r="F25" s="144">
        <f>IFERROR('Industrial EM {G}'!A$16,0)</f>
        <v>0</v>
      </c>
      <c r="G25" s="325" t="s">
        <v>365</v>
      </c>
      <c r="H25" s="258">
        <f>'Industrial EM {G}'!A$10</f>
        <v>0</v>
      </c>
      <c r="I25" s="259">
        <f>'Industrial EM {G}'!A$8</f>
        <v>581.18999999999994</v>
      </c>
      <c r="J25" s="259">
        <f>'Industrial EM {G}'!A$12</f>
        <v>0</v>
      </c>
      <c r="K25" s="259">
        <f>'Industrial EM {G}'!A$14</f>
        <v>0</v>
      </c>
      <c r="L25" s="259">
        <f>SUM('Industrial EM {G}'!Q$5:Q$1000)</f>
        <v>0</v>
      </c>
      <c r="M25" s="259"/>
      <c r="N25" s="260">
        <f>'Industrial EM {G}'!A$18</f>
        <v>581.18999999999994</v>
      </c>
      <c r="O25" s="259">
        <f>'Industrial EM {G}'!A$20</f>
        <v>581.18999999999994</v>
      </c>
      <c r="P25" s="259">
        <f>SUM('Industrial EM {G}'!R$5:R$1000)</f>
        <v>0</v>
      </c>
      <c r="Q25" s="261">
        <f t="shared" si="8"/>
        <v>543.32055716556033</v>
      </c>
      <c r="R25" s="261">
        <f t="shared" si="9"/>
        <v>543.32055716556033</v>
      </c>
      <c r="S25" s="259">
        <f>SUM('Industrial EM {G}'!AM$5:AM$1000)</f>
        <v>0</v>
      </c>
      <c r="T25" s="259">
        <f>SUM('Industrial EM {G}'!AD$5:AD$1000)</f>
        <v>0</v>
      </c>
      <c r="U25" s="133">
        <f>IFERROR(S25/Q25,0)</f>
        <v>0</v>
      </c>
      <c r="V25" s="133">
        <f>IFERROR(((S25*1.1)+(T25))/R25,0)</f>
        <v>0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123</v>
      </c>
      <c r="C26" s="174" t="s">
        <v>385</v>
      </c>
      <c r="D26" s="174"/>
      <c r="E26" s="324"/>
      <c r="F26" s="144">
        <f>'CI New Construction {G}'!A$16</f>
        <v>15.797833046047772</v>
      </c>
      <c r="G26" s="325" t="s">
        <v>365</v>
      </c>
      <c r="H26" s="258">
        <f>'CI New Construction {G}'!A$10</f>
        <v>85281</v>
      </c>
      <c r="I26" s="259">
        <f>'CI New Construction {G}'!A$8</f>
        <v>119245.34999999998</v>
      </c>
      <c r="J26" s="259">
        <f>'CI New Construction {G}'!A$12</f>
        <v>429718</v>
      </c>
      <c r="K26" s="259">
        <f>'CI New Construction {G}'!A$14</f>
        <v>62574</v>
      </c>
      <c r="L26" s="259">
        <f>SUM('CI New Construction {G}'!Q$5:Q$1000)</f>
        <v>492292</v>
      </c>
      <c r="M26" s="259"/>
      <c r="N26" s="260">
        <f>'CI New Construction {G}'!A$18</f>
        <v>548963.35</v>
      </c>
      <c r="O26" s="259">
        <f>'CI New Construction {G}'!A$20</f>
        <v>611537.35</v>
      </c>
      <c r="P26" s="259">
        <f>SUM('CI New Construction {G}'!R$5:R$1000)</f>
        <v>0</v>
      </c>
      <c r="Q26" s="261">
        <f t="shared" si="8"/>
        <v>513193.74591006816</v>
      </c>
      <c r="R26" s="261">
        <f t="shared" si="9"/>
        <v>571690.52070674009</v>
      </c>
      <c r="S26" s="259">
        <f>SUM('CI New Construction {G}'!AM$5:AM$1000)</f>
        <v>908682.20886549191</v>
      </c>
      <c r="T26" s="259">
        <f>SUM('CI New Construction {G}'!AD$5:AD$1000)</f>
        <v>0</v>
      </c>
      <c r="U26" s="133">
        <f t="shared" si="10"/>
        <v>1.7706416263005842</v>
      </c>
      <c r="V26" s="133">
        <f t="shared" si="11"/>
        <v>1.7484117604685283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112</v>
      </c>
      <c r="C27" s="174" t="s">
        <v>386</v>
      </c>
      <c r="D27" s="174"/>
      <c r="E27" s="324"/>
      <c r="F27" s="144">
        <f>'Com SEM {G}'!A$16</f>
        <v>2.9999999999999996</v>
      </c>
      <c r="G27" s="325" t="s">
        <v>452</v>
      </c>
      <c r="H27" s="258">
        <f>'Com SEM {G}'!A$10</f>
        <v>830954</v>
      </c>
      <c r="I27" s="259">
        <f>'Com SEM {G}'!A$8</f>
        <v>766385.58000000019</v>
      </c>
      <c r="J27" s="259">
        <f>'Com SEM {G}'!A$12</f>
        <v>143240</v>
      </c>
      <c r="K27" s="259">
        <f>'Com SEM {G}'!A$14</f>
        <v>94939</v>
      </c>
      <c r="L27" s="259">
        <f>SUM('Com SEM {G}'!Q$5:Q$1000)</f>
        <v>238179</v>
      </c>
      <c r="M27" s="259"/>
      <c r="N27" s="260">
        <f>'Com SEM {G}'!A$18</f>
        <v>1026378.5800000002</v>
      </c>
      <c r="O27" s="259">
        <f>'Com SEM {G}'!A$20</f>
        <v>1004564.5800000002</v>
      </c>
      <c r="P27" s="259">
        <f>SUM('Com SEM {G}'!R$5:R$1000)</f>
        <v>0</v>
      </c>
      <c r="Q27" s="261">
        <f t="shared" si="8"/>
        <v>959501.33682340849</v>
      </c>
      <c r="R27" s="261">
        <f t="shared" si="9"/>
        <v>939108.70337477804</v>
      </c>
      <c r="S27" s="259">
        <f>SUM('Com SEM {G}'!AM$5:AM$1000)</f>
        <v>2033227.4579301483</v>
      </c>
      <c r="T27" s="259">
        <f>SUM('Com SEM {G}'!AD$5:AD$1000)</f>
        <v>0</v>
      </c>
      <c r="U27" s="133">
        <f t="shared" si="10"/>
        <v>2.1190459876392582</v>
      </c>
      <c r="V27" s="133">
        <f t="shared" si="11"/>
        <v>2.3815669002809829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>
      <c r="B28" s="313" t="s">
        <v>112</v>
      </c>
      <c r="C28" s="174" t="s">
        <v>387</v>
      </c>
      <c r="D28" s="174"/>
      <c r="E28" s="324"/>
      <c r="F28" s="144">
        <f>IFERROR('P4P {G}'!A$16,0)</f>
        <v>0</v>
      </c>
      <c r="G28" s="325" t="s">
        <v>452</v>
      </c>
      <c r="H28" s="258">
        <f>'P4P {G}'!A$10</f>
        <v>0</v>
      </c>
      <c r="I28" s="259">
        <f>'P4P {G}'!A$8</f>
        <v>2854.83</v>
      </c>
      <c r="J28" s="259">
        <f>'P4P {G}'!A$12</f>
        <v>0</v>
      </c>
      <c r="K28" s="259">
        <f>'P4P {G}'!A$14</f>
        <v>0</v>
      </c>
      <c r="L28" s="259">
        <f>SUM('P4P {G}'!Q$5:Q$1000)</f>
        <v>0</v>
      </c>
      <c r="M28" s="259"/>
      <c r="N28" s="260">
        <f>'P4P {G}'!A$18</f>
        <v>2854.83</v>
      </c>
      <c r="O28" s="259">
        <f>'P4P {G}'!A$20</f>
        <v>2854.83</v>
      </c>
      <c r="P28" s="259">
        <f>SUM('P4P {G}'!R$5:R$1000)</f>
        <v>0</v>
      </c>
      <c r="Q28" s="261">
        <f t="shared" si="8"/>
        <v>2668.8136860802092</v>
      </c>
      <c r="R28" s="261">
        <f t="shared" si="9"/>
        <v>2668.8136860802092</v>
      </c>
      <c r="S28" s="259">
        <f>SUM('P4P {G}'!AM$5:AM$1000)</f>
        <v>0</v>
      </c>
      <c r="T28" s="259">
        <f>SUM('P4P {G}'!AD$5:AD$1000)</f>
        <v>0</v>
      </c>
      <c r="U28" s="133">
        <f t="shared" si="10"/>
        <v>0</v>
      </c>
      <c r="V28" s="133">
        <f t="shared" si="11"/>
        <v>0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05" t="s">
        <v>31</v>
      </c>
      <c r="C29" s="503" t="s">
        <v>453</v>
      </c>
      <c r="D29" s="306"/>
      <c r="E29" s="326"/>
      <c r="F29" s="305"/>
      <c r="G29" s="305"/>
      <c r="H29" s="327">
        <f>SUM(H30:H33)</f>
        <v>1298846.7000000002</v>
      </c>
      <c r="I29" s="328">
        <f>SUM(I30:I33)</f>
        <v>1557540.9500000004</v>
      </c>
      <c r="J29" s="305">
        <f>SUM(J30:J33)</f>
        <v>2070437.3699999999</v>
      </c>
      <c r="K29" s="327">
        <f>SUM(K30:K33)</f>
        <v>735619.82999999891</v>
      </c>
      <c r="L29" s="327">
        <f>SUM(L30:L33)</f>
        <v>2806057.1999999988</v>
      </c>
      <c r="M29" s="305"/>
      <c r="N29" s="327">
        <f t="shared" ref="N29:T29" si="12">SUM(N30:N33)</f>
        <v>5311744.7800000012</v>
      </c>
      <c r="O29" s="305">
        <f t="shared" si="12"/>
        <v>4363598.1499999985</v>
      </c>
      <c r="P29" s="330">
        <f>SUM(P30:P33)</f>
        <v>75889.59</v>
      </c>
      <c r="Q29" s="329">
        <f t="shared" si="12"/>
        <v>4965639.693371973</v>
      </c>
      <c r="R29" s="329">
        <f t="shared" si="12"/>
        <v>4079272.8335047192</v>
      </c>
      <c r="S29" s="305">
        <f t="shared" si="12"/>
        <v>10450345.247365423</v>
      </c>
      <c r="T29" s="330">
        <f t="shared" si="12"/>
        <v>4526507.7925468897</v>
      </c>
      <c r="U29" s="505">
        <f>S29/Q29</f>
        <v>2.1045315191342446</v>
      </c>
      <c r="V29" s="505">
        <f>(S29*1.1+T29)/R29</f>
        <v>3.9276332372413552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ht="13.5" customHeight="1">
      <c r="A30" s="331"/>
      <c r="B30" s="309" t="s">
        <v>31</v>
      </c>
      <c r="C30" s="146" t="s">
        <v>454</v>
      </c>
      <c r="D30" s="146"/>
      <c r="E30" s="324"/>
      <c r="F30" s="144">
        <f>'Commercial Kitchen Laundry {G}'!A$16</f>
        <v>12.10154126566708</v>
      </c>
      <c r="G30" s="325" t="s">
        <v>452</v>
      </c>
      <c r="H30" s="258">
        <f>'Commercial Kitchen Laundry {G}'!A$10</f>
        <v>232053.44</v>
      </c>
      <c r="I30" s="259">
        <f>'Commercial Kitchen Laundry {G}'!A$8</f>
        <v>774722.0900000002</v>
      </c>
      <c r="J30" s="259">
        <f>'Commercial Kitchen Laundry {G}'!A$12</f>
        <v>515935</v>
      </c>
      <c r="K30" s="259">
        <f>'Commercial Kitchen Laundry {G}'!A$14</f>
        <v>37184.379999999997</v>
      </c>
      <c r="L30" s="259">
        <f>SUM('Commercial Kitchen Laundry {G}'!Q$5:Q$999)</f>
        <v>553119.38</v>
      </c>
      <c r="M30" s="259"/>
      <c r="N30" s="260">
        <f>'Commercial Kitchen Laundry {G}'!A$18</f>
        <v>1549528.2000000002</v>
      </c>
      <c r="O30" s="259">
        <f>'Commercial Kitchen Laundry {G}'!A$20</f>
        <v>1327841.4700000002</v>
      </c>
      <c r="P30" s="259">
        <f>SUM('Commercial Kitchen Laundry {G}'!R$5:R$999)</f>
        <v>75756.899999999994</v>
      </c>
      <c r="Q30" s="261">
        <f t="shared" ref="Q30:R33" si="13">N30/(1+ElecDiscountRate)^1</f>
        <v>1448563.3355146304</v>
      </c>
      <c r="R30" s="261">
        <f t="shared" si="13"/>
        <v>1241321.3704777041</v>
      </c>
      <c r="S30" s="259">
        <f>SUM('Commercial Kitchen Laundry {G}'!AM$5:AM$999)</f>
        <v>1946495.534593967</v>
      </c>
      <c r="T30" s="259">
        <f>SUM('Commercial Kitchen Laundry {G}'!AD$5:AD$999)</f>
        <v>4519041.7701335885</v>
      </c>
      <c r="U30" s="133">
        <f>IFERROR(S30/Q30,0)</f>
        <v>1.3437420973398009</v>
      </c>
      <c r="V30" s="133">
        <f>IFERROR(((S30*1.1)+(T30))/R30,0)</f>
        <v>5.3654009482039919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2.75">
      <c r="A31" s="331"/>
      <c r="B31" s="309" t="s">
        <v>31</v>
      </c>
      <c r="C31" s="146" t="s">
        <v>455</v>
      </c>
      <c r="D31" s="146"/>
      <c r="E31" s="324"/>
      <c r="F31" s="144">
        <f>'Commercial HVAC {G}'!A$16</f>
        <v>13.870777820667282</v>
      </c>
      <c r="G31" s="325" t="s">
        <v>365</v>
      </c>
      <c r="H31" s="258">
        <f>'Commercial HVAC {G}'!A$10</f>
        <v>15388.380000000001</v>
      </c>
      <c r="I31" s="259">
        <f>'Commercial HVAC {G}'!A$8</f>
        <v>49042.77</v>
      </c>
      <c r="J31" s="259">
        <f>'Commercial HVAC {G}'!A$12</f>
        <v>2250</v>
      </c>
      <c r="K31" s="259">
        <f>'Commercial HVAC {G}'!A$14</f>
        <v>15205.949999999999</v>
      </c>
      <c r="L31" s="259">
        <f>SUM('Commercial HVAC {G}'!Q$5:Q$999)</f>
        <v>17455.949999999997</v>
      </c>
      <c r="M31" s="259"/>
      <c r="N31" s="260">
        <f>'Commercial HVAC {G}'!A$18</f>
        <v>51292.77</v>
      </c>
      <c r="O31" s="259">
        <f>'Commercial HVAC {G}'!A$20</f>
        <v>66498.720000000001</v>
      </c>
      <c r="P31" s="259">
        <f>SUM('Commercial HVAC {G}'!R$5:R$999)</f>
        <v>0</v>
      </c>
      <c r="Q31" s="261">
        <f t="shared" si="13"/>
        <v>47950.612321211549</v>
      </c>
      <c r="R31" s="261">
        <f t="shared" si="13"/>
        <v>62165.766102645597</v>
      </c>
      <c r="S31" s="259">
        <f>SUM('Commercial HVAC {G}'!AM$5:AM$999)</f>
        <v>142894.6384086624</v>
      </c>
      <c r="T31" s="259">
        <f>SUM('Commercial HVAC {G}'!AD$5:AD$999)</f>
        <v>0</v>
      </c>
      <c r="U31" s="133">
        <f>IFERROR(S31/Q31,0)</f>
        <v>2.9800378241562346</v>
      </c>
      <c r="V31" s="133">
        <f>IFERROR(((S31*1.1)+(T31))/R31,0)</f>
        <v>2.5284672272837856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394</v>
      </c>
      <c r="D32" s="146"/>
      <c r="E32" s="324"/>
      <c r="F32" s="144">
        <f>'Commercial Midstream {G}'!A$16</f>
        <v>11.375947288594819</v>
      </c>
      <c r="G32" s="325" t="s">
        <v>365</v>
      </c>
      <c r="H32" s="258">
        <f>'Commercial Midstream {G}'!A$10</f>
        <v>1049542.8800000001</v>
      </c>
      <c r="I32" s="259">
        <f>'Commercial Midstream {G}'!A$8</f>
        <v>722319.02</v>
      </c>
      <c r="J32" s="259">
        <f>'Commercial Midstream {G}'!A$12</f>
        <v>1546791.3499999999</v>
      </c>
      <c r="K32" s="259">
        <f>'Commercial Midstream {G}'!A$14</f>
        <v>662109.49999999895</v>
      </c>
      <c r="L32" s="259">
        <f>SUM('Commercial Midstream {G}'!Q$5:Q$1000)</f>
        <v>2208900.8499999987</v>
      </c>
      <c r="M32" s="259"/>
      <c r="N32" s="260">
        <f>'Commercial Midstream {G}'!A$18</f>
        <v>3676313.24</v>
      </c>
      <c r="O32" s="259">
        <f>'Commercial Midstream {G}'!A$20</f>
        <v>2931219.8699999987</v>
      </c>
      <c r="P32" s="259">
        <f>SUM('Commercial Midstream {G}'!R$5:R$1000)</f>
        <v>0</v>
      </c>
      <c r="Q32" s="261">
        <f t="shared" si="13"/>
        <v>3436770.3468262129</v>
      </c>
      <c r="R32" s="261">
        <f t="shared" si="13"/>
        <v>2740226.1101243324</v>
      </c>
      <c r="S32" s="259">
        <f>SUM('Commercial Midstream {G}'!AM$5:AM$1000)</f>
        <v>8343237.3919532225</v>
      </c>
      <c r="T32" s="259">
        <f>SUM('Commercial Midstream {G}'!AD$5:AD$1000)</f>
        <v>0</v>
      </c>
      <c r="U32" s="133">
        <f>IFERROR(S32/Q32,0)</f>
        <v>2.4276389022205196</v>
      </c>
      <c r="V32" s="133">
        <f>IFERROR(((S32*1.1)+(T32))/R32,0)</f>
        <v>3.3491984830157433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395</v>
      </c>
      <c r="D33" s="146"/>
      <c r="E33" s="324"/>
      <c r="F33" s="144">
        <f>'SBDI {G}'!A$16</f>
        <v>14.635875402792694</v>
      </c>
      <c r="G33" s="325" t="s">
        <v>261</v>
      </c>
      <c r="H33" s="258">
        <f>'SBDI {G}'!A$10</f>
        <v>1862</v>
      </c>
      <c r="I33" s="259">
        <f>'SBDI {G}'!A$8</f>
        <v>11457.07</v>
      </c>
      <c r="J33" s="259">
        <f>'SBDI {G}'!A$12</f>
        <v>5461.02</v>
      </c>
      <c r="K33" s="259">
        <f>'SBDI {G}'!A$14</f>
        <v>21120</v>
      </c>
      <c r="L33" s="259">
        <f>SUM('SBDI {G}'!Q$5:Q$999)</f>
        <v>26581.02</v>
      </c>
      <c r="M33" s="259"/>
      <c r="N33" s="260">
        <f>'SBDI {G}'!A$18</f>
        <v>34610.57</v>
      </c>
      <c r="O33" s="259">
        <f>'SBDI {G}'!A$20</f>
        <v>38038.089999999997</v>
      </c>
      <c r="P33" s="259">
        <f>SUM('SBDI {G}'!R$5:R$999)</f>
        <v>132.69</v>
      </c>
      <c r="Q33" s="261">
        <f t="shared" si="13"/>
        <v>32355.398709918667</v>
      </c>
      <c r="R33" s="261">
        <f t="shared" si="13"/>
        <v>35559.586800037388</v>
      </c>
      <c r="S33" s="259">
        <f>SUM('SBDI {G}'!AM$5:AM$999)</f>
        <v>17717.6824095704</v>
      </c>
      <c r="T33" s="259">
        <f>SUM('SBDI {G}'!AD$5:AD$999)</f>
        <v>7466.022413300997</v>
      </c>
      <c r="U33" s="133">
        <f>IFERROR(S33/Q33,0)</f>
        <v>0.54759586084590506</v>
      </c>
      <c r="V33" s="133">
        <f>IFERROR(((S33*1.1)+(T33))/R33,0)</f>
        <v>0.75803673466194765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B34" s="316" t="s">
        <v>456</v>
      </c>
      <c r="C34" s="317"/>
      <c r="D34" s="316"/>
      <c r="E34" s="316"/>
      <c r="F34" s="332"/>
      <c r="G34" s="332"/>
      <c r="H34" s="333">
        <f>SUM(H23:H28,H30:H33)</f>
        <v>2966190.4</v>
      </c>
      <c r="I34" s="334">
        <f>SUM(I23:I28,I30:I33)</f>
        <v>3316266.0000000005</v>
      </c>
      <c r="J34" s="334">
        <f>SUM(J23:J28,J30:J33)</f>
        <v>5215133.4999999991</v>
      </c>
      <c r="K34" s="334">
        <f>SUM(K23:K28,K30:K33)</f>
        <v>4588557.7699999986</v>
      </c>
      <c r="L34" s="334">
        <f>SUM(L23:L28,L30:L33)</f>
        <v>9803691.2699999996</v>
      </c>
      <c r="M34" s="335"/>
      <c r="N34" s="333">
        <f>SUM(N23:N28,N30:N33)</f>
        <v>10335279.280000001</v>
      </c>
      <c r="O34" s="334">
        <f>SUM(O23:O28,O30:O33)</f>
        <v>13119957.270000001</v>
      </c>
      <c r="P34" s="334">
        <f>SUM(P23:P27,P30:P33)</f>
        <v>75889.59</v>
      </c>
      <c r="Q34" s="334">
        <f>SUM(Q23:Q28,Q30:Q33)</f>
        <v>9661848.4434888288</v>
      </c>
      <c r="R34" s="334">
        <f>SUM(R23:R28,R30:R33)</f>
        <v>12265081.116200801</v>
      </c>
      <c r="S34" s="334">
        <f>SUM(S23:S28,S30:S33)</f>
        <v>21445209.704775795</v>
      </c>
      <c r="T34" s="334">
        <f>SUM(T23:T27,T30:T33)</f>
        <v>4526507.7925468897</v>
      </c>
      <c r="U34" s="506">
        <f>S34/Q34</f>
        <v>2.2195762881405821</v>
      </c>
      <c r="V34" s="506">
        <f>(S34*1.1+T34)/R34</f>
        <v>2.2923809636009547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322" customFormat="1">
      <c r="A35" s="308"/>
      <c r="B35" s="309" t="s">
        <v>457</v>
      </c>
      <c r="C35" s="336" t="s">
        <v>458</v>
      </c>
      <c r="D35" s="336"/>
      <c r="E35" s="337"/>
      <c r="F35" s="325">
        <v>5</v>
      </c>
      <c r="G35" s="338" t="s">
        <v>256</v>
      </c>
      <c r="H35" s="339">
        <f>'G245 NEEA GAS'!A$10</f>
        <v>0</v>
      </c>
      <c r="I35" s="259">
        <f>'G245 NEEA GAS'!A$8</f>
        <v>731802.91999999993</v>
      </c>
      <c r="J35" s="259">
        <f>'G245 NEEA GAS'!A$12</f>
        <v>0</v>
      </c>
      <c r="K35" s="259">
        <f>'G245 NEEA GAS'!A$14</f>
        <v>0</v>
      </c>
      <c r="L35" s="259">
        <f>SUM('G245 NEEA GAS'!Q$5:Q$999)</f>
        <v>0</v>
      </c>
      <c r="M35" s="342"/>
      <c r="N35" s="260">
        <f>'G245 NEEA GAS'!A$18</f>
        <v>1563521.19</v>
      </c>
      <c r="O35" s="259">
        <f>'G245 NEEA GAS'!A$20</f>
        <v>731802.91999999993</v>
      </c>
      <c r="P35" s="259">
        <f>SUM('SBDI {G}'!R$5:R$999)</f>
        <v>132.69</v>
      </c>
      <c r="Q35" s="261">
        <f>N35/(1+ElecDiscountRate)^1</f>
        <v>1461644.5638964195</v>
      </c>
      <c r="R35" s="261">
        <f>O35/(1+ElecDiscountRate)^1</f>
        <v>684119.77189866302</v>
      </c>
      <c r="S35" s="259">
        <f>SUM('G245 NEEA GAS'!AM$5:AM$999)</f>
        <v>0</v>
      </c>
      <c r="T35" s="259">
        <f>SUM('G245 NEEA GAS'!AD$5:AD$999)</f>
        <v>0</v>
      </c>
      <c r="U35" s="507">
        <f>S35/Q35</f>
        <v>0</v>
      </c>
      <c r="V35" s="507">
        <f>((S35*1.1)+(T35))/R35</f>
        <v>0</v>
      </c>
      <c r="W35" s="21"/>
      <c r="X35" s="161">
        <v>18230660</v>
      </c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13" t="s">
        <v>177</v>
      </c>
      <c r="C36" s="336" t="s">
        <v>406</v>
      </c>
      <c r="D36" s="336"/>
      <c r="E36" s="337"/>
      <c r="F36" s="325">
        <f>IFERROR('TDSM {G}'!A$16,0)</f>
        <v>0</v>
      </c>
      <c r="G36" s="338" t="s">
        <v>261</v>
      </c>
      <c r="H36" s="339">
        <f>'TDSM {G}'!A$10</f>
        <v>0</v>
      </c>
      <c r="I36" s="223">
        <f>'TDSM {G}'!A$8</f>
        <v>10978.16</v>
      </c>
      <c r="J36" s="223">
        <f>'TDSM {G}'!A$12</f>
        <v>0</v>
      </c>
      <c r="K36" s="340">
        <f>'TDSM {G}'!A$14</f>
        <v>0</v>
      </c>
      <c r="L36" s="341">
        <f>SUM('TDSM {G}'!Q$5:Q$999)</f>
        <v>0</v>
      </c>
      <c r="M36" s="342"/>
      <c r="N36" s="343">
        <f>'TDSM {G}'!A$18</f>
        <v>10978.16</v>
      </c>
      <c r="O36" s="342">
        <f>'TDSM {G}'!A$20</f>
        <v>10978.16</v>
      </c>
      <c r="P36" s="345">
        <f>SUM('TDSM {G}'!R$5:R$999)</f>
        <v>0</v>
      </c>
      <c r="Q36" s="344">
        <f>N36/(1+ElecDiscountRate)^1</f>
        <v>10262.840048611759</v>
      </c>
      <c r="R36" s="344">
        <f>O36/(1+ElecDiscountRate)^1</f>
        <v>10262.840048611759</v>
      </c>
      <c r="S36" s="344">
        <f>SUM('TDSM {G}'!AM$5:AM$999)</f>
        <v>0</v>
      </c>
      <c r="T36" s="345">
        <f>SUM('TDSM {G}'!AD$5:AD$999)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18230218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21" customFormat="1" ht="12.75">
      <c r="B37" s="316" t="s">
        <v>459</v>
      </c>
      <c r="C37" s="317"/>
      <c r="D37" s="316"/>
      <c r="E37" s="316"/>
      <c r="F37" s="332"/>
      <c r="G37" s="332"/>
      <c r="H37" s="346">
        <v>0</v>
      </c>
      <c r="I37" s="347">
        <f t="shared" ref="I37:N37" si="14">SUM(I35:I36)</f>
        <v>742781.08</v>
      </c>
      <c r="J37" s="347">
        <f t="shared" si="14"/>
        <v>0</v>
      </c>
      <c r="K37" s="347">
        <f t="shared" si="14"/>
        <v>0</v>
      </c>
      <c r="L37" s="347">
        <f t="shared" si="14"/>
        <v>0</v>
      </c>
      <c r="M37" s="347">
        <f t="shared" si="14"/>
        <v>0</v>
      </c>
      <c r="N37" s="347">
        <f t="shared" si="14"/>
        <v>1574499.3499999999</v>
      </c>
      <c r="O37" s="347">
        <f t="shared" ref="O37:T37" si="15">SUM(O35:O36)</f>
        <v>742781.08</v>
      </c>
      <c r="P37" s="347">
        <f>SUM(P35:P36)</f>
        <v>132.69</v>
      </c>
      <c r="Q37" s="347">
        <f t="shared" si="15"/>
        <v>1471907.4039450313</v>
      </c>
      <c r="R37" s="347">
        <f t="shared" si="15"/>
        <v>694382.61194727477</v>
      </c>
      <c r="S37" s="347">
        <f t="shared" si="15"/>
        <v>0</v>
      </c>
      <c r="T37" s="347">
        <f t="shared" si="15"/>
        <v>0</v>
      </c>
      <c r="U37" s="506">
        <f>S37/Q37</f>
        <v>0</v>
      </c>
      <c r="V37" s="506">
        <f>(S37*1.1+T37)/R37</f>
        <v>0</v>
      </c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>
      <c r="A38" s="308"/>
      <c r="B38" s="309" t="s">
        <v>323</v>
      </c>
      <c r="C38" s="131" t="s">
        <v>399</v>
      </c>
      <c r="D38" s="348"/>
      <c r="E38" s="337"/>
      <c r="F38" s="170"/>
      <c r="G38" s="325"/>
      <c r="H38" s="325">
        <f>'G249 Res Gas Pilot'!A10</f>
        <v>10200</v>
      </c>
      <c r="I38" s="223">
        <f>'G249 Res Gas Pilot'!A8</f>
        <v>54570.320000000007</v>
      </c>
      <c r="J38" s="223">
        <v>0</v>
      </c>
      <c r="K38" s="223">
        <v>0</v>
      </c>
      <c r="L38" s="349">
        <v>0</v>
      </c>
      <c r="M38" s="342"/>
      <c r="N38" s="350">
        <f>'G249 Res Gas Pilot'!A$18</f>
        <v>74400.320000000007</v>
      </c>
      <c r="O38" s="342">
        <f>'G249 Res Gas Pilot'!A$20</f>
        <v>54570.320000000007</v>
      </c>
      <c r="P38" s="259">
        <f>SUM('G249 Res Gas Pilot'!R$5:R$1000)</f>
        <v>0</v>
      </c>
      <c r="Q38" s="344">
        <f>N38/(1+GasDiscountRate)^1</f>
        <v>69552.510049546603</v>
      </c>
      <c r="R38" s="344">
        <f>O38/(1+GasDiscountRate)^1</f>
        <v>51014.602224922877</v>
      </c>
      <c r="S38" s="259">
        <f>SUM('G249 Res Gas Pilot'!AM$5:AM$1000)</f>
        <v>40979.779671820113</v>
      </c>
      <c r="T38" s="259">
        <f>SUM('G249 Res Gas Pilot'!AD$5:AD$1000)</f>
        <v>0</v>
      </c>
      <c r="U38" s="507">
        <f>IFERROR(S38/Q38,0)</f>
        <v>0.58919195932149182</v>
      </c>
      <c r="V38" s="507">
        <f>IFERROR(((S38*1.1)+(T38))/R38,0)</f>
        <v>0.88362460301571577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352" customFormat="1">
      <c r="A39" s="21"/>
      <c r="B39" s="313" t="s">
        <v>323</v>
      </c>
      <c r="C39" s="131" t="s">
        <v>460</v>
      </c>
      <c r="D39" s="348"/>
      <c r="E39" s="337"/>
      <c r="F39" s="170"/>
      <c r="G39" s="351"/>
      <c r="H39" s="325">
        <f>'G249 Com Gas Pilot'!A10</f>
        <v>0</v>
      </c>
      <c r="I39" s="223">
        <f>'G249 Com Gas Pilot'!A8</f>
        <v>828.63</v>
      </c>
      <c r="J39" s="223">
        <v>0</v>
      </c>
      <c r="K39" s="223">
        <v>0</v>
      </c>
      <c r="L39" s="349">
        <v>0</v>
      </c>
      <c r="M39" s="342"/>
      <c r="N39" s="350">
        <f>'G249 Com Gas Pilot'!A$18</f>
        <v>828.63</v>
      </c>
      <c r="O39" s="342">
        <f>'G249 Com Gas Pilot'!A$20</f>
        <v>828.63</v>
      </c>
      <c r="P39" s="259">
        <f>SUM('G249 Com Gas Pilot'!R$5:R$1000)</f>
        <v>0</v>
      </c>
      <c r="Q39" s="344">
        <f>N39/(1+GasDiscountRate)^1</f>
        <v>774.63774890156117</v>
      </c>
      <c r="R39" s="344">
        <f>O39/(1+GasDiscountRate)^1</f>
        <v>774.63774890156117</v>
      </c>
      <c r="S39" s="259">
        <f>SUM('G249 Com Gas Pilot'!AM$5:AM$1000)</f>
        <v>0</v>
      </c>
      <c r="T39" s="259">
        <f>SUM('G249 Com Gas Pilot'!AD$5:AD$1000)</f>
        <v>0</v>
      </c>
      <c r="U39" s="507">
        <f>IFERROR(S39/Q39,0)</f>
        <v>0</v>
      </c>
      <c r="V39" s="507">
        <f>IFERROR(((S39*1.1)+(T39))/R39,0)</f>
        <v>0</v>
      </c>
      <c r="W39" s="2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21" customFormat="1" ht="12.75">
      <c r="B40" s="316" t="s">
        <v>401</v>
      </c>
      <c r="C40" s="316"/>
      <c r="D40" s="316"/>
      <c r="E40" s="353"/>
      <c r="F40" s="316"/>
      <c r="G40" s="332"/>
      <c r="H40" s="334">
        <f>SUM(H38:H39)</f>
        <v>10200</v>
      </c>
      <c r="I40" s="354">
        <f t="shared" ref="I40:T40" si="16">SUM(I38:I39)</f>
        <v>55398.950000000004</v>
      </c>
      <c r="J40" s="355">
        <f t="shared" si="16"/>
        <v>0</v>
      </c>
      <c r="K40" s="355">
        <f t="shared" si="16"/>
        <v>0</v>
      </c>
      <c r="L40" s="355">
        <f t="shared" si="16"/>
        <v>0</v>
      </c>
      <c r="M40" s="355">
        <f t="shared" si="16"/>
        <v>0</v>
      </c>
      <c r="N40" s="356">
        <f t="shared" si="16"/>
        <v>75228.950000000012</v>
      </c>
      <c r="O40" s="354">
        <f t="shared" si="16"/>
        <v>55398.950000000004</v>
      </c>
      <c r="P40" s="355">
        <f>SUM(P38:P39)</f>
        <v>0</v>
      </c>
      <c r="Q40" s="354">
        <f t="shared" si="16"/>
        <v>70327.147798448161</v>
      </c>
      <c r="R40" s="354">
        <f t="shared" si="16"/>
        <v>51789.239973824435</v>
      </c>
      <c r="S40" s="355">
        <f t="shared" si="16"/>
        <v>40979.779671820113</v>
      </c>
      <c r="T40" s="355">
        <f t="shared" si="16"/>
        <v>0</v>
      </c>
      <c r="U40" s="506">
        <f>S40/Q40</f>
        <v>0.58270214212674742</v>
      </c>
      <c r="V40" s="506">
        <f>(S40*1.1+T40)/R40</f>
        <v>0.87040778474033498</v>
      </c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102" customFormat="1">
      <c r="B41" s="191"/>
      <c r="C41" s="357" t="s">
        <v>408</v>
      </c>
      <c r="D41" s="357"/>
      <c r="E41" s="358"/>
      <c r="F41" s="358"/>
      <c r="G41" s="359"/>
      <c r="H41" s="360"/>
      <c r="I41" s="361"/>
      <c r="J41" s="362"/>
      <c r="K41" s="363"/>
      <c r="L41" s="363"/>
      <c r="M41" s="363"/>
      <c r="N41" s="364"/>
      <c r="O41" s="365"/>
      <c r="P41" s="365"/>
      <c r="Q41" s="365"/>
      <c r="R41" s="365"/>
      <c r="S41" s="366"/>
      <c r="T41" s="367"/>
      <c r="U41" s="368"/>
      <c r="V41" s="368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</row>
    <row r="42" spans="1:916" s="102" customFormat="1">
      <c r="B42" s="191"/>
      <c r="C42" s="192" t="s">
        <v>409</v>
      </c>
      <c r="D42" s="191">
        <v>18231005</v>
      </c>
      <c r="E42" s="191"/>
      <c r="F42" s="191"/>
      <c r="G42" s="193"/>
      <c r="H42" s="191"/>
      <c r="I42" s="194">
        <f>SUMIF('Program Costs'!D:D,'Gas CE'!D42,'Program Costs'!N:N)</f>
        <v>297496.19</v>
      </c>
      <c r="J42" s="194"/>
      <c r="K42" s="191"/>
      <c r="L42" s="191"/>
      <c r="M42" s="191"/>
      <c r="N42" s="350">
        <f>I42</f>
        <v>297496.19</v>
      </c>
      <c r="O42" s="194">
        <f t="shared" ref="O42:O53" si="17">I42</f>
        <v>297496.19</v>
      </c>
      <c r="P42" s="195"/>
      <c r="Q42" s="196">
        <f t="shared" ref="Q42:Q53" si="18">N42/(1+ElecDiscountRate)^1</f>
        <v>278111.79770028975</v>
      </c>
      <c r="R42" s="196">
        <f t="shared" ref="R42:R53" si="19">O42/(1+ElecDiscountRate)^1</f>
        <v>278111.79770028975</v>
      </c>
      <c r="S42" s="191"/>
      <c r="T42" s="197"/>
      <c r="U42" s="191"/>
      <c r="V42" s="198"/>
      <c r="W42" s="106"/>
      <c r="X42">
        <v>18231005</v>
      </c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9" t="s">
        <v>410</v>
      </c>
      <c r="D43" s="200">
        <v>18230659</v>
      </c>
      <c r="E43" s="201"/>
      <c r="F43" s="201"/>
      <c r="G43" s="202"/>
      <c r="H43" s="203"/>
      <c r="I43" s="194">
        <f>SUMIF('Program Costs'!D:D,'Gas CE'!D43,'Program Costs'!N:N)</f>
        <v>112950.68000000001</v>
      </c>
      <c r="J43" s="194"/>
      <c r="K43" s="204"/>
      <c r="L43" s="204"/>
      <c r="M43" s="204"/>
      <c r="N43" s="350">
        <f t="shared" ref="N43:N53" si="20">I43</f>
        <v>112950.68000000001</v>
      </c>
      <c r="O43" s="194">
        <f t="shared" si="17"/>
        <v>112950.68000000001</v>
      </c>
      <c r="P43" s="205"/>
      <c r="Q43" s="196">
        <f t="shared" si="18"/>
        <v>105590.98812751238</v>
      </c>
      <c r="R43" s="196">
        <f t="shared" si="19"/>
        <v>105590.98812751238</v>
      </c>
      <c r="S43" s="206"/>
      <c r="T43" s="206"/>
      <c r="U43" s="207"/>
      <c r="V43" s="207"/>
      <c r="W43" s="106"/>
      <c r="X43">
        <v>18230659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208" t="s">
        <v>411</v>
      </c>
      <c r="D44" s="209">
        <v>18230668</v>
      </c>
      <c r="E44" s="201"/>
      <c r="F44" s="201"/>
      <c r="G44" s="202"/>
      <c r="H44" s="203"/>
      <c r="I44" s="194">
        <f>SUMIF('Program Costs'!D:D,'Gas CE'!D44,'Program Costs'!N:N)</f>
        <v>133593.23000000001</v>
      </c>
      <c r="J44" s="194"/>
      <c r="K44" s="204"/>
      <c r="L44" s="204"/>
      <c r="M44" s="204"/>
      <c r="N44" s="350">
        <f t="shared" si="20"/>
        <v>133593.23000000001</v>
      </c>
      <c r="O44" s="194">
        <f t="shared" si="17"/>
        <v>133593.23000000001</v>
      </c>
      <c r="P44" s="196"/>
      <c r="Q44" s="196">
        <f t="shared" si="18"/>
        <v>124888.5014490044</v>
      </c>
      <c r="R44" s="196">
        <f t="shared" si="19"/>
        <v>124888.5014490044</v>
      </c>
      <c r="S44" s="206"/>
      <c r="T44" s="206"/>
      <c r="U44" s="207"/>
      <c r="V44" s="207"/>
      <c r="W44" s="106"/>
      <c r="X44">
        <v>18230668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192" t="s">
        <v>412</v>
      </c>
      <c r="D45" s="191">
        <v>18230688</v>
      </c>
      <c r="E45" s="191"/>
      <c r="F45" s="191"/>
      <c r="G45" s="191"/>
      <c r="H45" s="191"/>
      <c r="I45" s="194">
        <f>SUMIF('Program Costs'!D:D,'Gas CE'!D45,'Program Costs'!N:N)</f>
        <v>174898.61000000002</v>
      </c>
      <c r="J45" s="194"/>
      <c r="K45" s="191"/>
      <c r="L45" s="191"/>
      <c r="M45" s="191"/>
      <c r="N45" s="350">
        <f t="shared" si="20"/>
        <v>174898.61000000002</v>
      </c>
      <c r="O45" s="194">
        <f t="shared" si="17"/>
        <v>174898.61000000002</v>
      </c>
      <c r="P45" s="195"/>
      <c r="Q45" s="196">
        <f t="shared" si="18"/>
        <v>163502.48667850799</v>
      </c>
      <c r="R45" s="196">
        <f t="shared" si="19"/>
        <v>163502.48667850799</v>
      </c>
      <c r="S45" s="191"/>
      <c r="T45" s="197"/>
      <c r="U45" s="191"/>
      <c r="V45" s="198"/>
      <c r="W45" s="106"/>
      <c r="X45">
        <v>18230688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214" customFormat="1">
      <c r="A46" s="210"/>
      <c r="B46" s="191"/>
      <c r="C46" s="211" t="s">
        <v>413</v>
      </c>
      <c r="D46" s="212">
        <v>18230698</v>
      </c>
      <c r="E46" s="191"/>
      <c r="F46" s="191"/>
      <c r="G46" s="191"/>
      <c r="H46" s="191"/>
      <c r="I46" s="194">
        <f>SUMIF('Program Costs'!D:D,'Gas CE'!D46,'Program Costs'!N:N)</f>
        <v>39559.259999999995</v>
      </c>
      <c r="J46" s="194"/>
      <c r="K46" s="191"/>
      <c r="L46" s="191"/>
      <c r="M46" s="191"/>
      <c r="N46" s="350">
        <f t="shared" si="20"/>
        <v>39559.259999999995</v>
      </c>
      <c r="O46" s="194">
        <f t="shared" si="17"/>
        <v>39559.259999999995</v>
      </c>
      <c r="P46" s="195"/>
      <c r="Q46" s="196">
        <f t="shared" si="18"/>
        <v>36981.639712068798</v>
      </c>
      <c r="R46" s="196">
        <f t="shared" si="19"/>
        <v>36981.639712068798</v>
      </c>
      <c r="S46" s="191"/>
      <c r="T46" s="197"/>
      <c r="U46" s="191"/>
      <c r="V46" s="198"/>
      <c r="W46" s="213"/>
      <c r="X46">
        <v>18230698</v>
      </c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  <c r="HQ46" s="213"/>
      <c r="HR46" s="213"/>
      <c r="HS46" s="213"/>
      <c r="HT46" s="213"/>
      <c r="HU46" s="213"/>
      <c r="HV46" s="213"/>
      <c r="HW46" s="213"/>
      <c r="HX46" s="213"/>
      <c r="HY46" s="213"/>
      <c r="HZ46" s="213"/>
      <c r="IA46" s="213"/>
      <c r="IB46" s="213"/>
      <c r="IC46" s="213"/>
      <c r="ID46" s="213"/>
      <c r="IE46" s="213"/>
      <c r="IF46" s="213"/>
      <c r="IG46" s="213"/>
      <c r="IH46" s="213"/>
      <c r="II46" s="213"/>
      <c r="IJ46" s="213"/>
      <c r="IK46" s="213"/>
      <c r="IL46" s="213"/>
      <c r="IM46" s="213"/>
      <c r="IN46" s="213"/>
      <c r="IO46" s="213"/>
      <c r="IP46" s="213"/>
      <c r="IQ46" s="213"/>
      <c r="IR46" s="213"/>
      <c r="IS46" s="213"/>
      <c r="IT46" s="213"/>
      <c r="IU46" s="213"/>
      <c r="IV46" s="213"/>
      <c r="IW46" s="213"/>
      <c r="IX46" s="213"/>
      <c r="IY46" s="213"/>
      <c r="IZ46" s="213"/>
      <c r="JA46" s="213"/>
      <c r="JB46" s="213"/>
      <c r="JC46" s="213"/>
      <c r="JD46" s="213"/>
      <c r="JE46" s="213"/>
      <c r="JF46" s="213"/>
      <c r="JG46" s="213"/>
      <c r="JH46" s="213"/>
      <c r="JI46" s="213"/>
      <c r="JJ46" s="213"/>
      <c r="JK46" s="213"/>
      <c r="JL46" s="213"/>
      <c r="JM46" s="213"/>
      <c r="JN46" s="213"/>
      <c r="JO46" s="213"/>
      <c r="JP46" s="213"/>
      <c r="JQ46" s="213"/>
      <c r="JR46" s="213"/>
      <c r="JS46" s="213"/>
      <c r="JT46" s="213"/>
      <c r="JU46" s="213"/>
      <c r="JV46" s="213"/>
      <c r="JW46" s="213"/>
      <c r="JX46" s="213"/>
      <c r="JY46" s="213"/>
      <c r="JZ46" s="213"/>
      <c r="KA46" s="213"/>
      <c r="KB46" s="213"/>
      <c r="KC46" s="213"/>
      <c r="KD46" s="213"/>
      <c r="KE46" s="213"/>
      <c r="KF46" s="213"/>
      <c r="KG46" s="213"/>
      <c r="KH46" s="213"/>
      <c r="KI46" s="213"/>
      <c r="KJ46" s="213"/>
      <c r="KK46" s="213"/>
      <c r="KL46" s="213"/>
      <c r="KM46" s="213"/>
      <c r="KN46" s="213"/>
      <c r="KO46" s="213"/>
      <c r="KP46" s="213"/>
      <c r="KQ46" s="213"/>
      <c r="KR46" s="213"/>
      <c r="KS46" s="213"/>
      <c r="KT46" s="213"/>
      <c r="KU46" s="213"/>
      <c r="KV46" s="213"/>
      <c r="KW46" s="213"/>
      <c r="KX46" s="213"/>
      <c r="KY46" s="213"/>
      <c r="KZ46" s="213"/>
      <c r="LA46" s="213"/>
      <c r="LB46" s="213"/>
      <c r="LC46" s="213"/>
      <c r="LD46" s="213"/>
      <c r="LE46" s="213"/>
      <c r="LF46" s="213"/>
      <c r="LG46" s="213"/>
      <c r="LH46" s="213"/>
      <c r="LI46" s="213"/>
      <c r="LJ46" s="213"/>
      <c r="LK46" s="213"/>
      <c r="LL46" s="213"/>
      <c r="LM46" s="213"/>
      <c r="LN46" s="213"/>
      <c r="LO46" s="213"/>
      <c r="LP46" s="213"/>
      <c r="LQ46" s="213"/>
      <c r="LR46" s="213"/>
      <c r="LS46" s="213"/>
      <c r="LT46" s="213"/>
      <c r="LU46" s="213"/>
      <c r="LV46" s="213"/>
      <c r="LW46" s="213"/>
      <c r="LX46" s="213"/>
      <c r="LY46" s="213"/>
      <c r="LZ46" s="213"/>
      <c r="MA46" s="213"/>
      <c r="MB46" s="213"/>
      <c r="MC46" s="213"/>
      <c r="MD46" s="213"/>
      <c r="ME46" s="213"/>
      <c r="MF46" s="213"/>
      <c r="MG46" s="213"/>
      <c r="MH46" s="213"/>
      <c r="MI46" s="213"/>
      <c r="MJ46" s="213"/>
      <c r="MK46" s="213"/>
      <c r="ML46" s="213"/>
      <c r="MM46" s="213"/>
      <c r="MN46" s="213"/>
      <c r="MO46" s="213"/>
      <c r="MP46" s="213"/>
      <c r="MQ46" s="213"/>
      <c r="MR46" s="213"/>
      <c r="MS46" s="213"/>
      <c r="MT46" s="213"/>
      <c r="MU46" s="213"/>
      <c r="MV46" s="213"/>
      <c r="MW46" s="213"/>
      <c r="MX46" s="213"/>
      <c r="MY46" s="213"/>
      <c r="MZ46" s="213"/>
      <c r="NA46" s="213"/>
      <c r="NB46" s="213"/>
      <c r="NC46" s="213"/>
      <c r="ND46" s="213"/>
      <c r="NE46" s="213"/>
      <c r="NF46" s="213"/>
      <c r="NG46" s="213"/>
      <c r="NH46" s="213"/>
      <c r="NI46" s="213"/>
      <c r="NJ46" s="213"/>
      <c r="NK46" s="213"/>
      <c r="NL46" s="213"/>
      <c r="NM46" s="213"/>
      <c r="NN46" s="213"/>
      <c r="NO46" s="213"/>
      <c r="NP46" s="213"/>
      <c r="NQ46" s="213"/>
      <c r="NR46" s="213"/>
      <c r="NS46" s="213"/>
      <c r="NT46" s="213"/>
      <c r="NU46" s="213"/>
      <c r="NV46" s="213"/>
      <c r="NW46" s="213"/>
      <c r="NX46" s="213"/>
      <c r="NY46" s="213"/>
      <c r="NZ46" s="213"/>
      <c r="OA46" s="213"/>
      <c r="OB46" s="213"/>
      <c r="OC46" s="213"/>
      <c r="OD46" s="213"/>
      <c r="OE46" s="213"/>
      <c r="OF46" s="213"/>
      <c r="OG46" s="213"/>
      <c r="OH46" s="213"/>
      <c r="OI46" s="213"/>
      <c r="OJ46" s="213"/>
      <c r="OK46" s="213"/>
      <c r="OL46" s="213"/>
      <c r="OM46" s="213"/>
      <c r="ON46" s="213"/>
      <c r="OO46" s="213"/>
      <c r="OP46" s="213"/>
      <c r="OQ46" s="213"/>
      <c r="OR46" s="213"/>
      <c r="OS46" s="213"/>
      <c r="OT46" s="213"/>
      <c r="OU46" s="213"/>
      <c r="OV46" s="213"/>
      <c r="OW46" s="213"/>
      <c r="OX46" s="213"/>
      <c r="OY46" s="213"/>
      <c r="OZ46" s="213"/>
      <c r="PA46" s="213"/>
      <c r="PB46" s="213"/>
      <c r="PC46" s="213"/>
      <c r="PD46" s="213"/>
      <c r="PE46" s="213"/>
      <c r="PF46" s="213"/>
      <c r="PG46" s="213"/>
      <c r="PH46" s="213"/>
      <c r="PI46" s="213"/>
    </row>
    <row r="47" spans="1:916" s="102" customFormat="1">
      <c r="B47" s="191"/>
      <c r="C47" s="211" t="s">
        <v>414</v>
      </c>
      <c r="D47" s="212">
        <v>18231031</v>
      </c>
      <c r="E47" s="191"/>
      <c r="F47" s="191"/>
      <c r="G47" s="191"/>
      <c r="H47" s="191"/>
      <c r="I47" s="194">
        <f>SUMIF('Program Costs'!D:D,'Gas CE'!D47,'Program Costs'!N:N)</f>
        <v>-114464.12999999995</v>
      </c>
      <c r="J47" s="194"/>
      <c r="K47" s="191"/>
      <c r="L47" s="191"/>
      <c r="M47" s="191"/>
      <c r="N47" s="350">
        <f t="shared" si="20"/>
        <v>-114464.12999999995</v>
      </c>
      <c r="O47" s="194">
        <f t="shared" si="17"/>
        <v>-114464.12999999995</v>
      </c>
      <c r="P47" s="195"/>
      <c r="Q47" s="196">
        <f t="shared" si="18"/>
        <v>-107005.8240628213</v>
      </c>
      <c r="R47" s="196">
        <f t="shared" si="19"/>
        <v>-107005.8240628213</v>
      </c>
      <c r="S47" s="191"/>
      <c r="T47" s="197"/>
      <c r="U47" s="191"/>
      <c r="V47" s="198"/>
      <c r="W47" s="106"/>
      <c r="X47">
        <v>18231031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916" s="102" customFormat="1">
      <c r="B48" s="191"/>
      <c r="C48" s="211" t="s">
        <v>415</v>
      </c>
      <c r="D48" s="212">
        <v>18230667</v>
      </c>
      <c r="E48" s="191"/>
      <c r="F48" s="191"/>
      <c r="G48" s="191"/>
      <c r="H48" s="191"/>
      <c r="I48" s="194">
        <f>SUMIF('Program Costs'!D:D,'Gas CE'!D48,'Program Costs'!N:N)</f>
        <v>429714.39000000007</v>
      </c>
      <c r="J48" s="194"/>
      <c r="K48" s="191"/>
      <c r="L48" s="191"/>
      <c r="M48" s="191"/>
      <c r="N48" s="350">
        <f t="shared" si="20"/>
        <v>429714.39000000007</v>
      </c>
      <c r="O48" s="194">
        <f t="shared" si="17"/>
        <v>429714.39000000007</v>
      </c>
      <c r="P48" s="195"/>
      <c r="Q48" s="196">
        <f t="shared" si="18"/>
        <v>401714.86398055532</v>
      </c>
      <c r="R48" s="196">
        <f t="shared" si="19"/>
        <v>401714.86398055532</v>
      </c>
      <c r="S48" s="191"/>
      <c r="T48" s="197"/>
      <c r="U48" s="191"/>
      <c r="V48" s="198"/>
      <c r="W48" s="106"/>
      <c r="X48">
        <v>18230667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5" t="s">
        <v>416</v>
      </c>
      <c r="D49" s="216">
        <v>18230704</v>
      </c>
      <c r="E49" s="201"/>
      <c r="F49" s="201"/>
      <c r="G49" s="202"/>
      <c r="H49" s="203"/>
      <c r="I49" s="194">
        <f>SUMIF('Program Costs'!D:D,'Gas CE'!D49,'Program Costs'!N:N)</f>
        <v>286118.09000000003</v>
      </c>
      <c r="J49" s="194"/>
      <c r="K49" s="204"/>
      <c r="L49" s="204"/>
      <c r="M49" s="204"/>
      <c r="N49" s="350">
        <f t="shared" si="20"/>
        <v>286118.09000000003</v>
      </c>
      <c r="O49" s="194">
        <f t="shared" si="17"/>
        <v>286118.09000000003</v>
      </c>
      <c r="P49" s="196"/>
      <c r="Q49" s="196">
        <f t="shared" si="18"/>
        <v>267475.07712442742</v>
      </c>
      <c r="R49" s="196">
        <f t="shared" si="19"/>
        <v>267475.07712442742</v>
      </c>
      <c r="S49" s="206"/>
      <c r="T49" s="206"/>
      <c r="U49" s="207"/>
      <c r="V49" s="207"/>
      <c r="W49" s="106"/>
      <c r="X49">
        <v>18230704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A50" s="134"/>
      <c r="B50" s="191"/>
      <c r="C50" s="192" t="s">
        <v>417</v>
      </c>
      <c r="D50" s="191">
        <v>18230657</v>
      </c>
      <c r="E50" s="191"/>
      <c r="F50" s="191"/>
      <c r="G50" s="191"/>
      <c r="H50" s="191"/>
      <c r="I50" s="194">
        <f>SUMIF('Program Costs'!D:D,'Gas CE'!D50,'Program Costs'!N:N)</f>
        <v>391137.31</v>
      </c>
      <c r="J50" s="194"/>
      <c r="K50" s="191"/>
      <c r="L50" s="191"/>
      <c r="M50" s="191"/>
      <c r="N50" s="350">
        <f t="shared" si="20"/>
        <v>391137.31</v>
      </c>
      <c r="O50" s="194">
        <f t="shared" si="17"/>
        <v>391137.31</v>
      </c>
      <c r="P50" s="195"/>
      <c r="Q50" s="196">
        <f t="shared" si="18"/>
        <v>365651.4069365242</v>
      </c>
      <c r="R50" s="196">
        <f t="shared" si="19"/>
        <v>365651.4069365242</v>
      </c>
      <c r="S50" s="191"/>
      <c r="T50" s="197"/>
      <c r="U50" s="191"/>
      <c r="V50" s="198"/>
      <c r="W50" s="106"/>
      <c r="X50">
        <v>18230657</v>
      </c>
      <c r="Y50"/>
      <c r="Z50"/>
      <c r="AA50"/>
      <c r="AB50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B51" s="191"/>
      <c r="C51" s="215" t="s">
        <v>418</v>
      </c>
      <c r="D51" s="369" t="s">
        <v>461</v>
      </c>
      <c r="E51" s="201"/>
      <c r="F51" s="201"/>
      <c r="G51" s="202"/>
      <c r="H51" s="203"/>
      <c r="I51" s="194">
        <f>SUMIF('Program Costs'!D:D,'Gas CE'!X51,'Program Costs'!N:N)+SUMIF('Program Costs'!D:D,'Gas CE'!Y51,'Program Costs'!N:N)+SUMIF('Program Costs'!D:D,'Gas CE'!Z51,'Program Costs'!N:N)+SUMIF('Program Costs'!D:D,'Gas CE'!AA51,'Program Costs'!N:N)</f>
        <v>501228.02</v>
      </c>
      <c r="J51" s="194"/>
      <c r="K51" s="204"/>
      <c r="L51" s="204"/>
      <c r="M51" s="204"/>
      <c r="N51" s="350">
        <f t="shared" si="20"/>
        <v>501228.02</v>
      </c>
      <c r="O51" s="194">
        <f t="shared" si="17"/>
        <v>501228.02</v>
      </c>
      <c r="P51" s="196"/>
      <c r="Q51" s="196">
        <f t="shared" si="18"/>
        <v>468568.77629241842</v>
      </c>
      <c r="R51" s="196">
        <f t="shared" si="19"/>
        <v>468568.77629241842</v>
      </c>
      <c r="S51" s="206"/>
      <c r="T51" s="206"/>
      <c r="U51" s="207"/>
      <c r="V51" s="207"/>
      <c r="W51" s="106"/>
      <c r="X51">
        <v>18230665</v>
      </c>
      <c r="Y51">
        <v>18230737</v>
      </c>
      <c r="Z51">
        <v>18230690</v>
      </c>
      <c r="AA51">
        <v>18230662</v>
      </c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</row>
    <row r="52" spans="1:916" s="102" customFormat="1">
      <c r="B52" s="191"/>
      <c r="C52" s="192" t="s">
        <v>419</v>
      </c>
      <c r="D52" s="191">
        <v>18230732</v>
      </c>
      <c r="E52" s="201"/>
      <c r="F52" s="201"/>
      <c r="G52" s="202"/>
      <c r="H52" s="203"/>
      <c r="I52" s="194">
        <f>SUMIF('Program Costs'!D:D,'Gas CE'!D52,'Program Costs'!N:N)</f>
        <v>332664.81</v>
      </c>
      <c r="J52" s="194"/>
      <c r="K52" s="218"/>
      <c r="L52" s="218"/>
      <c r="M52" s="218"/>
      <c r="N52" s="350">
        <f t="shared" si="20"/>
        <v>332664.81</v>
      </c>
      <c r="O52" s="194">
        <f t="shared" si="17"/>
        <v>332664.81</v>
      </c>
      <c r="P52" s="219"/>
      <c r="Q52" s="196">
        <f t="shared" si="18"/>
        <v>310988.88473403757</v>
      </c>
      <c r="R52" s="196">
        <f t="shared" si="19"/>
        <v>310988.88473403757</v>
      </c>
      <c r="S52" s="219"/>
      <c r="T52" s="194"/>
      <c r="U52" s="207"/>
      <c r="V52" s="207"/>
      <c r="W52" s="106"/>
      <c r="X52">
        <v>18230732</v>
      </c>
      <c r="Y52"/>
      <c r="Z52"/>
      <c r="AA52"/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916" s="102" customFormat="1">
      <c r="B53" s="191"/>
      <c r="C53" s="215" t="s">
        <v>420</v>
      </c>
      <c r="D53" s="216">
        <v>18230675</v>
      </c>
      <c r="E53" s="201"/>
      <c r="F53" s="201"/>
      <c r="G53" s="202"/>
      <c r="H53" s="203"/>
      <c r="I53" s="194">
        <f>SUMIF('Program Costs'!D:D,'Gas CE'!D53,'Program Costs'!N:N)</f>
        <v>77327.249999999985</v>
      </c>
      <c r="J53" s="194"/>
      <c r="K53" s="204"/>
      <c r="L53" s="204"/>
      <c r="M53" s="204"/>
      <c r="N53" s="350">
        <f t="shared" si="20"/>
        <v>77327.249999999985</v>
      </c>
      <c r="O53" s="194">
        <f t="shared" si="17"/>
        <v>77327.249999999985</v>
      </c>
      <c r="P53" s="196"/>
      <c r="Q53" s="196">
        <f t="shared" si="18"/>
        <v>72288.725810975026</v>
      </c>
      <c r="R53" s="196">
        <f t="shared" si="19"/>
        <v>72288.725810975026</v>
      </c>
      <c r="S53" s="206"/>
      <c r="T53" s="206"/>
      <c r="U53" s="207"/>
      <c r="V53" s="207"/>
      <c r="W53" s="106"/>
      <c r="X53">
        <v>18230675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2579</v>
      </c>
      <c r="D54" s="216">
        <v>18230685</v>
      </c>
      <c r="E54" s="201"/>
      <c r="F54" s="201"/>
      <c r="G54" s="202"/>
      <c r="H54" s="203"/>
      <c r="I54" s="194">
        <f>SUMIF('Program Costs'!D:D,'Gas CE'!D54,'Program Costs'!N:N)</f>
        <v>9.42</v>
      </c>
      <c r="J54" s="194"/>
      <c r="K54" s="204"/>
      <c r="L54" s="204"/>
      <c r="M54" s="204"/>
      <c r="N54" s="350">
        <f t="shared" ref="N54" si="21">I54</f>
        <v>9.42</v>
      </c>
      <c r="O54" s="194">
        <f t="shared" ref="O54" si="22">I54</f>
        <v>9.42</v>
      </c>
      <c r="P54" s="196"/>
      <c r="Q54" s="196">
        <f t="shared" ref="Q54" si="23">N54/(1+ElecDiscountRate)^1</f>
        <v>8.8062073478545386</v>
      </c>
      <c r="R54" s="196">
        <f t="shared" ref="R54" si="24">O54/(1+ElecDiscountRate)^1</f>
        <v>8.8062073478545386</v>
      </c>
      <c r="S54" s="206"/>
      <c r="T54" s="206"/>
      <c r="U54" s="207"/>
      <c r="V54" s="207"/>
      <c r="W54" s="106"/>
      <c r="X54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421</v>
      </c>
      <c r="D55" s="137"/>
      <c r="E55" s="137"/>
      <c r="F55" s="137"/>
      <c r="G55" s="137"/>
      <c r="H55" s="137">
        <f>SUM(H49:H53)</f>
        <v>0</v>
      </c>
      <c r="I55" s="221">
        <f>SUM(I42:I54)</f>
        <v>2662233.1300000004</v>
      </c>
      <c r="J55" s="137">
        <f>SUM(J42:J53)</f>
        <v>0</v>
      </c>
      <c r="K55" s="137">
        <f>SUM(K49:K53)</f>
        <v>0</v>
      </c>
      <c r="L55" s="137">
        <f>SUM(L49:L53)</f>
        <v>0</v>
      </c>
      <c r="M55" s="137">
        <f>SUM(M49:M53)</f>
        <v>0</v>
      </c>
      <c r="N55" s="370">
        <f>SUM(N42:N54)</f>
        <v>2662233.1300000004</v>
      </c>
      <c r="O55" s="370">
        <f t="shared" ref="O55:R55" si="25">SUM(O42:O54)</f>
        <v>2662233.1300000004</v>
      </c>
      <c r="P55" s="370">
        <f t="shared" si="25"/>
        <v>0</v>
      </c>
      <c r="Q55" s="370">
        <f t="shared" si="25"/>
        <v>2488766.1306908475</v>
      </c>
      <c r="R55" s="370">
        <f t="shared" si="25"/>
        <v>2488766.1306908475</v>
      </c>
      <c r="S55" s="137">
        <f>SUM(S49:S53)</f>
        <v>0</v>
      </c>
      <c r="T55" s="137">
        <f>SUM(T49:T53)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422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81567.28</v>
      </c>
      <c r="J56" s="265"/>
      <c r="K56" s="375"/>
      <c r="L56" s="375"/>
      <c r="M56" s="375"/>
      <c r="N56" s="376">
        <f>I56</f>
        <v>81567.28</v>
      </c>
      <c r="O56" s="222">
        <f>I56</f>
        <v>81567.28</v>
      </c>
      <c r="P56" s="268"/>
      <c r="Q56" s="377">
        <f t="shared" ref="Q56:R60" si="26">N56/(1+ElecDiscountRate)^1</f>
        <v>76252.482004300269</v>
      </c>
      <c r="R56" s="377">
        <f t="shared" si="26"/>
        <v>76252.482004300269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423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74897.86</v>
      </c>
      <c r="J57" s="265"/>
      <c r="K57" s="375"/>
      <c r="L57" s="375"/>
      <c r="M57" s="375"/>
      <c r="N57" s="376">
        <f>I57</f>
        <v>74897.86</v>
      </c>
      <c r="O57" s="222">
        <f>I57</f>
        <v>74897.86</v>
      </c>
      <c r="P57" s="268"/>
      <c r="Q57" s="377">
        <f t="shared" si="26"/>
        <v>70017.631111526585</v>
      </c>
      <c r="R57" s="377">
        <f t="shared" si="26"/>
        <v>70017.631111526585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424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48393.36</v>
      </c>
      <c r="J58" s="265"/>
      <c r="K58" s="375"/>
      <c r="L58" s="375"/>
      <c r="M58" s="375"/>
      <c r="N58" s="376">
        <f>I58</f>
        <v>48393.36</v>
      </c>
      <c r="O58" s="222">
        <f>I58</f>
        <v>48393.36</v>
      </c>
      <c r="P58" s="268"/>
      <c r="Q58" s="377">
        <f t="shared" si="26"/>
        <v>45240.123399083852</v>
      </c>
      <c r="R58" s="377">
        <f t="shared" si="26"/>
        <v>45240.123399083852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425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672623.29</v>
      </c>
      <c r="J59" s="265"/>
      <c r="K59" s="375"/>
      <c r="L59" s="375"/>
      <c r="M59" s="375"/>
      <c r="N59" s="376">
        <f>I59</f>
        <v>672623.29</v>
      </c>
      <c r="O59" s="222">
        <f>I59</f>
        <v>672623.29</v>
      </c>
      <c r="P59" s="268"/>
      <c r="Q59" s="377">
        <f t="shared" si="26"/>
        <v>628796.19519491447</v>
      </c>
      <c r="R59" s="377">
        <f t="shared" si="26"/>
        <v>628796.19519491447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427</v>
      </c>
      <c r="D60" s="137"/>
      <c r="E60" s="137"/>
      <c r="F60" s="137"/>
      <c r="G60" s="137"/>
      <c r="H60" s="137">
        <f t="shared" ref="H60:P60" si="27">SUM(H56:H59)</f>
        <v>0</v>
      </c>
      <c r="I60" s="221">
        <f t="shared" si="27"/>
        <v>877481.79</v>
      </c>
      <c r="J60" s="137">
        <f t="shared" si="27"/>
        <v>0</v>
      </c>
      <c r="K60" s="137">
        <f t="shared" si="27"/>
        <v>0</v>
      </c>
      <c r="L60" s="137">
        <f t="shared" si="27"/>
        <v>0</v>
      </c>
      <c r="M60" s="137">
        <f t="shared" si="27"/>
        <v>0</v>
      </c>
      <c r="N60" s="370">
        <f t="shared" si="27"/>
        <v>877481.79</v>
      </c>
      <c r="O60" s="221">
        <f t="shared" si="27"/>
        <v>877481.79</v>
      </c>
      <c r="P60" s="221">
        <f t="shared" si="27"/>
        <v>0</v>
      </c>
      <c r="Q60" s="221">
        <f t="shared" si="26"/>
        <v>820306.43170982518</v>
      </c>
      <c r="R60" s="221">
        <f t="shared" si="26"/>
        <v>820306.43170982518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462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3539714.9200000004</v>
      </c>
      <c r="J61" s="321">
        <f t="shared" ref="J61:T61" si="28">J55+J60</f>
        <v>0</v>
      </c>
      <c r="K61" s="321">
        <f t="shared" si="28"/>
        <v>0</v>
      </c>
      <c r="L61" s="321">
        <f t="shared" si="28"/>
        <v>0</v>
      </c>
      <c r="M61" s="321">
        <f t="shared" si="28"/>
        <v>0</v>
      </c>
      <c r="N61" s="347">
        <f t="shared" si="28"/>
        <v>3539714.9200000004</v>
      </c>
      <c r="O61" s="321">
        <f t="shared" si="28"/>
        <v>3539714.9200000004</v>
      </c>
      <c r="P61" s="321">
        <f t="shared" si="28"/>
        <v>0</v>
      </c>
      <c r="Q61" s="321">
        <f t="shared" si="28"/>
        <v>3309072.5624006726</v>
      </c>
      <c r="R61" s="321">
        <f t="shared" si="28"/>
        <v>3309072.5624006726</v>
      </c>
      <c r="S61" s="321">
        <f t="shared" si="28"/>
        <v>0</v>
      </c>
      <c r="T61" s="321">
        <f t="shared" si="28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463</v>
      </c>
      <c r="C62" s="382"/>
      <c r="D62" s="382"/>
      <c r="E62" s="382"/>
      <c r="F62" s="382"/>
      <c r="G62" s="382"/>
      <c r="H62" s="383">
        <f t="shared" ref="H62:T62" si="29">SUM(H21,H34,H37,H40,H61)</f>
        <v>6752266.3800000008</v>
      </c>
      <c r="I62" s="383">
        <f t="shared" si="29"/>
        <v>10513803.790000001</v>
      </c>
      <c r="J62" s="383">
        <f t="shared" si="29"/>
        <v>16104093.269999996</v>
      </c>
      <c r="K62" s="383">
        <f t="shared" si="29"/>
        <v>22112015.099999979</v>
      </c>
      <c r="L62" s="383">
        <f t="shared" si="29"/>
        <v>38216108.369999975</v>
      </c>
      <c r="M62" s="383">
        <f t="shared" si="29"/>
        <v>0</v>
      </c>
      <c r="N62" s="384">
        <f t="shared" si="29"/>
        <v>29671642.290000003</v>
      </c>
      <c r="O62" s="383">
        <f t="shared" si="29"/>
        <v>48729912.159999974</v>
      </c>
      <c r="P62" s="383">
        <f t="shared" si="29"/>
        <v>76771.16</v>
      </c>
      <c r="Q62" s="383">
        <f t="shared" si="29"/>
        <v>27738283.902028605</v>
      </c>
      <c r="R62" s="383">
        <f t="shared" si="29"/>
        <v>45554746.340095311</v>
      </c>
      <c r="S62" s="383">
        <f t="shared" si="29"/>
        <v>59085026.531206399</v>
      </c>
      <c r="T62" s="383">
        <f t="shared" si="29"/>
        <v>7195385.8718468975</v>
      </c>
      <c r="U62" s="385">
        <f>S62/Q62</f>
        <v>2.1300894727263673</v>
      </c>
      <c r="V62" s="385">
        <f>(S62*1.1+T62)/R62</f>
        <v>1.5846628695336711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429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430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298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431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464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39">
    <cfRule type="containsBlanks" dxfId="327" priority="3">
      <formula>LEN(TRIM(G39))=0</formula>
    </cfRule>
    <cfRule type="notContainsBlanks" dxfId="326" priority="4">
      <formula>LEN(TRIM(G39))&gt;0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ulti Family Retrofit {G}'!A1" display="Multi-Family Retrofit"/>
    <hyperlink ref="C19" location="'MF New Construction {G}'!A1" display="Multi-Family New Construction"/>
    <hyperlink ref="C23" location="'CI Retrofit {G}'!A1" display="Commercial/Industrial Retrofit"/>
    <hyperlink ref="C24" location="'CBA {G}'!A1" display="Clean Buildiings Accellerator"/>
    <hyperlink ref="C25" location="'Industrial EM {G}'!A1" display="Industrial Energy Management"/>
    <hyperlink ref="C26" location="'CI New Construction {G}'!A1" display="Commercial/Industrial New Construction"/>
    <hyperlink ref="C27" location="'Com SEM {G}'!A1" display="Commercial Strategic Energy Management"/>
    <hyperlink ref="C28" location="'P4P {G}'!A1" display="Pay for Performance"/>
    <hyperlink ref="C30" location="'Commercial Kitchen Laundry {G}'!A1" display="Commercial Kitchen &amp; Laundry"/>
    <hyperlink ref="C31" location="'Commercial HVAC {G}'!A1" display="Commercial HVAC"/>
    <hyperlink ref="C32" location="'Commercial Midstream {G}'!A1" display="Commercial Midstream"/>
    <hyperlink ref="C33" location="'SBDI {G}'!A1" display="Small Business Direct Install"/>
    <hyperlink ref="C35" location="'G245 NEEA GAS'!A1" display="NEEA Gas Market Transformation Study"/>
    <hyperlink ref="C36" location="'TDSM {G}'!A1" display="Targeted DSM Pilot"/>
    <hyperlink ref="C38" location="'G249 Res Gas Pilot'!A1" display="Residential Pilots"/>
    <hyperlink ref="C39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992</v>
      </c>
      <c r="F5" s="39" t="s">
        <v>993</v>
      </c>
      <c r="G5" s="39">
        <v>10</v>
      </c>
      <c r="H5" s="39"/>
      <c r="I5" s="40" t="s">
        <v>256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0.8904095114818884</v>
      </c>
      <c r="V5" s="48">
        <f t="shared" ref="V5:V24" si="2">N5-M5</f>
        <v>0</v>
      </c>
      <c r="W5" s="49">
        <f t="shared" ref="W5:W24" si="3">(O5/A$10)</f>
        <v>8.9040951148188843E-2</v>
      </c>
      <c r="X5" s="44">
        <f t="shared" ref="X5:X24" si="4">W5*A$8</f>
        <v>38830.453385262699</v>
      </c>
      <c r="Y5" s="44">
        <f t="shared" ref="Y5:Y24" si="5">Q5-P5</f>
        <v>0</v>
      </c>
      <c r="Z5" s="44">
        <f t="shared" ref="Z5:Z24" si="6">X5+(A$6*W5)</f>
        <v>230761.56440167082</v>
      </c>
      <c r="AA5" s="50">
        <f t="shared" ref="AA5:AA24" si="7">Q5+X5</f>
        <v>161815.45338526269</v>
      </c>
      <c r="AB5" s="51">
        <f t="shared" ref="AB5:AC20" si="8">Z5/(1+ElecDiscountRate)^1</f>
        <v>215725.49724377939</v>
      </c>
      <c r="AC5" s="44">
        <f t="shared" si="8"/>
        <v>151271.80834370633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1.6465086093203973</v>
      </c>
      <c r="AP5" s="47">
        <f>AN5/AC5</f>
        <v>2.5828558644598414</v>
      </c>
      <c r="AQ5">
        <v>2021</v>
      </c>
    </row>
    <row r="6" spans="1:43" ht="13.5" customHeight="1">
      <c r="A6" s="53">
        <f>SUMIF('Program Costs'!D:D,C2,'Program Costs'!L:L)</f>
        <v>2155537.52</v>
      </c>
      <c r="B6" s="97" t="s">
        <v>133</v>
      </c>
      <c r="C6" s="98">
        <v>18230721</v>
      </c>
      <c r="D6" s="61" t="s">
        <v>135</v>
      </c>
      <c r="E6" s="38" t="s">
        <v>992</v>
      </c>
      <c r="F6" s="39" t="s">
        <v>993</v>
      </c>
      <c r="G6" s="39">
        <v>7</v>
      </c>
      <c r="H6" s="39"/>
      <c r="I6" s="40" t="s">
        <v>256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1.4892312844943674</v>
      </c>
      <c r="V6" s="48">
        <f t="shared" si="2"/>
        <v>0</v>
      </c>
      <c r="W6" s="49">
        <f t="shared" si="3"/>
        <v>0.2127473263563382</v>
      </c>
      <c r="X6" s="44">
        <f t="shared" si="4"/>
        <v>92778.379300669651</v>
      </c>
      <c r="Y6" s="44">
        <f t="shared" si="5"/>
        <v>0</v>
      </c>
      <c r="Z6" s="44">
        <f t="shared" si="6"/>
        <v>551363.22354144161</v>
      </c>
      <c r="AA6" s="50">
        <f t="shared" si="7"/>
        <v>250575.37930066965</v>
      </c>
      <c r="AB6" s="51">
        <f t="shared" si="8"/>
        <v>515437.24739781395</v>
      </c>
      <c r="AC6" s="44">
        <f t="shared" si="8"/>
        <v>234248.27456358756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1.1616912637932479</v>
      </c>
      <c r="AP6" s="47">
        <f t="shared" ref="AP6:AP24" si="16">AN6/AC6</f>
        <v>2.8117895139093223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992</v>
      </c>
      <c r="F7" s="39" t="s">
        <v>993</v>
      </c>
      <c r="G7" s="39">
        <v>10</v>
      </c>
      <c r="H7" s="39"/>
      <c r="I7" s="40" t="s">
        <v>256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0.69060034206017118</v>
      </c>
      <c r="V7" s="48">
        <f t="shared" si="2"/>
        <v>80895</v>
      </c>
      <c r="W7" s="49">
        <f t="shared" si="3"/>
        <v>6.9060034206017112E-2</v>
      </c>
      <c r="X7" s="44">
        <f t="shared" si="4"/>
        <v>30116.844041326724</v>
      </c>
      <c r="Y7" s="44">
        <f t="shared" si="5"/>
        <v>80895</v>
      </c>
      <c r="Z7" s="44">
        <f t="shared" si="6"/>
        <v>178978.33890488002</v>
      </c>
      <c r="AA7" s="50">
        <f t="shared" si="7"/>
        <v>260267.84404132672</v>
      </c>
      <c r="AB7" s="51">
        <f t="shared" si="8"/>
        <v>167316.38674850893</v>
      </c>
      <c r="AC7" s="44">
        <f t="shared" si="8"/>
        <v>243309.19327038113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1.6465086093203976</v>
      </c>
      <c r="AP7" s="47">
        <f t="shared" si="16"/>
        <v>1.2454796890934867</v>
      </c>
      <c r="AQ7">
        <v>2021</v>
      </c>
    </row>
    <row r="8" spans="1:43" ht="13.5" customHeight="1">
      <c r="A8" s="53">
        <f>SUMIF('Program Costs'!D:D,C2,'Program Costs'!O:O)</f>
        <v>436096.56999999983</v>
      </c>
      <c r="B8" s="97" t="s">
        <v>133</v>
      </c>
      <c r="C8" s="98">
        <v>18230721</v>
      </c>
      <c r="D8" s="61" t="s">
        <v>135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4.1965821330653492</v>
      </c>
      <c r="V8" s="48">
        <f t="shared" si="2"/>
        <v>9831</v>
      </c>
      <c r="W8" s="49">
        <f t="shared" si="3"/>
        <v>0.20982910665326746</v>
      </c>
      <c r="X8" s="44">
        <f t="shared" si="4"/>
        <v>91505.753697654087</v>
      </c>
      <c r="Y8" s="44">
        <f t="shared" si="5"/>
        <v>9831</v>
      </c>
      <c r="Z8" s="44">
        <f t="shared" si="6"/>
        <v>543800.26587685372</v>
      </c>
      <c r="AA8" s="50">
        <f t="shared" si="7"/>
        <v>286077.18369765405</v>
      </c>
      <c r="AB8" s="51">
        <f t="shared" si="8"/>
        <v>508367.08037473465</v>
      </c>
      <c r="AC8" s="44">
        <f t="shared" si="8"/>
        <v>267436.83621356834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3.0663039297698367</v>
      </c>
      <c r="AP8" s="47">
        <f t="shared" si="16"/>
        <v>6.4115654306545364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18230721</v>
      </c>
      <c r="D9" s="61" t="s">
        <v>135</v>
      </c>
      <c r="E9" s="38" t="s">
        <v>996</v>
      </c>
      <c r="F9" s="39" t="s">
        <v>997</v>
      </c>
      <c r="G9" s="39">
        <v>15</v>
      </c>
      <c r="H9" s="39"/>
      <c r="I9" s="40" t="s">
        <v>257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0.90906903410710338</v>
      </c>
      <c r="V9" s="48">
        <f t="shared" si="2"/>
        <v>288876</v>
      </c>
      <c r="W9" s="49">
        <f t="shared" si="3"/>
        <v>6.0604602273806894E-2</v>
      </c>
      <c r="X9" s="44">
        <f t="shared" si="4"/>
        <v>26429.459177821376</v>
      </c>
      <c r="Y9" s="44">
        <f t="shared" si="5"/>
        <v>288876</v>
      </c>
      <c r="Z9" s="44">
        <f t="shared" si="6"/>
        <v>157064.95326368944</v>
      </c>
      <c r="AA9" s="50">
        <f t="shared" si="7"/>
        <v>485943.45917782135</v>
      </c>
      <c r="AB9" s="51">
        <f t="shared" si="8"/>
        <v>146830.84347358084</v>
      </c>
      <c r="AC9" s="44">
        <f t="shared" si="8"/>
        <v>454280.13384857558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2.4511564641407677</v>
      </c>
      <c r="AP9" s="47">
        <f t="shared" si="16"/>
        <v>0.87147968561403821</v>
      </c>
      <c r="AQ9">
        <v>2021</v>
      </c>
    </row>
    <row r="10" spans="1:43" ht="13.5" customHeight="1">
      <c r="A10" s="54">
        <f>SUM(O5:O999)</f>
        <v>5631173</v>
      </c>
      <c r="B10" s="97" t="s">
        <v>133</v>
      </c>
      <c r="C10" s="98">
        <v>18230721</v>
      </c>
      <c r="D10" s="61" t="s">
        <v>135</v>
      </c>
      <c r="E10" s="38" t="s">
        <v>1010</v>
      </c>
      <c r="F10" s="39" t="s">
        <v>1011</v>
      </c>
      <c r="G10" s="39">
        <v>15</v>
      </c>
      <c r="H10" s="39"/>
      <c r="I10" s="40" t="s">
        <v>256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2.5392480394404506</v>
      </c>
      <c r="V10" s="48">
        <f t="shared" si="2"/>
        <v>0</v>
      </c>
      <c r="W10" s="49">
        <f t="shared" si="3"/>
        <v>0.16928320262936336</v>
      </c>
      <c r="X10" s="44">
        <f t="shared" si="4"/>
        <v>73823.824025280308</v>
      </c>
      <c r="Y10" s="44">
        <f t="shared" si="5"/>
        <v>0</v>
      </c>
      <c r="Z10" s="44">
        <f t="shared" si="6"/>
        <v>438720.11879863567</v>
      </c>
      <c r="AA10" s="50">
        <f t="shared" si="7"/>
        <v>436790.82402528031</v>
      </c>
      <c r="AB10" s="51">
        <f t="shared" si="8"/>
        <v>410133.7933987432</v>
      </c>
      <c r="AC10" s="44">
        <f t="shared" si="8"/>
        <v>408330.20849329745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2.3925984669642482</v>
      </c>
      <c r="AP10" s="47">
        <f t="shared" si="16"/>
        <v>2.6434831697919532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18230721</v>
      </c>
      <c r="D11" s="61" t="s">
        <v>135</v>
      </c>
      <c r="E11" s="38" t="s">
        <v>1042</v>
      </c>
      <c r="F11" s="39" t="s">
        <v>1043</v>
      </c>
      <c r="G11" s="39">
        <v>15</v>
      </c>
      <c r="H11" s="39"/>
      <c r="I11" s="40" t="s">
        <v>256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0.72470336109368338</v>
      </c>
      <c r="V11" s="48">
        <f t="shared" si="2"/>
        <v>87119</v>
      </c>
      <c r="W11" s="49">
        <f t="shared" si="3"/>
        <v>4.8313557406245558E-2</v>
      </c>
      <c r="X11" s="44">
        <f t="shared" si="4"/>
        <v>21069.376669361776</v>
      </c>
      <c r="Y11" s="44">
        <f t="shared" si="5"/>
        <v>87119</v>
      </c>
      <c r="Z11" s="44">
        <f t="shared" si="6"/>
        <v>125211.06238319796</v>
      </c>
      <c r="AA11" s="50">
        <f t="shared" si="7"/>
        <v>243741.37666936178</v>
      </c>
      <c r="AB11" s="51">
        <f t="shared" si="8"/>
        <v>117052.50292904361</v>
      </c>
      <c r="AC11" s="44">
        <f t="shared" si="8"/>
        <v>227859.5649895875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2.3925984669642477</v>
      </c>
      <c r="AP11" s="47">
        <f t="shared" si="16"/>
        <v>1.3519976788451753</v>
      </c>
      <c r="AQ11">
        <v>2021</v>
      </c>
    </row>
    <row r="12" spans="1:43" ht="13.5" customHeight="1">
      <c r="A12" s="55">
        <f>SUM(P5:P1000)</f>
        <v>1574075.43</v>
      </c>
      <c r="B12" s="97" t="s">
        <v>133</v>
      </c>
      <c r="C12" s="98">
        <v>18230721</v>
      </c>
      <c r="D12" s="61" t="s">
        <v>135</v>
      </c>
      <c r="E12" s="38" t="s">
        <v>1022</v>
      </c>
      <c r="F12" s="39" t="s">
        <v>1023</v>
      </c>
      <c r="G12" s="39">
        <v>15</v>
      </c>
      <c r="H12" s="39"/>
      <c r="I12" s="40" t="s">
        <v>256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1.8249066402328609</v>
      </c>
      <c r="V12" s="48">
        <f t="shared" si="2"/>
        <v>31301</v>
      </c>
      <c r="W12" s="49">
        <f t="shared" si="3"/>
        <v>0.12166044268219073</v>
      </c>
      <c r="X12" s="44">
        <f t="shared" si="4"/>
        <v>53055.701758384959</v>
      </c>
      <c r="Y12" s="44">
        <f t="shared" si="5"/>
        <v>31301</v>
      </c>
      <c r="Z12" s="44">
        <f t="shared" si="6"/>
        <v>315299.35065965651</v>
      </c>
      <c r="AA12" s="50">
        <f t="shared" si="7"/>
        <v>310877.70175838494</v>
      </c>
      <c r="AB12" s="51">
        <f t="shared" si="8"/>
        <v>294754.93190582079</v>
      </c>
      <c r="AC12" s="44">
        <f t="shared" si="8"/>
        <v>290621.39081834618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2.3925984669642477</v>
      </c>
      <c r="AP12" s="47">
        <f t="shared" si="16"/>
        <v>2.669291533718201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18230721</v>
      </c>
      <c r="D13" s="61" t="s">
        <v>135</v>
      </c>
      <c r="E13" s="38" t="s">
        <v>1078</v>
      </c>
      <c r="F13" s="39" t="s">
        <v>1079</v>
      </c>
      <c r="G13" s="39">
        <v>5</v>
      </c>
      <c r="H13" s="39"/>
      <c r="I13" s="40" t="s">
        <v>256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SUM(Y5:Y1000)</f>
        <v>504087.5</v>
      </c>
      <c r="B14" s="97" t="s">
        <v>133</v>
      </c>
      <c r="C14" s="100">
        <v>18230721</v>
      </c>
      <c r="D14" s="100" t="s">
        <v>135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68916</v>
      </c>
      <c r="L14" s="41"/>
      <c r="M14" s="42">
        <v>28890</v>
      </c>
      <c r="N14" s="42">
        <v>31955</v>
      </c>
      <c r="O14" s="43">
        <v>68916</v>
      </c>
      <c r="P14" s="44">
        <v>28890</v>
      </c>
      <c r="Q14" s="44">
        <v>31955</v>
      </c>
      <c r="R14" s="45"/>
      <c r="S14" s="46"/>
      <c r="T14" s="39">
        <f t="shared" si="0"/>
        <v>20</v>
      </c>
      <c r="U14" s="47">
        <f t="shared" si="1"/>
        <v>0.24476605495870929</v>
      </c>
      <c r="V14" s="48">
        <f t="shared" si="2"/>
        <v>3065</v>
      </c>
      <c r="W14" s="49">
        <f t="shared" si="3"/>
        <v>1.2238302747935465E-2</v>
      </c>
      <c r="X14" s="44">
        <f t="shared" si="4"/>
        <v>5337.0818509962292</v>
      </c>
      <c r="Y14" s="44">
        <f t="shared" si="5"/>
        <v>3065</v>
      </c>
      <c r="Z14" s="44">
        <f t="shared" si="6"/>
        <v>31717.202605290226</v>
      </c>
      <c r="AA14" s="50">
        <f t="shared" si="7"/>
        <v>37292.081850996226</v>
      </c>
      <c r="AB14" s="51">
        <f t="shared" si="8"/>
        <v>29650.558666252429</v>
      </c>
      <c r="AC14" s="44">
        <f t="shared" si="8"/>
        <v>34862.187389918879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90917.624558200914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90917.624558200914</v>
      </c>
      <c r="AK14" s="44">
        <f>HLOOKUP(I14,ElecAvoidedCostsWOCC!$A$5:$Q$50,G14+1,FALSE)*J14*L14</f>
        <v>0</v>
      </c>
      <c r="AL14" s="44">
        <f t="shared" si="13"/>
        <v>90917.624558200914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90917.624558200914</v>
      </c>
      <c r="AN14" s="48">
        <f t="shared" si="14"/>
        <v>100009.38701402102</v>
      </c>
      <c r="AO14" s="47">
        <f t="shared" si="15"/>
        <v>3.0663039297698367</v>
      </c>
      <c r="AP14" s="47">
        <f t="shared" si="16"/>
        <v>2.8687065987988118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18230721</v>
      </c>
      <c r="D15" s="100" t="s">
        <v>135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40671</v>
      </c>
      <c r="L15" s="41"/>
      <c r="M15" s="42">
        <v>20336</v>
      </c>
      <c r="N15" s="42">
        <v>23336.5</v>
      </c>
      <c r="O15" s="43">
        <v>40671</v>
      </c>
      <c r="P15" s="44">
        <v>20336</v>
      </c>
      <c r="Q15" s="44">
        <v>23336.5</v>
      </c>
      <c r="R15" s="45"/>
      <c r="S15" s="46"/>
      <c r="T15" s="39">
        <f t="shared" si="0"/>
        <v>20</v>
      </c>
      <c r="U15" s="47">
        <f t="shared" si="1"/>
        <v>0.14444947793292801</v>
      </c>
      <c r="V15" s="48">
        <f t="shared" si="2"/>
        <v>3000.5</v>
      </c>
      <c r="W15" s="49">
        <f t="shared" si="3"/>
        <v>7.2224738966464004E-3</v>
      </c>
      <c r="X15" s="44">
        <f t="shared" si="4"/>
        <v>3149.6960932420284</v>
      </c>
      <c r="Y15" s="44">
        <f t="shared" si="5"/>
        <v>3000.5</v>
      </c>
      <c r="Z15" s="44">
        <f t="shared" si="6"/>
        <v>18718.009564683947</v>
      </c>
      <c r="AA15" s="50">
        <f t="shared" si="7"/>
        <v>26486.19609324203</v>
      </c>
      <c r="AB15" s="51">
        <f t="shared" si="8"/>
        <v>17498.372968761283</v>
      </c>
      <c r="AC15" s="44">
        <f t="shared" si="8"/>
        <v>24760.39645998133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53655.329798691011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53655.329798691011</v>
      </c>
      <c r="AK15" s="44">
        <f>HLOOKUP(I15,ElecAvoidedCostsWOCC!$A$5:$Q$50,G15+1,FALSE)*J15*L15</f>
        <v>0</v>
      </c>
      <c r="AL15" s="44">
        <f t="shared" si="13"/>
        <v>53655.329798691011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53655.329798691011</v>
      </c>
      <c r="AN15" s="48">
        <f t="shared" si="14"/>
        <v>59020.86277856012</v>
      </c>
      <c r="AO15" s="47">
        <f t="shared" si="15"/>
        <v>3.0663039297698371</v>
      </c>
      <c r="AP15" s="47">
        <f t="shared" si="16"/>
        <v>2.3836800381589942</v>
      </c>
      <c r="AQ15">
        <v>2020</v>
      </c>
    </row>
    <row r="16" spans="1:43" ht="13.5" customHeight="1">
      <c r="A16" s="54">
        <f>SUM(U5:U999)</f>
        <v>13.653965878867513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2591634.09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2514259.5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2.1707914399132382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2.4613556427867809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2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1082</v>
      </c>
      <c r="F5" s="39" t="s">
        <v>1083</v>
      </c>
      <c r="G5" s="39">
        <v>12</v>
      </c>
      <c r="H5" s="39"/>
      <c r="I5" s="40" t="s">
        <v>257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0.3873591495252513</v>
      </c>
      <c r="V5" s="48">
        <f t="shared" ref="V5:V24" si="2">N5-M5</f>
        <v>0</v>
      </c>
      <c r="W5" s="49">
        <f t="shared" ref="W5:W24" si="3">(O5/A$10)</f>
        <v>3.2279929127104277E-2</v>
      </c>
      <c r="X5" s="44">
        <f t="shared" ref="X5:X24" si="4">W5*A$8</f>
        <v>22263.972622653957</v>
      </c>
      <c r="Y5" s="44">
        <f t="shared" ref="Y5:Y24" si="5">Q5-P5</f>
        <v>1933.4400000000023</v>
      </c>
      <c r="Z5" s="44">
        <f t="shared" ref="Z5:Z24" si="6">X5+(A$6*W5)</f>
        <v>97831.925206203188</v>
      </c>
      <c r="AA5" s="50">
        <f t="shared" ref="AA5:AA24" si="7">Q5+X5</f>
        <v>60939.972622653957</v>
      </c>
      <c r="AB5" s="51">
        <f t="shared" ref="AB5:AC20" si="8">Z5/(1+ElecDiscountRate)^1</f>
        <v>91457.348047305961</v>
      </c>
      <c r="AC5" s="44">
        <f t="shared" si="8"/>
        <v>56969.218119710153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6.717917977377609</v>
      </c>
      <c r="AP5" s="47">
        <f>AN5/AC5</f>
        <v>11.863305854946917</v>
      </c>
      <c r="AQ5">
        <v>2021</v>
      </c>
    </row>
    <row r="6" spans="1:43" ht="13.5" customHeight="1">
      <c r="A6" s="53">
        <f>SUMIF('Program Costs'!C:C,D2,'Program Costs'!L:L)</f>
        <v>2341019.7799999998</v>
      </c>
      <c r="B6" s="97" t="s">
        <v>70</v>
      </c>
      <c r="C6" s="98">
        <v>18230714</v>
      </c>
      <c r="D6" s="61" t="s">
        <v>128</v>
      </c>
      <c r="E6" s="38" t="s">
        <v>1084</v>
      </c>
      <c r="F6" s="39" t="s">
        <v>1085</v>
      </c>
      <c r="G6" s="39">
        <v>3</v>
      </c>
      <c r="H6" s="39"/>
      <c r="I6" s="40" t="s">
        <v>257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9.1860267103871344E-4</v>
      </c>
      <c r="V6" s="48">
        <f t="shared" si="2"/>
        <v>0</v>
      </c>
      <c r="W6" s="49">
        <f t="shared" si="3"/>
        <v>3.0620089034623783E-4</v>
      </c>
      <c r="X6" s="44">
        <f t="shared" si="4"/>
        <v>211.1915491777431</v>
      </c>
      <c r="Y6" s="44">
        <f t="shared" si="5"/>
        <v>0</v>
      </c>
      <c r="Z6" s="44">
        <f t="shared" si="6"/>
        <v>928.01389013189691</v>
      </c>
      <c r="AA6" s="50">
        <f t="shared" si="7"/>
        <v>447.19154917774313</v>
      </c>
      <c r="AB6" s="51">
        <f t="shared" si="8"/>
        <v>867.54593823679238</v>
      </c>
      <c r="AC6" s="44">
        <f t="shared" si="8"/>
        <v>418.05323845727128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1.767467243605654</v>
      </c>
      <c r="AP6" s="47">
        <f t="shared" ref="AP6:AP24" si="16">AN6/AC6</f>
        <v>4.0346414662321193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1086</v>
      </c>
      <c r="F7" s="39" t="s">
        <v>1087</v>
      </c>
      <c r="G7" s="39">
        <v>5</v>
      </c>
      <c r="H7" s="39"/>
      <c r="I7" s="40" t="s">
        <v>257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2.4186273865402542E-2</v>
      </c>
      <c r="V7" s="48">
        <f t="shared" si="2"/>
        <v>0</v>
      </c>
      <c r="W7" s="49">
        <f t="shared" si="3"/>
        <v>4.8372547730805085E-3</v>
      </c>
      <c r="X7" s="44">
        <f t="shared" si="4"/>
        <v>3336.330368403374</v>
      </c>
      <c r="Y7" s="44">
        <f t="shared" si="5"/>
        <v>7.9800000000000182</v>
      </c>
      <c r="Z7" s="44">
        <f t="shared" si="6"/>
        <v>14660.439473084256</v>
      </c>
      <c r="AA7" s="50">
        <f t="shared" si="7"/>
        <v>6026.3303684033745</v>
      </c>
      <c r="AB7" s="51">
        <f t="shared" si="8"/>
        <v>13705.187877988459</v>
      </c>
      <c r="AC7" s="44">
        <f t="shared" si="8"/>
        <v>5633.6639884111191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2.8643419994523511</v>
      </c>
      <c r="AP7" s="47">
        <f t="shared" si="16"/>
        <v>7.6649902910551662</v>
      </c>
      <c r="AQ7">
        <v>2021</v>
      </c>
    </row>
    <row r="8" spans="1:43" ht="13.5" customHeight="1">
      <c r="A8" s="53">
        <f>SUMIF('Program Costs'!C:C,D2,'Program Costs'!O:O)</f>
        <v>689715.66000000015</v>
      </c>
      <c r="B8" s="97" t="s">
        <v>70</v>
      </c>
      <c r="C8" s="98">
        <v>18230714</v>
      </c>
      <c r="D8" s="61" t="s">
        <v>128</v>
      </c>
      <c r="E8" s="38" t="s">
        <v>1088</v>
      </c>
      <c r="F8" s="39" t="s">
        <v>1089</v>
      </c>
      <c r="G8" s="39">
        <v>5</v>
      </c>
      <c r="H8" s="39"/>
      <c r="I8" s="40" t="s">
        <v>257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7.4365024439574713E-4</v>
      </c>
      <c r="V8" s="48">
        <f t="shared" si="2"/>
        <v>0</v>
      </c>
      <c r="W8" s="49">
        <f t="shared" si="3"/>
        <v>1.4873004887914942E-4</v>
      </c>
      <c r="X8" s="44">
        <f t="shared" si="4"/>
        <v>102.58144382451482</v>
      </c>
      <c r="Y8" s="44">
        <f t="shared" si="5"/>
        <v>0</v>
      </c>
      <c r="Z8" s="44">
        <f t="shared" si="6"/>
        <v>450.76143013097044</v>
      </c>
      <c r="AA8" s="50">
        <f t="shared" si="7"/>
        <v>234.58144382451482</v>
      </c>
      <c r="AB8" s="51">
        <f t="shared" si="8"/>
        <v>421.39051148076135</v>
      </c>
      <c r="AC8" s="44">
        <f t="shared" si="8"/>
        <v>219.29647922269308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2.8643419994523511</v>
      </c>
      <c r="AP8" s="47">
        <f t="shared" si="16"/>
        <v>6.0543935722619917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18230714</v>
      </c>
      <c r="D9" s="61" t="s">
        <v>128</v>
      </c>
      <c r="E9" s="38" t="s">
        <v>1090</v>
      </c>
      <c r="F9" s="39" t="s">
        <v>1091</v>
      </c>
      <c r="G9" s="39">
        <v>5</v>
      </c>
      <c r="H9" s="39"/>
      <c r="I9" s="40" t="s">
        <v>257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4.0675414882858286E-2</v>
      </c>
      <c r="V9" s="48">
        <f t="shared" si="2"/>
        <v>0</v>
      </c>
      <c r="W9" s="49">
        <f t="shared" si="3"/>
        <v>8.135082976571657E-3</v>
      </c>
      <c r="X9" s="44">
        <f t="shared" si="4"/>
        <v>5610.8941243408863</v>
      </c>
      <c r="Y9" s="44">
        <f t="shared" si="5"/>
        <v>221.19999999999982</v>
      </c>
      <c r="Z9" s="44">
        <f t="shared" si="6"/>
        <v>24655.284284436413</v>
      </c>
      <c r="AA9" s="50">
        <f t="shared" si="7"/>
        <v>12830.894124340886</v>
      </c>
      <c r="AB9" s="51">
        <f t="shared" si="8"/>
        <v>23048.784037053763</v>
      </c>
      <c r="AC9" s="44">
        <f t="shared" si="8"/>
        <v>11994.852878695789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2.8643419994523511</v>
      </c>
      <c r="AP9" s="47">
        <f t="shared" si="16"/>
        <v>6.0543935722619908</v>
      </c>
      <c r="AQ9">
        <v>2021</v>
      </c>
    </row>
    <row r="10" spans="1:43" ht="13.5" customHeight="1">
      <c r="A10" s="54">
        <f>SUM(O5:O999)</f>
        <v>21965971.400000013</v>
      </c>
      <c r="B10" s="97" t="s">
        <v>70</v>
      </c>
      <c r="C10" s="98">
        <v>18230714</v>
      </c>
      <c r="D10" s="61" t="s">
        <v>128</v>
      </c>
      <c r="E10" s="38" t="s">
        <v>1092</v>
      </c>
      <c r="F10" s="39" t="s">
        <v>1093</v>
      </c>
      <c r="G10" s="39">
        <v>5</v>
      </c>
      <c r="H10" s="39"/>
      <c r="I10" s="40" t="s">
        <v>257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1.1596118166665729E-2</v>
      </c>
      <c r="V10" s="48">
        <f t="shared" si="2"/>
        <v>0</v>
      </c>
      <c r="W10" s="49">
        <f t="shared" si="3"/>
        <v>2.3192236333331459E-3</v>
      </c>
      <c r="X10" s="44">
        <f t="shared" si="4"/>
        <v>1599.6048589519692</v>
      </c>
      <c r="Y10" s="44">
        <f t="shared" si="5"/>
        <v>0</v>
      </c>
      <c r="Z10" s="44">
        <f t="shared" si="6"/>
        <v>7028.9532588283309</v>
      </c>
      <c r="AA10" s="50">
        <f t="shared" si="7"/>
        <v>3191.6048589519692</v>
      </c>
      <c r="AB10" s="51">
        <f t="shared" si="8"/>
        <v>6570.9575197048989</v>
      </c>
      <c r="AC10" s="44">
        <f t="shared" si="8"/>
        <v>2983.6448153238935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2.8643419994523516</v>
      </c>
      <c r="AP10" s="47">
        <f t="shared" si="16"/>
        <v>6.9390352544665372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18230714</v>
      </c>
      <c r="D11" s="61" t="s">
        <v>128</v>
      </c>
      <c r="E11" s="38" t="s">
        <v>1094</v>
      </c>
      <c r="F11" s="39" t="s">
        <v>1095</v>
      </c>
      <c r="G11" s="39">
        <v>5</v>
      </c>
      <c r="H11" s="39"/>
      <c r="I11" s="40" t="s">
        <v>257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2.0754829900215556E-3</v>
      </c>
      <c r="V11" s="48">
        <f t="shared" si="2"/>
        <v>0</v>
      </c>
      <c r="W11" s="49">
        <f t="shared" si="3"/>
        <v>4.1509659800431111E-4</v>
      </c>
      <c r="X11" s="44">
        <f t="shared" si="4"/>
        <v>286.29862405629819</v>
      </c>
      <c r="Y11" s="44">
        <f t="shared" si="5"/>
        <v>0</v>
      </c>
      <c r="Z11" s="44">
        <f t="shared" si="6"/>
        <v>1258.0479705950988</v>
      </c>
      <c r="AA11" s="50">
        <f t="shared" si="7"/>
        <v>577.29862405629819</v>
      </c>
      <c r="AB11" s="51">
        <f t="shared" si="8"/>
        <v>1176.0755077078609</v>
      </c>
      <c r="AC11" s="44">
        <f t="shared" si="8"/>
        <v>539.68273726867176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2.864341999452352</v>
      </c>
      <c r="AP11" s="47">
        <f t="shared" si="16"/>
        <v>6.8661649937778488</v>
      </c>
      <c r="AQ11">
        <v>2021</v>
      </c>
    </row>
    <row r="12" spans="1:43" ht="13.5" customHeight="1">
      <c r="A12" s="55">
        <f>SUM(P5:P1000)</f>
        <v>1823132.46</v>
      </c>
      <c r="B12" s="97" t="s">
        <v>70</v>
      </c>
      <c r="C12" s="98">
        <v>18230714</v>
      </c>
      <c r="D12" s="61" t="s">
        <v>128</v>
      </c>
      <c r="E12" s="38" t="s">
        <v>1096</v>
      </c>
      <c r="F12" s="39" t="s">
        <v>1031</v>
      </c>
      <c r="G12" s="39">
        <v>12</v>
      </c>
      <c r="H12" s="39"/>
      <c r="I12" s="40" t="s">
        <v>257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1.0553687600631214</v>
      </c>
      <c r="V12" s="48">
        <f t="shared" si="2"/>
        <v>0</v>
      </c>
      <c r="W12" s="49">
        <f t="shared" si="3"/>
        <v>8.7947396671926775E-2</v>
      </c>
      <c r="X12" s="44">
        <f t="shared" si="4"/>
        <v>60658.696740859792</v>
      </c>
      <c r="Y12" s="44">
        <f t="shared" si="5"/>
        <v>-100343.67999999999</v>
      </c>
      <c r="Z12" s="44">
        <f t="shared" si="6"/>
        <v>266545.29194934655</v>
      </c>
      <c r="AA12" s="50">
        <f t="shared" si="7"/>
        <v>182158.6967408598</v>
      </c>
      <c r="AB12" s="51">
        <f t="shared" si="8"/>
        <v>249177.61236734272</v>
      </c>
      <c r="AC12" s="44">
        <f t="shared" si="8"/>
        <v>170289.51737950806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6.717917977377609</v>
      </c>
      <c r="AP12" s="47">
        <f t="shared" si="16"/>
        <v>10.81305688210519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18230714</v>
      </c>
      <c r="D13" s="61" t="s">
        <v>128</v>
      </c>
      <c r="E13" s="38" t="s">
        <v>1030</v>
      </c>
      <c r="F13" s="39" t="s">
        <v>1031</v>
      </c>
      <c r="G13" s="39">
        <v>12</v>
      </c>
      <c r="H13" s="39"/>
      <c r="I13" s="40" t="s">
        <v>257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4.2477734629118231</v>
      </c>
      <c r="V13" s="48">
        <f t="shared" si="2"/>
        <v>0</v>
      </c>
      <c r="W13" s="49">
        <f t="shared" si="3"/>
        <v>0.35398112190931857</v>
      </c>
      <c r="X13" s="44">
        <f t="shared" si="4"/>
        <v>244146.32312522616</v>
      </c>
      <c r="Y13" s="44">
        <f t="shared" si="5"/>
        <v>1497.9099999999744</v>
      </c>
      <c r="Z13" s="44">
        <f t="shared" si="6"/>
        <v>1072823.1312615322</v>
      </c>
      <c r="AA13" s="50">
        <f t="shared" si="7"/>
        <v>636850.32312522619</v>
      </c>
      <c r="AB13" s="51">
        <f t="shared" si="8"/>
        <v>1002919.6328517641</v>
      </c>
      <c r="AC13" s="44">
        <f t="shared" si="8"/>
        <v>595354.13959542499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6.7179179773776001</v>
      </c>
      <c r="AP13" s="47">
        <f t="shared" si="16"/>
        <v>12.448531926856434</v>
      </c>
      <c r="AQ13">
        <v>2021</v>
      </c>
    </row>
    <row r="14" spans="1:43" ht="13.5" customHeight="1">
      <c r="A14" s="55">
        <f>SUM(Y5:Y1000)</f>
        <v>1244954.56</v>
      </c>
      <c r="B14" s="97" t="s">
        <v>70</v>
      </c>
      <c r="C14" s="98">
        <v>18230714</v>
      </c>
      <c r="D14" s="61" t="s">
        <v>128</v>
      </c>
      <c r="E14" s="38" t="s">
        <v>1097</v>
      </c>
      <c r="F14" s="39" t="s">
        <v>1098</v>
      </c>
      <c r="G14" s="39">
        <v>10</v>
      </c>
      <c r="H14" s="39"/>
      <c r="I14" s="40" t="s">
        <v>257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0.13854447611636236</v>
      </c>
      <c r="V14" s="48">
        <f t="shared" si="2"/>
        <v>56.889999999999986</v>
      </c>
      <c r="W14" s="49">
        <f t="shared" si="3"/>
        <v>1.3854447611636235E-2</v>
      </c>
      <c r="X14" s="44">
        <f t="shared" si="4"/>
        <v>9555.6294783951125</v>
      </c>
      <c r="Y14" s="44">
        <f t="shared" si="5"/>
        <v>26066.029999999897</v>
      </c>
      <c r="Z14" s="44">
        <f t="shared" si="6"/>
        <v>41989.165378209291</v>
      </c>
      <c r="AA14" s="50">
        <f t="shared" si="7"/>
        <v>102242.34947839502</v>
      </c>
      <c r="AB14" s="51">
        <f t="shared" si="8"/>
        <v>39253.216208478349</v>
      </c>
      <c r="AC14" s="44">
        <f t="shared" si="8"/>
        <v>95580.395885196791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5.6431248045194859</v>
      </c>
      <c r="AP14" s="47">
        <f t="shared" si="16"/>
        <v>2.5492871795615901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18230714</v>
      </c>
      <c r="D15" s="61" t="s">
        <v>128</v>
      </c>
      <c r="E15" s="38" t="s">
        <v>1099</v>
      </c>
      <c r="F15" s="39" t="s">
        <v>1100</v>
      </c>
      <c r="G15" s="39">
        <v>10</v>
      </c>
      <c r="H15" s="39"/>
      <c r="I15" s="40" t="s">
        <v>257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0.11288660787384976</v>
      </c>
      <c r="V15" s="48">
        <f t="shared" si="2"/>
        <v>393.27</v>
      </c>
      <c r="W15" s="49">
        <f t="shared" si="3"/>
        <v>1.1288660787384976E-2</v>
      </c>
      <c r="X15" s="44">
        <f t="shared" si="4"/>
        <v>7785.9661254873499</v>
      </c>
      <c r="Y15" s="44">
        <f t="shared" si="5"/>
        <v>34687.460000000006</v>
      </c>
      <c r="Z15" s="44">
        <f t="shared" si="6"/>
        <v>34212.944318465947</v>
      </c>
      <c r="AA15" s="50">
        <f t="shared" si="7"/>
        <v>68793.726125487359</v>
      </c>
      <c r="AB15" s="51">
        <f t="shared" si="8"/>
        <v>31983.681703716877</v>
      </c>
      <c r="AC15" s="44">
        <f t="shared" si="8"/>
        <v>64311.233173307803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5.6431248045194877</v>
      </c>
      <c r="AP15" s="47">
        <f t="shared" si="16"/>
        <v>3.087123174629359</v>
      </c>
      <c r="AQ15">
        <v>2021</v>
      </c>
    </row>
    <row r="16" spans="1:43" ht="13.5" customHeight="1">
      <c r="A16" s="54">
        <f>SUM(U5:U999)</f>
        <v>11.678283082896121</v>
      </c>
      <c r="B16" s="97" t="s">
        <v>70</v>
      </c>
      <c r="C16" s="98">
        <v>18230714</v>
      </c>
      <c r="D16" s="61" t="s">
        <v>128</v>
      </c>
      <c r="E16" s="38" t="s">
        <v>1101</v>
      </c>
      <c r="F16" s="39" t="s">
        <v>1102</v>
      </c>
      <c r="G16" s="39">
        <v>10</v>
      </c>
      <c r="H16" s="39"/>
      <c r="I16" s="40" t="s">
        <v>257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2.7496166183663502E-3</v>
      </c>
      <c r="V16" s="48">
        <f t="shared" si="2"/>
        <v>91.18</v>
      </c>
      <c r="W16" s="49">
        <f t="shared" si="3"/>
        <v>2.7496166183663503E-4</v>
      </c>
      <c r="X16" s="44">
        <f t="shared" si="4"/>
        <v>189.64536406835157</v>
      </c>
      <c r="Y16" s="44">
        <f t="shared" si="5"/>
        <v>2397.9299999999998</v>
      </c>
      <c r="Z16" s="44">
        <f t="shared" si="6"/>
        <v>833.33605316958528</v>
      </c>
      <c r="AA16" s="50">
        <f t="shared" si="7"/>
        <v>3600.3253640683515</v>
      </c>
      <c r="AB16" s="51">
        <f t="shared" si="8"/>
        <v>779.03716291444812</v>
      </c>
      <c r="AC16" s="44">
        <f t="shared" si="8"/>
        <v>3365.7337235377686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5.6431248045194877</v>
      </c>
      <c r="AP16" s="47">
        <f t="shared" si="16"/>
        <v>1.4367816139568261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18230714</v>
      </c>
      <c r="D17" s="61" t="s">
        <v>128</v>
      </c>
      <c r="E17" s="38" t="s">
        <v>1103</v>
      </c>
      <c r="F17" s="39" t="s">
        <v>1104</v>
      </c>
      <c r="G17" s="39">
        <v>10</v>
      </c>
      <c r="H17" s="39"/>
      <c r="I17" s="40" t="s">
        <v>257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0.14660785727873607</v>
      </c>
      <c r="V17" s="48">
        <f t="shared" si="2"/>
        <v>125.58000000000001</v>
      </c>
      <c r="W17" s="49">
        <f t="shared" si="3"/>
        <v>1.4660785727873606E-2</v>
      </c>
      <c r="X17" s="44">
        <f t="shared" si="4"/>
        <v>10111.773504418927</v>
      </c>
      <c r="Y17" s="44">
        <f t="shared" si="5"/>
        <v>95853.2</v>
      </c>
      <c r="Z17" s="44">
        <f t="shared" si="6"/>
        <v>44432.962883712731</v>
      </c>
      <c r="AA17" s="50">
        <f t="shared" si="7"/>
        <v>148298.55350441893</v>
      </c>
      <c r="AB17" s="51">
        <f t="shared" si="8"/>
        <v>41537.779642621972</v>
      </c>
      <c r="AC17" s="44">
        <f t="shared" si="8"/>
        <v>138635.64878416277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5.6431248045194877</v>
      </c>
      <c r="AP17" s="47">
        <f t="shared" si="16"/>
        <v>1.8598619067305453</v>
      </c>
      <c r="AQ17">
        <v>2021</v>
      </c>
    </row>
    <row r="18" spans="1:43" ht="13.5" customHeight="1">
      <c r="A18" s="59">
        <f>A6+A8</f>
        <v>3030735.44</v>
      </c>
      <c r="B18" s="97" t="s">
        <v>70</v>
      </c>
      <c r="C18" s="98">
        <v>18230714</v>
      </c>
      <c r="D18" s="61" t="s">
        <v>128</v>
      </c>
      <c r="E18" s="38" t="s">
        <v>1105</v>
      </c>
      <c r="F18" s="39" t="s">
        <v>1106</v>
      </c>
      <c r="G18" s="39">
        <v>10</v>
      </c>
      <c r="H18" s="39"/>
      <c r="I18" s="40" t="s">
        <v>257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0.16889214378199535</v>
      </c>
      <c r="V18" s="48">
        <f t="shared" si="2"/>
        <v>141.93</v>
      </c>
      <c r="W18" s="49">
        <f t="shared" si="3"/>
        <v>1.6889214378199534E-2</v>
      </c>
      <c r="X18" s="44">
        <f t="shared" si="4"/>
        <v>11648.755641741383</v>
      </c>
      <c r="Y18" s="44">
        <f t="shared" si="5"/>
        <v>83566.650000000023</v>
      </c>
      <c r="Z18" s="44">
        <f t="shared" si="6"/>
        <v>51186.740569766887</v>
      </c>
      <c r="AA18" s="50">
        <f t="shared" si="7"/>
        <v>149306.9256417414</v>
      </c>
      <c r="AB18" s="51">
        <f t="shared" si="8"/>
        <v>47851.491604905001</v>
      </c>
      <c r="AC18" s="44">
        <f t="shared" si="8"/>
        <v>139578.31695030513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5.6431248045194886</v>
      </c>
      <c r="AP18" s="47">
        <f t="shared" si="16"/>
        <v>2.1280893739071249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1107</v>
      </c>
      <c r="F19" s="39" t="s">
        <v>1108</v>
      </c>
      <c r="G19" s="39">
        <v>10</v>
      </c>
      <c r="H19" s="39"/>
      <c r="I19" s="40" t="s">
        <v>257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5.8434929948055894E-2</v>
      </c>
      <c r="V19" s="48">
        <f t="shared" si="2"/>
        <v>17</v>
      </c>
      <c r="W19" s="49">
        <f t="shared" si="3"/>
        <v>5.8434929948055891E-3</v>
      </c>
      <c r="X19" s="44">
        <f t="shared" si="4"/>
        <v>4030.3486276177141</v>
      </c>
      <c r="Y19" s="44">
        <f t="shared" si="5"/>
        <v>40431</v>
      </c>
      <c r="Z19" s="44">
        <f t="shared" si="6"/>
        <v>17710.081312749036</v>
      </c>
      <c r="AA19" s="50">
        <f t="shared" si="7"/>
        <v>51570.348627617714</v>
      </c>
      <c r="AB19" s="51">
        <f t="shared" si="8"/>
        <v>16556.119765120158</v>
      </c>
      <c r="AC19" s="44">
        <f t="shared" si="8"/>
        <v>48210.104354134535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5.6431248045194868</v>
      </c>
      <c r="AP19" s="47">
        <f t="shared" si="16"/>
        <v>2.1317330983052662</v>
      </c>
      <c r="AQ19">
        <v>2021</v>
      </c>
    </row>
    <row r="20" spans="1:43" ht="13.5" customHeight="1">
      <c r="A20" s="59">
        <f>A8+SUM(Q5:Q906)</f>
        <v>3757802.68</v>
      </c>
      <c r="B20" s="97" t="s">
        <v>70</v>
      </c>
      <c r="C20" s="98">
        <v>18230714</v>
      </c>
      <c r="D20" s="61" t="s">
        <v>128</v>
      </c>
      <c r="E20" s="38" t="s">
        <v>1109</v>
      </c>
      <c r="F20" s="39" t="s">
        <v>1110</v>
      </c>
      <c r="G20" s="39">
        <v>12</v>
      </c>
      <c r="H20" s="39"/>
      <c r="I20" s="40" t="s">
        <v>257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0.17398361904450069</v>
      </c>
      <c r="V20" s="48">
        <f t="shared" si="2"/>
        <v>16</v>
      </c>
      <c r="W20" s="49">
        <f t="shared" si="3"/>
        <v>1.4498634920375057E-2</v>
      </c>
      <c r="X20" s="44">
        <f t="shared" si="4"/>
        <v>9999.9355532055324</v>
      </c>
      <c r="Y20" s="44">
        <f t="shared" si="5"/>
        <v>72176</v>
      </c>
      <c r="Z20" s="44">
        <f t="shared" si="6"/>
        <v>43941.526684802266</v>
      </c>
      <c r="AA20" s="50">
        <f t="shared" si="7"/>
        <v>100219.93555320553</v>
      </c>
      <c r="AB20" s="51">
        <f t="shared" si="8"/>
        <v>41078.364667478978</v>
      </c>
      <c r="AC20" s="44">
        <f t="shared" si="8"/>
        <v>93689.759328041066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6.7179179773776063</v>
      </c>
      <c r="AP20" s="47">
        <f t="shared" si="16"/>
        <v>3.2400253251389173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1111</v>
      </c>
      <c r="F21" s="39" t="s">
        <v>1112</v>
      </c>
      <c r="G21" s="39">
        <v>15</v>
      </c>
      <c r="H21" s="39"/>
      <c r="I21" s="40" t="s">
        <v>257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2.3449907614830076E-3</v>
      </c>
      <c r="V21" s="48">
        <f t="shared" si="2"/>
        <v>215</v>
      </c>
      <c r="W21" s="49">
        <f t="shared" si="3"/>
        <v>1.563327174322005E-4</v>
      </c>
      <c r="X21" s="44">
        <f t="shared" si="4"/>
        <v>107.82512338334369</v>
      </c>
      <c r="Y21" s="44">
        <f t="shared" si="5"/>
        <v>3655</v>
      </c>
      <c r="Z21" s="44">
        <f t="shared" si="6"/>
        <v>473.80310715327585</v>
      </c>
      <c r="AA21" s="50">
        <f t="shared" si="7"/>
        <v>4442.8251233833435</v>
      </c>
      <c r="AB21" s="51">
        <f t="shared" ref="AB21:AC24" si="18">Z21/(1+ElecDiscountRate)^1</f>
        <v>442.93082841289691</v>
      </c>
      <c r="AC21" s="44">
        <f t="shared" si="18"/>
        <v>4153.3374996572338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8.1761384100224603</v>
      </c>
      <c r="AP21" s="47">
        <f t="shared" si="16"/>
        <v>0.95913470441915416</v>
      </c>
      <c r="AQ21">
        <v>2021</v>
      </c>
    </row>
    <row r="22" spans="1:43" ht="13.5" customHeight="1">
      <c r="A22" s="60">
        <f>(SUM(AM5:AM110)/(SUM(AB5:AB110)))</f>
        <v>6.5215907687770969</v>
      </c>
      <c r="B22" s="97" t="s">
        <v>70</v>
      </c>
      <c r="C22" s="98">
        <v>18230714</v>
      </c>
      <c r="D22" s="61" t="s">
        <v>128</v>
      </c>
      <c r="E22" s="38" t="s">
        <v>1113</v>
      </c>
      <c r="F22" s="39" t="s">
        <v>1114</v>
      </c>
      <c r="G22" s="39">
        <v>15</v>
      </c>
      <c r="H22" s="39"/>
      <c r="I22" s="40" t="s">
        <v>257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5.0076547035839233E-2</v>
      </c>
      <c r="V22" s="48">
        <f t="shared" si="2"/>
        <v>279</v>
      </c>
      <c r="W22" s="49">
        <f t="shared" si="3"/>
        <v>3.3384364690559488E-3</v>
      </c>
      <c r="X22" s="44">
        <f t="shared" si="4"/>
        <v>2302.5719126229938</v>
      </c>
      <c r="Y22" s="44">
        <f t="shared" si="5"/>
        <v>81499</v>
      </c>
      <c r="Z22" s="44">
        <f t="shared" si="6"/>
        <v>10117.917720956328</v>
      </c>
      <c r="AA22" s="50">
        <f t="shared" si="7"/>
        <v>98041.571912622996</v>
      </c>
      <c r="AB22" s="51">
        <f t="shared" si="18"/>
        <v>9458.6498279483276</v>
      </c>
      <c r="AC22" s="44">
        <f t="shared" si="18"/>
        <v>91653.334498105061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8.1761384100224603</v>
      </c>
      <c r="AP22" s="47">
        <f t="shared" si="16"/>
        <v>0.92815775495351505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1115</v>
      </c>
      <c r="F23" s="39" t="s">
        <v>1116</v>
      </c>
      <c r="G23" s="39">
        <v>15</v>
      </c>
      <c r="H23" s="39"/>
      <c r="I23" s="40" t="s">
        <v>257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1.2980076993089404E-2</v>
      </c>
      <c r="V23" s="48">
        <f t="shared" si="2"/>
        <v>295</v>
      </c>
      <c r="W23" s="49">
        <f t="shared" si="3"/>
        <v>8.6533846620596023E-4</v>
      </c>
      <c r="X23" s="44">
        <f t="shared" si="4"/>
        <v>596.83749134263167</v>
      </c>
      <c r="Y23" s="44">
        <f t="shared" si="5"/>
        <v>15930</v>
      </c>
      <c r="Z23" s="44">
        <f t="shared" si="6"/>
        <v>2622.6119571256459</v>
      </c>
      <c r="AA23" s="50">
        <f t="shared" si="7"/>
        <v>20306.837491342631</v>
      </c>
      <c r="AB23" s="51">
        <f t="shared" si="18"/>
        <v>2451.7266122517021</v>
      </c>
      <c r="AC23" s="44">
        <f t="shared" si="18"/>
        <v>18983.675321438375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8.1761384100224586</v>
      </c>
      <c r="AP23" s="47">
        <f t="shared" si="16"/>
        <v>1.1615359704837807</v>
      </c>
      <c r="AQ23">
        <v>2021</v>
      </c>
    </row>
    <row r="24" spans="1:43" ht="13.5" customHeight="1">
      <c r="A24" s="60">
        <f>(SUM(AN5:AN110)/SUM(AC5:AC110))</f>
        <v>5.7857582599096329</v>
      </c>
      <c r="B24" s="97" t="s">
        <v>70</v>
      </c>
      <c r="C24" s="98">
        <v>18230714</v>
      </c>
      <c r="D24" s="61" t="s">
        <v>128</v>
      </c>
      <c r="E24" s="38" t="s">
        <v>1117</v>
      </c>
      <c r="F24" s="39" t="s">
        <v>1118</v>
      </c>
      <c r="G24" s="39">
        <v>15</v>
      </c>
      <c r="H24" s="39"/>
      <c r="I24" s="40" t="s">
        <v>257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4.4404592095571939E-2</v>
      </c>
      <c r="V24" s="48">
        <f t="shared" si="2"/>
        <v>278</v>
      </c>
      <c r="W24" s="49">
        <f t="shared" si="3"/>
        <v>2.9603061397047961E-3</v>
      </c>
      <c r="X24" s="44">
        <f t="shared" si="4"/>
        <v>2041.769502948546</v>
      </c>
      <c r="Y24" s="44">
        <f t="shared" si="5"/>
        <v>34163.71</v>
      </c>
      <c r="Z24" s="44">
        <f t="shared" si="6"/>
        <v>8971.9047308529171</v>
      </c>
      <c r="AA24" s="50">
        <f t="shared" si="7"/>
        <v>49377.769502948548</v>
      </c>
      <c r="AB24" s="51">
        <f t="shared" si="18"/>
        <v>8387.3092744254609</v>
      </c>
      <c r="AC24" s="44">
        <f t="shared" si="18"/>
        <v>46160.390299101193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8.1761384100224603</v>
      </c>
      <c r="AP24" s="47">
        <f t="shared" si="16"/>
        <v>1.6341582291251378</v>
      </c>
      <c r="AQ24">
        <v>2021</v>
      </c>
    </row>
    <row r="25" spans="1:43" ht="13.5" customHeight="1">
      <c r="B25" s="97" t="s">
        <v>70</v>
      </c>
      <c r="C25" s="98">
        <v>18230714</v>
      </c>
      <c r="D25" s="61" t="s">
        <v>128</v>
      </c>
      <c r="E25" s="38" t="s">
        <v>1119</v>
      </c>
      <c r="F25" s="39" t="s">
        <v>1120</v>
      </c>
      <c r="G25" s="39">
        <v>15</v>
      </c>
      <c r="H25" s="39"/>
      <c r="I25" s="40" t="s">
        <v>257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0.24169725541935272</v>
      </c>
      <c r="V25" s="48">
        <f t="shared" ref="V25:V48" si="21">N25-M25</f>
        <v>341</v>
      </c>
      <c r="W25" s="49">
        <f t="shared" ref="W25:W48" si="22">(O25/A$10)</f>
        <v>1.6113150361290181E-2</v>
      </c>
      <c r="X25" s="44">
        <f t="shared" ref="X25:X48" si="23">W25*A$8</f>
        <v>11113.492136116498</v>
      </c>
      <c r="Y25" s="44">
        <f t="shared" ref="Y25:Y48" si="24">Q25-P25</f>
        <v>143800.74</v>
      </c>
      <c r="Z25" s="44">
        <f t="shared" ref="Z25:Z48" si="25">X25+(A$6*W25)</f>
        <v>48834.695850010954</v>
      </c>
      <c r="AA25" s="50">
        <f t="shared" ref="AA25:AA48" si="26">Q25+X25</f>
        <v>224221.49213611649</v>
      </c>
      <c r="AB25" s="51">
        <f t="shared" ref="AB25:AB48" si="27">Z25/(1+ElecDiscountRate)^1</f>
        <v>45652.702486688744</v>
      </c>
      <c r="AC25" s="44">
        <f t="shared" ref="AC25:AC48" si="28">AA25/(1+ElecDiscountRate)^1</f>
        <v>209611.56598683412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8.1761384100224603</v>
      </c>
      <c r="AP25" s="47">
        <f t="shared" ref="AP25:AP48" si="37">AN25/AC25</f>
        <v>1.9588093520603131</v>
      </c>
      <c r="AQ25">
        <v>2021</v>
      </c>
    </row>
    <row r="26" spans="1:43" ht="13.5" customHeight="1">
      <c r="B26" s="97" t="s">
        <v>70</v>
      </c>
      <c r="C26" s="98">
        <v>18230714</v>
      </c>
      <c r="D26" s="61" t="s">
        <v>128</v>
      </c>
      <c r="E26" s="38" t="s">
        <v>1121</v>
      </c>
      <c r="F26" s="39" t="s">
        <v>1122</v>
      </c>
      <c r="G26" s="39">
        <v>15</v>
      </c>
      <c r="H26" s="39"/>
      <c r="I26" s="40" t="s">
        <v>257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2.8462205864476342E-2</v>
      </c>
      <c r="V26" s="48">
        <f t="shared" si="21"/>
        <v>261</v>
      </c>
      <c r="W26" s="49">
        <f t="shared" si="22"/>
        <v>1.8974803909650895E-3</v>
      </c>
      <c r="X26" s="44">
        <f t="shared" si="23"/>
        <v>1308.7219401915449</v>
      </c>
      <c r="Y26" s="44">
        <f t="shared" si="24"/>
        <v>10440</v>
      </c>
      <c r="Z26" s="44">
        <f t="shared" si="25"/>
        <v>5750.7610676029526</v>
      </c>
      <c r="AA26" s="50">
        <f t="shared" si="26"/>
        <v>20148.721940191546</v>
      </c>
      <c r="AB26" s="51">
        <f t="shared" si="27"/>
        <v>5376.0503576731344</v>
      </c>
      <c r="AC26" s="44">
        <f t="shared" si="28"/>
        <v>18835.862335413243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8.1761384100224603</v>
      </c>
      <c r="AP26" s="47">
        <f t="shared" si="37"/>
        <v>2.5669578671235365</v>
      </c>
      <c r="AQ26">
        <v>2021</v>
      </c>
    </row>
    <row r="27" spans="1:43" ht="13.5" customHeight="1">
      <c r="B27" s="97" t="s">
        <v>70</v>
      </c>
      <c r="C27" s="98">
        <v>18230714</v>
      </c>
      <c r="D27" s="61" t="s">
        <v>128</v>
      </c>
      <c r="E27" s="38" t="s">
        <v>1123</v>
      </c>
      <c r="F27" s="39" t="s">
        <v>1124</v>
      </c>
      <c r="G27" s="39">
        <v>15</v>
      </c>
      <c r="H27" s="39"/>
      <c r="I27" s="40" t="s">
        <v>257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0.22258291750302456</v>
      </c>
      <c r="V27" s="48">
        <f t="shared" si="21"/>
        <v>427</v>
      </c>
      <c r="W27" s="49">
        <f t="shared" si="22"/>
        <v>1.4838861166868304E-2</v>
      </c>
      <c r="X27" s="44">
        <f t="shared" si="23"/>
        <v>10234.594923354945</v>
      </c>
      <c r="Y27" s="44">
        <f t="shared" si="24"/>
        <v>113585</v>
      </c>
      <c r="Z27" s="44">
        <f t="shared" si="25"/>
        <v>44972.662427667521</v>
      </c>
      <c r="AA27" s="50">
        <f t="shared" si="26"/>
        <v>189639.59492335495</v>
      </c>
      <c r="AB27" s="51">
        <f t="shared" si="27"/>
        <v>42042.313197782103</v>
      </c>
      <c r="AC27" s="44">
        <f t="shared" si="28"/>
        <v>177282.97178961852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8.1761384100224621</v>
      </c>
      <c r="AP27" s="47">
        <f t="shared" si="37"/>
        <v>2.1328509170612899</v>
      </c>
      <c r="AQ27">
        <v>2021</v>
      </c>
    </row>
    <row r="28" spans="1:43" ht="13.5" customHeight="1">
      <c r="B28" s="97" t="s">
        <v>70</v>
      </c>
      <c r="C28" s="98">
        <v>18230714</v>
      </c>
      <c r="D28" s="61" t="s">
        <v>128</v>
      </c>
      <c r="E28" s="38" t="s">
        <v>1125</v>
      </c>
      <c r="F28" s="39" t="s">
        <v>1126</v>
      </c>
      <c r="G28" s="39">
        <v>15</v>
      </c>
      <c r="H28" s="39"/>
      <c r="I28" s="40" t="s">
        <v>257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0.77452709421264154</v>
      </c>
      <c r="V28" s="48">
        <f t="shared" si="21"/>
        <v>558</v>
      </c>
      <c r="W28" s="49">
        <f t="shared" si="22"/>
        <v>5.1635139614176102E-2</v>
      </c>
      <c r="X28" s="44">
        <f t="shared" si="23"/>
        <v>35613.564398183626</v>
      </c>
      <c r="Y28" s="44">
        <f t="shared" si="24"/>
        <v>213987.17</v>
      </c>
      <c r="Z28" s="44">
        <f t="shared" si="25"/>
        <v>156492.44757803145</v>
      </c>
      <c r="AA28" s="50">
        <f t="shared" si="26"/>
        <v>461475.5643981836</v>
      </c>
      <c r="AB28" s="51">
        <f t="shared" si="27"/>
        <v>146295.64137424645</v>
      </c>
      <c r="AC28" s="44">
        <f t="shared" si="28"/>
        <v>431406.52930558432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8.1761384100224603</v>
      </c>
      <c r="AP28" s="47">
        <f t="shared" si="37"/>
        <v>3.0498999540934872</v>
      </c>
      <c r="AQ28">
        <v>2021</v>
      </c>
    </row>
    <row r="29" spans="1:43">
      <c r="B29" s="97" t="s">
        <v>70</v>
      </c>
      <c r="C29" s="98">
        <v>18230714</v>
      </c>
      <c r="D29" s="61" t="s">
        <v>128</v>
      </c>
      <c r="E29" s="38" t="s">
        <v>1127</v>
      </c>
      <c r="F29" s="39" t="s">
        <v>1128</v>
      </c>
      <c r="G29" s="39">
        <v>15</v>
      </c>
      <c r="H29" s="39"/>
      <c r="I29" s="40" t="s">
        <v>257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2.5566818319721553E-2</v>
      </c>
      <c r="V29" s="48">
        <f t="shared" si="21"/>
        <v>78</v>
      </c>
      <c r="W29" s="49">
        <f t="shared" si="22"/>
        <v>1.7044545546481035E-3</v>
      </c>
      <c r="X29" s="44">
        <f t="shared" si="23"/>
        <v>1175.588998099123</v>
      </c>
      <c r="Y29" s="44">
        <f t="shared" si="24"/>
        <v>12480</v>
      </c>
      <c r="Z29" s="44">
        <f t="shared" si="25"/>
        <v>5165.7508246414236</v>
      </c>
      <c r="AA29" s="50">
        <f t="shared" si="26"/>
        <v>16855.588998099123</v>
      </c>
      <c r="AB29" s="51">
        <f t="shared" si="27"/>
        <v>4829.1584786775948</v>
      </c>
      <c r="AC29" s="44">
        <f t="shared" si="28"/>
        <v>15757.304850050596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8.1761384100224603</v>
      </c>
      <c r="AP29" s="47">
        <f t="shared" si="37"/>
        <v>2.756325104544906</v>
      </c>
      <c r="AQ29">
        <v>2021</v>
      </c>
    </row>
    <row r="30" spans="1:43">
      <c r="B30" s="97" t="s">
        <v>70</v>
      </c>
      <c r="C30" s="98">
        <v>18230714</v>
      </c>
      <c r="D30" s="61" t="s">
        <v>128</v>
      </c>
      <c r="E30" s="38" t="s">
        <v>1129</v>
      </c>
      <c r="F30" s="39" t="s">
        <v>1130</v>
      </c>
      <c r="G30" s="39">
        <v>15</v>
      </c>
      <c r="H30" s="39"/>
      <c r="I30" s="40" t="s">
        <v>257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1.5412475680451801E-2</v>
      </c>
      <c r="V30" s="48">
        <f t="shared" si="21"/>
        <v>74</v>
      </c>
      <c r="W30" s="49">
        <f t="shared" si="22"/>
        <v>1.0274983786967868E-3</v>
      </c>
      <c r="X30" s="44">
        <f t="shared" si="23"/>
        <v>708.68172241178434</v>
      </c>
      <c r="Y30" s="44">
        <f t="shared" si="24"/>
        <v>5476</v>
      </c>
      <c r="Z30" s="44">
        <f t="shared" si="25"/>
        <v>3114.0757508588927</v>
      </c>
      <c r="AA30" s="50">
        <f t="shared" si="26"/>
        <v>7294.681722411784</v>
      </c>
      <c r="AB30" s="51">
        <f t="shared" si="27"/>
        <v>2911.1673841814454</v>
      </c>
      <c r="AC30" s="44">
        <f t="shared" si="28"/>
        <v>6819.3715269811937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8.1761384100224603</v>
      </c>
      <c r="AP30" s="47">
        <f t="shared" si="37"/>
        <v>3.8394033982457034</v>
      </c>
      <c r="AQ30">
        <v>2021</v>
      </c>
    </row>
    <row r="31" spans="1:43">
      <c r="B31" s="97" t="s">
        <v>70</v>
      </c>
      <c r="C31" s="98">
        <v>18230714</v>
      </c>
      <c r="D31" s="61" t="s">
        <v>128</v>
      </c>
      <c r="E31" s="38" t="s">
        <v>1131</v>
      </c>
      <c r="F31" s="39" t="s">
        <v>1132</v>
      </c>
      <c r="G31" s="39">
        <v>15</v>
      </c>
      <c r="H31" s="39"/>
      <c r="I31" s="40" t="s">
        <v>257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3.2734268241831531E-2</v>
      </c>
      <c r="V31" s="48">
        <f t="shared" si="21"/>
        <v>36</v>
      </c>
      <c r="W31" s="49">
        <f t="shared" si="22"/>
        <v>2.1822845494554352E-3</v>
      </c>
      <c r="X31" s="44">
        <f t="shared" si="23"/>
        <v>1505.1558283354584</v>
      </c>
      <c r="Y31" s="44">
        <f t="shared" si="24"/>
        <v>24881.06</v>
      </c>
      <c r="Z31" s="44">
        <f t="shared" si="25"/>
        <v>6613.9271241990191</v>
      </c>
      <c r="AA31" s="50">
        <f t="shared" si="26"/>
        <v>31073.155828335457</v>
      </c>
      <c r="AB31" s="51">
        <f t="shared" si="27"/>
        <v>6182.9738470590055</v>
      </c>
      <c r="AC31" s="44">
        <f t="shared" si="28"/>
        <v>29048.47698264509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8.1761384100224621</v>
      </c>
      <c r="AP31" s="47">
        <f t="shared" si="37"/>
        <v>1.9143218760913598</v>
      </c>
      <c r="AQ31">
        <v>2021</v>
      </c>
    </row>
    <row r="32" spans="1:43">
      <c r="B32" s="97" t="s">
        <v>70</v>
      </c>
      <c r="C32" s="98">
        <v>18230714</v>
      </c>
      <c r="D32" s="61" t="s">
        <v>128</v>
      </c>
      <c r="E32" s="38" t="s">
        <v>1133</v>
      </c>
      <c r="F32" s="39" t="s">
        <v>1134</v>
      </c>
      <c r="G32" s="39">
        <v>15</v>
      </c>
      <c r="H32" s="39"/>
      <c r="I32" s="40" t="s">
        <v>257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8.1944930511928049E-5</v>
      </c>
      <c r="V32" s="48">
        <f t="shared" si="21"/>
        <v>15</v>
      </c>
      <c r="W32" s="49">
        <f t="shared" si="22"/>
        <v>5.46299536746187E-6</v>
      </c>
      <c r="X32" s="44">
        <f t="shared" si="23"/>
        <v>3.7679134554459068</v>
      </c>
      <c r="Y32" s="44">
        <f t="shared" si="24"/>
        <v>30</v>
      </c>
      <c r="Z32" s="44">
        <f t="shared" si="25"/>
        <v>16.556893668722513</v>
      </c>
      <c r="AA32" s="50">
        <f t="shared" si="26"/>
        <v>93.767913455445907</v>
      </c>
      <c r="AB32" s="51">
        <f t="shared" si="27"/>
        <v>15.478072047043574</v>
      </c>
      <c r="AC32" s="44">
        <f t="shared" si="28"/>
        <v>87.658141025938022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8.1761384100224586</v>
      </c>
      <c r="AP32" s="47">
        <f t="shared" si="37"/>
        <v>1.5880549562810111</v>
      </c>
      <c r="AQ32">
        <v>2021</v>
      </c>
    </row>
    <row r="33" spans="2:43">
      <c r="B33" s="97" t="s">
        <v>70</v>
      </c>
      <c r="C33" s="98">
        <v>18230714</v>
      </c>
      <c r="D33" s="61" t="s">
        <v>128</v>
      </c>
      <c r="E33" s="38" t="s">
        <v>1135</v>
      </c>
      <c r="F33" s="39" t="s">
        <v>1136</v>
      </c>
      <c r="G33" s="39">
        <v>15</v>
      </c>
      <c r="H33" s="39"/>
      <c r="I33" s="40" t="s">
        <v>257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7.1974963966310139E-3</v>
      </c>
      <c r="V33" s="48">
        <f t="shared" si="21"/>
        <v>121</v>
      </c>
      <c r="W33" s="49">
        <f t="shared" si="22"/>
        <v>4.7983309310873425E-4</v>
      </c>
      <c r="X33" s="44">
        <f t="shared" si="23"/>
        <v>330.94839850333216</v>
      </c>
      <c r="Y33" s="44">
        <f t="shared" si="24"/>
        <v>2057</v>
      </c>
      <c r="Z33" s="44">
        <f t="shared" si="25"/>
        <v>1454.2471605694607</v>
      </c>
      <c r="AA33" s="50">
        <f t="shared" si="26"/>
        <v>3747.9483985033321</v>
      </c>
      <c r="AB33" s="51">
        <f t="shared" si="27"/>
        <v>1359.4906614653273</v>
      </c>
      <c r="AC33" s="44">
        <f t="shared" si="28"/>
        <v>3503.7378690318142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8.1761384100224586</v>
      </c>
      <c r="AP33" s="47">
        <f t="shared" si="37"/>
        <v>3.4896794948246259</v>
      </c>
      <c r="AQ33">
        <v>2021</v>
      </c>
    </row>
    <row r="34" spans="2:43">
      <c r="B34" s="97" t="s">
        <v>70</v>
      </c>
      <c r="C34" s="98">
        <v>18230714</v>
      </c>
      <c r="D34" s="61" t="s">
        <v>128</v>
      </c>
      <c r="E34" s="38" t="s">
        <v>1137</v>
      </c>
      <c r="F34" s="39" t="s">
        <v>1138</v>
      </c>
      <c r="G34" s="39">
        <v>15</v>
      </c>
      <c r="H34" s="39"/>
      <c r="I34" s="40" t="s">
        <v>257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0.19458301762151969</v>
      </c>
      <c r="V34" s="48">
        <f t="shared" si="21"/>
        <v>212</v>
      </c>
      <c r="W34" s="49">
        <f t="shared" si="22"/>
        <v>1.2972201174767979E-2</v>
      </c>
      <c r="X34" s="44">
        <f t="shared" si="23"/>
        <v>8947.1302949078745</v>
      </c>
      <c r="Y34" s="44">
        <f t="shared" si="24"/>
        <v>65064.17</v>
      </c>
      <c r="Z34" s="44">
        <f t="shared" si="25"/>
        <v>39315.309835178952</v>
      </c>
      <c r="AA34" s="50">
        <f t="shared" si="26"/>
        <v>114195.13029490787</v>
      </c>
      <c r="AB34" s="51">
        <f t="shared" si="27"/>
        <v>36753.584963241046</v>
      </c>
      <c r="AC34" s="44">
        <f t="shared" si="28"/>
        <v>106754.35196308111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8.1761384100224603</v>
      </c>
      <c r="AP34" s="47">
        <f t="shared" si="37"/>
        <v>3.096385593822836</v>
      </c>
      <c r="AQ34">
        <v>2021</v>
      </c>
    </row>
    <row r="35" spans="2:43">
      <c r="B35" s="97" t="s">
        <v>70</v>
      </c>
      <c r="C35" s="61">
        <v>18230714</v>
      </c>
      <c r="D35" s="61" t="s">
        <v>128</v>
      </c>
      <c r="E35" s="38" t="s">
        <v>1082</v>
      </c>
      <c r="F35" s="39" t="s">
        <v>1083</v>
      </c>
      <c r="G35" s="39">
        <v>12</v>
      </c>
      <c r="H35" s="39"/>
      <c r="I35" s="40" t="s">
        <v>257</v>
      </c>
      <c r="J35" s="41">
        <v>10564</v>
      </c>
      <c r="K35" s="41">
        <v>110</v>
      </c>
      <c r="L35" s="41"/>
      <c r="M35" s="42">
        <v>6</v>
      </c>
      <c r="N35" s="42">
        <v>6</v>
      </c>
      <c r="O35" s="43">
        <v>1162040</v>
      </c>
      <c r="P35" s="44">
        <v>57944.83</v>
      </c>
      <c r="Q35" s="44">
        <v>63384</v>
      </c>
      <c r="R35" s="45">
        <v>0</v>
      </c>
      <c r="S35" s="46">
        <v>0</v>
      </c>
      <c r="T35" s="39">
        <f t="shared" si="19"/>
        <v>12</v>
      </c>
      <c r="U35" s="47">
        <f t="shared" si="20"/>
        <v>0.63482191368053908</v>
      </c>
      <c r="V35" s="48">
        <f t="shared" si="21"/>
        <v>0</v>
      </c>
      <c r="W35" s="49">
        <f t="shared" si="22"/>
        <v>5.2901826140044926E-2</v>
      </c>
      <c r="X35" s="44">
        <f t="shared" si="23"/>
        <v>36487.217931386345</v>
      </c>
      <c r="Y35" s="44">
        <f t="shared" si="24"/>
        <v>5439.1699999999983</v>
      </c>
      <c r="Z35" s="44">
        <f t="shared" si="25"/>
        <v>160331.43932335256</v>
      </c>
      <c r="AA35" s="50">
        <f t="shared" si="26"/>
        <v>99871.217931386345</v>
      </c>
      <c r="AB35" s="51">
        <f t="shared" si="27"/>
        <v>149884.49034622096</v>
      </c>
      <c r="AC35" s="44">
        <f t="shared" si="28"/>
        <v>93363.763607914676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1006911.7122269582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1006911.7122269582</v>
      </c>
      <c r="AK35" s="44">
        <f>HLOOKUP(I35,ElecAvoidedCostsWOCC!$A$5:$Q$50,G35+1,FALSE)*J35*L35</f>
        <v>0</v>
      </c>
      <c r="AL35" s="44">
        <f t="shared" si="34"/>
        <v>1006911.7122269582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1006911.7122269584</v>
      </c>
      <c r="AN35" s="48">
        <f t="shared" si="35"/>
        <v>1107602.8834496543</v>
      </c>
      <c r="AO35" s="47">
        <f t="shared" si="36"/>
        <v>6.7179179773776081</v>
      </c>
      <c r="AP35" s="47">
        <f t="shared" si="37"/>
        <v>11.863305854946919</v>
      </c>
      <c r="AQ35">
        <v>2020</v>
      </c>
    </row>
    <row r="36" spans="2:43">
      <c r="B36" s="97" t="s">
        <v>70</v>
      </c>
      <c r="C36" s="61">
        <v>18230714</v>
      </c>
      <c r="D36" s="61" t="s">
        <v>128</v>
      </c>
      <c r="E36" s="38" t="s">
        <v>1084</v>
      </c>
      <c r="F36" s="39" t="s">
        <v>1085</v>
      </c>
      <c r="G36" s="39">
        <v>3</v>
      </c>
      <c r="H36" s="39"/>
      <c r="I36" s="40" t="s">
        <v>257</v>
      </c>
      <c r="J36" s="41">
        <v>192</v>
      </c>
      <c r="K36" s="41">
        <v>57</v>
      </c>
      <c r="L36" s="41"/>
      <c r="M36" s="42">
        <v>2</v>
      </c>
      <c r="N36" s="42">
        <v>2</v>
      </c>
      <c r="O36" s="43">
        <v>10944</v>
      </c>
      <c r="P36" s="44">
        <v>383.76</v>
      </c>
      <c r="Q36" s="44">
        <v>384</v>
      </c>
      <c r="R36" s="45">
        <v>0</v>
      </c>
      <c r="S36" s="46">
        <v>0</v>
      </c>
      <c r="T36" s="39">
        <f t="shared" si="19"/>
        <v>3</v>
      </c>
      <c r="U36" s="47">
        <f t="shared" si="20"/>
        <v>1.4946755325375674E-3</v>
      </c>
      <c r="V36" s="48">
        <f t="shared" si="21"/>
        <v>0</v>
      </c>
      <c r="W36" s="49">
        <f t="shared" si="22"/>
        <v>4.9822517751252251E-4</v>
      </c>
      <c r="X36" s="44">
        <f t="shared" si="23"/>
        <v>343.63370713666671</v>
      </c>
      <c r="Y36" s="44">
        <f t="shared" si="24"/>
        <v>0.24000000000000909</v>
      </c>
      <c r="Z36" s="44">
        <f t="shared" si="25"/>
        <v>1509.988702587493</v>
      </c>
      <c r="AA36" s="50">
        <f t="shared" si="26"/>
        <v>727.63370713666677</v>
      </c>
      <c r="AB36" s="51">
        <f t="shared" si="27"/>
        <v>1411.6001706903737</v>
      </c>
      <c r="AC36" s="44">
        <f t="shared" si="28"/>
        <v>680.22221850674646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0.22797487781098191</v>
      </c>
      <c r="AG36" s="44">
        <f t="shared" si="31"/>
        <v>2494.9570627633861</v>
      </c>
      <c r="AH36" s="52">
        <f>HLOOKUP(I36,ElecAvoidedCostsWOCC!$A$5:$Q$50,T36+1,FALSE)</f>
        <v>0.22797487781098191</v>
      </c>
      <c r="AI36" s="44">
        <f t="shared" si="32"/>
        <v>0</v>
      </c>
      <c r="AJ36" s="44">
        <f t="shared" si="33"/>
        <v>2494.9570627633861</v>
      </c>
      <c r="AK36" s="44">
        <f>HLOOKUP(I36,ElecAvoidedCostsWOCC!$A$5:$Q$50,G36+1,FALSE)*J36*L36</f>
        <v>0</v>
      </c>
      <c r="AL36" s="44">
        <f t="shared" si="34"/>
        <v>2494.9570627633861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2494.9570627633861</v>
      </c>
      <c r="AN36" s="48">
        <f t="shared" si="35"/>
        <v>2744.4527690397249</v>
      </c>
      <c r="AO36" s="47">
        <f t="shared" si="36"/>
        <v>1.7674672436056544</v>
      </c>
      <c r="AP36" s="47">
        <f t="shared" si="37"/>
        <v>4.0346414662321202</v>
      </c>
      <c r="AQ36">
        <v>2020</v>
      </c>
    </row>
    <row r="37" spans="2:43">
      <c r="B37" s="97" t="s">
        <v>70</v>
      </c>
      <c r="C37" s="61">
        <v>18230714</v>
      </c>
      <c r="D37" s="61" t="s">
        <v>128</v>
      </c>
      <c r="E37" s="38" t="s">
        <v>1086</v>
      </c>
      <c r="F37" s="39" t="s">
        <v>1087</v>
      </c>
      <c r="G37" s="39">
        <v>5</v>
      </c>
      <c r="H37" s="39"/>
      <c r="I37" s="40" t="s">
        <v>257</v>
      </c>
      <c r="J37" s="41">
        <v>6581</v>
      </c>
      <c r="K37" s="41">
        <v>79</v>
      </c>
      <c r="L37" s="41"/>
      <c r="M37" s="42">
        <v>2</v>
      </c>
      <c r="N37" s="42">
        <v>2</v>
      </c>
      <c r="O37" s="43">
        <v>519899</v>
      </c>
      <c r="P37" s="44">
        <v>13116.17</v>
      </c>
      <c r="Q37" s="44">
        <v>13162</v>
      </c>
      <c r="R37" s="45">
        <v>0</v>
      </c>
      <c r="S37" s="46">
        <v>0</v>
      </c>
      <c r="T37" s="39">
        <f t="shared" si="19"/>
        <v>5</v>
      </c>
      <c r="U37" s="47">
        <f t="shared" si="20"/>
        <v>0.11834190952283578</v>
      </c>
      <c r="V37" s="48">
        <f t="shared" si="21"/>
        <v>0</v>
      </c>
      <c r="W37" s="49">
        <f t="shared" si="22"/>
        <v>2.3668381904567156E-2</v>
      </c>
      <c r="X37" s="44">
        <f t="shared" si="23"/>
        <v>16324.453646440597</v>
      </c>
      <c r="Y37" s="44">
        <f t="shared" si="24"/>
        <v>45.829999999999927</v>
      </c>
      <c r="Z37" s="44">
        <f t="shared" si="25"/>
        <v>71732.603845626378</v>
      </c>
      <c r="AA37" s="50">
        <f t="shared" si="26"/>
        <v>29486.453646440597</v>
      </c>
      <c r="AB37" s="51">
        <f t="shared" si="27"/>
        <v>67058.618159882564</v>
      </c>
      <c r="AC37" s="44">
        <f t="shared" si="28"/>
        <v>27565.161864485926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0.3694540986241362</v>
      </c>
      <c r="AG37" s="44">
        <f t="shared" si="31"/>
        <v>192078.81642058978</v>
      </c>
      <c r="AH37" s="52">
        <f>HLOOKUP(I37,ElecAvoidedCostsWOCC!$A$5:$Q$50,T37+1,FALSE)</f>
        <v>0.3694540986241362</v>
      </c>
      <c r="AI37" s="44">
        <f t="shared" si="32"/>
        <v>0</v>
      </c>
      <c r="AJ37" s="44">
        <f t="shared" si="33"/>
        <v>192078.81642058978</v>
      </c>
      <c r="AK37" s="44">
        <f>HLOOKUP(I37,ElecAvoidedCostsWOCC!$A$5:$Q$50,G37+1,FALSE)*J37*L37</f>
        <v>0</v>
      </c>
      <c r="AL37" s="44">
        <f t="shared" si="34"/>
        <v>192078.81642058978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192078.81642058978</v>
      </c>
      <c r="AN37" s="48">
        <f t="shared" si="35"/>
        <v>211286.69806264876</v>
      </c>
      <c r="AO37" s="47">
        <f t="shared" si="36"/>
        <v>2.8643419994523511</v>
      </c>
      <c r="AP37" s="47">
        <f t="shared" si="37"/>
        <v>7.664990291055167</v>
      </c>
      <c r="AQ37">
        <v>2020</v>
      </c>
    </row>
    <row r="38" spans="2:43">
      <c r="B38" s="97" t="s">
        <v>70</v>
      </c>
      <c r="C38" s="61">
        <v>18230714</v>
      </c>
      <c r="D38" s="61" t="s">
        <v>128</v>
      </c>
      <c r="E38" s="38" t="s">
        <v>1088</v>
      </c>
      <c r="F38" s="39" t="s">
        <v>1089</v>
      </c>
      <c r="G38" s="39">
        <v>5</v>
      </c>
      <c r="H38" s="39"/>
      <c r="I38" s="40" t="s">
        <v>257</v>
      </c>
      <c r="J38" s="41">
        <v>236</v>
      </c>
      <c r="K38" s="41">
        <v>99</v>
      </c>
      <c r="L38" s="41"/>
      <c r="M38" s="42">
        <v>4</v>
      </c>
      <c r="N38" s="42">
        <v>4</v>
      </c>
      <c r="O38" s="43">
        <v>23364</v>
      </c>
      <c r="P38" s="44">
        <v>934.96</v>
      </c>
      <c r="Q38" s="44">
        <v>944</v>
      </c>
      <c r="R38" s="45">
        <v>0</v>
      </c>
      <c r="S38" s="46">
        <v>0</v>
      </c>
      <c r="T38" s="39">
        <f t="shared" si="19"/>
        <v>5</v>
      </c>
      <c r="U38" s="47">
        <f t="shared" si="20"/>
        <v>5.3182259902241295E-3</v>
      </c>
      <c r="V38" s="48">
        <f t="shared" si="21"/>
        <v>0</v>
      </c>
      <c r="W38" s="49">
        <f t="shared" si="22"/>
        <v>1.063645198044826E-3</v>
      </c>
      <c r="X38" s="44">
        <f t="shared" si="23"/>
        <v>733.61274977531798</v>
      </c>
      <c r="Y38" s="44">
        <f t="shared" si="24"/>
        <v>9.0399999999999636</v>
      </c>
      <c r="Z38" s="44">
        <f t="shared" si="25"/>
        <v>3223.6271973002731</v>
      </c>
      <c r="AA38" s="50">
        <f t="shared" si="26"/>
        <v>1677.612749775318</v>
      </c>
      <c r="AB38" s="51">
        <f t="shared" si="27"/>
        <v>3013.5806275593836</v>
      </c>
      <c r="AC38" s="44">
        <f t="shared" si="28"/>
        <v>1568.3020938350171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0.3694540986241362</v>
      </c>
      <c r="AG38" s="44">
        <f t="shared" si="31"/>
        <v>8631.925560254318</v>
      </c>
      <c r="AH38" s="52">
        <f>HLOOKUP(I38,ElecAvoidedCostsWOCC!$A$5:$Q$50,T38+1,FALSE)</f>
        <v>0.3694540986241362</v>
      </c>
      <c r="AI38" s="44">
        <f t="shared" si="32"/>
        <v>0</v>
      </c>
      <c r="AJ38" s="44">
        <f t="shared" si="33"/>
        <v>8631.925560254318</v>
      </c>
      <c r="AK38" s="44">
        <f>HLOOKUP(I38,ElecAvoidedCostsWOCC!$A$5:$Q$50,G38+1,FALSE)*J38*L38</f>
        <v>0</v>
      </c>
      <c r="AL38" s="44">
        <f t="shared" si="34"/>
        <v>8631.925560254318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8631.925560254318</v>
      </c>
      <c r="AN38" s="48">
        <f t="shared" si="35"/>
        <v>9495.1181162797511</v>
      </c>
      <c r="AO38" s="47">
        <f t="shared" si="36"/>
        <v>2.864341999452352</v>
      </c>
      <c r="AP38" s="47">
        <f t="shared" si="37"/>
        <v>6.0543935722619917</v>
      </c>
      <c r="AQ38">
        <v>2020</v>
      </c>
    </row>
    <row r="39" spans="2:43">
      <c r="B39" s="97" t="s">
        <v>70</v>
      </c>
      <c r="C39" s="61">
        <v>18230714</v>
      </c>
      <c r="D39" s="61" t="s">
        <v>128</v>
      </c>
      <c r="E39" s="38" t="s">
        <v>1090</v>
      </c>
      <c r="F39" s="39" t="s">
        <v>1091</v>
      </c>
      <c r="G39" s="39">
        <v>5</v>
      </c>
      <c r="H39" s="39"/>
      <c r="I39" s="40" t="s">
        <v>257</v>
      </c>
      <c r="J39" s="41">
        <v>3627</v>
      </c>
      <c r="K39" s="41">
        <v>99</v>
      </c>
      <c r="L39" s="41"/>
      <c r="M39" s="42">
        <v>4</v>
      </c>
      <c r="N39" s="42">
        <v>4</v>
      </c>
      <c r="O39" s="43">
        <v>359073</v>
      </c>
      <c r="P39" s="44">
        <v>13127.9</v>
      </c>
      <c r="Q39" s="44">
        <v>14508</v>
      </c>
      <c r="R39" s="45">
        <v>0</v>
      </c>
      <c r="S39" s="46">
        <v>0</v>
      </c>
      <c r="T39" s="39">
        <f t="shared" si="19"/>
        <v>5</v>
      </c>
      <c r="U39" s="47">
        <f t="shared" si="20"/>
        <v>8.1733922315859825E-2</v>
      </c>
      <c r="V39" s="48">
        <f t="shared" si="21"/>
        <v>0</v>
      </c>
      <c r="W39" s="49">
        <f t="shared" si="22"/>
        <v>1.6346784463171966E-2</v>
      </c>
      <c r="X39" s="44">
        <f t="shared" si="23"/>
        <v>11274.6332348944</v>
      </c>
      <c r="Y39" s="44">
        <f t="shared" si="24"/>
        <v>1380.1000000000004</v>
      </c>
      <c r="Z39" s="44">
        <f t="shared" si="25"/>
        <v>49542.779002576644</v>
      </c>
      <c r="AA39" s="50">
        <f t="shared" si="26"/>
        <v>25782.633234894398</v>
      </c>
      <c r="AB39" s="51">
        <f t="shared" si="27"/>
        <v>46314.648034567297</v>
      </c>
      <c r="AC39" s="44">
        <f t="shared" si="28"/>
        <v>24102.676670930538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0.3694540986241362</v>
      </c>
      <c r="AG39" s="44">
        <f t="shared" si="31"/>
        <v>132660.99155526445</v>
      </c>
      <c r="AH39" s="52">
        <f>HLOOKUP(I39,ElecAvoidedCostsWOCC!$A$5:$Q$50,T39+1,FALSE)</f>
        <v>0.3694540986241362</v>
      </c>
      <c r="AI39" s="44">
        <f t="shared" si="32"/>
        <v>0</v>
      </c>
      <c r="AJ39" s="44">
        <f t="shared" si="33"/>
        <v>132660.99155526445</v>
      </c>
      <c r="AK39" s="44">
        <f>HLOOKUP(I39,ElecAvoidedCostsWOCC!$A$5:$Q$50,G39+1,FALSE)*J39*L39</f>
        <v>0</v>
      </c>
      <c r="AL39" s="44">
        <f t="shared" si="34"/>
        <v>132660.99155526445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132660.99155526445</v>
      </c>
      <c r="AN39" s="48">
        <f t="shared" si="35"/>
        <v>145927.09071079092</v>
      </c>
      <c r="AO39" s="47">
        <f t="shared" si="36"/>
        <v>2.8643419994523525</v>
      </c>
      <c r="AP39" s="47">
        <f t="shared" si="37"/>
        <v>6.0543935722619917</v>
      </c>
      <c r="AQ39">
        <v>2020</v>
      </c>
    </row>
    <row r="40" spans="2:43">
      <c r="B40" s="97" t="s">
        <v>70</v>
      </c>
      <c r="C40" s="61">
        <v>18230714</v>
      </c>
      <c r="D40" s="61" t="s">
        <v>128</v>
      </c>
      <c r="E40" s="38" t="s">
        <v>1092</v>
      </c>
      <c r="F40" s="39" t="s">
        <v>1093</v>
      </c>
      <c r="G40" s="39">
        <v>5</v>
      </c>
      <c r="H40" s="39"/>
      <c r="I40" s="40" t="s">
        <v>257</v>
      </c>
      <c r="J40" s="41">
        <v>624</v>
      </c>
      <c r="K40" s="41">
        <v>128</v>
      </c>
      <c r="L40" s="41"/>
      <c r="M40" s="42">
        <v>4</v>
      </c>
      <c r="N40" s="42">
        <v>4</v>
      </c>
      <c r="O40" s="43">
        <v>79872</v>
      </c>
      <c r="P40" s="44">
        <v>2524</v>
      </c>
      <c r="Q40" s="44">
        <v>2496</v>
      </c>
      <c r="R40" s="45">
        <v>0</v>
      </c>
      <c r="S40" s="46">
        <v>0</v>
      </c>
      <c r="T40" s="39">
        <f t="shared" si="19"/>
        <v>5</v>
      </c>
      <c r="U40" s="47">
        <f t="shared" si="20"/>
        <v>1.8180848582913103E-2</v>
      </c>
      <c r="V40" s="48">
        <f t="shared" si="21"/>
        <v>0</v>
      </c>
      <c r="W40" s="49">
        <f t="shared" si="22"/>
        <v>3.6361697165826208E-3</v>
      </c>
      <c r="X40" s="44">
        <f t="shared" si="23"/>
        <v>2507.9231959447957</v>
      </c>
      <c r="Y40" s="44">
        <f t="shared" si="24"/>
        <v>-28</v>
      </c>
      <c r="Z40" s="44">
        <f t="shared" si="25"/>
        <v>11020.268425901704</v>
      </c>
      <c r="AA40" s="50">
        <f t="shared" si="26"/>
        <v>5003.9231959447952</v>
      </c>
      <c r="AB40" s="51">
        <f t="shared" si="27"/>
        <v>10302.204754512202</v>
      </c>
      <c r="AC40" s="44">
        <f t="shared" si="28"/>
        <v>4677.8752883470079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0.3694540986241362</v>
      </c>
      <c r="AG40" s="44">
        <f t="shared" si="31"/>
        <v>29509.037765307006</v>
      </c>
      <c r="AH40" s="52">
        <f>HLOOKUP(I40,ElecAvoidedCostsWOCC!$A$5:$Q$50,T40+1,FALSE)</f>
        <v>0.3694540986241362</v>
      </c>
      <c r="AI40" s="44">
        <f t="shared" si="32"/>
        <v>0</v>
      </c>
      <c r="AJ40" s="44">
        <f t="shared" si="33"/>
        <v>29509.037765307006</v>
      </c>
      <c r="AK40" s="44">
        <f>HLOOKUP(I40,ElecAvoidedCostsWOCC!$A$5:$Q$50,G40+1,FALSE)*J40*L40</f>
        <v>0</v>
      </c>
      <c r="AL40" s="44">
        <f t="shared" si="34"/>
        <v>29509.037765307006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29509.037765307006</v>
      </c>
      <c r="AN40" s="48">
        <f t="shared" si="35"/>
        <v>32459.94154183771</v>
      </c>
      <c r="AO40" s="47">
        <f t="shared" si="36"/>
        <v>2.8643419994523516</v>
      </c>
      <c r="AP40" s="47">
        <f t="shared" si="37"/>
        <v>6.9390352544665381</v>
      </c>
      <c r="AQ40">
        <v>2020</v>
      </c>
    </row>
    <row r="41" spans="2:43">
      <c r="B41" s="97" t="s">
        <v>70</v>
      </c>
      <c r="C41" s="61">
        <v>18230714</v>
      </c>
      <c r="D41" s="61" t="s">
        <v>128</v>
      </c>
      <c r="E41" s="38" t="s">
        <v>1094</v>
      </c>
      <c r="F41" s="39" t="s">
        <v>1095</v>
      </c>
      <c r="G41" s="39">
        <v>5</v>
      </c>
      <c r="H41" s="39"/>
      <c r="I41" s="40" t="s">
        <v>257</v>
      </c>
      <c r="J41" s="41">
        <v>802</v>
      </c>
      <c r="K41" s="41">
        <v>94</v>
      </c>
      <c r="L41" s="41"/>
      <c r="M41" s="42">
        <v>3</v>
      </c>
      <c r="N41" s="42">
        <v>3</v>
      </c>
      <c r="O41" s="43">
        <v>75388</v>
      </c>
      <c r="P41" s="44">
        <v>2404</v>
      </c>
      <c r="Q41" s="44">
        <v>2406</v>
      </c>
      <c r="R41" s="45">
        <v>0</v>
      </c>
      <c r="S41" s="46">
        <v>0</v>
      </c>
      <c r="T41" s="39">
        <f t="shared" si="19"/>
        <v>5</v>
      </c>
      <c r="U41" s="47">
        <f t="shared" si="20"/>
        <v>1.7160178948425645E-2</v>
      </c>
      <c r="V41" s="48">
        <f t="shared" si="21"/>
        <v>0</v>
      </c>
      <c r="W41" s="49">
        <f t="shared" si="22"/>
        <v>3.4320357896851289E-3</v>
      </c>
      <c r="X41" s="44">
        <f t="shared" si="23"/>
        <v>2367.1288298263003</v>
      </c>
      <c r="Y41" s="44">
        <f t="shared" si="24"/>
        <v>2</v>
      </c>
      <c r="Z41" s="44">
        <f t="shared" si="25"/>
        <v>10401.592499147106</v>
      </c>
      <c r="AA41" s="50">
        <f t="shared" si="26"/>
        <v>4773.1288298263007</v>
      </c>
      <c r="AB41" s="51">
        <f t="shared" si="27"/>
        <v>9723.8407956876745</v>
      </c>
      <c r="AC41" s="44">
        <f t="shared" si="28"/>
        <v>4462.1191266956157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0.3694540986241362</v>
      </c>
      <c r="AG41" s="44">
        <f t="shared" si="31"/>
        <v>27852.40558707638</v>
      </c>
      <c r="AH41" s="52">
        <f>HLOOKUP(I41,ElecAvoidedCostsWOCC!$A$5:$Q$50,T41+1,FALSE)</f>
        <v>0.3694540986241362</v>
      </c>
      <c r="AI41" s="44">
        <f t="shared" si="32"/>
        <v>0</v>
      </c>
      <c r="AJ41" s="44">
        <f t="shared" si="33"/>
        <v>27852.40558707638</v>
      </c>
      <c r="AK41" s="44">
        <f>HLOOKUP(I41,ElecAvoidedCostsWOCC!$A$5:$Q$50,G41+1,FALSE)*J41*L41</f>
        <v>0</v>
      </c>
      <c r="AL41" s="44">
        <f t="shared" si="34"/>
        <v>27852.40558707638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27852.40558707638</v>
      </c>
      <c r="AN41" s="48">
        <f t="shared" si="35"/>
        <v>30637.64614578402</v>
      </c>
      <c r="AO41" s="47">
        <f t="shared" si="36"/>
        <v>2.8643419994523516</v>
      </c>
      <c r="AP41" s="47">
        <f t="shared" si="37"/>
        <v>6.8661649937778479</v>
      </c>
      <c r="AQ41">
        <v>2020</v>
      </c>
    </row>
    <row r="42" spans="2:43">
      <c r="B42" s="97" t="s">
        <v>70</v>
      </c>
      <c r="C42" s="61">
        <v>18230714</v>
      </c>
      <c r="D42" s="61" t="s">
        <v>128</v>
      </c>
      <c r="E42" s="38" t="s">
        <v>1096</v>
      </c>
      <c r="F42" s="39" t="s">
        <v>1031</v>
      </c>
      <c r="G42" s="39">
        <v>12</v>
      </c>
      <c r="H42" s="39"/>
      <c r="I42" s="40" t="s">
        <v>257</v>
      </c>
      <c r="J42" s="41">
        <v>108389</v>
      </c>
      <c r="K42" s="41">
        <v>31.8</v>
      </c>
      <c r="L42" s="41"/>
      <c r="M42" s="42">
        <v>2</v>
      </c>
      <c r="N42" s="42">
        <v>2</v>
      </c>
      <c r="O42" s="43">
        <v>3446770.2</v>
      </c>
      <c r="P42" s="44">
        <v>260306.06</v>
      </c>
      <c r="Q42" s="44">
        <v>216778</v>
      </c>
      <c r="R42" s="45">
        <v>0</v>
      </c>
      <c r="S42" s="46">
        <v>0</v>
      </c>
      <c r="T42" s="39">
        <f t="shared" si="19"/>
        <v>12</v>
      </c>
      <c r="U42" s="47">
        <f t="shared" si="20"/>
        <v>1.8829689635305624</v>
      </c>
      <c r="V42" s="48">
        <f t="shared" si="21"/>
        <v>0</v>
      </c>
      <c r="W42" s="49">
        <f t="shared" si="22"/>
        <v>0.15691408029421353</v>
      </c>
      <c r="X42" s="44">
        <f t="shared" si="23"/>
        <v>108226.0984534165</v>
      </c>
      <c r="Y42" s="44">
        <f t="shared" si="24"/>
        <v>-43528.06</v>
      </c>
      <c r="Z42" s="44">
        <f t="shared" si="25"/>
        <v>475565.06418267853</v>
      </c>
      <c r="AA42" s="50">
        <f t="shared" si="26"/>
        <v>325004.09845341649</v>
      </c>
      <c r="AB42" s="51">
        <f t="shared" si="27"/>
        <v>444577.97904335655</v>
      </c>
      <c r="AC42" s="44">
        <f t="shared" si="28"/>
        <v>303827.33332094649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2986638.3977615708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2986638.3977615708</v>
      </c>
      <c r="AK42" s="44">
        <f>HLOOKUP(I42,ElecAvoidedCostsWOCC!$A$5:$Q$50,G42+1,FALSE)*J42*L42</f>
        <v>0</v>
      </c>
      <c r="AL42" s="44">
        <f t="shared" si="34"/>
        <v>2986638.3977615708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2986638.3977615708</v>
      </c>
      <c r="AN42" s="48">
        <f t="shared" si="35"/>
        <v>3285302.2375377282</v>
      </c>
      <c r="AO42" s="47">
        <f t="shared" si="36"/>
        <v>6.717917977377609</v>
      </c>
      <c r="AP42" s="47">
        <f t="shared" si="37"/>
        <v>10.81305688210519</v>
      </c>
      <c r="AQ42">
        <v>2020</v>
      </c>
    </row>
    <row r="43" spans="2:43">
      <c r="B43" s="97" t="s">
        <v>70</v>
      </c>
      <c r="C43" s="61">
        <v>18230714</v>
      </c>
      <c r="D43" s="61" t="s">
        <v>128</v>
      </c>
      <c r="E43" s="38" t="s">
        <v>1097</v>
      </c>
      <c r="F43" s="39" t="s">
        <v>1098</v>
      </c>
      <c r="G43" s="39">
        <v>10</v>
      </c>
      <c r="H43" s="39"/>
      <c r="I43" s="40" t="s">
        <v>257</v>
      </c>
      <c r="J43" s="41">
        <v>316</v>
      </c>
      <c r="K43" s="41">
        <v>679.3</v>
      </c>
      <c r="L43" s="41"/>
      <c r="M43" s="42">
        <v>150</v>
      </c>
      <c r="N43" s="42">
        <v>206.89</v>
      </c>
      <c r="O43" s="43">
        <v>214658.8</v>
      </c>
      <c r="P43" s="44">
        <v>42462.400000000001</v>
      </c>
      <c r="Q43" s="44">
        <v>65377.24</v>
      </c>
      <c r="R43" s="45">
        <v>0</v>
      </c>
      <c r="S43" s="46">
        <v>0</v>
      </c>
      <c r="T43" s="39">
        <f t="shared" si="19"/>
        <v>10</v>
      </c>
      <c r="U43" s="47">
        <f t="shared" si="20"/>
        <v>9.7723335832076999E-2</v>
      </c>
      <c r="V43" s="48">
        <f t="shared" si="21"/>
        <v>56.889999999999986</v>
      </c>
      <c r="W43" s="49">
        <f t="shared" si="22"/>
        <v>9.7723335832077002E-3</v>
      </c>
      <c r="X43" s="44">
        <f t="shared" si="23"/>
        <v>6740.1315070822657</v>
      </c>
      <c r="Y43" s="44">
        <f t="shared" si="24"/>
        <v>22914.839999999997</v>
      </c>
      <c r="Z43" s="44">
        <f t="shared" si="25"/>
        <v>29617.357722129767</v>
      </c>
      <c r="AA43" s="50">
        <f t="shared" si="26"/>
        <v>72117.371507082265</v>
      </c>
      <c r="AB43" s="51">
        <f t="shared" si="27"/>
        <v>27687.536432765977</v>
      </c>
      <c r="AC43" s="44">
        <f t="shared" si="28"/>
        <v>67418.314954737085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0.7278724357900942</v>
      </c>
      <c r="AG43" s="44">
        <f t="shared" si="31"/>
        <v>156244.22361977867</v>
      </c>
      <c r="AH43" s="52">
        <f>HLOOKUP(I43,ElecAvoidedCostsWOCC!$A$5:$Q$50,T43+1,FALSE)</f>
        <v>0.7278724357900942</v>
      </c>
      <c r="AI43" s="44">
        <f t="shared" si="32"/>
        <v>0</v>
      </c>
      <c r="AJ43" s="44">
        <f t="shared" si="33"/>
        <v>156244.22361977867</v>
      </c>
      <c r="AK43" s="44">
        <f>HLOOKUP(I43,ElecAvoidedCostsWOCC!$A$5:$Q$50,G43+1,FALSE)*J43*L43</f>
        <v>0</v>
      </c>
      <c r="AL43" s="44">
        <f t="shared" si="34"/>
        <v>156244.22361977867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156244.22361977867</v>
      </c>
      <c r="AN43" s="48">
        <f t="shared" si="35"/>
        <v>171868.64598175656</v>
      </c>
      <c r="AO43" s="47">
        <f t="shared" si="36"/>
        <v>5.6431248045194868</v>
      </c>
      <c r="AP43" s="47">
        <f t="shared" si="37"/>
        <v>2.5492871795615883</v>
      </c>
      <c r="AQ43">
        <v>2020</v>
      </c>
    </row>
    <row r="44" spans="2:43">
      <c r="B44" s="97" t="s">
        <v>70</v>
      </c>
      <c r="C44" s="61">
        <v>18230714</v>
      </c>
      <c r="D44" s="61" t="s">
        <v>128</v>
      </c>
      <c r="E44" s="38" t="s">
        <v>1099</v>
      </c>
      <c r="F44" s="39" t="s">
        <v>1100</v>
      </c>
      <c r="G44" s="39">
        <v>10</v>
      </c>
      <c r="H44" s="39"/>
      <c r="I44" s="40" t="s">
        <v>257</v>
      </c>
      <c r="J44" s="41">
        <v>108</v>
      </c>
      <c r="K44" s="41">
        <v>2817.8</v>
      </c>
      <c r="L44" s="41"/>
      <c r="M44" s="42">
        <v>300</v>
      </c>
      <c r="N44" s="42">
        <v>693.27</v>
      </c>
      <c r="O44" s="43">
        <v>304322.40000000002</v>
      </c>
      <c r="P44" s="44">
        <v>32400</v>
      </c>
      <c r="Q44" s="44">
        <v>74873.16</v>
      </c>
      <c r="R44" s="45">
        <v>0</v>
      </c>
      <c r="S44" s="46">
        <v>0</v>
      </c>
      <c r="T44" s="39">
        <f t="shared" si="19"/>
        <v>10</v>
      </c>
      <c r="U44" s="47">
        <f t="shared" si="20"/>
        <v>0.13854265511790653</v>
      </c>
      <c r="V44" s="48">
        <f t="shared" si="21"/>
        <v>393.27</v>
      </c>
      <c r="W44" s="49">
        <f t="shared" si="22"/>
        <v>1.3854265511790653E-2</v>
      </c>
      <c r="X44" s="44">
        <f t="shared" si="23"/>
        <v>9555.5038812799303</v>
      </c>
      <c r="Y44" s="44">
        <f t="shared" si="24"/>
        <v>42473.16</v>
      </c>
      <c r="Z44" s="44">
        <f t="shared" si="25"/>
        <v>41988.613481753666</v>
      </c>
      <c r="AA44" s="50">
        <f t="shared" si="26"/>
        <v>84428.663881279936</v>
      </c>
      <c r="AB44" s="51">
        <f t="shared" si="27"/>
        <v>39252.700272743445</v>
      </c>
      <c r="AC44" s="44">
        <f t="shared" si="28"/>
        <v>78927.422530877753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0.7278724357900942</v>
      </c>
      <c r="AG44" s="44">
        <f t="shared" si="31"/>
        <v>221507.88655348739</v>
      </c>
      <c r="AH44" s="52">
        <f>HLOOKUP(I44,ElecAvoidedCostsWOCC!$A$5:$Q$50,T44+1,FALSE)</f>
        <v>0.7278724357900942</v>
      </c>
      <c r="AI44" s="44">
        <f t="shared" si="32"/>
        <v>0</v>
      </c>
      <c r="AJ44" s="44">
        <f t="shared" si="33"/>
        <v>221507.88655348739</v>
      </c>
      <c r="AK44" s="44">
        <f>HLOOKUP(I44,ElecAvoidedCostsWOCC!$A$5:$Q$50,G44+1,FALSE)*J44*L44</f>
        <v>0</v>
      </c>
      <c r="AL44" s="44">
        <f t="shared" si="34"/>
        <v>221507.88655348739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221507.88655348739</v>
      </c>
      <c r="AN44" s="48">
        <f t="shared" si="35"/>
        <v>243658.67520883615</v>
      </c>
      <c r="AO44" s="47">
        <f t="shared" si="36"/>
        <v>5.6431248045194877</v>
      </c>
      <c r="AP44" s="47">
        <f t="shared" si="37"/>
        <v>3.0871231746293595</v>
      </c>
      <c r="AQ44">
        <v>2020</v>
      </c>
    </row>
    <row r="45" spans="2:43">
      <c r="B45" s="97" t="s">
        <v>70</v>
      </c>
      <c r="C45" s="61">
        <v>18230714</v>
      </c>
      <c r="D45" s="61" t="s">
        <v>128</v>
      </c>
      <c r="E45" s="38" t="s">
        <v>1101</v>
      </c>
      <c r="F45" s="39" t="s">
        <v>1102</v>
      </c>
      <c r="G45" s="39">
        <v>10</v>
      </c>
      <c r="H45" s="39"/>
      <c r="I45" s="40" t="s">
        <v>257</v>
      </c>
      <c r="J45" s="41">
        <v>20</v>
      </c>
      <c r="K45" s="41">
        <v>232.3</v>
      </c>
      <c r="L45" s="41"/>
      <c r="M45" s="42">
        <v>40</v>
      </c>
      <c r="N45" s="42">
        <v>131.18</v>
      </c>
      <c r="O45" s="43">
        <v>4646</v>
      </c>
      <c r="P45" s="44">
        <v>800</v>
      </c>
      <c r="Q45" s="44">
        <v>2623.6</v>
      </c>
      <c r="R45" s="45">
        <v>0</v>
      </c>
      <c r="S45" s="46">
        <v>0</v>
      </c>
      <c r="T45" s="39">
        <f t="shared" si="19"/>
        <v>10</v>
      </c>
      <c r="U45" s="47">
        <f t="shared" si="20"/>
        <v>2.115089706435654E-3</v>
      </c>
      <c r="V45" s="48">
        <f t="shared" si="21"/>
        <v>91.18</v>
      </c>
      <c r="W45" s="49">
        <f t="shared" si="22"/>
        <v>2.115089706435654E-4</v>
      </c>
      <c r="X45" s="44">
        <f t="shared" si="23"/>
        <v>145.88104928334735</v>
      </c>
      <c r="Y45" s="44">
        <f t="shared" si="24"/>
        <v>1823.6</v>
      </c>
      <c r="Z45" s="44">
        <f t="shared" si="25"/>
        <v>641.02773320737322</v>
      </c>
      <c r="AA45" s="50">
        <f t="shared" si="26"/>
        <v>2769.4810492833471</v>
      </c>
      <c r="AB45" s="51">
        <f t="shared" si="27"/>
        <v>599.25935608803695</v>
      </c>
      <c r="AC45" s="44">
        <f t="shared" si="28"/>
        <v>2589.0259411828988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0.7278724357900942</v>
      </c>
      <c r="AG45" s="44">
        <f t="shared" si="31"/>
        <v>3381.6953366807779</v>
      </c>
      <c r="AH45" s="52">
        <f>HLOOKUP(I45,ElecAvoidedCostsWOCC!$A$5:$Q$50,T45+1,FALSE)</f>
        <v>0.7278724357900942</v>
      </c>
      <c r="AI45" s="44">
        <f t="shared" si="32"/>
        <v>0</v>
      </c>
      <c r="AJ45" s="44">
        <f t="shared" si="33"/>
        <v>3381.6953366807779</v>
      </c>
      <c r="AK45" s="44">
        <f>HLOOKUP(I45,ElecAvoidedCostsWOCC!$A$5:$Q$50,G45+1,FALSE)*J45*L45</f>
        <v>0</v>
      </c>
      <c r="AL45" s="44">
        <f t="shared" si="34"/>
        <v>3381.6953366807779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3381.6953366807779</v>
      </c>
      <c r="AN45" s="48">
        <f t="shared" si="35"/>
        <v>3719.8648703488561</v>
      </c>
      <c r="AO45" s="47">
        <f t="shared" si="36"/>
        <v>5.6431248045194886</v>
      </c>
      <c r="AP45" s="47">
        <f t="shared" si="37"/>
        <v>1.4367816139568261</v>
      </c>
      <c r="AQ45">
        <v>2020</v>
      </c>
    </row>
    <row r="46" spans="2:43">
      <c r="B46" s="97" t="s">
        <v>70</v>
      </c>
      <c r="C46" s="61">
        <v>18230714</v>
      </c>
      <c r="D46" s="61" t="s">
        <v>128</v>
      </c>
      <c r="E46" s="38" t="s">
        <v>1103</v>
      </c>
      <c r="F46" s="39" t="s">
        <v>1104</v>
      </c>
      <c r="G46" s="39">
        <v>10</v>
      </c>
      <c r="H46" s="39"/>
      <c r="I46" s="40" t="s">
        <v>257</v>
      </c>
      <c r="J46" s="41">
        <v>304</v>
      </c>
      <c r="K46" s="41">
        <v>502.4</v>
      </c>
      <c r="L46" s="41"/>
      <c r="M46" s="42">
        <v>90</v>
      </c>
      <c r="N46" s="42">
        <v>215.58</v>
      </c>
      <c r="O46" s="43">
        <v>152729.60000000001</v>
      </c>
      <c r="P46" s="44">
        <v>20610.310000000001</v>
      </c>
      <c r="Q46" s="44">
        <v>65536.320000000007</v>
      </c>
      <c r="R46" s="45">
        <v>0</v>
      </c>
      <c r="S46" s="46">
        <v>0</v>
      </c>
      <c r="T46" s="39">
        <f t="shared" si="19"/>
        <v>10</v>
      </c>
      <c r="U46" s="47">
        <f t="shared" si="20"/>
        <v>6.9530091439525377E-2</v>
      </c>
      <c r="V46" s="48">
        <f t="shared" si="21"/>
        <v>125.58000000000001</v>
      </c>
      <c r="W46" s="49">
        <f t="shared" si="22"/>
        <v>6.953009143952537E-3</v>
      </c>
      <c r="X46" s="44">
        <f t="shared" si="23"/>
        <v>4795.5992907072605</v>
      </c>
      <c r="Y46" s="44">
        <f t="shared" si="24"/>
        <v>44926.010000000009</v>
      </c>
      <c r="Z46" s="44">
        <f t="shared" si="25"/>
        <v>21072.731227221015</v>
      </c>
      <c r="AA46" s="50">
        <f t="shared" si="26"/>
        <v>70331.919290707272</v>
      </c>
      <c r="AB46" s="51">
        <f t="shared" si="27"/>
        <v>19699.664604301219</v>
      </c>
      <c r="AC46" s="44">
        <f t="shared" si="28"/>
        <v>65749.200047403254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0.7278724357900942</v>
      </c>
      <c r="AG46" s="44">
        <f t="shared" si="31"/>
        <v>111167.66596924677</v>
      </c>
      <c r="AH46" s="52">
        <f>HLOOKUP(I46,ElecAvoidedCostsWOCC!$A$5:$Q$50,T46+1,FALSE)</f>
        <v>0.7278724357900942</v>
      </c>
      <c r="AI46" s="44">
        <f t="shared" si="32"/>
        <v>0</v>
      </c>
      <c r="AJ46" s="44">
        <f t="shared" si="33"/>
        <v>111167.66596924677</v>
      </c>
      <c r="AK46" s="44">
        <f>HLOOKUP(I46,ElecAvoidedCostsWOCC!$A$5:$Q$50,G46+1,FALSE)*J46*L46</f>
        <v>0</v>
      </c>
      <c r="AL46" s="44">
        <f t="shared" si="34"/>
        <v>111167.66596924677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111167.66596924677</v>
      </c>
      <c r="AN46" s="48">
        <f t="shared" si="35"/>
        <v>122284.43256617145</v>
      </c>
      <c r="AO46" s="47">
        <f t="shared" si="36"/>
        <v>5.6431248045194868</v>
      </c>
      <c r="AP46" s="47">
        <f t="shared" si="37"/>
        <v>1.8598619067305451</v>
      </c>
      <c r="AQ46">
        <v>2020</v>
      </c>
    </row>
    <row r="47" spans="2:43">
      <c r="B47" s="97" t="s">
        <v>70</v>
      </c>
      <c r="C47" s="61">
        <v>18230714</v>
      </c>
      <c r="D47" s="61" t="s">
        <v>128</v>
      </c>
      <c r="E47" s="38" t="s">
        <v>1105</v>
      </c>
      <c r="F47" s="39" t="s">
        <v>1106</v>
      </c>
      <c r="G47" s="39">
        <v>10</v>
      </c>
      <c r="H47" s="39"/>
      <c r="I47" s="40" t="s">
        <v>257</v>
      </c>
      <c r="J47" s="41">
        <v>263</v>
      </c>
      <c r="K47" s="41">
        <v>652</v>
      </c>
      <c r="L47" s="41"/>
      <c r="M47" s="42">
        <v>100</v>
      </c>
      <c r="N47" s="42">
        <v>241.93</v>
      </c>
      <c r="O47" s="43">
        <v>171476</v>
      </c>
      <c r="P47" s="44">
        <v>24137.040000000001</v>
      </c>
      <c r="Q47" s="44">
        <v>63627.59</v>
      </c>
      <c r="R47" s="45">
        <v>0</v>
      </c>
      <c r="S47" s="46">
        <v>0</v>
      </c>
      <c r="T47" s="39">
        <f t="shared" si="19"/>
        <v>10</v>
      </c>
      <c r="U47" s="47">
        <f t="shared" si="20"/>
        <v>7.80643828025743E-2</v>
      </c>
      <c r="V47" s="48">
        <f t="shared" si="21"/>
        <v>141.93</v>
      </c>
      <c r="W47" s="49">
        <f t="shared" si="22"/>
        <v>7.8064382802574299E-3</v>
      </c>
      <c r="X47" s="44">
        <f t="shared" si="23"/>
        <v>5384.2227307170197</v>
      </c>
      <c r="Y47" s="44">
        <f t="shared" si="24"/>
        <v>39490.549999999996</v>
      </c>
      <c r="Z47" s="44">
        <f t="shared" si="25"/>
        <v>23659.249156148842</v>
      </c>
      <c r="AA47" s="50">
        <f t="shared" si="26"/>
        <v>69011.812730717022</v>
      </c>
      <c r="AB47" s="51">
        <f t="shared" si="27"/>
        <v>22117.649019490364</v>
      </c>
      <c r="AC47" s="44">
        <f t="shared" si="28"/>
        <v>64515.109592144538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0.7278724357900942</v>
      </c>
      <c r="AG47" s="44">
        <f t="shared" si="31"/>
        <v>124812.6537995422</v>
      </c>
      <c r="AH47" s="52">
        <f>HLOOKUP(I47,ElecAvoidedCostsWOCC!$A$5:$Q$50,T47+1,FALSE)</f>
        <v>0.7278724357900942</v>
      </c>
      <c r="AI47" s="44">
        <f t="shared" si="32"/>
        <v>0</v>
      </c>
      <c r="AJ47" s="44">
        <f t="shared" si="33"/>
        <v>124812.6537995422</v>
      </c>
      <c r="AK47" s="44">
        <f>HLOOKUP(I47,ElecAvoidedCostsWOCC!$A$5:$Q$50,G47+1,FALSE)*J47*L47</f>
        <v>0</v>
      </c>
      <c r="AL47" s="44">
        <f t="shared" si="34"/>
        <v>124812.6537995422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124812.6537995422</v>
      </c>
      <c r="AN47" s="48">
        <f t="shared" si="35"/>
        <v>137293.91917949641</v>
      </c>
      <c r="AO47" s="47">
        <f t="shared" si="36"/>
        <v>5.6431248045194877</v>
      </c>
      <c r="AP47" s="47">
        <f t="shared" si="37"/>
        <v>2.1280893739071249</v>
      </c>
      <c r="AQ47">
        <v>2020</v>
      </c>
    </row>
    <row r="48" spans="2:43">
      <c r="B48" s="97" t="s">
        <v>70</v>
      </c>
      <c r="C48" s="61">
        <v>18230714</v>
      </c>
      <c r="D48" s="61" t="s">
        <v>128</v>
      </c>
      <c r="E48" s="38" t="s">
        <v>1107</v>
      </c>
      <c r="F48" s="39" t="s">
        <v>1108</v>
      </c>
      <c r="G48" s="39">
        <v>10</v>
      </c>
      <c r="H48" s="39"/>
      <c r="I48" s="40" t="s">
        <v>257</v>
      </c>
      <c r="J48" s="41">
        <v>823</v>
      </c>
      <c r="K48" s="41">
        <v>54</v>
      </c>
      <c r="L48" s="41"/>
      <c r="M48" s="42">
        <v>3</v>
      </c>
      <c r="N48" s="42">
        <v>20</v>
      </c>
      <c r="O48" s="43">
        <v>44442</v>
      </c>
      <c r="P48" s="44">
        <v>2440.1999999999998</v>
      </c>
      <c r="Q48" s="44">
        <v>16460</v>
      </c>
      <c r="R48" s="45">
        <v>0</v>
      </c>
      <c r="S48" s="46">
        <v>0</v>
      </c>
      <c r="T48" s="39">
        <f t="shared" si="19"/>
        <v>10</v>
      </c>
      <c r="U48" s="47">
        <f t="shared" si="20"/>
        <v>2.0232203343395035E-2</v>
      </c>
      <c r="V48" s="48">
        <f t="shared" si="21"/>
        <v>17</v>
      </c>
      <c r="W48" s="49">
        <f t="shared" si="22"/>
        <v>2.0232203343395036E-3</v>
      </c>
      <c r="X48" s="44">
        <f t="shared" si="23"/>
        <v>1395.4467482243917</v>
      </c>
      <c r="Y48" s="44">
        <f t="shared" si="24"/>
        <v>14019.8</v>
      </c>
      <c r="Z48" s="44">
        <f t="shared" si="25"/>
        <v>6131.8455702113824</v>
      </c>
      <c r="AA48" s="50">
        <f t="shared" si="26"/>
        <v>17855.446748224393</v>
      </c>
      <c r="AB48" s="51">
        <f t="shared" si="27"/>
        <v>5732.3039826225877</v>
      </c>
      <c r="AC48" s="44">
        <f t="shared" si="28"/>
        <v>16692.01341331625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0.7278724357900942</v>
      </c>
      <c r="AG48" s="44">
        <f t="shared" si="31"/>
        <v>32348.106791383369</v>
      </c>
      <c r="AH48" s="52">
        <f>HLOOKUP(I48,ElecAvoidedCostsWOCC!$A$5:$Q$50,T48+1,FALSE)</f>
        <v>0.7278724357900942</v>
      </c>
      <c r="AI48" s="44">
        <f t="shared" si="32"/>
        <v>0</v>
      </c>
      <c r="AJ48" s="44">
        <f t="shared" si="33"/>
        <v>32348.106791383369</v>
      </c>
      <c r="AK48" s="44">
        <f>HLOOKUP(I48,ElecAvoidedCostsWOCC!$A$5:$Q$50,G48+1,FALSE)*J48*L48</f>
        <v>0</v>
      </c>
      <c r="AL48" s="44">
        <f t="shared" si="34"/>
        <v>32348.106791383369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32348.106791383369</v>
      </c>
      <c r="AN48" s="48">
        <f t="shared" si="35"/>
        <v>35582.917470521708</v>
      </c>
      <c r="AO48" s="47">
        <f t="shared" si="36"/>
        <v>5.6431248045194877</v>
      </c>
      <c r="AP48" s="47">
        <f t="shared" si="37"/>
        <v>2.1317330983052658</v>
      </c>
      <c r="AQ48">
        <v>2020</v>
      </c>
    </row>
    <row r="49" spans="2:43">
      <c r="B49" s="97" t="s">
        <v>70</v>
      </c>
      <c r="C49" s="61">
        <v>18230714</v>
      </c>
      <c r="D49" s="61" t="s">
        <v>128</v>
      </c>
      <c r="E49" s="38" t="s">
        <v>1109</v>
      </c>
      <c r="F49" s="39" t="s">
        <v>1110</v>
      </c>
      <c r="G49" s="39">
        <v>12</v>
      </c>
      <c r="H49" s="39"/>
      <c r="I49" s="40" t="s">
        <v>257</v>
      </c>
      <c r="J49" s="41">
        <v>6151</v>
      </c>
      <c r="K49" s="41">
        <v>70.599999999999994</v>
      </c>
      <c r="L49" s="41"/>
      <c r="M49" s="42">
        <v>4</v>
      </c>
      <c r="N49" s="42">
        <v>20</v>
      </c>
      <c r="O49" s="43">
        <v>434260.6</v>
      </c>
      <c r="P49" s="44">
        <v>21494.720000000001</v>
      </c>
      <c r="Q49" s="44">
        <v>123020</v>
      </c>
      <c r="R49" s="45">
        <v>0</v>
      </c>
      <c r="S49" s="46">
        <v>0</v>
      </c>
      <c r="T49" s="39">
        <f t="shared" ref="T49:T62" si="38">G49+H49</f>
        <v>12</v>
      </c>
      <c r="U49" s="47">
        <f t="shared" ref="U49:U62" si="39">(O49/$A$10)*T49</f>
        <v>0.23723636460712122</v>
      </c>
      <c r="V49" s="48">
        <f t="shared" ref="V49:V62" si="40">N49-M49</f>
        <v>16</v>
      </c>
      <c r="W49" s="49">
        <f t="shared" ref="W49:W62" si="41">(O49/A$10)</f>
        <v>1.9769697050593435E-2</v>
      </c>
      <c r="X49" s="44">
        <f t="shared" ref="X49:X62" si="42">W49*A$8</f>
        <v>13635.469649250108</v>
      </c>
      <c r="Y49" s="44">
        <f t="shared" ref="Y49:Y62" si="43">Q49-P49</f>
        <v>101525.28</v>
      </c>
      <c r="Z49" s="44">
        <f t="shared" ref="Z49:Z62" si="44">X49+(A$6*W49)</f>
        <v>59916.721489297001</v>
      </c>
      <c r="AA49" s="50">
        <f t="shared" ref="AA49:AA62" si="45">Q49+X49</f>
        <v>136655.4696492501</v>
      </c>
      <c r="AB49" s="51">
        <f t="shared" ref="AB49:AB62" si="46">Z49/(1+ElecDiscountRate)^1</f>
        <v>56012.640449936429</v>
      </c>
      <c r="AC49" s="44">
        <f t="shared" ref="AC49:AC62" si="47">AA49/(1+ElecDiscountRate)^1</f>
        <v>127751.21029190435</v>
      </c>
      <c r="AD49" s="44">
        <f t="shared" ref="AD49:AD62" si="48">-PV(ElecDiscountRate,T49,R49)*J49</f>
        <v>0</v>
      </c>
      <c r="AE49" s="44">
        <f t="shared" ref="AE49:AE62" si="49">-PV(ElecDiscountRate,T49,S49)*J49</f>
        <v>0</v>
      </c>
      <c r="AF49" s="52">
        <f>HLOOKUP(I49,ElecAvoidedCostsWOCC!$A$5:$Q$50,G49+1,FALSE)</f>
        <v>0.86650348716649883</v>
      </c>
      <c r="AG49" s="44">
        <f t="shared" ref="AG49:AG62" si="50">AF49*J49*K49</f>
        <v>376288.32423901604</v>
      </c>
      <c r="AH49" s="52">
        <f>HLOOKUP(I49,ElecAvoidedCostsWOCC!$A$5:$Q$50,T49+1,FALSE)</f>
        <v>0.86650348716649883</v>
      </c>
      <c r="AI49" s="44">
        <f t="shared" ref="AI49:AI62" si="51">AH49*J49*L49</f>
        <v>0</v>
      </c>
      <c r="AJ49" s="44">
        <f t="shared" ref="AJ49:AJ62" si="52">AG49+AI49</f>
        <v>376288.32423901604</v>
      </c>
      <c r="AK49" s="44">
        <f>HLOOKUP(I49,ElecAvoidedCostsWOCC!$A$5:$Q$50,G49+1,FALSE)*J49*L49</f>
        <v>0</v>
      </c>
      <c r="AL49" s="44">
        <f t="shared" ref="AL49:AL62" si="53">AG49+AI49-AK49</f>
        <v>376288.32423901604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376288.32423901604</v>
      </c>
      <c r="AN49" s="48">
        <f t="shared" ref="AN49:AN62" si="54">AM49*1.1+AD49+AE49</f>
        <v>413917.1566629177</v>
      </c>
      <c r="AO49" s="47">
        <f t="shared" ref="AO49:AO62" si="55">IFERROR(AM49/AB49,0)</f>
        <v>6.7179179773776063</v>
      </c>
      <c r="AP49" s="47">
        <f t="shared" ref="AP49:AP62" si="56">AN49/AC49</f>
        <v>3.2400253251389182</v>
      </c>
      <c r="AQ49">
        <v>2020</v>
      </c>
    </row>
    <row r="50" spans="2:43">
      <c r="B50" s="97" t="s">
        <v>70</v>
      </c>
      <c r="C50" s="61">
        <v>18230714</v>
      </c>
      <c r="D50" s="61" t="s">
        <v>128</v>
      </c>
      <c r="E50" s="38" t="s">
        <v>1111</v>
      </c>
      <c r="F50" s="39" t="s">
        <v>1112</v>
      </c>
      <c r="G50" s="39">
        <v>15</v>
      </c>
      <c r="H50" s="39"/>
      <c r="I50" s="40" t="s">
        <v>257</v>
      </c>
      <c r="J50" s="41">
        <v>1</v>
      </c>
      <c r="K50" s="41">
        <v>202</v>
      </c>
      <c r="L50" s="41"/>
      <c r="M50" s="42">
        <v>40</v>
      </c>
      <c r="N50" s="42">
        <v>255</v>
      </c>
      <c r="O50" s="43">
        <v>202</v>
      </c>
      <c r="P50" s="44">
        <v>40</v>
      </c>
      <c r="Q50" s="44">
        <v>255</v>
      </c>
      <c r="R50" s="45">
        <v>0</v>
      </c>
      <c r="S50" s="46">
        <v>0</v>
      </c>
      <c r="T50" s="39">
        <f t="shared" si="38"/>
        <v>15</v>
      </c>
      <c r="U50" s="47">
        <f t="shared" si="39"/>
        <v>1.3794063302841221E-4</v>
      </c>
      <c r="V50" s="48">
        <f t="shared" si="40"/>
        <v>215</v>
      </c>
      <c r="W50" s="49">
        <f t="shared" si="41"/>
        <v>9.1960422018941481E-6</v>
      </c>
      <c r="X50" s="44">
        <f t="shared" si="42"/>
        <v>6.3426543166672769</v>
      </c>
      <c r="Y50" s="44">
        <f t="shared" si="43"/>
        <v>215</v>
      </c>
      <c r="Z50" s="44">
        <f t="shared" si="44"/>
        <v>27.870771009016231</v>
      </c>
      <c r="AA50" s="50">
        <f t="shared" si="45"/>
        <v>261.34265431666728</v>
      </c>
      <c r="AB50" s="51">
        <f t="shared" si="46"/>
        <v>26.05475461252335</v>
      </c>
      <c r="AC50" s="44">
        <f t="shared" si="47"/>
        <v>244.31397056807259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1.0545904948077327</v>
      </c>
      <c r="AG50" s="44">
        <f t="shared" si="50"/>
        <v>213.027279951162</v>
      </c>
      <c r="AH50" s="52">
        <f>HLOOKUP(I50,ElecAvoidedCostsWOCC!$A$5:$Q$50,T50+1,FALSE)</f>
        <v>1.0545904948077327</v>
      </c>
      <c r="AI50" s="44">
        <f t="shared" si="51"/>
        <v>0</v>
      </c>
      <c r="AJ50" s="44">
        <f t="shared" si="52"/>
        <v>213.027279951162</v>
      </c>
      <c r="AK50" s="44">
        <f>HLOOKUP(I50,ElecAvoidedCostsWOCC!$A$5:$Q$50,G50+1,FALSE)*J50*L50</f>
        <v>0</v>
      </c>
      <c r="AL50" s="44">
        <f t="shared" si="53"/>
        <v>213.027279951162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213.027279951162</v>
      </c>
      <c r="AN50" s="48">
        <f t="shared" si="54"/>
        <v>234.33000794627822</v>
      </c>
      <c r="AO50" s="47">
        <f t="shared" si="55"/>
        <v>8.1761384100224586</v>
      </c>
      <c r="AP50" s="47">
        <f t="shared" si="56"/>
        <v>0.95913470441915405</v>
      </c>
      <c r="AQ50">
        <v>2020</v>
      </c>
    </row>
    <row r="51" spans="2:43">
      <c r="B51" s="97" t="s">
        <v>70</v>
      </c>
      <c r="C51" s="61">
        <v>18230714</v>
      </c>
      <c r="D51" s="61" t="s">
        <v>128</v>
      </c>
      <c r="E51" s="38" t="s">
        <v>1113</v>
      </c>
      <c r="F51" s="39" t="s">
        <v>1114</v>
      </c>
      <c r="G51" s="39">
        <v>15</v>
      </c>
      <c r="H51" s="39"/>
      <c r="I51" s="40" t="s">
        <v>257</v>
      </c>
      <c r="J51" s="41">
        <v>14</v>
      </c>
      <c r="K51" s="41">
        <v>252</v>
      </c>
      <c r="L51" s="41"/>
      <c r="M51" s="42">
        <v>50</v>
      </c>
      <c r="N51" s="42">
        <v>329</v>
      </c>
      <c r="O51" s="43">
        <v>3528</v>
      </c>
      <c r="P51" s="44">
        <v>700</v>
      </c>
      <c r="Q51" s="44">
        <v>4606</v>
      </c>
      <c r="R51" s="45">
        <v>0</v>
      </c>
      <c r="S51" s="46">
        <v>0</v>
      </c>
      <c r="T51" s="39">
        <f t="shared" si="38"/>
        <v>15</v>
      </c>
      <c r="U51" s="47">
        <f t="shared" si="39"/>
        <v>2.4091809570506847E-3</v>
      </c>
      <c r="V51" s="48">
        <f t="shared" si="40"/>
        <v>279</v>
      </c>
      <c r="W51" s="49">
        <f t="shared" si="41"/>
        <v>1.6061206380337898E-4</v>
      </c>
      <c r="X51" s="44">
        <f t="shared" si="42"/>
        <v>110.77665559010967</v>
      </c>
      <c r="Y51" s="44">
        <f t="shared" si="43"/>
        <v>3906</v>
      </c>
      <c r="Z51" s="44">
        <f t="shared" si="44"/>
        <v>486.77267386044184</v>
      </c>
      <c r="AA51" s="50">
        <f t="shared" si="45"/>
        <v>4716.7766555901098</v>
      </c>
      <c r="AB51" s="51">
        <f t="shared" si="46"/>
        <v>455.05531818308106</v>
      </c>
      <c r="AC51" s="44">
        <f t="shared" si="47"/>
        <v>4409.4387731047109</v>
      </c>
      <c r="AD51" s="44">
        <f t="shared" si="48"/>
        <v>0</v>
      </c>
      <c r="AE51" s="44">
        <f t="shared" si="49"/>
        <v>0</v>
      </c>
      <c r="AF51" s="52">
        <f>HLOOKUP(I51,ElecAvoidedCostsWOCC!$A$5:$Q$50,G51+1,FALSE)</f>
        <v>1.0545904948077327</v>
      </c>
      <c r="AG51" s="44">
        <f t="shared" si="50"/>
        <v>3720.5952656816808</v>
      </c>
      <c r="AH51" s="52">
        <f>HLOOKUP(I51,ElecAvoidedCostsWOCC!$A$5:$Q$50,T51+1,FALSE)</f>
        <v>1.0545904948077327</v>
      </c>
      <c r="AI51" s="44">
        <f t="shared" si="51"/>
        <v>0</v>
      </c>
      <c r="AJ51" s="44">
        <f t="shared" si="52"/>
        <v>3720.5952656816808</v>
      </c>
      <c r="AK51" s="44">
        <f>HLOOKUP(I51,ElecAvoidedCostsWOCC!$A$5:$Q$50,G51+1,FALSE)*J51*L51</f>
        <v>0</v>
      </c>
      <c r="AL51" s="44">
        <f t="shared" si="53"/>
        <v>3720.5952656816808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3720.5952656816812</v>
      </c>
      <c r="AN51" s="48">
        <f t="shared" si="54"/>
        <v>4092.6547922498498</v>
      </c>
      <c r="AO51" s="47">
        <f t="shared" si="55"/>
        <v>8.1761384100224603</v>
      </c>
      <c r="AP51" s="47">
        <f t="shared" si="56"/>
        <v>0.92815775495351494</v>
      </c>
      <c r="AQ51">
        <v>2020</v>
      </c>
    </row>
    <row r="52" spans="2:43">
      <c r="B52" s="97" t="s">
        <v>70</v>
      </c>
      <c r="C52" s="61">
        <v>18230714</v>
      </c>
      <c r="D52" s="61" t="s">
        <v>128</v>
      </c>
      <c r="E52" s="38" t="s">
        <v>1115</v>
      </c>
      <c r="F52" s="39" t="s">
        <v>1116</v>
      </c>
      <c r="G52" s="39">
        <v>15</v>
      </c>
      <c r="H52" s="39"/>
      <c r="I52" s="40" t="s">
        <v>257</v>
      </c>
      <c r="J52" s="41">
        <v>16</v>
      </c>
      <c r="K52" s="41">
        <v>352</v>
      </c>
      <c r="L52" s="41"/>
      <c r="M52" s="42">
        <v>70</v>
      </c>
      <c r="N52" s="42">
        <v>365</v>
      </c>
      <c r="O52" s="43">
        <v>5632</v>
      </c>
      <c r="P52" s="44">
        <v>1120</v>
      </c>
      <c r="Q52" s="44">
        <v>5840</v>
      </c>
      <c r="R52" s="45">
        <v>0</v>
      </c>
      <c r="S52" s="46">
        <v>0</v>
      </c>
      <c r="T52" s="39">
        <f t="shared" si="38"/>
        <v>15</v>
      </c>
      <c r="U52" s="47">
        <f t="shared" si="39"/>
        <v>3.8459487386931566E-3</v>
      </c>
      <c r="V52" s="48">
        <f t="shared" si="40"/>
        <v>295</v>
      </c>
      <c r="W52" s="49">
        <f t="shared" si="41"/>
        <v>2.5639658257954379E-4</v>
      </c>
      <c r="X52" s="44">
        <f t="shared" si="42"/>
        <v>176.84073817559459</v>
      </c>
      <c r="Y52" s="44">
        <f t="shared" si="43"/>
        <v>4720</v>
      </c>
      <c r="Z52" s="44">
        <f t="shared" si="44"/>
        <v>777.07020951871004</v>
      </c>
      <c r="AA52" s="50">
        <f t="shared" si="45"/>
        <v>6016.8407381755942</v>
      </c>
      <c r="AB52" s="51">
        <f t="shared" si="46"/>
        <v>726.4375147412452</v>
      </c>
      <c r="AC52" s="44">
        <f t="shared" si="47"/>
        <v>5624.792687833592</v>
      </c>
      <c r="AD52" s="44">
        <f t="shared" si="48"/>
        <v>0</v>
      </c>
      <c r="AE52" s="44">
        <f t="shared" si="49"/>
        <v>0</v>
      </c>
      <c r="AF52" s="52">
        <f>HLOOKUP(I52,ElecAvoidedCostsWOCC!$A$5:$Q$50,G52+1,FALSE)</f>
        <v>1.0545904948077327</v>
      </c>
      <c r="AG52" s="44">
        <f t="shared" si="50"/>
        <v>5939.4536667571501</v>
      </c>
      <c r="AH52" s="52">
        <f>HLOOKUP(I52,ElecAvoidedCostsWOCC!$A$5:$Q$50,T52+1,FALSE)</f>
        <v>1.0545904948077327</v>
      </c>
      <c r="AI52" s="44">
        <f t="shared" si="51"/>
        <v>0</v>
      </c>
      <c r="AJ52" s="44">
        <f t="shared" si="52"/>
        <v>5939.4536667571501</v>
      </c>
      <c r="AK52" s="44">
        <f>HLOOKUP(I52,ElecAvoidedCostsWOCC!$A$5:$Q$50,G52+1,FALSE)*J52*L52</f>
        <v>0</v>
      </c>
      <c r="AL52" s="44">
        <f t="shared" si="53"/>
        <v>5939.4536667571501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5939.4536667571501</v>
      </c>
      <c r="AN52" s="48">
        <f t="shared" si="54"/>
        <v>6533.3990334328655</v>
      </c>
      <c r="AO52" s="47">
        <f t="shared" si="55"/>
        <v>8.1761384100224568</v>
      </c>
      <c r="AP52" s="47">
        <f t="shared" si="56"/>
        <v>1.1615359704837809</v>
      </c>
      <c r="AQ52">
        <v>2020</v>
      </c>
    </row>
    <row r="53" spans="2:43">
      <c r="B53" s="97" t="s">
        <v>70</v>
      </c>
      <c r="C53" s="61">
        <v>18230714</v>
      </c>
      <c r="D53" s="61" t="s">
        <v>128</v>
      </c>
      <c r="E53" s="38" t="s">
        <v>1119</v>
      </c>
      <c r="F53" s="39" t="s">
        <v>1120</v>
      </c>
      <c r="G53" s="39">
        <v>15</v>
      </c>
      <c r="H53" s="39"/>
      <c r="I53" s="40" t="s">
        <v>257</v>
      </c>
      <c r="J53" s="41">
        <v>22</v>
      </c>
      <c r="K53" s="41">
        <v>857</v>
      </c>
      <c r="L53" s="41"/>
      <c r="M53" s="42">
        <v>175</v>
      </c>
      <c r="N53" s="42">
        <v>516</v>
      </c>
      <c r="O53" s="43">
        <v>18854</v>
      </c>
      <c r="P53" s="44">
        <v>2144.9699999999998</v>
      </c>
      <c r="Q53" s="44">
        <v>11352</v>
      </c>
      <c r="R53" s="45">
        <v>0</v>
      </c>
      <c r="S53" s="46">
        <v>0</v>
      </c>
      <c r="T53" s="39">
        <f t="shared" si="38"/>
        <v>15</v>
      </c>
      <c r="U53" s="47">
        <f t="shared" si="39"/>
        <v>1.2874914332265763E-2</v>
      </c>
      <c r="V53" s="48">
        <f t="shared" si="40"/>
        <v>341</v>
      </c>
      <c r="W53" s="49">
        <f t="shared" si="41"/>
        <v>8.5832762215105082E-4</v>
      </c>
      <c r="X53" s="44">
        <f t="shared" si="42"/>
        <v>592.00200240814274</v>
      </c>
      <c r="Y53" s="44">
        <f t="shared" si="43"/>
        <v>9207.0300000000007</v>
      </c>
      <c r="Z53" s="44">
        <f t="shared" si="44"/>
        <v>2601.3639435841187</v>
      </c>
      <c r="AA53" s="50">
        <f t="shared" si="45"/>
        <v>11944.002002408142</v>
      </c>
      <c r="AB53" s="51">
        <f t="shared" si="46"/>
        <v>2431.8630864579964</v>
      </c>
      <c r="AC53" s="44">
        <f t="shared" si="47"/>
        <v>11165.749277749033</v>
      </c>
      <c r="AD53" s="44">
        <f t="shared" si="48"/>
        <v>0</v>
      </c>
      <c r="AE53" s="44">
        <f t="shared" si="49"/>
        <v>0</v>
      </c>
      <c r="AF53" s="52">
        <f>HLOOKUP(I53,ElecAvoidedCostsWOCC!$A$5:$Q$50,G53+1,FALSE)</f>
        <v>1.0545904948077327</v>
      </c>
      <c r="AG53" s="44">
        <f t="shared" si="50"/>
        <v>19883.24918910499</v>
      </c>
      <c r="AH53" s="52">
        <f>HLOOKUP(I53,ElecAvoidedCostsWOCC!$A$5:$Q$50,T53+1,FALSE)</f>
        <v>1.0545904948077327</v>
      </c>
      <c r="AI53" s="44">
        <f t="shared" si="51"/>
        <v>0</v>
      </c>
      <c r="AJ53" s="44">
        <f t="shared" si="52"/>
        <v>19883.24918910499</v>
      </c>
      <c r="AK53" s="44">
        <f>HLOOKUP(I53,ElecAvoidedCostsWOCC!$A$5:$Q$50,G53+1,FALSE)*J53*L53</f>
        <v>0</v>
      </c>
      <c r="AL53" s="44">
        <f t="shared" si="53"/>
        <v>19883.24918910499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19883.249189104994</v>
      </c>
      <c r="AN53" s="48">
        <f t="shared" si="54"/>
        <v>21871.574108015495</v>
      </c>
      <c r="AO53" s="47">
        <f t="shared" si="55"/>
        <v>8.1761384100224603</v>
      </c>
      <c r="AP53" s="47">
        <f t="shared" si="56"/>
        <v>1.9588093520603134</v>
      </c>
      <c r="AQ53">
        <v>2020</v>
      </c>
    </row>
    <row r="54" spans="2:43">
      <c r="B54" s="97" t="s">
        <v>70</v>
      </c>
      <c r="C54" s="61">
        <v>18230714</v>
      </c>
      <c r="D54" s="61" t="s">
        <v>128</v>
      </c>
      <c r="E54" s="38" t="s">
        <v>1123</v>
      </c>
      <c r="F54" s="39" t="s">
        <v>1124</v>
      </c>
      <c r="G54" s="39">
        <v>15</v>
      </c>
      <c r="H54" s="39"/>
      <c r="I54" s="40" t="s">
        <v>257</v>
      </c>
      <c r="J54" s="41">
        <v>15</v>
      </c>
      <c r="K54" s="41">
        <v>1230</v>
      </c>
      <c r="L54" s="41"/>
      <c r="M54" s="42">
        <v>250</v>
      </c>
      <c r="N54" s="42">
        <v>677</v>
      </c>
      <c r="O54" s="43">
        <v>18450</v>
      </c>
      <c r="P54" s="44">
        <v>3750</v>
      </c>
      <c r="Q54" s="44">
        <v>10155</v>
      </c>
      <c r="R54" s="45">
        <v>0</v>
      </c>
      <c r="S54" s="46">
        <v>0</v>
      </c>
      <c r="T54" s="39">
        <f t="shared" si="38"/>
        <v>15</v>
      </c>
      <c r="U54" s="47">
        <f t="shared" si="39"/>
        <v>1.2599033066208937E-2</v>
      </c>
      <c r="V54" s="48">
        <f t="shared" si="40"/>
        <v>427</v>
      </c>
      <c r="W54" s="49">
        <f t="shared" si="41"/>
        <v>8.399355377472625E-4</v>
      </c>
      <c r="X54" s="44">
        <f t="shared" si="42"/>
        <v>579.31669377480819</v>
      </c>
      <c r="Y54" s="44">
        <f t="shared" si="43"/>
        <v>6405</v>
      </c>
      <c r="Z54" s="44">
        <f t="shared" si="44"/>
        <v>2545.622401566086</v>
      </c>
      <c r="AA54" s="50">
        <f t="shared" si="45"/>
        <v>10734.316693774808</v>
      </c>
      <c r="AB54" s="51">
        <f t="shared" si="46"/>
        <v>2379.7535772329493</v>
      </c>
      <c r="AC54" s="44">
        <f t="shared" si="47"/>
        <v>10034.885195638784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1.0545904948077327</v>
      </c>
      <c r="AG54" s="44">
        <f t="shared" si="50"/>
        <v>19457.194629202666</v>
      </c>
      <c r="AH54" s="52">
        <f>HLOOKUP(I54,ElecAvoidedCostsWOCC!$A$5:$Q$50,T54+1,FALSE)</f>
        <v>1.0545904948077327</v>
      </c>
      <c r="AI54" s="44">
        <f t="shared" si="51"/>
        <v>0</v>
      </c>
      <c r="AJ54" s="44">
        <f t="shared" si="52"/>
        <v>19457.194629202666</v>
      </c>
      <c r="AK54" s="44">
        <f>HLOOKUP(I54,ElecAvoidedCostsWOCC!$A$5:$Q$50,G54+1,FALSE)*J54*L54</f>
        <v>0</v>
      </c>
      <c r="AL54" s="44">
        <f t="shared" si="53"/>
        <v>19457.194629202666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19457.19462920267</v>
      </c>
      <c r="AN54" s="48">
        <f t="shared" si="54"/>
        <v>21402.914092122937</v>
      </c>
      <c r="AO54" s="47">
        <f t="shared" si="55"/>
        <v>8.1761384100224603</v>
      </c>
      <c r="AP54" s="47">
        <f t="shared" si="56"/>
        <v>2.1328509170612895</v>
      </c>
      <c r="AQ54">
        <v>2020</v>
      </c>
    </row>
    <row r="55" spans="2:43">
      <c r="B55" s="97" t="s">
        <v>70</v>
      </c>
      <c r="C55" s="61">
        <v>18230714</v>
      </c>
      <c r="D55" s="61" t="s">
        <v>128</v>
      </c>
      <c r="E55" s="38" t="s">
        <v>1125</v>
      </c>
      <c r="F55" s="39" t="s">
        <v>1126</v>
      </c>
      <c r="G55" s="39">
        <v>15</v>
      </c>
      <c r="H55" s="39"/>
      <c r="I55" s="40" t="s">
        <v>257</v>
      </c>
      <c r="J55" s="41">
        <v>8</v>
      </c>
      <c r="K55" s="41">
        <v>3204</v>
      </c>
      <c r="L55" s="41"/>
      <c r="M55" s="42">
        <v>645</v>
      </c>
      <c r="N55" s="42">
        <v>1203</v>
      </c>
      <c r="O55" s="43">
        <v>25632</v>
      </c>
      <c r="P55" s="44">
        <v>5160</v>
      </c>
      <c r="Q55" s="44">
        <v>9624</v>
      </c>
      <c r="R55" s="45">
        <v>0</v>
      </c>
      <c r="S55" s="46">
        <v>0</v>
      </c>
      <c r="T55" s="39">
        <f t="shared" si="38"/>
        <v>15</v>
      </c>
      <c r="U55" s="47">
        <f t="shared" si="39"/>
        <v>1.7503437157347829E-2</v>
      </c>
      <c r="V55" s="48">
        <f t="shared" si="40"/>
        <v>558</v>
      </c>
      <c r="W55" s="49">
        <f t="shared" si="41"/>
        <v>1.1668958104898554E-3</v>
      </c>
      <c r="X55" s="44">
        <f t="shared" si="42"/>
        <v>804.82631408324573</v>
      </c>
      <c r="Y55" s="44">
        <f t="shared" si="43"/>
        <v>4464</v>
      </c>
      <c r="Z55" s="44">
        <f t="shared" si="44"/>
        <v>3536.5524876391282</v>
      </c>
      <c r="AA55" s="50">
        <f t="shared" si="45"/>
        <v>10428.826314083246</v>
      </c>
      <c r="AB55" s="51">
        <f t="shared" si="46"/>
        <v>3306.116189248507</v>
      </c>
      <c r="AC55" s="44">
        <f t="shared" si="47"/>
        <v>9749.3000973013422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1.0545904948077327</v>
      </c>
      <c r="AG55" s="44">
        <f t="shared" si="50"/>
        <v>27031.263562911805</v>
      </c>
      <c r="AH55" s="52">
        <f>HLOOKUP(I55,ElecAvoidedCostsWOCC!$A$5:$Q$50,T55+1,FALSE)</f>
        <v>1.0545904948077327</v>
      </c>
      <c r="AI55" s="44">
        <f t="shared" si="51"/>
        <v>0</v>
      </c>
      <c r="AJ55" s="44">
        <f t="shared" si="52"/>
        <v>27031.263562911805</v>
      </c>
      <c r="AK55" s="44">
        <f>HLOOKUP(I55,ElecAvoidedCostsWOCC!$A$5:$Q$50,G55+1,FALSE)*J55*L55</f>
        <v>0</v>
      </c>
      <c r="AL55" s="44">
        <f t="shared" si="53"/>
        <v>27031.263562911805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27031.263562911805</v>
      </c>
      <c r="AN55" s="48">
        <f t="shared" si="54"/>
        <v>29734.389919202989</v>
      </c>
      <c r="AO55" s="47">
        <f t="shared" si="55"/>
        <v>8.1761384100224603</v>
      </c>
      <c r="AP55" s="47">
        <f t="shared" si="56"/>
        <v>3.0498999540934868</v>
      </c>
      <c r="AQ55">
        <v>2020</v>
      </c>
    </row>
    <row r="56" spans="2:43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3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3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</sheetData>
  <conditionalFormatting sqref="J5:L62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62 R5:S62">
    <cfRule type="expression" dxfId="197" priority="2">
      <formula>ISTEXT(M5)</formula>
    </cfRule>
  </conditionalFormatting>
  <conditionalFormatting sqref="M5:N62 R5:S62">
    <cfRule type="notContainsBlanks" dxfId="196" priority="3">
      <formula>LEN(TRIM(M5))&gt;0</formula>
    </cfRule>
  </conditionalFormatting>
  <conditionalFormatting sqref="R5:S62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01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1139</v>
      </c>
      <c r="F5" s="39" t="s">
        <v>1140</v>
      </c>
      <c r="G5" s="39">
        <v>15</v>
      </c>
      <c r="H5" s="39"/>
      <c r="I5" s="40" t="s">
        <v>255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0.45000159485859353</v>
      </c>
      <c r="V5" s="48">
        <f t="shared" ref="V5:V13" si="2">N5-M5</f>
        <v>1909</v>
      </c>
      <c r="W5" s="49">
        <f t="shared" ref="W5:W13" si="3">(O5/A$10)</f>
        <v>3.0000106323906237E-2</v>
      </c>
      <c r="X5" s="44">
        <f t="shared" ref="X5:X13" si="4">W5*A$8</f>
        <v>3453.8909409958346</v>
      </c>
      <c r="Y5" s="44">
        <f t="shared" ref="Y5:Y13" si="5">Q5-P5</f>
        <v>3818</v>
      </c>
      <c r="Z5" s="44">
        <f t="shared" ref="Z5:Z13" si="6">X5+(A$6*W5)</f>
        <v>8654.8950739663651</v>
      </c>
      <c r="AA5" s="50">
        <f t="shared" ref="AA5:AA13" si="7">Q5+X5</f>
        <v>8771.8909409958342</v>
      </c>
      <c r="AB5" s="51">
        <f t="shared" ref="AB5:AC11" si="8">Z5/(1+ElecDiscountRate)^1</f>
        <v>8090.9554772051642</v>
      </c>
      <c r="AC5" s="44">
        <f t="shared" si="8"/>
        <v>8200.3280742225234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2.5664091242905602</v>
      </c>
      <c r="AP5" s="47">
        <f t="shared" ref="AP5:AP13" si="17">AN5/AC5</f>
        <v>12.072673828784188</v>
      </c>
      <c r="AQ5">
        <v>2021</v>
      </c>
    </row>
    <row r="6" spans="1:43" ht="13.5" customHeight="1">
      <c r="A6" s="53">
        <f>SUMIF('Program Costs'!C:C,D2,'Program Costs'!L:L)</f>
        <v>173366.19</v>
      </c>
      <c r="B6" s="97" t="s">
        <v>70</v>
      </c>
      <c r="C6" s="98">
        <v>18230716</v>
      </c>
      <c r="D6" s="61" t="s">
        <v>131</v>
      </c>
      <c r="E6" s="38" t="s">
        <v>1141</v>
      </c>
      <c r="F6" s="39" t="s">
        <v>1142</v>
      </c>
      <c r="G6" s="39">
        <v>15</v>
      </c>
      <c r="H6" s="39"/>
      <c r="I6" s="40" t="s">
        <v>255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0.31628053270012324</v>
      </c>
      <c r="V6" s="48">
        <f t="shared" si="2"/>
        <v>1909</v>
      </c>
      <c r="W6" s="49">
        <f t="shared" si="3"/>
        <v>2.1085368846674883E-2</v>
      </c>
      <c r="X6" s="44">
        <f t="shared" si="4"/>
        <v>2427.5435447057976</v>
      </c>
      <c r="Y6" s="44">
        <f t="shared" si="5"/>
        <v>1909</v>
      </c>
      <c r="Z6" s="44">
        <f t="shared" si="6"/>
        <v>6083.033606398516</v>
      </c>
      <c r="AA6" s="50">
        <f t="shared" si="7"/>
        <v>5086.5435447057971</v>
      </c>
      <c r="AB6" s="51">
        <f t="shared" si="8"/>
        <v>5686.6725309886097</v>
      </c>
      <c r="AC6" s="44">
        <f t="shared" si="8"/>
        <v>4755.1122227781589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2.5664091242905607</v>
      </c>
      <c r="AP6" s="47">
        <f t="shared" si="17"/>
        <v>21.79463694601823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1143</v>
      </c>
      <c r="F7" s="39" t="s">
        <v>1144</v>
      </c>
      <c r="G7" s="39">
        <v>20</v>
      </c>
      <c r="H7" s="39"/>
      <c r="I7" s="40" t="s">
        <v>255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0.21591252992528986</v>
      </c>
      <c r="V7" s="48">
        <f t="shared" si="2"/>
        <v>4882</v>
      </c>
      <c r="W7" s="49">
        <f t="shared" si="3"/>
        <v>1.0795626496264494E-2</v>
      </c>
      <c r="X7" s="44">
        <f t="shared" si="4"/>
        <v>1242.8928136201187</v>
      </c>
      <c r="Y7" s="44">
        <f t="shared" si="5"/>
        <v>4882</v>
      </c>
      <c r="Z7" s="44">
        <f t="shared" si="6"/>
        <v>3114.489447940543</v>
      </c>
      <c r="AA7" s="50">
        <f t="shared" si="7"/>
        <v>7124.8928136201184</v>
      </c>
      <c r="AB7" s="51">
        <f t="shared" si="8"/>
        <v>2911.5541254001519</v>
      </c>
      <c r="AC7" s="44">
        <f t="shared" si="8"/>
        <v>6660.6458012714947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3.2108334619285701</v>
      </c>
      <c r="AP7" s="47">
        <f t="shared" si="17"/>
        <v>4.4407226236894779</v>
      </c>
      <c r="AQ7">
        <v>2021</v>
      </c>
    </row>
    <row r="8" spans="1:43" ht="13.5" customHeight="1">
      <c r="A8" s="53">
        <f>SUMIF('Program Costs'!C:C,D2,'Program Costs'!O:O)</f>
        <v>115129.28999999998</v>
      </c>
      <c r="B8" s="97" t="s">
        <v>70</v>
      </c>
      <c r="C8" s="98">
        <v>18230716</v>
      </c>
      <c r="D8" s="61" t="s">
        <v>131</v>
      </c>
      <c r="E8" s="38" t="s">
        <v>1145</v>
      </c>
      <c r="F8" s="39" t="s">
        <v>1146</v>
      </c>
      <c r="G8" s="39">
        <v>10</v>
      </c>
      <c r="H8" s="39"/>
      <c r="I8" s="40" t="s">
        <v>255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1.9838305603406624E-2</v>
      </c>
      <c r="V8" s="48">
        <f t="shared" si="2"/>
        <v>25</v>
      </c>
      <c r="W8" s="49">
        <f t="shared" si="3"/>
        <v>1.9838305603406626E-3</v>
      </c>
      <c r="X8" s="44">
        <f t="shared" si="4"/>
        <v>228.3970038923226</v>
      </c>
      <c r="Y8" s="44">
        <f t="shared" si="5"/>
        <v>25</v>
      </c>
      <c r="Z8" s="44">
        <f t="shared" si="6"/>
        <v>572.32614974414832</v>
      </c>
      <c r="AA8" s="50">
        <f t="shared" si="7"/>
        <v>403.39700389232257</v>
      </c>
      <c r="AB8" s="51">
        <f t="shared" si="8"/>
        <v>535.03426170341993</v>
      </c>
      <c r="AC8" s="44">
        <f t="shared" si="8"/>
        <v>377.11227810818224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1.7687795212916817</v>
      </c>
      <c r="AP8" s="47">
        <f t="shared" si="17"/>
        <v>11.706704561043976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18230716</v>
      </c>
      <c r="D9" s="61" t="s">
        <v>131</v>
      </c>
      <c r="E9" s="38" t="s">
        <v>1147</v>
      </c>
      <c r="F9" s="39" t="s">
        <v>1148</v>
      </c>
      <c r="G9" s="39">
        <v>10</v>
      </c>
      <c r="H9" s="39"/>
      <c r="I9" s="40" t="s">
        <v>255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6.6294352602043777E-2</v>
      </c>
      <c r="V9" s="48">
        <f t="shared" si="2"/>
        <v>82</v>
      </c>
      <c r="W9" s="49">
        <f t="shared" si="3"/>
        <v>6.6294352602043784E-3</v>
      </c>
      <c r="X9" s="44">
        <f t="shared" si="4"/>
        <v>763.24217460829516</v>
      </c>
      <c r="Y9" s="44">
        <f t="shared" si="5"/>
        <v>164</v>
      </c>
      <c r="Z9" s="44">
        <f t="shared" si="6"/>
        <v>1912.5621075215868</v>
      </c>
      <c r="AA9" s="50">
        <f t="shared" si="7"/>
        <v>1227.242174608295</v>
      </c>
      <c r="AB9" s="51">
        <f t="shared" si="8"/>
        <v>1787.9425142765135</v>
      </c>
      <c r="AC9" s="44">
        <f t="shared" si="8"/>
        <v>1147.2769698123725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1.7687795212916819</v>
      </c>
      <c r="AP9" s="47">
        <f t="shared" si="17"/>
        <v>16.840520225894181</v>
      </c>
      <c r="AQ9">
        <v>2021</v>
      </c>
    </row>
    <row r="10" spans="1:43" ht="13.5" customHeight="1">
      <c r="A10" s="54">
        <f>SUM(O5:O971)</f>
        <v>679997.59</v>
      </c>
      <c r="B10" s="97" t="s">
        <v>70</v>
      </c>
      <c r="C10" s="98">
        <v>18230716</v>
      </c>
      <c r="D10" s="61" t="s">
        <v>131</v>
      </c>
      <c r="E10" s="38" t="s">
        <v>1149</v>
      </c>
      <c r="F10" s="39" t="s">
        <v>1150</v>
      </c>
      <c r="G10" s="39">
        <v>12</v>
      </c>
      <c r="H10" s="39"/>
      <c r="I10" s="40" t="s">
        <v>258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2.3717731117252932E-2</v>
      </c>
      <c r="V10" s="48">
        <f t="shared" si="2"/>
        <v>21</v>
      </c>
      <c r="W10" s="49">
        <f t="shared" si="3"/>
        <v>1.976477593104411E-3</v>
      </c>
      <c r="X10" s="44">
        <f t="shared" si="4"/>
        <v>227.5504619950197</v>
      </c>
      <c r="Y10" s="44">
        <f t="shared" si="5"/>
        <v>21</v>
      </c>
      <c r="Z10" s="44">
        <f t="shared" si="6"/>
        <v>570.20485193190166</v>
      </c>
      <c r="AA10" s="50">
        <f t="shared" si="7"/>
        <v>1098.5504619950198</v>
      </c>
      <c r="AB10" s="51">
        <f t="shared" si="8"/>
        <v>533.05118438057548</v>
      </c>
      <c r="AC10" s="44">
        <f t="shared" si="8"/>
        <v>1026.9706104468726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2.0854920901849523</v>
      </c>
      <c r="AP10" s="47">
        <f t="shared" si="17"/>
        <v>11.702691712980846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18230716</v>
      </c>
      <c r="D11" s="61" t="s">
        <v>131</v>
      </c>
      <c r="E11" s="38" t="s">
        <v>1151</v>
      </c>
      <c r="F11" s="39" t="s">
        <v>1152</v>
      </c>
      <c r="G11" s="39">
        <v>12</v>
      </c>
      <c r="H11" s="39"/>
      <c r="I11" s="40" t="s">
        <v>258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0.37251308493608049</v>
      </c>
      <c r="V11" s="48">
        <f t="shared" si="2"/>
        <v>131</v>
      </c>
      <c r="W11" s="49">
        <f t="shared" si="3"/>
        <v>3.1042757078006706E-2</v>
      </c>
      <c r="X11" s="44">
        <f t="shared" si="4"/>
        <v>3573.9305820333861</v>
      </c>
      <c r="Y11" s="44">
        <f t="shared" si="5"/>
        <v>131</v>
      </c>
      <c r="Z11" s="44">
        <f t="shared" si="6"/>
        <v>8955.6951037429408</v>
      </c>
      <c r="AA11" s="50">
        <f t="shared" si="7"/>
        <v>5704.9305820333866</v>
      </c>
      <c r="AB11" s="51">
        <f t="shared" si="8"/>
        <v>8372.1558415845011</v>
      </c>
      <c r="AC11" s="44">
        <f t="shared" si="8"/>
        <v>5333.206115764594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2.0854920901849523</v>
      </c>
      <c r="AP11" s="47">
        <f t="shared" si="17"/>
        <v>19.02824326515486</v>
      </c>
      <c r="AQ11">
        <v>2021</v>
      </c>
    </row>
    <row r="12" spans="1:43" ht="13.5" customHeight="1">
      <c r="A12" s="55">
        <f>SUM(P5:P972)</f>
        <v>112220</v>
      </c>
      <c r="B12" s="97" t="s">
        <v>70</v>
      </c>
      <c r="C12" s="98">
        <v>18230716</v>
      </c>
      <c r="D12" s="61" t="s">
        <v>131</v>
      </c>
      <c r="E12" s="38" t="s">
        <v>1153</v>
      </c>
      <c r="F12" s="39" t="s">
        <v>1154</v>
      </c>
      <c r="G12" s="39">
        <v>7</v>
      </c>
      <c r="H12" s="39"/>
      <c r="I12" s="40" t="s">
        <v>256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0.13460213881052138</v>
      </c>
      <c r="V12" s="48">
        <f t="shared" si="2"/>
        <v>-0.37999999999999545</v>
      </c>
      <c r="W12" s="49">
        <f t="shared" si="3"/>
        <v>1.9228876972931627E-2</v>
      </c>
      <c r="X12" s="44">
        <f t="shared" si="4"/>
        <v>2213.806953390967</v>
      </c>
      <c r="Y12" s="44">
        <f t="shared" si="5"/>
        <v>-4.180000000000291</v>
      </c>
      <c r="Z12" s="44">
        <f t="shared" si="6"/>
        <v>5547.4440921668556</v>
      </c>
      <c r="AA12" s="50">
        <f t="shared" si="7"/>
        <v>6609.6269533909672</v>
      </c>
      <c r="AB12" s="51">
        <f>Z12/(1+ElecDiscountRate)^1</f>
        <v>5185.9812023622089</v>
      </c>
      <c r="AC12" s="44">
        <f>AA12/(1+ElecDiscountRate)^1</f>
        <v>6178.9538687398026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1.2601838156259644</v>
      </c>
      <c r="AP12" s="47">
        <f t="shared" si="17"/>
        <v>4.9002590117071643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18230716</v>
      </c>
      <c r="D13" s="61" t="s">
        <v>131</v>
      </c>
      <c r="E13" s="38" t="s">
        <v>1155</v>
      </c>
      <c r="F13" s="39" t="s">
        <v>1156</v>
      </c>
      <c r="G13" s="39">
        <v>12</v>
      </c>
      <c r="H13" s="39"/>
      <c r="I13" s="40" t="s">
        <v>258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0.24100673650916909</v>
      </c>
      <c r="V13" s="48">
        <f t="shared" si="2"/>
        <v>507</v>
      </c>
      <c r="W13" s="49">
        <f t="shared" si="3"/>
        <v>2.0083894709097425E-2</v>
      </c>
      <c r="X13" s="44">
        <f t="shared" si="4"/>
        <v>2312.2445382931428</v>
      </c>
      <c r="Y13" s="44">
        <f t="shared" si="5"/>
        <v>3549</v>
      </c>
      <c r="Z13" s="44">
        <f t="shared" si="6"/>
        <v>5794.112844370522</v>
      </c>
      <c r="AA13" s="50">
        <f t="shared" si="7"/>
        <v>9361.2445382931437</v>
      </c>
      <c r="AB13" s="51">
        <f>Z13/(1+ElecDiscountRate)^1</f>
        <v>5416.5773996172029</v>
      </c>
      <c r="AC13" s="44">
        <f>AA13/(1+ElecDiscountRate)^1</f>
        <v>8751.2803012930199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2.0854920901849519</v>
      </c>
      <c r="AP13" s="47">
        <f t="shared" si="17"/>
        <v>1.4198896421153293</v>
      </c>
      <c r="AQ13">
        <v>2021</v>
      </c>
    </row>
    <row r="14" spans="1:43" ht="13.5" customHeight="1">
      <c r="A14" s="55">
        <f>SUM(Y5:Y972)</f>
        <v>29093.7</v>
      </c>
      <c r="B14" s="97" t="s">
        <v>70</v>
      </c>
      <c r="C14" s="98">
        <v>18230716</v>
      </c>
      <c r="D14" s="61" t="s">
        <v>131</v>
      </c>
      <c r="E14" s="38" t="s">
        <v>1157</v>
      </c>
      <c r="F14" s="39" t="s">
        <v>1158</v>
      </c>
      <c r="G14" s="39">
        <v>12</v>
      </c>
      <c r="H14" s="39"/>
      <c r="I14" s="40" t="s">
        <v>258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6.1411982357172767E-2</v>
      </c>
      <c r="V14" s="48">
        <f t="shared" ref="V14:V60" si="20">N14-M14</f>
        <v>343</v>
      </c>
      <c r="W14" s="49">
        <f t="shared" ref="W14:W60" si="21">(O14/A$10)</f>
        <v>5.1176651964310637E-3</v>
      </c>
      <c r="X14" s="44">
        <f t="shared" ref="X14:X60" si="22">W14*A$8</f>
        <v>589.19316052281874</v>
      </c>
      <c r="Y14" s="44">
        <f t="shared" ref="Y14:Y60" si="23">Q14-P14</f>
        <v>686</v>
      </c>
      <c r="Z14" s="44">
        <f t="shared" ref="Z14:Z60" si="24">X14+(A$6*W14)</f>
        <v>1476.423277323674</v>
      </c>
      <c r="AA14" s="50">
        <f t="shared" ref="AA14:AA60" si="25">Q14+X14</f>
        <v>2175.1931605228187</v>
      </c>
      <c r="AB14" s="51">
        <f t="shared" ref="AB14:AB60" si="26">Z14/(1+ElecDiscountRate)^1</f>
        <v>1380.2218166997045</v>
      </c>
      <c r="AC14" s="44">
        <f t="shared" ref="AC14:AC60" si="27">AA14/(1+ElecDiscountRate)^1</f>
        <v>2033.4609334606137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2.0854920901849519</v>
      </c>
      <c r="AP14" s="47">
        <f t="shared" ref="AP14:AP60" si="36">AN14/AC14</f>
        <v>1.5570920480789558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18230716</v>
      </c>
      <c r="D15" s="61" t="s">
        <v>131</v>
      </c>
      <c r="E15" s="38" t="s">
        <v>1159</v>
      </c>
      <c r="F15" s="39" t="s">
        <v>1160</v>
      </c>
      <c r="G15" s="39">
        <v>10</v>
      </c>
      <c r="H15" s="39"/>
      <c r="I15" s="40" t="s">
        <v>260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1.9588304717374074E-2</v>
      </c>
      <c r="V15" s="48">
        <f t="shared" si="20"/>
        <v>22.879999999999995</v>
      </c>
      <c r="W15" s="49">
        <f t="shared" si="21"/>
        <v>1.9588304717374073E-3</v>
      </c>
      <c r="X15" s="44">
        <f t="shared" si="22"/>
        <v>225.51876144149273</v>
      </c>
      <c r="Y15" s="44">
        <f t="shared" si="23"/>
        <v>45.759999999999991</v>
      </c>
      <c r="Z15" s="44">
        <f t="shared" si="24"/>
        <v>565.11373718250968</v>
      </c>
      <c r="AA15" s="50">
        <f t="shared" si="25"/>
        <v>771.27876144149275</v>
      </c>
      <c r="AB15" s="51">
        <f t="shared" si="26"/>
        <v>528.29179880574895</v>
      </c>
      <c r="AC15" s="44">
        <f t="shared" si="27"/>
        <v>721.02342847666887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1.7328274208207834</v>
      </c>
      <c r="AP15" s="47">
        <f t="shared" si="36"/>
        <v>106.33459967028726</v>
      </c>
      <c r="AQ15">
        <v>2021</v>
      </c>
    </row>
    <row r="16" spans="1:43" ht="13.5" customHeight="1">
      <c r="A16" s="54">
        <f>SUM(U5:U971)</f>
        <v>12.79543818677357</v>
      </c>
      <c r="B16" s="97" t="s">
        <v>70</v>
      </c>
      <c r="C16" s="98">
        <v>18230716</v>
      </c>
      <c r="D16" s="61" t="s">
        <v>131</v>
      </c>
      <c r="E16" s="38" t="s">
        <v>1161</v>
      </c>
      <c r="F16" s="39" t="s">
        <v>1160</v>
      </c>
      <c r="G16" s="39">
        <v>10</v>
      </c>
      <c r="H16" s="39"/>
      <c r="I16" s="40" t="s">
        <v>260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6.8559066510809258E-2</v>
      </c>
      <c r="V16" s="48">
        <f t="shared" si="20"/>
        <v>22.879999999999995</v>
      </c>
      <c r="W16" s="49">
        <f t="shared" si="21"/>
        <v>6.8559066510809254E-3</v>
      </c>
      <c r="X16" s="44">
        <f t="shared" si="22"/>
        <v>789.31566504522459</v>
      </c>
      <c r="Y16" s="44">
        <f t="shared" si="23"/>
        <v>160.16000000000008</v>
      </c>
      <c r="Z16" s="44">
        <f t="shared" si="24"/>
        <v>1977.8980801387838</v>
      </c>
      <c r="AA16" s="50">
        <f t="shared" si="25"/>
        <v>2699.4756650452246</v>
      </c>
      <c r="AB16" s="51">
        <f t="shared" si="26"/>
        <v>1849.0212958201212</v>
      </c>
      <c r="AC16" s="44">
        <f t="shared" si="27"/>
        <v>2523.5819996683408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1.7328274208207834</v>
      </c>
      <c r="AP16" s="47">
        <f t="shared" si="36"/>
        <v>18.526353718324462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18230716</v>
      </c>
      <c r="D17" s="61" t="s">
        <v>131</v>
      </c>
      <c r="E17" s="38" t="s">
        <v>1162</v>
      </c>
      <c r="F17" s="39" t="s">
        <v>1163</v>
      </c>
      <c r="G17" s="39">
        <v>10</v>
      </c>
      <c r="H17" s="39"/>
      <c r="I17" s="40" t="s">
        <v>260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6.2441397770247979E-2</v>
      </c>
      <c r="V17" s="48">
        <f t="shared" si="20"/>
        <v>13.350000000000023</v>
      </c>
      <c r="W17" s="49">
        <f t="shared" si="21"/>
        <v>6.2441397770247979E-3</v>
      </c>
      <c r="X17" s="44">
        <f t="shared" si="22"/>
        <v>718.88337918962316</v>
      </c>
      <c r="Y17" s="44">
        <f t="shared" si="23"/>
        <v>26.700000000000045</v>
      </c>
      <c r="Z17" s="44">
        <f t="shared" si="24"/>
        <v>1801.406102159862</v>
      </c>
      <c r="AA17" s="50">
        <f t="shared" si="25"/>
        <v>1745.5833791896232</v>
      </c>
      <c r="AB17" s="51">
        <f t="shared" si="26"/>
        <v>1684.029262559467</v>
      </c>
      <c r="AC17" s="44">
        <f t="shared" si="27"/>
        <v>1631.8438620076872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1.7328274208207834</v>
      </c>
      <c r="AP17" s="47">
        <f t="shared" si="36"/>
        <v>9.5357762851903409</v>
      </c>
      <c r="AQ17">
        <v>2021</v>
      </c>
    </row>
    <row r="18" spans="1:43" ht="13.5" customHeight="1">
      <c r="A18" s="59">
        <f>A6+A8</f>
        <v>288495.48</v>
      </c>
      <c r="B18" s="97" t="s">
        <v>70</v>
      </c>
      <c r="C18" s="98">
        <v>18230716</v>
      </c>
      <c r="D18" s="61" t="s">
        <v>131</v>
      </c>
      <c r="E18" s="38" t="s">
        <v>1164</v>
      </c>
      <c r="F18" s="39" t="s">
        <v>1165</v>
      </c>
      <c r="G18" s="39">
        <v>10</v>
      </c>
      <c r="H18" s="39"/>
      <c r="I18" s="40" t="s">
        <v>260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3.8794255138463067E-2</v>
      </c>
      <c r="V18" s="48">
        <f t="shared" si="20"/>
        <v>24.560000000000002</v>
      </c>
      <c r="W18" s="49">
        <f t="shared" si="21"/>
        <v>3.8794255138463068E-3</v>
      </c>
      <c r="X18" s="44">
        <f t="shared" si="22"/>
        <v>446.63550501701042</v>
      </c>
      <c r="Y18" s="44">
        <f t="shared" si="23"/>
        <v>49.120000000000005</v>
      </c>
      <c r="Z18" s="44">
        <f t="shared" si="24"/>
        <v>1119.1967257413369</v>
      </c>
      <c r="AA18" s="50">
        <f t="shared" si="25"/>
        <v>1245.7555050170104</v>
      </c>
      <c r="AB18" s="51">
        <f t="shared" si="26"/>
        <v>1046.2715955327071</v>
      </c>
      <c r="AC18" s="44">
        <f t="shared" si="27"/>
        <v>1164.5840002028701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1.7328274208207834</v>
      </c>
      <c r="AP18" s="47">
        <f t="shared" si="36"/>
        <v>12.317927798577394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1166</v>
      </c>
      <c r="F19" s="39" t="s">
        <v>1167</v>
      </c>
      <c r="G19" s="39">
        <v>10</v>
      </c>
      <c r="H19" s="39"/>
      <c r="I19" s="40" t="s">
        <v>260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4.3823684728059108E-2</v>
      </c>
      <c r="V19" s="48">
        <f t="shared" si="20"/>
        <v>24.47999999999999</v>
      </c>
      <c r="W19" s="49">
        <f t="shared" si="21"/>
        <v>4.3823684728059109E-3</v>
      </c>
      <c r="X19" s="44">
        <f t="shared" si="22"/>
        <v>504.53897079252874</v>
      </c>
      <c r="Y19" s="44">
        <f t="shared" si="23"/>
        <v>97.919999999999959</v>
      </c>
      <c r="Z19" s="44">
        <f t="shared" si="24"/>
        <v>1264.2934960990083</v>
      </c>
      <c r="AA19" s="50">
        <f t="shared" si="25"/>
        <v>1402.4589707925288</v>
      </c>
      <c r="AB19" s="51">
        <f t="shared" si="26"/>
        <v>1181.9140844152641</v>
      </c>
      <c r="AC19" s="44">
        <f t="shared" si="27"/>
        <v>1311.076910154743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1.7328274208207837</v>
      </c>
      <c r="AP19" s="47">
        <f t="shared" si="36"/>
        <v>20.55925449999145</v>
      </c>
      <c r="AQ19">
        <v>2021</v>
      </c>
    </row>
    <row r="20" spans="1:43" ht="13.5" customHeight="1">
      <c r="A20" s="59">
        <f>A8+SUM(Q5:Q878)</f>
        <v>256442.98999999996</v>
      </c>
      <c r="B20" s="97" t="s">
        <v>70</v>
      </c>
      <c r="C20" s="98">
        <v>18230716</v>
      </c>
      <c r="D20" s="61" t="s">
        <v>131</v>
      </c>
      <c r="E20" s="38" t="s">
        <v>1168</v>
      </c>
      <c r="F20" s="39" t="s">
        <v>1169</v>
      </c>
      <c r="G20" s="39">
        <v>10</v>
      </c>
      <c r="H20" s="39"/>
      <c r="I20" s="40" t="s">
        <v>260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1.5176524375623156E-2</v>
      </c>
      <c r="V20" s="48">
        <f t="shared" si="20"/>
        <v>1.8199999999999932</v>
      </c>
      <c r="W20" s="49">
        <f t="shared" si="21"/>
        <v>1.5176524375623156E-3</v>
      </c>
      <c r="X20" s="44">
        <f t="shared" si="22"/>
        <v>174.72624760331868</v>
      </c>
      <c r="Y20" s="44">
        <f t="shared" si="23"/>
        <v>5.4599999999999795</v>
      </c>
      <c r="Z20" s="44">
        <f t="shared" si="24"/>
        <v>437.83586844771025</v>
      </c>
      <c r="AA20" s="50">
        <f t="shared" si="25"/>
        <v>630.18624760331863</v>
      </c>
      <c r="AB20" s="51">
        <f t="shared" si="26"/>
        <v>409.30715943508483</v>
      </c>
      <c r="AC20" s="44">
        <f t="shared" si="27"/>
        <v>589.12428494280505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1.7328274208207834</v>
      </c>
      <c r="AP20" s="47">
        <f t="shared" si="36"/>
        <v>32.771715735562253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1170</v>
      </c>
      <c r="F21" s="39" t="s">
        <v>1171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  <c r="AQ21">
        <v>2021</v>
      </c>
    </row>
    <row r="22" spans="1:43" ht="13.5" customHeight="1">
      <c r="A22" s="60">
        <f>(SUM(AM5:AM972)/(SUM(AB5:AB972)))</f>
        <v>2.198721321695873</v>
      </c>
      <c r="B22" s="97" t="s">
        <v>70</v>
      </c>
      <c r="C22" s="98">
        <v>18230716</v>
      </c>
      <c r="D22" s="61" t="s">
        <v>131</v>
      </c>
      <c r="E22" s="38" t="s">
        <v>1172</v>
      </c>
      <c r="F22" s="39" t="s">
        <v>1173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1174</v>
      </c>
      <c r="F23" s="39" t="s">
        <v>1173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  <c r="AQ23">
        <v>2021</v>
      </c>
    </row>
    <row r="24" spans="1:43" ht="13.5" customHeight="1">
      <c r="A24" s="60">
        <f>(SUM(AN5:AN972)/SUM(AC5:AC972))</f>
        <v>9.445515906756917</v>
      </c>
      <c r="B24" s="97" t="s">
        <v>70</v>
      </c>
      <c r="C24" s="98">
        <v>18230716</v>
      </c>
      <c r="D24" s="61" t="s">
        <v>131</v>
      </c>
      <c r="E24" s="38" t="s">
        <v>1175</v>
      </c>
      <c r="F24" s="39" t="s">
        <v>1176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  <c r="AQ24">
        <v>2021</v>
      </c>
    </row>
    <row r="25" spans="1:43" ht="13.5" customHeight="1">
      <c r="B25" s="97" t="s">
        <v>70</v>
      </c>
      <c r="C25" s="98">
        <v>18230716</v>
      </c>
      <c r="D25" s="61" t="s">
        <v>131</v>
      </c>
      <c r="E25" s="38" t="s">
        <v>1177</v>
      </c>
      <c r="F25" s="39" t="s">
        <v>1178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  <c r="AQ25">
        <v>2021</v>
      </c>
    </row>
    <row r="26" spans="1:43" ht="13.5" customHeight="1">
      <c r="B26" s="97" t="s">
        <v>70</v>
      </c>
      <c r="C26" s="98">
        <v>18230716</v>
      </c>
      <c r="D26" s="61" t="s">
        <v>131</v>
      </c>
      <c r="E26" s="38" t="s">
        <v>1179</v>
      </c>
      <c r="F26" s="39" t="s">
        <v>1180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70</v>
      </c>
      <c r="C27" s="98">
        <v>18230716</v>
      </c>
      <c r="D27" s="61" t="s">
        <v>131</v>
      </c>
      <c r="E27" s="38" t="s">
        <v>1181</v>
      </c>
      <c r="F27" s="39" t="s">
        <v>1180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  <c r="AQ27">
        <v>2021</v>
      </c>
    </row>
    <row r="28" spans="1:43" ht="13.5" customHeight="1">
      <c r="B28" s="97" t="s">
        <v>70</v>
      </c>
      <c r="C28" s="98">
        <v>18230716</v>
      </c>
      <c r="D28" s="61" t="s">
        <v>131</v>
      </c>
      <c r="E28" s="38" t="s">
        <v>1182</v>
      </c>
      <c r="F28" s="39" t="s">
        <v>1183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70</v>
      </c>
      <c r="C29" s="98">
        <v>18230716</v>
      </c>
      <c r="D29" s="61" t="s">
        <v>131</v>
      </c>
      <c r="E29" s="38" t="s">
        <v>1184</v>
      </c>
      <c r="F29" s="39" t="s">
        <v>1183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  <c r="AQ29">
        <v>2021</v>
      </c>
    </row>
    <row r="30" spans="1:43">
      <c r="B30" s="97" t="s">
        <v>70</v>
      </c>
      <c r="C30" s="98">
        <v>18230716</v>
      </c>
      <c r="D30" s="61" t="s">
        <v>131</v>
      </c>
      <c r="E30" s="38" t="s">
        <v>1185</v>
      </c>
      <c r="F30" s="39" t="s">
        <v>1186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70</v>
      </c>
      <c r="C31" s="98">
        <v>18230716</v>
      </c>
      <c r="D31" s="61" t="s">
        <v>131</v>
      </c>
      <c r="E31" s="38" t="s">
        <v>1187</v>
      </c>
      <c r="F31" s="39" t="s">
        <v>1186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  <c r="AQ31">
        <v>2021</v>
      </c>
    </row>
    <row r="32" spans="1:43">
      <c r="B32" s="97" t="s">
        <v>70</v>
      </c>
      <c r="C32" s="98">
        <v>18230716</v>
      </c>
      <c r="D32" s="61" t="s">
        <v>131</v>
      </c>
      <c r="E32" s="38" t="s">
        <v>1188</v>
      </c>
      <c r="F32" s="39" t="s">
        <v>1189</v>
      </c>
      <c r="G32" s="39">
        <v>10</v>
      </c>
      <c r="H32" s="39"/>
      <c r="I32" s="40" t="s">
        <v>258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8.3529707803817355E-2</v>
      </c>
      <c r="V32" s="48">
        <f t="shared" si="20"/>
        <v>47.409999999999968</v>
      </c>
      <c r="W32" s="49">
        <f t="shared" si="21"/>
        <v>8.3529707803817362E-3</v>
      </c>
      <c r="X32" s="44">
        <f t="shared" si="22"/>
        <v>961.67159533609504</v>
      </c>
      <c r="Y32" s="44">
        <f t="shared" si="23"/>
        <v>94.819999999999936</v>
      </c>
      <c r="Z32" s="44">
        <f t="shared" si="24"/>
        <v>2409.7943147122032</v>
      </c>
      <c r="AA32" s="50">
        <f t="shared" si="25"/>
        <v>2156.4915953360951</v>
      </c>
      <c r="AB32" s="51">
        <f t="shared" si="26"/>
        <v>2252.7758387512413</v>
      </c>
      <c r="AC32" s="44">
        <f t="shared" si="27"/>
        <v>2015.9779333795409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1.747365515269129</v>
      </c>
      <c r="AP32" s="47">
        <f t="shared" si="36"/>
        <v>2.1478732599186352</v>
      </c>
      <c r="AQ32">
        <v>2021</v>
      </c>
    </row>
    <row r="33" spans="2:43">
      <c r="B33" s="97" t="s">
        <v>70</v>
      </c>
      <c r="C33" s="98">
        <v>18230716</v>
      </c>
      <c r="D33" s="61" t="s">
        <v>131</v>
      </c>
      <c r="E33" s="38" t="s">
        <v>1190</v>
      </c>
      <c r="F33" s="39" t="s">
        <v>1191</v>
      </c>
      <c r="G33" s="39">
        <v>10</v>
      </c>
      <c r="H33" s="39"/>
      <c r="I33" s="40" t="s">
        <v>258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4.7206049656734819E-2</v>
      </c>
      <c r="V33" s="48">
        <f t="shared" si="20"/>
        <v>30.589999999999975</v>
      </c>
      <c r="W33" s="49">
        <f t="shared" si="21"/>
        <v>4.7206049656734819E-3</v>
      </c>
      <c r="X33" s="44">
        <f t="shared" si="22"/>
        <v>543.47989806846226</v>
      </c>
      <c r="Y33" s="44">
        <f t="shared" si="23"/>
        <v>61.17999999999995</v>
      </c>
      <c r="Z33" s="44">
        <f t="shared" si="24"/>
        <v>1361.8731954623545</v>
      </c>
      <c r="AA33" s="50">
        <f t="shared" si="25"/>
        <v>1104.6598980684621</v>
      </c>
      <c r="AB33" s="51">
        <f t="shared" si="26"/>
        <v>1273.1356412661066</v>
      </c>
      <c r="AC33" s="44">
        <f t="shared" si="27"/>
        <v>1032.6819651009273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1.7473655152691288</v>
      </c>
      <c r="AP33" s="47">
        <f t="shared" si="36"/>
        <v>2.3696517709110232</v>
      </c>
      <c r="AQ33">
        <v>2021</v>
      </c>
    </row>
    <row r="34" spans="2:43">
      <c r="B34" s="97" t="s">
        <v>70</v>
      </c>
      <c r="C34" s="98">
        <v>18230716</v>
      </c>
      <c r="D34" s="61" t="s">
        <v>131</v>
      </c>
      <c r="E34" s="38" t="s">
        <v>1192</v>
      </c>
      <c r="F34" s="39" t="s">
        <v>1193</v>
      </c>
      <c r="G34" s="39">
        <v>12</v>
      </c>
      <c r="H34" s="39"/>
      <c r="I34" s="40" t="s">
        <v>260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0.3328247089816892</v>
      </c>
      <c r="V34" s="48">
        <f t="shared" si="20"/>
        <v>276</v>
      </c>
      <c r="W34" s="49">
        <f t="shared" si="21"/>
        <v>2.7735392415140767E-2</v>
      </c>
      <c r="X34" s="44">
        <f t="shared" si="22"/>
        <v>3193.1560366265412</v>
      </c>
      <c r="Y34" s="44">
        <f t="shared" si="23"/>
        <v>1380</v>
      </c>
      <c r="Z34" s="44">
        <f t="shared" si="24"/>
        <v>8001.5353477943945</v>
      </c>
      <c r="AA34" s="50">
        <f t="shared" si="25"/>
        <v>10573.15603662654</v>
      </c>
      <c r="AB34" s="51">
        <f t="shared" si="26"/>
        <v>7480.1676617690882</v>
      </c>
      <c r="AC34" s="44">
        <f t="shared" si="27"/>
        <v>9884.2255180205102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2.0691487160752415</v>
      </c>
      <c r="AP34" s="47">
        <f t="shared" si="36"/>
        <v>1.7224755964617426</v>
      </c>
      <c r="AQ34">
        <v>2021</v>
      </c>
    </row>
    <row r="35" spans="2:43">
      <c r="B35" s="97" t="s">
        <v>70</v>
      </c>
      <c r="C35" s="98">
        <v>18230716</v>
      </c>
      <c r="D35" s="61" t="s">
        <v>131</v>
      </c>
      <c r="E35" s="38" t="s">
        <v>1194</v>
      </c>
      <c r="F35" s="39" t="s">
        <v>1195</v>
      </c>
      <c r="G35" s="39">
        <v>12</v>
      </c>
      <c r="H35" s="39"/>
      <c r="I35" s="40" t="s">
        <v>258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0.36635423957899615</v>
      </c>
      <c r="V35" s="48">
        <f t="shared" si="20"/>
        <v>191</v>
      </c>
      <c r="W35" s="49">
        <f t="shared" si="21"/>
        <v>3.0529519964916346E-2</v>
      </c>
      <c r="X35" s="44">
        <f t="shared" si="22"/>
        <v>3514.8419576016431</v>
      </c>
      <c r="Y35" s="44">
        <f t="shared" si="23"/>
        <v>1528</v>
      </c>
      <c r="Z35" s="44">
        <f t="shared" si="24"/>
        <v>8807.6285164481233</v>
      </c>
      <c r="AA35" s="50">
        <f t="shared" si="25"/>
        <v>13042.841957601642</v>
      </c>
      <c r="AB35" s="51">
        <f t="shared" si="26"/>
        <v>8233.7370444499611</v>
      </c>
      <c r="AC35" s="44">
        <f t="shared" si="27"/>
        <v>12192.990518464654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2.0854920901849519</v>
      </c>
      <c r="AP35" s="47">
        <f t="shared" si="36"/>
        <v>1.5491304449179539</v>
      </c>
      <c r="AQ35">
        <v>2021</v>
      </c>
    </row>
    <row r="36" spans="2:43">
      <c r="B36" s="97" t="s">
        <v>70</v>
      </c>
      <c r="C36" s="98">
        <v>18230716</v>
      </c>
      <c r="D36" s="61" t="s">
        <v>131</v>
      </c>
      <c r="E36" s="38" t="s">
        <v>1196</v>
      </c>
      <c r="F36" s="39" t="s">
        <v>1197</v>
      </c>
      <c r="G36" s="39">
        <v>12</v>
      </c>
      <c r="H36" s="39"/>
      <c r="I36" s="40" t="s">
        <v>258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3.8613313320713392</v>
      </c>
      <c r="V36" s="48">
        <f t="shared" si="20"/>
        <v>93</v>
      </c>
      <c r="W36" s="49">
        <f t="shared" si="21"/>
        <v>0.32177761100594493</v>
      </c>
      <c r="X36" s="44">
        <f t="shared" si="22"/>
        <v>37046.027893010621</v>
      </c>
      <c r="Y36" s="44">
        <f t="shared" si="23"/>
        <v>558</v>
      </c>
      <c r="Z36" s="44">
        <f t="shared" si="24"/>
        <v>92831.386340413359</v>
      </c>
      <c r="AA36" s="50">
        <f t="shared" si="25"/>
        <v>51404.027893010621</v>
      </c>
      <c r="AB36" s="51">
        <f t="shared" si="26"/>
        <v>86782.636571387629</v>
      </c>
      <c r="AC36" s="44">
        <f t="shared" si="27"/>
        <v>48054.62082173564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2.0854920901849519</v>
      </c>
      <c r="AP36" s="47">
        <f t="shared" si="36"/>
        <v>6.0173335867851208</v>
      </c>
      <c r="AQ36">
        <v>2021</v>
      </c>
    </row>
    <row r="37" spans="2:43">
      <c r="B37" s="97" t="s">
        <v>70</v>
      </c>
      <c r="C37" s="98">
        <v>18230716</v>
      </c>
      <c r="D37" s="61" t="s">
        <v>131</v>
      </c>
      <c r="E37" s="38" t="s">
        <v>1198</v>
      </c>
      <c r="F37" s="39" t="s">
        <v>1199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  <c r="AQ37">
        <v>2021</v>
      </c>
    </row>
    <row r="38" spans="2:43">
      <c r="B38" s="97" t="s">
        <v>70</v>
      </c>
      <c r="C38" s="98">
        <v>18230716</v>
      </c>
      <c r="D38" s="61" t="s">
        <v>131</v>
      </c>
      <c r="E38" s="38" t="s">
        <v>1200</v>
      </c>
      <c r="F38" s="39" t="s">
        <v>1201</v>
      </c>
      <c r="G38" s="39">
        <v>15</v>
      </c>
      <c r="H38" s="39"/>
      <c r="I38" s="40" t="s">
        <v>258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0.23552289354437272</v>
      </c>
      <c r="V38" s="48">
        <f t="shared" si="20"/>
        <v>159</v>
      </c>
      <c r="W38" s="49">
        <f t="shared" si="21"/>
        <v>1.5701526236291515E-2</v>
      </c>
      <c r="X38" s="44">
        <f t="shared" si="22"/>
        <v>1807.7055675006141</v>
      </c>
      <c r="Y38" s="44">
        <f t="shared" si="23"/>
        <v>159</v>
      </c>
      <c r="Z38" s="44">
        <f t="shared" si="24"/>
        <v>4529.8193482715142</v>
      </c>
      <c r="AA38" s="50">
        <f t="shared" si="25"/>
        <v>4466.7055675006141</v>
      </c>
      <c r="AB38" s="51">
        <f t="shared" si="26"/>
        <v>4234.6633152019385</v>
      </c>
      <c r="AC38" s="44">
        <f t="shared" si="27"/>
        <v>4175.6619309157832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2.5455772524408609</v>
      </c>
      <c r="AP38" s="47">
        <f t="shared" si="36"/>
        <v>4.5074127717180295</v>
      </c>
      <c r="AQ38">
        <v>2021</v>
      </c>
    </row>
    <row r="39" spans="2:43">
      <c r="B39" s="97" t="s">
        <v>70</v>
      </c>
      <c r="C39" s="98">
        <v>18230716</v>
      </c>
      <c r="D39" s="61" t="s">
        <v>131</v>
      </c>
      <c r="E39" s="38" t="s">
        <v>1202</v>
      </c>
      <c r="F39" s="39" t="s">
        <v>1203</v>
      </c>
      <c r="G39" s="39">
        <v>15</v>
      </c>
      <c r="H39" s="39"/>
      <c r="I39" s="40" t="s">
        <v>258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9.6088575843334981E-2</v>
      </c>
      <c r="V39" s="48">
        <f t="shared" si="20"/>
        <v>99.860000000000127</v>
      </c>
      <c r="W39" s="49">
        <f t="shared" si="21"/>
        <v>6.4059050562223323E-3</v>
      </c>
      <c r="X39" s="44">
        <f t="shared" si="22"/>
        <v>737.5073009302871</v>
      </c>
      <c r="Y39" s="44">
        <f t="shared" si="23"/>
        <v>99.860000000000127</v>
      </c>
      <c r="Z39" s="44">
        <f t="shared" si="24"/>
        <v>1848.0746540292887</v>
      </c>
      <c r="AA39" s="50">
        <f t="shared" si="25"/>
        <v>3137.3673009302875</v>
      </c>
      <c r="AB39" s="51">
        <f t="shared" si="26"/>
        <v>1727.6569636620441</v>
      </c>
      <c r="AC39" s="44">
        <f t="shared" si="27"/>
        <v>2932.9412928206852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2.5455772524408604</v>
      </c>
      <c r="AP39" s="47">
        <f t="shared" si="36"/>
        <v>4.0237681444389235</v>
      </c>
      <c r="AQ39">
        <v>2021</v>
      </c>
    </row>
    <row r="40" spans="2:43">
      <c r="B40" s="97" t="s">
        <v>70</v>
      </c>
      <c r="C40" s="98">
        <v>18230716</v>
      </c>
      <c r="D40" s="61" t="s">
        <v>131</v>
      </c>
      <c r="E40" s="38" t="s">
        <v>1204</v>
      </c>
      <c r="F40" s="39" t="s">
        <v>1205</v>
      </c>
      <c r="G40" s="39">
        <v>15</v>
      </c>
      <c r="H40" s="39"/>
      <c r="I40" s="40" t="s">
        <v>258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1.6033512707008271</v>
      </c>
      <c r="V40" s="48">
        <f t="shared" si="20"/>
        <v>159</v>
      </c>
      <c r="W40" s="49">
        <f t="shared" si="21"/>
        <v>0.10689008471338847</v>
      </c>
      <c r="X40" s="44">
        <f t="shared" si="22"/>
        <v>12306.179561092265</v>
      </c>
      <c r="Y40" s="44">
        <f t="shared" si="23"/>
        <v>795</v>
      </c>
      <c r="Z40" s="44">
        <f t="shared" si="24"/>
        <v>30837.306296629664</v>
      </c>
      <c r="AA40" s="50">
        <f t="shared" si="25"/>
        <v>25601.179561092264</v>
      </c>
      <c r="AB40" s="51">
        <f t="shared" si="26"/>
        <v>28827.995042189083</v>
      </c>
      <c r="AC40" s="44">
        <f t="shared" si="27"/>
        <v>23933.046238283874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2.5455772524408613</v>
      </c>
      <c r="AP40" s="47">
        <f t="shared" si="36"/>
        <v>6.7190100139355442</v>
      </c>
      <c r="AQ40">
        <v>2021</v>
      </c>
    </row>
    <row r="41" spans="2:43">
      <c r="B41" s="97" t="s">
        <v>70</v>
      </c>
      <c r="C41" s="98">
        <v>18230716</v>
      </c>
      <c r="D41" s="61" t="s">
        <v>131</v>
      </c>
      <c r="E41" s="38" t="s">
        <v>1206</v>
      </c>
      <c r="F41" s="39" t="s">
        <v>1207</v>
      </c>
      <c r="G41" s="39">
        <v>20</v>
      </c>
      <c r="H41" s="39"/>
      <c r="I41" s="40" t="s">
        <v>258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0.48764878710820136</v>
      </c>
      <c r="V41" s="48">
        <f t="shared" si="20"/>
        <v>82</v>
      </c>
      <c r="W41" s="49">
        <f t="shared" si="21"/>
        <v>2.4382439355410068E-2</v>
      </c>
      <c r="X41" s="44">
        <f t="shared" si="22"/>
        <v>2807.1329314564182</v>
      </c>
      <c r="Y41" s="44">
        <f t="shared" si="23"/>
        <v>164</v>
      </c>
      <c r="Z41" s="44">
        <f t="shared" si="24"/>
        <v>7034.2235454099173</v>
      </c>
      <c r="AA41" s="50">
        <f t="shared" si="25"/>
        <v>14571.132931456417</v>
      </c>
      <c r="AB41" s="51">
        <f t="shared" si="26"/>
        <v>6575.8844025520393</v>
      </c>
      <c r="AC41" s="44">
        <f t="shared" si="27"/>
        <v>13621.700412691798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3.1961387455485561</v>
      </c>
      <c r="AP41" s="47">
        <f t="shared" si="36"/>
        <v>8.9991586538706976</v>
      </c>
      <c r="AQ41">
        <v>2021</v>
      </c>
    </row>
    <row r="42" spans="2:43">
      <c r="B42" s="97" t="s">
        <v>70</v>
      </c>
      <c r="C42" s="98">
        <v>18230716</v>
      </c>
      <c r="D42" s="61" t="s">
        <v>131</v>
      </c>
      <c r="E42" s="38" t="s">
        <v>1208</v>
      </c>
      <c r="F42" s="39" t="s">
        <v>1209</v>
      </c>
      <c r="G42" s="39">
        <v>10</v>
      </c>
      <c r="H42" s="39"/>
      <c r="I42" s="40" t="s">
        <v>258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0.20985368492261863</v>
      </c>
      <c r="V42" s="48">
        <f t="shared" si="20"/>
        <v>32</v>
      </c>
      <c r="W42" s="49">
        <f t="shared" si="21"/>
        <v>2.0985368492261864E-2</v>
      </c>
      <c r="X42" s="44">
        <f t="shared" si="22"/>
        <v>2416.0305749024783</v>
      </c>
      <c r="Y42" s="44">
        <f t="shared" si="23"/>
        <v>160</v>
      </c>
      <c r="Z42" s="44">
        <f t="shared" si="24"/>
        <v>6054.1839561519628</v>
      </c>
      <c r="AA42" s="50">
        <f t="shared" si="25"/>
        <v>3576.0305749024783</v>
      </c>
      <c r="AB42" s="51">
        <f t="shared" si="26"/>
        <v>5659.7026793979267</v>
      </c>
      <c r="AC42" s="44">
        <f t="shared" si="27"/>
        <v>3343.0219453140862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1.7473655152691283</v>
      </c>
      <c r="AP42" s="47">
        <f t="shared" si="36"/>
        <v>4.4128139057848079</v>
      </c>
      <c r="AQ42">
        <v>2021</v>
      </c>
    </row>
    <row r="43" spans="2:43">
      <c r="B43" s="97" t="s">
        <v>70</v>
      </c>
      <c r="C43" s="98">
        <v>18230716</v>
      </c>
      <c r="D43" s="61" t="s">
        <v>131</v>
      </c>
      <c r="E43" s="38" t="s">
        <v>1210</v>
      </c>
      <c r="F43" s="39" t="s">
        <v>1211</v>
      </c>
      <c r="G43" s="39">
        <v>10</v>
      </c>
      <c r="H43" s="39"/>
      <c r="I43" s="40" t="s">
        <v>258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3.3617766204141988E-2</v>
      </c>
      <c r="V43" s="48">
        <f t="shared" si="20"/>
        <v>32</v>
      </c>
      <c r="W43" s="49">
        <f t="shared" si="21"/>
        <v>3.3617766204141991E-3</v>
      </c>
      <c r="X43" s="44">
        <f t="shared" si="22"/>
        <v>387.03895544688618</v>
      </c>
      <c r="Y43" s="44">
        <f t="shared" si="23"/>
        <v>32</v>
      </c>
      <c r="Z43" s="44">
        <f t="shared" si="24"/>
        <v>969.85735975917214</v>
      </c>
      <c r="AA43" s="50">
        <f t="shared" si="25"/>
        <v>619.03895544688612</v>
      </c>
      <c r="AB43" s="51">
        <f t="shared" si="26"/>
        <v>906.66295200446109</v>
      </c>
      <c r="AC43" s="44">
        <f t="shared" si="27"/>
        <v>578.70333312787329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1.7473655152691285</v>
      </c>
      <c r="AP43" s="47">
        <f t="shared" si="36"/>
        <v>6.1546722533960549</v>
      </c>
      <c r="AQ43">
        <v>2021</v>
      </c>
    </row>
    <row r="44" spans="2:43">
      <c r="B44" s="97" t="s">
        <v>70</v>
      </c>
      <c r="C44" s="98">
        <v>18230716</v>
      </c>
      <c r="D44" s="61" t="s">
        <v>131</v>
      </c>
      <c r="E44" s="38" t="s">
        <v>1212</v>
      </c>
      <c r="F44" s="39" t="s">
        <v>1213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  <c r="AQ44">
        <v>2021</v>
      </c>
    </row>
    <row r="45" spans="2:43">
      <c r="B45" s="97" t="s">
        <v>70</v>
      </c>
      <c r="C45" s="98">
        <v>18230716</v>
      </c>
      <c r="D45" s="61" t="s">
        <v>131</v>
      </c>
      <c r="E45" s="38" t="s">
        <v>1214</v>
      </c>
      <c r="F45" s="39" t="s">
        <v>1215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  <c r="AQ45">
        <v>2021</v>
      </c>
    </row>
    <row r="46" spans="2:43">
      <c r="B46" s="97" t="s">
        <v>70</v>
      </c>
      <c r="C46" s="98">
        <v>18230716</v>
      </c>
      <c r="D46" s="61" t="s">
        <v>131</v>
      </c>
      <c r="E46" s="38" t="s">
        <v>1216</v>
      </c>
      <c r="F46" s="39" t="s">
        <v>1217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  <c r="AQ46">
        <v>2021</v>
      </c>
    </row>
    <row r="47" spans="2:43">
      <c r="B47" s="97" t="s">
        <v>70</v>
      </c>
      <c r="C47" s="98">
        <v>18230716</v>
      </c>
      <c r="D47" s="61" t="s">
        <v>131</v>
      </c>
      <c r="E47" s="38" t="s">
        <v>1218</v>
      </c>
      <c r="F47" s="39" t="s">
        <v>1219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  <c r="AQ47">
        <v>2021</v>
      </c>
    </row>
    <row r="48" spans="2:43">
      <c r="B48" s="97" t="s">
        <v>70</v>
      </c>
      <c r="C48" s="61">
        <v>18230716</v>
      </c>
      <c r="D48" s="61" t="s">
        <v>131</v>
      </c>
      <c r="E48" s="38" t="s">
        <v>2118</v>
      </c>
      <c r="F48" s="39" t="s">
        <v>2119</v>
      </c>
      <c r="G48" s="39">
        <v>12</v>
      </c>
      <c r="H48" s="39"/>
      <c r="I48" s="40" t="s">
        <v>258</v>
      </c>
      <c r="J48" s="41">
        <v>1</v>
      </c>
      <c r="K48" s="41">
        <v>5548</v>
      </c>
      <c r="L48" s="41"/>
      <c r="M48" s="42">
        <v>2000</v>
      </c>
      <c r="N48" s="42">
        <v>2014</v>
      </c>
      <c r="O48" s="43">
        <v>5548</v>
      </c>
      <c r="P48" s="44">
        <v>2000</v>
      </c>
      <c r="Q48" s="44">
        <v>2014</v>
      </c>
      <c r="R48" s="45">
        <v>0</v>
      </c>
      <c r="S48" s="46"/>
      <c r="T48" s="39">
        <f t="shared" si="18"/>
        <v>12</v>
      </c>
      <c r="U48" s="47">
        <f t="shared" si="19"/>
        <v>9.7906229344136356E-2</v>
      </c>
      <c r="V48" s="48">
        <f t="shared" si="20"/>
        <v>14</v>
      </c>
      <c r="W48" s="49">
        <f t="shared" si="21"/>
        <v>8.1588524453446963E-3</v>
      </c>
      <c r="X48" s="44">
        <f t="shared" si="22"/>
        <v>939.32288924729858</v>
      </c>
      <c r="Y48" s="44">
        <f t="shared" si="23"/>
        <v>14</v>
      </c>
      <c r="Z48" s="44">
        <f t="shared" si="24"/>
        <v>2353.7920524688921</v>
      </c>
      <c r="AA48" s="50">
        <f t="shared" si="25"/>
        <v>2953.3228892472985</v>
      </c>
      <c r="AB48" s="51">
        <f t="shared" si="26"/>
        <v>2200.4225974281499</v>
      </c>
      <c r="AC48" s="44">
        <f t="shared" si="27"/>
        <v>2760.888930772458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0.82713841420343059</v>
      </c>
      <c r="AG48" s="44">
        <f t="shared" si="30"/>
        <v>4588.9639220006329</v>
      </c>
      <c r="AH48" s="52">
        <f>HLOOKUP(I48,ElecAvoidedCostsWOCC!$A$5:$Q$50,T48+1,FALSE)</f>
        <v>0.82713841420343059</v>
      </c>
      <c r="AI48" s="44">
        <f t="shared" si="31"/>
        <v>0</v>
      </c>
      <c r="AJ48" s="44">
        <f t="shared" si="32"/>
        <v>4588.9639220006329</v>
      </c>
      <c r="AK48" s="44">
        <f>HLOOKUP(I48,ElecAvoidedCostsWOCC!$A$5:$Q$50,G48+1,FALSE)*J48*L48</f>
        <v>0</v>
      </c>
      <c r="AL48" s="44">
        <f t="shared" si="33"/>
        <v>4588.9639220006329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4588.9639220006329</v>
      </c>
      <c r="AN48" s="48">
        <f t="shared" si="34"/>
        <v>5047.8603142006968</v>
      </c>
      <c r="AO48" s="47">
        <f t="shared" si="35"/>
        <v>2.0854920901849519</v>
      </c>
      <c r="AP48" s="47">
        <f t="shared" si="36"/>
        <v>1.8283460294030649</v>
      </c>
      <c r="AQ48">
        <v>2020</v>
      </c>
    </row>
    <row r="49" spans="2:43">
      <c r="B49" s="97" t="s">
        <v>70</v>
      </c>
      <c r="C49" s="61">
        <v>18230716</v>
      </c>
      <c r="D49" s="61" t="s">
        <v>131</v>
      </c>
      <c r="E49" s="38" t="s">
        <v>2122</v>
      </c>
      <c r="F49" s="39" t="s">
        <v>2123</v>
      </c>
      <c r="G49" s="39">
        <v>12</v>
      </c>
      <c r="H49" s="39"/>
      <c r="I49" s="40" t="s">
        <v>258</v>
      </c>
      <c r="J49" s="41">
        <v>2</v>
      </c>
      <c r="K49" s="41">
        <v>2774</v>
      </c>
      <c r="L49" s="41"/>
      <c r="M49" s="42">
        <v>1000</v>
      </c>
      <c r="N49" s="42">
        <v>1007</v>
      </c>
      <c r="O49" s="43">
        <v>5548</v>
      </c>
      <c r="P49" s="44">
        <v>2000</v>
      </c>
      <c r="Q49" s="44">
        <v>2014</v>
      </c>
      <c r="R49" s="45">
        <v>0</v>
      </c>
      <c r="S49" s="46"/>
      <c r="T49" s="39">
        <f t="shared" si="18"/>
        <v>12</v>
      </c>
      <c r="U49" s="47">
        <f t="shared" si="19"/>
        <v>9.7906229344136356E-2</v>
      </c>
      <c r="V49" s="48">
        <f t="shared" si="20"/>
        <v>7</v>
      </c>
      <c r="W49" s="49">
        <f t="shared" si="21"/>
        <v>8.1588524453446963E-3</v>
      </c>
      <c r="X49" s="44">
        <f t="shared" si="22"/>
        <v>939.32288924729858</v>
      </c>
      <c r="Y49" s="44">
        <f t="shared" si="23"/>
        <v>14</v>
      </c>
      <c r="Z49" s="44">
        <f t="shared" si="24"/>
        <v>2353.7920524688921</v>
      </c>
      <c r="AA49" s="50">
        <f t="shared" si="25"/>
        <v>2953.3228892472985</v>
      </c>
      <c r="AB49" s="51">
        <f t="shared" si="26"/>
        <v>2200.4225974281499</v>
      </c>
      <c r="AC49" s="44">
        <f t="shared" si="27"/>
        <v>2760.888930772458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0.82713841420343059</v>
      </c>
      <c r="AG49" s="44">
        <f t="shared" si="30"/>
        <v>4588.9639220006329</v>
      </c>
      <c r="AH49" s="52">
        <f>HLOOKUP(I49,ElecAvoidedCostsWOCC!$A$5:$Q$50,T49+1,FALSE)</f>
        <v>0.82713841420343059</v>
      </c>
      <c r="AI49" s="44">
        <f t="shared" si="31"/>
        <v>0</v>
      </c>
      <c r="AJ49" s="44">
        <f t="shared" si="32"/>
        <v>4588.9639220006329</v>
      </c>
      <c r="AK49" s="44">
        <f>HLOOKUP(I49,ElecAvoidedCostsWOCC!$A$5:$Q$50,G49+1,FALSE)*J49*L49</f>
        <v>0</v>
      </c>
      <c r="AL49" s="44">
        <f t="shared" si="33"/>
        <v>4588.9639220006329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4588.9639220006329</v>
      </c>
      <c r="AN49" s="48">
        <f t="shared" si="34"/>
        <v>5047.8603142006968</v>
      </c>
      <c r="AO49" s="47">
        <f t="shared" si="35"/>
        <v>2.0854920901849519</v>
      </c>
      <c r="AP49" s="47">
        <f t="shared" si="36"/>
        <v>1.8283460294030649</v>
      </c>
      <c r="AQ49">
        <v>2020</v>
      </c>
    </row>
    <row r="50" spans="2:43">
      <c r="B50" s="97" t="s">
        <v>70</v>
      </c>
      <c r="C50" s="61">
        <v>18230716</v>
      </c>
      <c r="D50" s="61" t="s">
        <v>131</v>
      </c>
      <c r="E50" s="38" t="s">
        <v>2126</v>
      </c>
      <c r="F50" s="39" t="s">
        <v>2127</v>
      </c>
      <c r="G50" s="39">
        <v>0</v>
      </c>
      <c r="H50" s="39"/>
      <c r="I50" s="40" t="s">
        <v>258</v>
      </c>
      <c r="J50" s="41">
        <v>3</v>
      </c>
      <c r="K50" s="41">
        <v>0</v>
      </c>
      <c r="L50" s="41"/>
      <c r="M50" s="42">
        <v>50</v>
      </c>
      <c r="N50" s="42">
        <v>50</v>
      </c>
      <c r="O50" s="43">
        <v>0</v>
      </c>
      <c r="P50" s="44">
        <v>150</v>
      </c>
      <c r="Q50" s="44">
        <v>150</v>
      </c>
      <c r="R50" s="45">
        <v>0</v>
      </c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150</v>
      </c>
      <c r="AB50" s="51">
        <f t="shared" si="26"/>
        <v>0</v>
      </c>
      <c r="AC50" s="44">
        <f t="shared" si="27"/>
        <v>140.22623165373469</v>
      </c>
      <c r="AD50" s="44">
        <f t="shared" si="28"/>
        <v>0</v>
      </c>
      <c r="AE50" s="44">
        <f t="shared" si="29"/>
        <v>0</v>
      </c>
      <c r="AF50" s="52" t="str">
        <f>HLOOKUP(I50,ElecAvoidedCostsWOCC!$A$5:$Q$50,G50+1,FALSE)</f>
        <v>Comm Cooking</v>
      </c>
      <c r="AG50" s="44" t="e">
        <f t="shared" si="30"/>
        <v>#VALUE!</v>
      </c>
      <c r="AH50" s="52" t="str">
        <f>HLOOKUP(I50,ElecAvoidedCostsWOCC!$A$5:$Q$50,T50+1,FALSE)</f>
        <v>Comm Cooking</v>
      </c>
      <c r="AI50" s="44" t="e">
        <f t="shared" si="31"/>
        <v>#VALUE!</v>
      </c>
      <c r="AJ50" s="44" t="e">
        <f t="shared" si="32"/>
        <v>#VALUE!</v>
      </c>
      <c r="AK50" s="44" t="e">
        <f>HLOOKUP(I50,ElecAvoidedCostsWOCC!$A$5:$Q$50,G50+1,FALSE)*J50*L50</f>
        <v>#VALUE!</v>
      </c>
      <c r="AL50" s="44" t="e">
        <f t="shared" si="33"/>
        <v>#VALUE!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70</v>
      </c>
      <c r="C51" s="61">
        <v>18230716</v>
      </c>
      <c r="D51" s="61" t="s">
        <v>131</v>
      </c>
      <c r="E51" s="38" t="s">
        <v>2128</v>
      </c>
      <c r="F51" s="39" t="s">
        <v>2129</v>
      </c>
      <c r="G51" s="39">
        <v>0</v>
      </c>
      <c r="H51" s="39"/>
      <c r="I51" s="40" t="s">
        <v>258</v>
      </c>
      <c r="J51" s="41">
        <v>1</v>
      </c>
      <c r="K51" s="41">
        <v>0</v>
      </c>
      <c r="L51" s="41"/>
      <c r="M51" s="42">
        <v>30</v>
      </c>
      <c r="N51" s="42">
        <v>30</v>
      </c>
      <c r="O51" s="43">
        <v>0</v>
      </c>
      <c r="P51" s="44">
        <v>30</v>
      </c>
      <c r="Q51" s="44">
        <v>30</v>
      </c>
      <c r="R51" s="45">
        <v>0</v>
      </c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30</v>
      </c>
      <c r="AB51" s="51">
        <f t="shared" si="26"/>
        <v>0</v>
      </c>
      <c r="AC51" s="44">
        <f t="shared" si="27"/>
        <v>28.045246330746934</v>
      </c>
      <c r="AD51" s="44">
        <f t="shared" si="28"/>
        <v>0</v>
      </c>
      <c r="AE51" s="44">
        <f t="shared" si="29"/>
        <v>0</v>
      </c>
      <c r="AF51" s="52" t="str">
        <f>HLOOKUP(I51,ElecAvoidedCostsWOCC!$A$5:$Q$50,G51+1,FALSE)</f>
        <v>Comm Cooking</v>
      </c>
      <c r="AG51" s="44" t="e">
        <f t="shared" si="30"/>
        <v>#VALUE!</v>
      </c>
      <c r="AH51" s="52" t="str">
        <f>HLOOKUP(I51,ElecAvoidedCostsWOCC!$A$5:$Q$50,T51+1,FALSE)</f>
        <v>Comm Cooking</v>
      </c>
      <c r="AI51" s="44" t="e">
        <f t="shared" si="31"/>
        <v>#VALUE!</v>
      </c>
      <c r="AJ51" s="44" t="e">
        <f t="shared" si="32"/>
        <v>#VALUE!</v>
      </c>
      <c r="AK51" s="44" t="e">
        <f>HLOOKUP(I51,ElecAvoidedCostsWOCC!$A$5:$Q$50,G51+1,FALSE)*J51*L51</f>
        <v>#VALUE!</v>
      </c>
      <c r="AL51" s="44" t="e">
        <f t="shared" si="33"/>
        <v>#VALUE!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70</v>
      </c>
      <c r="C52" s="61">
        <v>18230716</v>
      </c>
      <c r="D52" s="61" t="s">
        <v>131</v>
      </c>
      <c r="E52" s="38" t="s">
        <v>2132</v>
      </c>
      <c r="F52" s="39" t="s">
        <v>2133</v>
      </c>
      <c r="G52" s="39">
        <v>0</v>
      </c>
      <c r="H52" s="39"/>
      <c r="I52" s="40" t="s">
        <v>258</v>
      </c>
      <c r="J52" s="41">
        <v>3</v>
      </c>
      <c r="K52" s="41">
        <v>0</v>
      </c>
      <c r="L52" s="41"/>
      <c r="M52" s="42">
        <v>30</v>
      </c>
      <c r="N52" s="42">
        <v>30</v>
      </c>
      <c r="O52" s="43">
        <v>0</v>
      </c>
      <c r="P52" s="44">
        <v>90</v>
      </c>
      <c r="Q52" s="44">
        <v>90</v>
      </c>
      <c r="R52" s="45">
        <v>0</v>
      </c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90</v>
      </c>
      <c r="AB52" s="51">
        <f t="shared" si="26"/>
        <v>0</v>
      </c>
      <c r="AC52" s="44">
        <f t="shared" si="27"/>
        <v>84.135738992240803</v>
      </c>
      <c r="AD52" s="44">
        <f t="shared" si="28"/>
        <v>0</v>
      </c>
      <c r="AE52" s="44">
        <f t="shared" si="29"/>
        <v>0</v>
      </c>
      <c r="AF52" s="52" t="str">
        <f>HLOOKUP(I52,ElecAvoidedCostsWOCC!$A$5:$Q$50,G52+1,FALSE)</f>
        <v>Comm Cooking</v>
      </c>
      <c r="AG52" s="44" t="e">
        <f t="shared" si="30"/>
        <v>#VALUE!</v>
      </c>
      <c r="AH52" s="52" t="str">
        <f>HLOOKUP(I52,ElecAvoidedCostsWOCC!$A$5:$Q$50,T52+1,FALSE)</f>
        <v>Comm Cooking</v>
      </c>
      <c r="AI52" s="44" t="e">
        <f t="shared" si="31"/>
        <v>#VALUE!</v>
      </c>
      <c r="AJ52" s="44" t="e">
        <f t="shared" si="32"/>
        <v>#VALUE!</v>
      </c>
      <c r="AK52" s="44" t="e">
        <f>HLOOKUP(I52,ElecAvoidedCostsWOCC!$A$5:$Q$50,G52+1,FALSE)*J52*L52</f>
        <v>#VALUE!</v>
      </c>
      <c r="AL52" s="44" t="e">
        <f t="shared" si="33"/>
        <v>#VALUE!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70</v>
      </c>
      <c r="C53" s="61">
        <v>18230716</v>
      </c>
      <c r="D53" s="61" t="s">
        <v>131</v>
      </c>
      <c r="E53" s="38" t="s">
        <v>2136</v>
      </c>
      <c r="F53" s="39" t="s">
        <v>2137</v>
      </c>
      <c r="G53" s="39">
        <v>0</v>
      </c>
      <c r="H53" s="39"/>
      <c r="I53" s="40" t="s">
        <v>258</v>
      </c>
      <c r="J53" s="41">
        <v>1</v>
      </c>
      <c r="K53" s="41">
        <v>0</v>
      </c>
      <c r="L53" s="41"/>
      <c r="M53" s="42">
        <v>50</v>
      </c>
      <c r="N53" s="42">
        <v>50</v>
      </c>
      <c r="O53" s="43">
        <v>0</v>
      </c>
      <c r="P53" s="44">
        <v>50</v>
      </c>
      <c r="Q53" s="44">
        <v>50</v>
      </c>
      <c r="R53" s="45">
        <v>0</v>
      </c>
      <c r="S53" s="46">
        <v>0</v>
      </c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50</v>
      </c>
      <c r="AB53" s="51">
        <f t="shared" si="26"/>
        <v>0</v>
      </c>
      <c r="AC53" s="44">
        <f t="shared" si="27"/>
        <v>46.742077217911557</v>
      </c>
      <c r="AD53" s="44">
        <f t="shared" si="28"/>
        <v>0</v>
      </c>
      <c r="AE53" s="44">
        <f t="shared" si="29"/>
        <v>0</v>
      </c>
      <c r="AF53" s="52" t="str">
        <f>HLOOKUP(I53,ElecAvoidedCostsWOCC!$A$5:$Q$50,G53+1,FALSE)</f>
        <v>Comm Cooking</v>
      </c>
      <c r="AG53" s="44" t="e">
        <f t="shared" si="30"/>
        <v>#VALUE!</v>
      </c>
      <c r="AH53" s="52" t="str">
        <f>HLOOKUP(I53,ElecAvoidedCostsWOCC!$A$5:$Q$50,T53+1,FALSE)</f>
        <v>Comm Cooking</v>
      </c>
      <c r="AI53" s="44" t="e">
        <f t="shared" si="31"/>
        <v>#VALUE!</v>
      </c>
      <c r="AJ53" s="44" t="e">
        <f t="shared" si="32"/>
        <v>#VALUE!</v>
      </c>
      <c r="AK53" s="44" t="e">
        <f>HLOOKUP(I53,ElecAvoidedCostsWOCC!$A$5:$Q$50,G53+1,FALSE)*J53*L53</f>
        <v>#VALUE!</v>
      </c>
      <c r="AL53" s="44" t="e">
        <f t="shared" si="3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70</v>
      </c>
      <c r="C54" s="61">
        <v>18230716</v>
      </c>
      <c r="D54" s="61" t="s">
        <v>131</v>
      </c>
      <c r="E54" s="38" t="s">
        <v>2143</v>
      </c>
      <c r="F54" s="39" t="s">
        <v>2144</v>
      </c>
      <c r="G54" s="39">
        <v>10</v>
      </c>
      <c r="H54" s="39"/>
      <c r="I54" s="40" t="s">
        <v>258</v>
      </c>
      <c r="J54" s="41">
        <v>2</v>
      </c>
      <c r="K54" s="41">
        <v>1605</v>
      </c>
      <c r="L54" s="41"/>
      <c r="M54" s="42">
        <v>250</v>
      </c>
      <c r="N54" s="42">
        <v>280.58999999999997</v>
      </c>
      <c r="O54" s="43">
        <v>3210</v>
      </c>
      <c r="P54" s="44">
        <v>500</v>
      </c>
      <c r="Q54" s="44">
        <v>561.17999999999995</v>
      </c>
      <c r="R54" s="45">
        <v>0</v>
      </c>
      <c r="S54" s="46">
        <v>0</v>
      </c>
      <c r="T54" s="39">
        <f t="shared" si="18"/>
        <v>10</v>
      </c>
      <c r="U54" s="47">
        <f t="shared" si="19"/>
        <v>4.7206049656734819E-2</v>
      </c>
      <c r="V54" s="48">
        <f t="shared" si="20"/>
        <v>30.589999999999975</v>
      </c>
      <c r="W54" s="49">
        <f t="shared" si="21"/>
        <v>4.7206049656734819E-3</v>
      </c>
      <c r="X54" s="44">
        <f t="shared" si="22"/>
        <v>543.47989806846226</v>
      </c>
      <c r="Y54" s="44">
        <f t="shared" si="23"/>
        <v>61.17999999999995</v>
      </c>
      <c r="Z54" s="44">
        <f t="shared" si="24"/>
        <v>1361.8731954623545</v>
      </c>
      <c r="AA54" s="50">
        <f t="shared" si="25"/>
        <v>1104.6598980684621</v>
      </c>
      <c r="AB54" s="51">
        <f t="shared" si="26"/>
        <v>1273.1356412661066</v>
      </c>
      <c r="AC54" s="44">
        <f t="shared" si="27"/>
        <v>1032.6819651009273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0.69303218561010682</v>
      </c>
      <c r="AG54" s="44">
        <f t="shared" si="30"/>
        <v>2224.6333158084431</v>
      </c>
      <c r="AH54" s="52">
        <f>HLOOKUP(I54,ElecAvoidedCostsWOCC!$A$5:$Q$50,T54+1,FALSE)</f>
        <v>0.69303218561010682</v>
      </c>
      <c r="AI54" s="44">
        <f t="shared" si="31"/>
        <v>0</v>
      </c>
      <c r="AJ54" s="44">
        <f t="shared" si="32"/>
        <v>2224.6333158084431</v>
      </c>
      <c r="AK54" s="44">
        <f>HLOOKUP(I54,ElecAvoidedCostsWOCC!$A$5:$Q$50,G54+1,FALSE)*J54*L54</f>
        <v>0</v>
      </c>
      <c r="AL54" s="44">
        <f t="shared" si="33"/>
        <v>2224.6333158084431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2224.6333158084431</v>
      </c>
      <c r="AN54" s="48">
        <f t="shared" si="34"/>
        <v>2447.0966473892877</v>
      </c>
      <c r="AO54" s="47">
        <f t="shared" si="35"/>
        <v>1.7473655152691288</v>
      </c>
      <c r="AP54" s="47">
        <f t="shared" si="36"/>
        <v>2.3696517709110232</v>
      </c>
      <c r="AQ54">
        <v>2020</v>
      </c>
    </row>
    <row r="55" spans="2:43">
      <c r="B55" s="97" t="s">
        <v>70</v>
      </c>
      <c r="C55" s="61">
        <v>18230716</v>
      </c>
      <c r="D55" s="61" t="s">
        <v>131</v>
      </c>
      <c r="E55" s="38" t="s">
        <v>2145</v>
      </c>
      <c r="F55" s="39" t="s">
        <v>2146</v>
      </c>
      <c r="G55" s="39">
        <v>10</v>
      </c>
      <c r="H55" s="39"/>
      <c r="I55" s="40" t="s">
        <v>260</v>
      </c>
      <c r="J55" s="41">
        <v>2</v>
      </c>
      <c r="K55" s="41">
        <v>2044</v>
      </c>
      <c r="L55" s="41"/>
      <c r="M55" s="42">
        <v>500</v>
      </c>
      <c r="N55" s="42">
        <v>764</v>
      </c>
      <c r="O55" s="43">
        <v>4088</v>
      </c>
      <c r="P55" s="44">
        <v>1000</v>
      </c>
      <c r="Q55" s="44">
        <v>1528</v>
      </c>
      <c r="R55" s="45">
        <v>570.04999999999995</v>
      </c>
      <c r="S55" s="46"/>
      <c r="T55" s="39">
        <f t="shared" si="18"/>
        <v>10</v>
      </c>
      <c r="U55" s="47">
        <f t="shared" si="19"/>
        <v>6.0117860123592499E-2</v>
      </c>
      <c r="V55" s="48">
        <f t="shared" si="20"/>
        <v>264</v>
      </c>
      <c r="W55" s="49">
        <f t="shared" si="21"/>
        <v>6.0117860123592498E-3</v>
      </c>
      <c r="X55" s="44">
        <f t="shared" si="22"/>
        <v>692.13265523485154</v>
      </c>
      <c r="Y55" s="44">
        <f t="shared" si="23"/>
        <v>528</v>
      </c>
      <c r="Z55" s="44">
        <f t="shared" si="24"/>
        <v>1734.3730912928677</v>
      </c>
      <c r="AA55" s="50">
        <f t="shared" si="25"/>
        <v>2220.1326552348514</v>
      </c>
      <c r="AB55" s="51">
        <f t="shared" si="26"/>
        <v>1621.3640191575839</v>
      </c>
      <c r="AC55" s="44">
        <f t="shared" si="27"/>
        <v>2075.4722400998889</v>
      </c>
      <c r="AD55" s="44">
        <f t="shared" si="28"/>
        <v>8018.701629177468</v>
      </c>
      <c r="AE55" s="44">
        <f t="shared" si="29"/>
        <v>0</v>
      </c>
      <c r="AF55" s="52">
        <f>HLOOKUP(I55,ElecAvoidedCostsWOCC!$A$5:$Q$50,G55+1,FALSE)</f>
        <v>0.68726615252653023</v>
      </c>
      <c r="AG55" s="44">
        <f t="shared" si="30"/>
        <v>2809.5440315284554</v>
      </c>
      <c r="AH55" s="52">
        <f>HLOOKUP(I55,ElecAvoidedCostsWOCC!$A$5:$Q$50,T55+1,FALSE)</f>
        <v>0.68726615252653023</v>
      </c>
      <c r="AI55" s="44">
        <f t="shared" si="31"/>
        <v>0</v>
      </c>
      <c r="AJ55" s="44">
        <f t="shared" si="32"/>
        <v>2809.5440315284554</v>
      </c>
      <c r="AK55" s="44">
        <f>HLOOKUP(I55,ElecAvoidedCostsWOCC!$A$5:$Q$50,G55+1,FALSE)*J55*L55</f>
        <v>0</v>
      </c>
      <c r="AL55" s="44">
        <f t="shared" si="33"/>
        <v>2809.5440315284554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2809.5440315284554</v>
      </c>
      <c r="AN55" s="48">
        <f t="shared" si="34"/>
        <v>11109.200063858769</v>
      </c>
      <c r="AO55" s="47">
        <f t="shared" si="35"/>
        <v>1.7328274208207834</v>
      </c>
      <c r="AP55" s="47">
        <f t="shared" si="36"/>
        <v>5.3526131784466084</v>
      </c>
      <c r="AQ55">
        <v>2020</v>
      </c>
    </row>
    <row r="56" spans="2:43">
      <c r="B56" s="97" t="s">
        <v>70</v>
      </c>
      <c r="C56" s="61">
        <v>18230716</v>
      </c>
      <c r="D56" s="61" t="s">
        <v>131</v>
      </c>
      <c r="E56" s="38" t="s">
        <v>2147</v>
      </c>
      <c r="F56" s="39" t="s">
        <v>2148</v>
      </c>
      <c r="G56" s="39">
        <v>10</v>
      </c>
      <c r="H56" s="39"/>
      <c r="I56" s="40" t="s">
        <v>260</v>
      </c>
      <c r="J56" s="41">
        <v>2</v>
      </c>
      <c r="K56" s="41">
        <v>1517</v>
      </c>
      <c r="L56" s="41"/>
      <c r="M56" s="42">
        <v>200</v>
      </c>
      <c r="N56" s="42">
        <v>286</v>
      </c>
      <c r="O56" s="43">
        <v>3034</v>
      </c>
      <c r="P56" s="44">
        <v>400</v>
      </c>
      <c r="Q56" s="44">
        <v>572</v>
      </c>
      <c r="R56" s="45">
        <v>245.92</v>
      </c>
      <c r="S56" s="46"/>
      <c r="T56" s="39">
        <f t="shared" si="18"/>
        <v>10</v>
      </c>
      <c r="U56" s="47">
        <f t="shared" si="19"/>
        <v>4.4617805189574276E-2</v>
      </c>
      <c r="V56" s="48">
        <f t="shared" si="20"/>
        <v>86</v>
      </c>
      <c r="W56" s="49">
        <f t="shared" si="21"/>
        <v>4.4617805189574276E-3</v>
      </c>
      <c r="X56" s="44">
        <f t="shared" si="22"/>
        <v>513.68162328340009</v>
      </c>
      <c r="Y56" s="44">
        <f t="shared" si="23"/>
        <v>172</v>
      </c>
      <c r="Z56" s="44">
        <f t="shared" si="24"/>
        <v>1287.203512471272</v>
      </c>
      <c r="AA56" s="50">
        <f t="shared" si="25"/>
        <v>1085.6816232834001</v>
      </c>
      <c r="AB56" s="51">
        <f t="shared" si="26"/>
        <v>1203.3313195019837</v>
      </c>
      <c r="AC56" s="44">
        <f t="shared" si="27"/>
        <v>1014.9402853916051</v>
      </c>
      <c r="AD56" s="44">
        <f t="shared" si="28"/>
        <v>3459.2739314925411</v>
      </c>
      <c r="AE56" s="44">
        <f t="shared" si="29"/>
        <v>0</v>
      </c>
      <c r="AF56" s="52">
        <f>HLOOKUP(I56,ElecAvoidedCostsWOCC!$A$5:$Q$50,G56+1,FALSE)</f>
        <v>0.68726615252653023</v>
      </c>
      <c r="AG56" s="44">
        <f t="shared" si="30"/>
        <v>2085.1655067654929</v>
      </c>
      <c r="AH56" s="52">
        <f>HLOOKUP(I56,ElecAvoidedCostsWOCC!$A$5:$Q$50,T56+1,FALSE)</f>
        <v>0.68726615252653023</v>
      </c>
      <c r="AI56" s="44">
        <f t="shared" si="31"/>
        <v>0</v>
      </c>
      <c r="AJ56" s="44">
        <f t="shared" si="32"/>
        <v>2085.1655067654929</v>
      </c>
      <c r="AK56" s="44">
        <f>HLOOKUP(I56,ElecAvoidedCostsWOCC!$A$5:$Q$50,G56+1,FALSE)*J56*L56</f>
        <v>0</v>
      </c>
      <c r="AL56" s="44">
        <f t="shared" si="33"/>
        <v>2085.1655067654929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2085.1655067654929</v>
      </c>
      <c r="AN56" s="48">
        <f t="shared" si="34"/>
        <v>5752.9559889345837</v>
      </c>
      <c r="AO56" s="47">
        <f t="shared" si="35"/>
        <v>1.7328274208207837</v>
      </c>
      <c r="AP56" s="47">
        <f t="shared" si="36"/>
        <v>5.66827041131278</v>
      </c>
      <c r="AQ56">
        <v>2020</v>
      </c>
    </row>
    <row r="57" spans="2:43">
      <c r="B57" s="97" t="s">
        <v>70</v>
      </c>
      <c r="C57" s="61">
        <v>18230716</v>
      </c>
      <c r="D57" s="61" t="s">
        <v>131</v>
      </c>
      <c r="E57" s="38" t="s">
        <v>2149</v>
      </c>
      <c r="F57" s="39" t="s">
        <v>2150</v>
      </c>
      <c r="G57" s="39">
        <v>10</v>
      </c>
      <c r="H57" s="39"/>
      <c r="I57" s="40" t="s">
        <v>260</v>
      </c>
      <c r="J57" s="41">
        <v>1</v>
      </c>
      <c r="K57" s="41">
        <v>481</v>
      </c>
      <c r="L57" s="41"/>
      <c r="M57" s="42">
        <v>200</v>
      </c>
      <c r="N57" s="42">
        <v>274</v>
      </c>
      <c r="O57" s="43">
        <v>481</v>
      </c>
      <c r="P57" s="44">
        <v>200</v>
      </c>
      <c r="Q57" s="44">
        <v>274</v>
      </c>
      <c r="R57" s="45">
        <v>0</v>
      </c>
      <c r="S57" s="46"/>
      <c r="T57" s="39">
        <f t="shared" si="18"/>
        <v>10</v>
      </c>
      <c r="U57" s="47">
        <f t="shared" si="19"/>
        <v>7.0735544812739705E-3</v>
      </c>
      <c r="V57" s="48">
        <f t="shared" si="20"/>
        <v>74</v>
      </c>
      <c r="W57" s="49">
        <f t="shared" si="21"/>
        <v>7.0735544812739707E-4</v>
      </c>
      <c r="X57" s="44">
        <f t="shared" si="22"/>
        <v>81.437330520539035</v>
      </c>
      <c r="Y57" s="44">
        <f t="shared" si="23"/>
        <v>74</v>
      </c>
      <c r="Z57" s="44">
        <f t="shared" si="24"/>
        <v>204.06884953812852</v>
      </c>
      <c r="AA57" s="50">
        <f t="shared" si="25"/>
        <v>355.43733052053904</v>
      </c>
      <c r="AB57" s="51">
        <f t="shared" si="26"/>
        <v>190.77203845763157</v>
      </c>
      <c r="AC57" s="44">
        <f t="shared" si="27"/>
        <v>332.27758298638776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0.68726615252653023</v>
      </c>
      <c r="AG57" s="44">
        <f t="shared" si="30"/>
        <v>330.57501936526103</v>
      </c>
      <c r="AH57" s="52">
        <f>HLOOKUP(I57,ElecAvoidedCostsWOCC!$A$5:$Q$50,T57+1,FALSE)</f>
        <v>0.68726615252653023</v>
      </c>
      <c r="AI57" s="44">
        <f t="shared" si="31"/>
        <v>0</v>
      </c>
      <c r="AJ57" s="44">
        <f t="shared" si="32"/>
        <v>330.57501936526103</v>
      </c>
      <c r="AK57" s="44">
        <f>HLOOKUP(I57,ElecAvoidedCostsWOCC!$A$5:$Q$50,G57+1,FALSE)*J57*L57</f>
        <v>0</v>
      </c>
      <c r="AL57" s="44">
        <f t="shared" si="33"/>
        <v>330.57501936526103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330.57501936526103</v>
      </c>
      <c r="AN57" s="48">
        <f t="shared" si="34"/>
        <v>363.63252130178716</v>
      </c>
      <c r="AO57" s="47">
        <f t="shared" si="35"/>
        <v>1.7328274208207834</v>
      </c>
      <c r="AP57" s="47">
        <f t="shared" si="36"/>
        <v>1.0943636884366164</v>
      </c>
      <c r="AQ57">
        <v>2020</v>
      </c>
    </row>
    <row r="58" spans="2:43">
      <c r="B58" s="97" t="s">
        <v>70</v>
      </c>
      <c r="C58" s="61">
        <v>18230716</v>
      </c>
      <c r="D58" s="61" t="s">
        <v>131</v>
      </c>
      <c r="E58" s="38" t="s">
        <v>1139</v>
      </c>
      <c r="F58" s="39" t="s">
        <v>1140</v>
      </c>
      <c r="G58" s="39">
        <v>15</v>
      </c>
      <c r="H58" s="39"/>
      <c r="I58" s="40" t="s">
        <v>255</v>
      </c>
      <c r="J58" s="41">
        <v>2</v>
      </c>
      <c r="K58" s="41">
        <v>10200</v>
      </c>
      <c r="L58" s="41"/>
      <c r="M58" s="42">
        <v>750</v>
      </c>
      <c r="N58" s="42">
        <v>2659</v>
      </c>
      <c r="O58" s="43">
        <v>20400</v>
      </c>
      <c r="P58" s="44">
        <v>1500</v>
      </c>
      <c r="Q58" s="44">
        <v>5318</v>
      </c>
      <c r="R58" s="45">
        <v>4172.99</v>
      </c>
      <c r="S58" s="46"/>
      <c r="T58" s="39">
        <f t="shared" si="18"/>
        <v>15</v>
      </c>
      <c r="U58" s="47">
        <f t="shared" si="19"/>
        <v>0.45000159485859353</v>
      </c>
      <c r="V58" s="48">
        <f t="shared" si="20"/>
        <v>1909</v>
      </c>
      <c r="W58" s="49">
        <f t="shared" si="21"/>
        <v>3.0000106323906237E-2</v>
      </c>
      <c r="X58" s="44">
        <f t="shared" si="22"/>
        <v>3453.8909409958346</v>
      </c>
      <c r="Y58" s="44">
        <f t="shared" si="23"/>
        <v>3818</v>
      </c>
      <c r="Z58" s="44">
        <f t="shared" si="24"/>
        <v>8654.8950739663651</v>
      </c>
      <c r="AA58" s="50">
        <f t="shared" si="25"/>
        <v>8771.8909409958342</v>
      </c>
      <c r="AB58" s="51">
        <f t="shared" si="26"/>
        <v>8090.9554772051642</v>
      </c>
      <c r="AC58" s="44">
        <f t="shared" si="27"/>
        <v>8200.3280742225234</v>
      </c>
      <c r="AD58" s="44">
        <f t="shared" si="28"/>
        <v>76158.713972089681</v>
      </c>
      <c r="AE58" s="44">
        <f t="shared" si="29"/>
        <v>0</v>
      </c>
      <c r="AF58" s="52">
        <f>HLOOKUP(I58,ElecAvoidedCostsWOCC!$A$5:$Q$50,G58+1,FALSE)</f>
        <v>1.0178775471043147</v>
      </c>
      <c r="AG58" s="44">
        <f t="shared" si="30"/>
        <v>20764.701960928018</v>
      </c>
      <c r="AH58" s="52">
        <f>HLOOKUP(I58,ElecAvoidedCostsWOCC!$A$5:$Q$50,T58+1,FALSE)</f>
        <v>1.0178775471043147</v>
      </c>
      <c r="AI58" s="44">
        <f t="shared" si="31"/>
        <v>0</v>
      </c>
      <c r="AJ58" s="44">
        <f t="shared" si="32"/>
        <v>20764.701960928018</v>
      </c>
      <c r="AK58" s="44">
        <f>HLOOKUP(I58,ElecAvoidedCostsWOCC!$A$5:$Q$50,G58+1,FALSE)*J58*L58</f>
        <v>0</v>
      </c>
      <c r="AL58" s="44">
        <f t="shared" si="33"/>
        <v>20764.701960928018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20764.701960928018</v>
      </c>
      <c r="AN58" s="48">
        <f t="shared" si="34"/>
        <v>98999.886129110499</v>
      </c>
      <c r="AO58" s="47">
        <f t="shared" si="35"/>
        <v>2.5664091242905602</v>
      </c>
      <c r="AP58" s="47">
        <f t="shared" si="36"/>
        <v>12.072673828784188</v>
      </c>
      <c r="AQ58">
        <v>2020</v>
      </c>
    </row>
    <row r="59" spans="2:43">
      <c r="B59" s="97" t="s">
        <v>70</v>
      </c>
      <c r="C59" s="61">
        <v>18230716</v>
      </c>
      <c r="D59" s="61" t="s">
        <v>131</v>
      </c>
      <c r="E59" s="38" t="s">
        <v>2153</v>
      </c>
      <c r="F59" s="39" t="s">
        <v>2154</v>
      </c>
      <c r="G59" s="39">
        <v>15</v>
      </c>
      <c r="H59" s="39"/>
      <c r="I59" s="40" t="s">
        <v>255</v>
      </c>
      <c r="J59" s="41">
        <v>1</v>
      </c>
      <c r="K59" s="41">
        <v>3966</v>
      </c>
      <c r="L59" s="41"/>
      <c r="M59" s="42">
        <v>500</v>
      </c>
      <c r="N59" s="42">
        <v>1533</v>
      </c>
      <c r="O59" s="43">
        <v>3966</v>
      </c>
      <c r="P59" s="44">
        <v>500</v>
      </c>
      <c r="Q59" s="44">
        <v>1533</v>
      </c>
      <c r="R59" s="45">
        <v>4172.99</v>
      </c>
      <c r="S59" s="46">
        <v>0</v>
      </c>
      <c r="T59" s="39">
        <f t="shared" si="18"/>
        <v>15</v>
      </c>
      <c r="U59" s="47">
        <f t="shared" si="19"/>
        <v>8.7485604176920695E-2</v>
      </c>
      <c r="V59" s="48">
        <f t="shared" si="20"/>
        <v>1033</v>
      </c>
      <c r="W59" s="49">
        <f t="shared" si="21"/>
        <v>5.8323736117947131E-3</v>
      </c>
      <c r="X59" s="44">
        <f t="shared" si="22"/>
        <v>671.47703294066082</v>
      </c>
      <c r="Y59" s="44">
        <f t="shared" si="23"/>
        <v>1033</v>
      </c>
      <c r="Z59" s="44">
        <f t="shared" si="24"/>
        <v>1682.6134246740494</v>
      </c>
      <c r="AA59" s="50">
        <f t="shared" si="25"/>
        <v>2204.477032940661</v>
      </c>
      <c r="AB59" s="51">
        <f t="shared" si="26"/>
        <v>1572.9769324801807</v>
      </c>
      <c r="AC59" s="44">
        <f t="shared" si="27"/>
        <v>2060.8367139764987</v>
      </c>
      <c r="AD59" s="44">
        <f t="shared" si="28"/>
        <v>38079.356986044841</v>
      </c>
      <c r="AE59" s="44">
        <f t="shared" si="29"/>
        <v>0</v>
      </c>
      <c r="AF59" s="52">
        <f>HLOOKUP(I59,ElecAvoidedCostsWOCC!$A$5:$Q$50,G59+1,FALSE)</f>
        <v>1.0178775471043147</v>
      </c>
      <c r="AG59" s="44">
        <f t="shared" si="30"/>
        <v>4036.9023518157119</v>
      </c>
      <c r="AH59" s="52">
        <f>HLOOKUP(I59,ElecAvoidedCostsWOCC!$A$5:$Q$50,T59+1,FALSE)</f>
        <v>1.0178775471043147</v>
      </c>
      <c r="AI59" s="44">
        <f t="shared" si="31"/>
        <v>0</v>
      </c>
      <c r="AJ59" s="44">
        <f t="shared" si="32"/>
        <v>4036.9023518157119</v>
      </c>
      <c r="AK59" s="44">
        <f>HLOOKUP(I59,ElecAvoidedCostsWOCC!$A$5:$Q$50,G59+1,FALSE)*J59*L59</f>
        <v>0</v>
      </c>
      <c r="AL59" s="44">
        <f t="shared" si="33"/>
        <v>4036.9023518157119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4036.9023518157119</v>
      </c>
      <c r="AN59" s="48">
        <f t="shared" si="34"/>
        <v>42519.949573042126</v>
      </c>
      <c r="AO59" s="47">
        <f t="shared" si="35"/>
        <v>2.5664091242905598</v>
      </c>
      <c r="AP59" s="47">
        <f t="shared" si="36"/>
        <v>20.632371931591575</v>
      </c>
      <c r="AQ59">
        <v>2020</v>
      </c>
    </row>
    <row r="60" spans="2:43">
      <c r="B60" s="97" t="s">
        <v>70</v>
      </c>
      <c r="C60" s="61">
        <v>18230716</v>
      </c>
      <c r="D60" s="61" t="s">
        <v>131</v>
      </c>
      <c r="E60" s="38" t="s">
        <v>1141</v>
      </c>
      <c r="F60" s="39" t="s">
        <v>1142</v>
      </c>
      <c r="G60" s="39">
        <v>15</v>
      </c>
      <c r="H60" s="39"/>
      <c r="I60" s="40" t="s">
        <v>255</v>
      </c>
      <c r="J60" s="41">
        <v>1</v>
      </c>
      <c r="K60" s="41">
        <v>14338</v>
      </c>
      <c r="L60" s="41"/>
      <c r="M60" s="42">
        <v>750</v>
      </c>
      <c r="N60" s="42">
        <v>2659</v>
      </c>
      <c r="O60" s="43">
        <v>14338</v>
      </c>
      <c r="P60" s="44">
        <v>750</v>
      </c>
      <c r="Q60" s="44">
        <v>2659</v>
      </c>
      <c r="R60" s="45">
        <v>9597.84</v>
      </c>
      <c r="S60" s="46"/>
      <c r="T60" s="39">
        <f t="shared" si="18"/>
        <v>15</v>
      </c>
      <c r="U60" s="47">
        <f t="shared" si="19"/>
        <v>0.31628053270012324</v>
      </c>
      <c r="V60" s="48">
        <f t="shared" si="20"/>
        <v>1909</v>
      </c>
      <c r="W60" s="49">
        <f t="shared" si="21"/>
        <v>2.1085368846674883E-2</v>
      </c>
      <c r="X60" s="44">
        <f t="shared" si="22"/>
        <v>2427.5435447057976</v>
      </c>
      <c r="Y60" s="44">
        <f t="shared" si="23"/>
        <v>1909</v>
      </c>
      <c r="Z60" s="44">
        <f t="shared" si="24"/>
        <v>6083.033606398516</v>
      </c>
      <c r="AA60" s="50">
        <f t="shared" si="25"/>
        <v>5086.5435447057971</v>
      </c>
      <c r="AB60" s="51">
        <f t="shared" si="26"/>
        <v>5686.6725309886097</v>
      </c>
      <c r="AC60" s="44">
        <f t="shared" si="27"/>
        <v>4755.1122227781589</v>
      </c>
      <c r="AD60" s="44">
        <f t="shared" si="28"/>
        <v>87582.183435603903</v>
      </c>
      <c r="AE60" s="44">
        <f t="shared" si="29"/>
        <v>0</v>
      </c>
      <c r="AF60" s="52">
        <f>HLOOKUP(I60,ElecAvoidedCostsWOCC!$A$5:$Q$50,G60+1,FALSE)</f>
        <v>1.0178775471043147</v>
      </c>
      <c r="AG60" s="44">
        <f t="shared" si="30"/>
        <v>14594.328270381664</v>
      </c>
      <c r="AH60" s="52">
        <f>HLOOKUP(I60,ElecAvoidedCostsWOCC!$A$5:$Q$50,T60+1,FALSE)</f>
        <v>1.0178775471043147</v>
      </c>
      <c r="AI60" s="44">
        <f t="shared" si="31"/>
        <v>0</v>
      </c>
      <c r="AJ60" s="44">
        <f t="shared" si="32"/>
        <v>14594.328270381664</v>
      </c>
      <c r="AK60" s="44">
        <f>HLOOKUP(I60,ElecAvoidedCostsWOCC!$A$5:$Q$50,G60+1,FALSE)*J60*L60</f>
        <v>0</v>
      </c>
      <c r="AL60" s="44">
        <f t="shared" si="33"/>
        <v>14594.328270381664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14594.328270381664</v>
      </c>
      <c r="AN60" s="48">
        <f t="shared" si="34"/>
        <v>103635.94453302374</v>
      </c>
      <c r="AO60" s="47">
        <f t="shared" si="35"/>
        <v>2.5664091242905607</v>
      </c>
      <c r="AP60" s="47">
        <f t="shared" si="36"/>
        <v>21.79463694601823</v>
      </c>
      <c r="AQ60">
        <v>2020</v>
      </c>
    </row>
    <row r="61" spans="2:43">
      <c r="B61" s="97" t="s">
        <v>70</v>
      </c>
      <c r="C61" s="61">
        <v>18230716</v>
      </c>
      <c r="D61" s="61" t="s">
        <v>131</v>
      </c>
      <c r="E61" s="38" t="s">
        <v>2155</v>
      </c>
      <c r="F61" s="39" t="s">
        <v>2156</v>
      </c>
      <c r="G61" s="39">
        <v>20</v>
      </c>
      <c r="H61" s="39"/>
      <c r="I61" s="40" t="s">
        <v>255</v>
      </c>
      <c r="J61" s="41">
        <v>1</v>
      </c>
      <c r="K61" s="41">
        <v>11901</v>
      </c>
      <c r="L61" s="41"/>
      <c r="M61" s="42">
        <v>1000</v>
      </c>
      <c r="N61" s="42">
        <v>5882</v>
      </c>
      <c r="O61" s="43">
        <v>11901</v>
      </c>
      <c r="P61" s="44">
        <v>1000</v>
      </c>
      <c r="Q61" s="44">
        <v>5882</v>
      </c>
      <c r="R61" s="45">
        <v>5558.01</v>
      </c>
      <c r="S61" s="46"/>
      <c r="T61" s="39">
        <f t="shared" ref="T61:T83" si="37">G61+H61</f>
        <v>20</v>
      </c>
      <c r="U61" s="47">
        <f t="shared" ref="U61:U83" si="38">(O61/$A$10)*T61</f>
        <v>0.3500306523145178</v>
      </c>
      <c r="V61" s="48">
        <f t="shared" ref="V61:V83" si="39">N61-M61</f>
        <v>4882</v>
      </c>
      <c r="W61" s="49">
        <f t="shared" ref="W61:W83" si="40">(O61/A$10)</f>
        <v>1.7501532615725891E-2</v>
      </c>
      <c r="X61" s="44">
        <f t="shared" ref="X61:X83" si="41">W61*A$8</f>
        <v>2014.9390239603642</v>
      </c>
      <c r="Y61" s="44">
        <f t="shared" ref="Y61:Y83" si="42">Q61-P61</f>
        <v>4882</v>
      </c>
      <c r="Z61" s="44">
        <f t="shared" ref="Z61:Z83" si="43">X61+(A$6*W61)</f>
        <v>5049.1130527094956</v>
      </c>
      <c r="AA61" s="50">
        <f t="shared" ref="AA61:AA83" si="44">Q61+X61</f>
        <v>7896.9390239603645</v>
      </c>
      <c r="AB61" s="51">
        <f t="shared" ref="AB61:AB83" si="45">Z61/(1+ElecDiscountRate)^1</f>
        <v>4720.1206438342479</v>
      </c>
      <c r="AC61" s="44">
        <f t="shared" ref="AC61:AC83" si="46">AA61/(1+ElecDiscountRate)^1</f>
        <v>7382.3866728618905</v>
      </c>
      <c r="AD61" s="44">
        <f t="shared" ref="AD61:AD83" si="47">-PV(ElecDiscountRate,T61,R61)*J61</f>
        <v>59019.180001163935</v>
      </c>
      <c r="AE61" s="44">
        <f t="shared" ref="AE61:AE83" si="48">-PV(ElecDiscountRate,T61,S61)*J61</f>
        <v>0</v>
      </c>
      <c r="AF61" s="52">
        <f>HLOOKUP(I61,ElecAvoidedCostsWOCC!$A$5:$Q$50,G61+1,FALSE)</f>
        <v>1.2734662051561068</v>
      </c>
      <c r="AG61" s="44">
        <f t="shared" ref="AG61:AG83" si="49">AF61*J61*K61</f>
        <v>15155.521307562827</v>
      </c>
      <c r="AH61" s="52">
        <f>HLOOKUP(I61,ElecAvoidedCostsWOCC!$A$5:$Q$50,T61+1,FALSE)</f>
        <v>1.2734662051561068</v>
      </c>
      <c r="AI61" s="44">
        <f t="shared" ref="AI61:AI83" si="50">AH61*J61*L61</f>
        <v>0</v>
      </c>
      <c r="AJ61" s="44">
        <f t="shared" ref="AJ61:AJ83" si="51">AG61+AI61</f>
        <v>15155.521307562827</v>
      </c>
      <c r="AK61" s="44">
        <f>HLOOKUP(I61,ElecAvoidedCostsWOCC!$A$5:$Q$50,G61+1,FALSE)*J61*L61</f>
        <v>0</v>
      </c>
      <c r="AL61" s="44">
        <f t="shared" ref="AL61:AL83" si="52">AG61+AI61-AK61</f>
        <v>15155.521307562827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15155.521307562827</v>
      </c>
      <c r="AN61" s="48">
        <f t="shared" ref="AN61:AN83" si="53">AM61*1.1+AD61+AE61</f>
        <v>75690.253439483044</v>
      </c>
      <c r="AO61" s="47">
        <f t="shared" ref="AO61:AO83" si="54">IFERROR(AM61/AB61,0)</f>
        <v>3.2108334619285697</v>
      </c>
      <c r="AP61" s="47">
        <f t="shared" ref="AP61:AP83" si="55">AN61/AC61</f>
        <v>10.252816168208188</v>
      </c>
      <c r="AQ61">
        <v>2020</v>
      </c>
    </row>
    <row r="62" spans="2:43">
      <c r="B62" s="97" t="s">
        <v>70</v>
      </c>
      <c r="C62" s="61">
        <v>18230716</v>
      </c>
      <c r="D62" s="61" t="s">
        <v>131</v>
      </c>
      <c r="E62" s="38" t="s">
        <v>2159</v>
      </c>
      <c r="F62" s="39" t="s">
        <v>2160</v>
      </c>
      <c r="G62" s="39">
        <v>10</v>
      </c>
      <c r="H62" s="39"/>
      <c r="I62" s="40" t="s">
        <v>255</v>
      </c>
      <c r="J62" s="41">
        <v>2</v>
      </c>
      <c r="K62" s="41">
        <v>2309</v>
      </c>
      <c r="L62" s="41"/>
      <c r="M62" s="42">
        <v>150</v>
      </c>
      <c r="N62" s="42">
        <v>232</v>
      </c>
      <c r="O62" s="43">
        <v>4618</v>
      </c>
      <c r="P62" s="44">
        <v>300</v>
      </c>
      <c r="Q62" s="44">
        <v>464</v>
      </c>
      <c r="R62" s="45">
        <v>479.68</v>
      </c>
      <c r="S62" s="46"/>
      <c r="T62" s="39">
        <f t="shared" si="37"/>
        <v>10</v>
      </c>
      <c r="U62" s="47">
        <f t="shared" si="38"/>
        <v>6.791200539401912E-2</v>
      </c>
      <c r="V62" s="48">
        <f t="shared" si="39"/>
        <v>82</v>
      </c>
      <c r="W62" s="49">
        <f t="shared" si="40"/>
        <v>6.7912005394019119E-3</v>
      </c>
      <c r="X62" s="44">
        <f t="shared" si="41"/>
        <v>781.86609634895899</v>
      </c>
      <c r="Y62" s="44">
        <f t="shared" si="42"/>
        <v>164</v>
      </c>
      <c r="Z62" s="44">
        <f t="shared" si="43"/>
        <v>1959.2306593910134</v>
      </c>
      <c r="AA62" s="50">
        <f t="shared" si="44"/>
        <v>1245.866096348959</v>
      </c>
      <c r="AB62" s="51">
        <f t="shared" si="45"/>
        <v>1831.5702153790905</v>
      </c>
      <c r="AC62" s="44">
        <f t="shared" si="46"/>
        <v>1164.6873855744218</v>
      </c>
      <c r="AD62" s="44">
        <f t="shared" si="47"/>
        <v>6747.497232670552</v>
      </c>
      <c r="AE62" s="44">
        <f t="shared" si="48"/>
        <v>0</v>
      </c>
      <c r="AF62" s="52">
        <f>HLOOKUP(I62,ElecAvoidedCostsWOCC!$A$5:$Q$50,G62+1,FALSE)</f>
        <v>0.70152531155702258</v>
      </c>
      <c r="AG62" s="44">
        <f t="shared" si="49"/>
        <v>3239.6438887703302</v>
      </c>
      <c r="AH62" s="52">
        <f>HLOOKUP(I62,ElecAvoidedCostsWOCC!$A$5:$Q$50,T62+1,FALSE)</f>
        <v>0.70152531155702258</v>
      </c>
      <c r="AI62" s="44">
        <f t="shared" si="50"/>
        <v>0</v>
      </c>
      <c r="AJ62" s="44">
        <f t="shared" si="51"/>
        <v>3239.6438887703302</v>
      </c>
      <c r="AK62" s="44">
        <f>HLOOKUP(I62,ElecAvoidedCostsWOCC!$A$5:$Q$50,G62+1,FALSE)*J62*L62</f>
        <v>0</v>
      </c>
      <c r="AL62" s="44">
        <f t="shared" si="52"/>
        <v>3239.6438887703302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3239.6438887703302</v>
      </c>
      <c r="AN62" s="48">
        <f t="shared" si="53"/>
        <v>10311.105510317915</v>
      </c>
      <c r="AO62" s="47">
        <f t="shared" si="54"/>
        <v>1.7687795212916817</v>
      </c>
      <c r="AP62" s="47">
        <f t="shared" si="55"/>
        <v>8.8531099744267401</v>
      </c>
      <c r="AQ62">
        <v>2020</v>
      </c>
    </row>
    <row r="63" spans="2:43">
      <c r="B63" s="97" t="s">
        <v>70</v>
      </c>
      <c r="C63" s="61">
        <v>18230716</v>
      </c>
      <c r="D63" s="61" t="s">
        <v>131</v>
      </c>
      <c r="E63" s="38" t="s">
        <v>2161</v>
      </c>
      <c r="F63" s="39" t="s">
        <v>2162</v>
      </c>
      <c r="G63" s="39">
        <v>10</v>
      </c>
      <c r="H63" s="39"/>
      <c r="I63" s="40" t="s">
        <v>255</v>
      </c>
      <c r="J63" s="41">
        <v>6</v>
      </c>
      <c r="K63" s="41">
        <v>1349</v>
      </c>
      <c r="L63" s="41"/>
      <c r="M63" s="42">
        <v>150</v>
      </c>
      <c r="N63" s="42">
        <v>175</v>
      </c>
      <c r="O63" s="43">
        <v>8094</v>
      </c>
      <c r="P63" s="44">
        <v>900</v>
      </c>
      <c r="Q63" s="44">
        <v>1050</v>
      </c>
      <c r="R63" s="45">
        <v>398.25</v>
      </c>
      <c r="S63" s="46">
        <v>0</v>
      </c>
      <c r="T63" s="39">
        <f t="shared" si="37"/>
        <v>10</v>
      </c>
      <c r="U63" s="47">
        <f t="shared" si="38"/>
        <v>0.11902983362043976</v>
      </c>
      <c r="V63" s="48">
        <f t="shared" si="39"/>
        <v>25</v>
      </c>
      <c r="W63" s="49">
        <f t="shared" si="40"/>
        <v>1.1902983362043975E-2</v>
      </c>
      <c r="X63" s="44">
        <f t="shared" si="41"/>
        <v>1370.3820233539357</v>
      </c>
      <c r="Y63" s="44">
        <f t="shared" si="42"/>
        <v>150</v>
      </c>
      <c r="Z63" s="44">
        <f t="shared" si="43"/>
        <v>3433.9568984648904</v>
      </c>
      <c r="AA63" s="50">
        <f t="shared" si="44"/>
        <v>2420.3820233539354</v>
      </c>
      <c r="AB63" s="51">
        <f t="shared" si="45"/>
        <v>3210.2055702205198</v>
      </c>
      <c r="AC63" s="44">
        <f t="shared" si="46"/>
        <v>2262.6736686490935</v>
      </c>
      <c r="AD63" s="44">
        <f t="shared" si="47"/>
        <v>16806.146428312921</v>
      </c>
      <c r="AE63" s="44">
        <f t="shared" si="48"/>
        <v>0</v>
      </c>
      <c r="AF63" s="52">
        <f>HLOOKUP(I63,ElecAvoidedCostsWOCC!$A$5:$Q$50,G63+1,FALSE)</f>
        <v>0.70152531155702258</v>
      </c>
      <c r="AG63" s="44">
        <f t="shared" si="49"/>
        <v>5678.1458717425412</v>
      </c>
      <c r="AH63" s="52">
        <f>HLOOKUP(I63,ElecAvoidedCostsWOCC!$A$5:$Q$50,T63+1,FALSE)</f>
        <v>0.70152531155702258</v>
      </c>
      <c r="AI63" s="44">
        <f t="shared" si="50"/>
        <v>0</v>
      </c>
      <c r="AJ63" s="44">
        <f t="shared" si="51"/>
        <v>5678.1458717425412</v>
      </c>
      <c r="AK63" s="44">
        <f>HLOOKUP(I63,ElecAvoidedCostsWOCC!$A$5:$Q$50,G63+1,FALSE)*J63*L63</f>
        <v>0</v>
      </c>
      <c r="AL63" s="44">
        <f t="shared" si="52"/>
        <v>5678.1458717425412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5678.1458717425403</v>
      </c>
      <c r="AN63" s="48">
        <f t="shared" si="53"/>
        <v>23052.106887229715</v>
      </c>
      <c r="AO63" s="47">
        <f t="shared" si="54"/>
        <v>1.7687795212916815</v>
      </c>
      <c r="AP63" s="47">
        <f t="shared" si="55"/>
        <v>10.187994498116355</v>
      </c>
      <c r="AQ63">
        <v>2020</v>
      </c>
    </row>
    <row r="64" spans="2:43">
      <c r="B64" s="97" t="s">
        <v>70</v>
      </c>
      <c r="C64" s="61">
        <v>18230716</v>
      </c>
      <c r="D64" s="61" t="s">
        <v>131</v>
      </c>
      <c r="E64" s="38" t="s">
        <v>1145</v>
      </c>
      <c r="F64" s="39" t="s">
        <v>1146</v>
      </c>
      <c r="G64" s="39">
        <v>10</v>
      </c>
      <c r="H64" s="39"/>
      <c r="I64" s="40" t="s">
        <v>255</v>
      </c>
      <c r="J64" s="41">
        <v>3</v>
      </c>
      <c r="K64" s="41">
        <v>1349</v>
      </c>
      <c r="L64" s="41"/>
      <c r="M64" s="42">
        <v>150</v>
      </c>
      <c r="N64" s="42">
        <v>175</v>
      </c>
      <c r="O64" s="43">
        <v>4047</v>
      </c>
      <c r="P64" s="44">
        <v>450</v>
      </c>
      <c r="Q64" s="44">
        <v>525</v>
      </c>
      <c r="R64" s="45">
        <v>479.68</v>
      </c>
      <c r="S64" s="46">
        <v>0</v>
      </c>
      <c r="T64" s="39">
        <f t="shared" si="37"/>
        <v>10</v>
      </c>
      <c r="U64" s="47">
        <f t="shared" si="38"/>
        <v>5.9514916810219878E-2</v>
      </c>
      <c r="V64" s="48">
        <f t="shared" si="39"/>
        <v>25</v>
      </c>
      <c r="W64" s="49">
        <f t="shared" si="40"/>
        <v>5.9514916810219877E-3</v>
      </c>
      <c r="X64" s="44">
        <f t="shared" si="41"/>
        <v>685.19101167696783</v>
      </c>
      <c r="Y64" s="44">
        <f t="shared" si="42"/>
        <v>75</v>
      </c>
      <c r="Z64" s="44">
        <f t="shared" si="43"/>
        <v>1716.9784492324452</v>
      </c>
      <c r="AA64" s="50">
        <f t="shared" si="44"/>
        <v>1210.1910116769677</v>
      </c>
      <c r="AB64" s="51">
        <f t="shared" si="45"/>
        <v>1605.1027851102599</v>
      </c>
      <c r="AC64" s="44">
        <f t="shared" si="46"/>
        <v>1131.3368343245468</v>
      </c>
      <c r="AD64" s="44">
        <f t="shared" si="47"/>
        <v>10121.245849005827</v>
      </c>
      <c r="AE64" s="44">
        <f t="shared" si="48"/>
        <v>0</v>
      </c>
      <c r="AF64" s="52">
        <f>HLOOKUP(I64,ElecAvoidedCostsWOCC!$A$5:$Q$50,G64+1,FALSE)</f>
        <v>0.70152531155702258</v>
      </c>
      <c r="AG64" s="44">
        <f t="shared" si="49"/>
        <v>2839.0729358712706</v>
      </c>
      <c r="AH64" s="52">
        <f>HLOOKUP(I64,ElecAvoidedCostsWOCC!$A$5:$Q$50,T64+1,FALSE)</f>
        <v>0.70152531155702258</v>
      </c>
      <c r="AI64" s="44">
        <f t="shared" si="50"/>
        <v>0</v>
      </c>
      <c r="AJ64" s="44">
        <f t="shared" si="51"/>
        <v>2839.0729358712706</v>
      </c>
      <c r="AK64" s="44">
        <f>HLOOKUP(I64,ElecAvoidedCostsWOCC!$A$5:$Q$50,G64+1,FALSE)*J64*L64</f>
        <v>0</v>
      </c>
      <c r="AL64" s="44">
        <f t="shared" si="52"/>
        <v>2839.0729358712706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2839.0729358712701</v>
      </c>
      <c r="AN64" s="48">
        <f t="shared" si="53"/>
        <v>13244.226078464224</v>
      </c>
      <c r="AO64" s="47">
        <f t="shared" si="54"/>
        <v>1.7687795212916815</v>
      </c>
      <c r="AP64" s="47">
        <f t="shared" si="55"/>
        <v>11.706704561043976</v>
      </c>
      <c r="AQ64">
        <v>2020</v>
      </c>
    </row>
    <row r="65" spans="2:43">
      <c r="B65" s="97" t="s">
        <v>70</v>
      </c>
      <c r="C65" s="61">
        <v>18230716</v>
      </c>
      <c r="D65" s="61" t="s">
        <v>131</v>
      </c>
      <c r="E65" s="38" t="s">
        <v>1151</v>
      </c>
      <c r="F65" s="39" t="s">
        <v>1152</v>
      </c>
      <c r="G65" s="39">
        <v>12</v>
      </c>
      <c r="H65" s="39"/>
      <c r="I65" s="40" t="s">
        <v>258</v>
      </c>
      <c r="J65" s="41">
        <v>3</v>
      </c>
      <c r="K65" s="41">
        <v>21109</v>
      </c>
      <c r="L65" s="41"/>
      <c r="M65" s="42">
        <v>2000</v>
      </c>
      <c r="N65" s="42">
        <v>2131</v>
      </c>
      <c r="O65" s="43">
        <v>63327</v>
      </c>
      <c r="P65" s="44">
        <v>6000</v>
      </c>
      <c r="Q65" s="44">
        <v>6393</v>
      </c>
      <c r="R65" s="45">
        <v>10342.09</v>
      </c>
      <c r="S65" s="46">
        <v>0</v>
      </c>
      <c r="T65" s="39">
        <f t="shared" si="37"/>
        <v>12</v>
      </c>
      <c r="U65" s="47">
        <f t="shared" si="38"/>
        <v>1.1175392548082412</v>
      </c>
      <c r="V65" s="48">
        <f t="shared" si="39"/>
        <v>131</v>
      </c>
      <c r="W65" s="49">
        <f t="shared" si="40"/>
        <v>9.3128271234020107E-2</v>
      </c>
      <c r="X65" s="44">
        <f t="shared" si="41"/>
        <v>10721.791746100156</v>
      </c>
      <c r="Y65" s="44">
        <f t="shared" si="42"/>
        <v>393</v>
      </c>
      <c r="Z65" s="44">
        <f t="shared" si="43"/>
        <v>26867.085311228821</v>
      </c>
      <c r="AA65" s="50">
        <f t="shared" si="44"/>
        <v>17114.791746100156</v>
      </c>
      <c r="AB65" s="51">
        <f t="shared" si="45"/>
        <v>25116.467524753498</v>
      </c>
      <c r="AC65" s="44">
        <f t="shared" si="46"/>
        <v>15999.618347293779</v>
      </c>
      <c r="AD65" s="44">
        <f t="shared" si="47"/>
        <v>246826.41627005429</v>
      </c>
      <c r="AE65" s="44">
        <f t="shared" si="48"/>
        <v>0</v>
      </c>
      <c r="AF65" s="52">
        <f>HLOOKUP(I65,ElecAvoidedCostsWOCC!$A$5:$Q$50,G65+1,FALSE)</f>
        <v>0.82713841420343059</v>
      </c>
      <c r="AG65" s="44">
        <f t="shared" si="49"/>
        <v>52380.194356260654</v>
      </c>
      <c r="AH65" s="52">
        <f>HLOOKUP(I65,ElecAvoidedCostsWOCC!$A$5:$Q$50,T65+1,FALSE)</f>
        <v>0.82713841420343059</v>
      </c>
      <c r="AI65" s="44">
        <f t="shared" si="50"/>
        <v>0</v>
      </c>
      <c r="AJ65" s="44">
        <f t="shared" si="51"/>
        <v>52380.194356260654</v>
      </c>
      <c r="AK65" s="44">
        <f>HLOOKUP(I65,ElecAvoidedCostsWOCC!$A$5:$Q$50,G65+1,FALSE)*J65*L65</f>
        <v>0</v>
      </c>
      <c r="AL65" s="44">
        <f t="shared" si="52"/>
        <v>52380.194356260654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52380.194356260654</v>
      </c>
      <c r="AN65" s="48">
        <f t="shared" si="53"/>
        <v>304444.63006194099</v>
      </c>
      <c r="AO65" s="47">
        <f t="shared" si="54"/>
        <v>2.0854920901849527</v>
      </c>
      <c r="AP65" s="47">
        <f t="shared" si="55"/>
        <v>19.02824326515486</v>
      </c>
      <c r="AQ65">
        <v>2020</v>
      </c>
    </row>
    <row r="66" spans="2:43">
      <c r="B66" s="97" t="s">
        <v>70</v>
      </c>
      <c r="C66" s="61">
        <v>18230716</v>
      </c>
      <c r="D66" s="61" t="s">
        <v>131</v>
      </c>
      <c r="E66" s="38" t="s">
        <v>2165</v>
      </c>
      <c r="F66" s="39" t="s">
        <v>2166</v>
      </c>
      <c r="G66" s="39">
        <v>12</v>
      </c>
      <c r="H66" s="39"/>
      <c r="I66" s="40" t="s">
        <v>258</v>
      </c>
      <c r="J66" s="41">
        <v>1</v>
      </c>
      <c r="K66" s="41">
        <v>3902</v>
      </c>
      <c r="L66" s="41"/>
      <c r="M66" s="42">
        <v>1000</v>
      </c>
      <c r="N66" s="42">
        <v>0</v>
      </c>
      <c r="O66" s="43">
        <v>3902</v>
      </c>
      <c r="P66" s="44">
        <v>1000</v>
      </c>
      <c r="Q66" s="44">
        <v>0</v>
      </c>
      <c r="R66" s="45">
        <v>0</v>
      </c>
      <c r="S66" s="46">
        <v>0</v>
      </c>
      <c r="T66" s="39">
        <f t="shared" si="37"/>
        <v>12</v>
      </c>
      <c r="U66" s="47">
        <f t="shared" si="38"/>
        <v>6.8859067574048319E-2</v>
      </c>
      <c r="V66" s="48">
        <f t="shared" si="39"/>
        <v>-1000</v>
      </c>
      <c r="W66" s="49">
        <f t="shared" si="40"/>
        <v>5.7382556311706932E-3</v>
      </c>
      <c r="X66" s="44">
        <f t="shared" si="41"/>
        <v>660.64129665518362</v>
      </c>
      <c r="Y66" s="44">
        <f t="shared" si="42"/>
        <v>-1000</v>
      </c>
      <c r="Z66" s="44">
        <f t="shared" si="43"/>
        <v>1655.4608126772919</v>
      </c>
      <c r="AA66" s="50">
        <f t="shared" si="44"/>
        <v>660.64129665518362</v>
      </c>
      <c r="AB66" s="51">
        <f t="shared" si="45"/>
        <v>1547.5935427477721</v>
      </c>
      <c r="AC66" s="44">
        <f t="shared" si="46"/>
        <v>617.59493003195621</v>
      </c>
      <c r="AD66" s="44">
        <f t="shared" si="47"/>
        <v>0</v>
      </c>
      <c r="AE66" s="44">
        <f t="shared" si="48"/>
        <v>0</v>
      </c>
      <c r="AF66" s="52">
        <f>HLOOKUP(I66,ElecAvoidedCostsWOCC!$A$5:$Q$50,G66+1,FALSE)</f>
        <v>0.82713841420343059</v>
      </c>
      <c r="AG66" s="44">
        <f t="shared" si="49"/>
        <v>3227.4940922217861</v>
      </c>
      <c r="AH66" s="52">
        <f>HLOOKUP(I66,ElecAvoidedCostsWOCC!$A$5:$Q$50,T66+1,FALSE)</f>
        <v>0.82713841420343059</v>
      </c>
      <c r="AI66" s="44">
        <f t="shared" si="50"/>
        <v>0</v>
      </c>
      <c r="AJ66" s="44">
        <f t="shared" si="51"/>
        <v>3227.4940922217861</v>
      </c>
      <c r="AK66" s="44">
        <f>HLOOKUP(I66,ElecAvoidedCostsWOCC!$A$5:$Q$50,G66+1,FALSE)*J66*L66</f>
        <v>0</v>
      </c>
      <c r="AL66" s="44">
        <f t="shared" si="52"/>
        <v>3227.4940922217861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3227.4940922217861</v>
      </c>
      <c r="AN66" s="48">
        <f t="shared" si="53"/>
        <v>3550.2435014439652</v>
      </c>
      <c r="AO66" s="47">
        <f t="shared" si="54"/>
        <v>2.0854920901849519</v>
      </c>
      <c r="AP66" s="47">
        <f t="shared" si="55"/>
        <v>5.748498455549603</v>
      </c>
      <c r="AQ66">
        <v>2020</v>
      </c>
    </row>
    <row r="67" spans="2:43">
      <c r="B67" s="97" t="s">
        <v>70</v>
      </c>
      <c r="C67" s="61">
        <v>18230716</v>
      </c>
      <c r="D67" s="61" t="s">
        <v>131</v>
      </c>
      <c r="E67" s="38" t="s">
        <v>1155</v>
      </c>
      <c r="F67" s="39" t="s">
        <v>1156</v>
      </c>
      <c r="G67" s="39">
        <v>12</v>
      </c>
      <c r="H67" s="39"/>
      <c r="I67" s="40" t="s">
        <v>258</v>
      </c>
      <c r="J67" s="41">
        <v>6</v>
      </c>
      <c r="K67" s="41">
        <v>1951</v>
      </c>
      <c r="L67" s="41"/>
      <c r="M67" s="42">
        <v>500</v>
      </c>
      <c r="N67" s="42">
        <v>1007</v>
      </c>
      <c r="O67" s="43">
        <v>11706</v>
      </c>
      <c r="P67" s="44">
        <v>3000</v>
      </c>
      <c r="Q67" s="44">
        <v>6042</v>
      </c>
      <c r="R67" s="45">
        <v>0</v>
      </c>
      <c r="S67" s="46">
        <v>0</v>
      </c>
      <c r="T67" s="39">
        <f t="shared" si="37"/>
        <v>12</v>
      </c>
      <c r="U67" s="47">
        <f t="shared" si="38"/>
        <v>0.20657720272214497</v>
      </c>
      <c r="V67" s="48">
        <f t="shared" si="39"/>
        <v>507</v>
      </c>
      <c r="W67" s="49">
        <f t="shared" si="40"/>
        <v>1.721476689351208E-2</v>
      </c>
      <c r="X67" s="44">
        <f t="shared" si="41"/>
        <v>1981.9238899655509</v>
      </c>
      <c r="Y67" s="44">
        <f t="shared" si="42"/>
        <v>3042</v>
      </c>
      <c r="Z67" s="44">
        <f t="shared" si="43"/>
        <v>4966.3824380318756</v>
      </c>
      <c r="AA67" s="50">
        <f t="shared" si="44"/>
        <v>8023.9238899655511</v>
      </c>
      <c r="AB67" s="51">
        <f t="shared" si="45"/>
        <v>4642.7806282433157</v>
      </c>
      <c r="AC67" s="44">
        <f t="shared" si="46"/>
        <v>7501.0974011083017</v>
      </c>
      <c r="AD67" s="44">
        <f t="shared" si="47"/>
        <v>0</v>
      </c>
      <c r="AE67" s="44">
        <f t="shared" si="48"/>
        <v>0</v>
      </c>
      <c r="AF67" s="52">
        <f>HLOOKUP(I67,ElecAvoidedCostsWOCC!$A$5:$Q$50,G67+1,FALSE)</f>
        <v>0.82713841420343059</v>
      </c>
      <c r="AG67" s="44">
        <f t="shared" si="49"/>
        <v>9682.4822766653597</v>
      </c>
      <c r="AH67" s="52">
        <f>HLOOKUP(I67,ElecAvoidedCostsWOCC!$A$5:$Q$50,T67+1,FALSE)</f>
        <v>0.82713841420343059</v>
      </c>
      <c r="AI67" s="44">
        <f t="shared" si="50"/>
        <v>0</v>
      </c>
      <c r="AJ67" s="44">
        <f t="shared" si="51"/>
        <v>9682.4822766653597</v>
      </c>
      <c r="AK67" s="44">
        <f>HLOOKUP(I67,ElecAvoidedCostsWOCC!$A$5:$Q$50,G67+1,FALSE)*J67*L67</f>
        <v>0</v>
      </c>
      <c r="AL67" s="44">
        <f t="shared" si="52"/>
        <v>9682.4822766653597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9682.4822766653579</v>
      </c>
      <c r="AN67" s="48">
        <f t="shared" si="53"/>
        <v>10650.730504331894</v>
      </c>
      <c r="AO67" s="47">
        <f t="shared" si="54"/>
        <v>2.0854920901849523</v>
      </c>
      <c r="AP67" s="47">
        <f t="shared" si="55"/>
        <v>1.4198896421153293</v>
      </c>
      <c r="AQ67">
        <v>2020</v>
      </c>
    </row>
    <row r="68" spans="2:43">
      <c r="B68" s="97" t="s">
        <v>70</v>
      </c>
      <c r="C68" s="61">
        <v>18230716</v>
      </c>
      <c r="D68" s="61" t="s">
        <v>131</v>
      </c>
      <c r="E68" s="38" t="s">
        <v>1159</v>
      </c>
      <c r="F68" s="39" t="s">
        <v>1160</v>
      </c>
      <c r="G68" s="39">
        <v>10</v>
      </c>
      <c r="H68" s="39"/>
      <c r="I68" s="40" t="s">
        <v>260</v>
      </c>
      <c r="J68" s="41">
        <v>3</v>
      </c>
      <c r="K68" s="41">
        <v>666</v>
      </c>
      <c r="L68" s="41"/>
      <c r="M68" s="42">
        <v>250</v>
      </c>
      <c r="N68" s="42">
        <v>272.88</v>
      </c>
      <c r="O68" s="43">
        <v>1998</v>
      </c>
      <c r="P68" s="44">
        <v>750</v>
      </c>
      <c r="Q68" s="44">
        <v>818.64</v>
      </c>
      <c r="R68" s="45">
        <v>5378.87</v>
      </c>
      <c r="S68" s="46">
        <v>0</v>
      </c>
      <c r="T68" s="39">
        <f t="shared" si="37"/>
        <v>10</v>
      </c>
      <c r="U68" s="47">
        <f t="shared" si="38"/>
        <v>2.938245707606111E-2</v>
      </c>
      <c r="V68" s="48">
        <f t="shared" si="39"/>
        <v>22.879999999999995</v>
      </c>
      <c r="W68" s="49">
        <f t="shared" si="40"/>
        <v>2.9382457076061108E-3</v>
      </c>
      <c r="X68" s="44">
        <f t="shared" si="41"/>
        <v>338.27814216223908</v>
      </c>
      <c r="Y68" s="44">
        <f t="shared" si="42"/>
        <v>68.639999999999986</v>
      </c>
      <c r="Z68" s="44">
        <f t="shared" si="43"/>
        <v>847.67060577376446</v>
      </c>
      <c r="AA68" s="50">
        <f t="shared" si="44"/>
        <v>1156.9181421622391</v>
      </c>
      <c r="AB68" s="51">
        <f t="shared" si="45"/>
        <v>792.43769820862337</v>
      </c>
      <c r="AC68" s="44">
        <f t="shared" si="46"/>
        <v>1081.5351427150033</v>
      </c>
      <c r="AD68" s="44">
        <f t="shared" si="47"/>
        <v>113494.13287992406</v>
      </c>
      <c r="AE68" s="44">
        <f t="shared" si="48"/>
        <v>0</v>
      </c>
      <c r="AF68" s="52">
        <f>HLOOKUP(I68,ElecAvoidedCostsWOCC!$A$5:$Q$50,G68+1,FALSE)</f>
        <v>0.68726615252653023</v>
      </c>
      <c r="AG68" s="44">
        <f t="shared" si="49"/>
        <v>1373.1577727480073</v>
      </c>
      <c r="AH68" s="52">
        <f>HLOOKUP(I68,ElecAvoidedCostsWOCC!$A$5:$Q$50,T68+1,FALSE)</f>
        <v>0.68726615252653023</v>
      </c>
      <c r="AI68" s="44">
        <f t="shared" si="50"/>
        <v>0</v>
      </c>
      <c r="AJ68" s="44">
        <f t="shared" si="51"/>
        <v>1373.1577727480073</v>
      </c>
      <c r="AK68" s="44">
        <f>HLOOKUP(I68,ElecAvoidedCostsWOCC!$A$5:$Q$50,G68+1,FALSE)*J68*L68</f>
        <v>0</v>
      </c>
      <c r="AL68" s="44">
        <f t="shared" si="52"/>
        <v>1373.1577727480073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1373.1577727480073</v>
      </c>
      <c r="AN68" s="48">
        <f t="shared" si="53"/>
        <v>115004.60642994687</v>
      </c>
      <c r="AO68" s="47">
        <f t="shared" si="54"/>
        <v>1.7328274208207837</v>
      </c>
      <c r="AP68" s="47">
        <f t="shared" si="55"/>
        <v>106.33459967028726</v>
      </c>
      <c r="AQ68">
        <v>2020</v>
      </c>
    </row>
    <row r="69" spans="2:43">
      <c r="B69" s="97" t="s">
        <v>70</v>
      </c>
      <c r="C69" s="61">
        <v>18230716</v>
      </c>
      <c r="D69" s="61" t="s">
        <v>131</v>
      </c>
      <c r="E69" s="38" t="s">
        <v>2167</v>
      </c>
      <c r="F69" s="39" t="s">
        <v>1165</v>
      </c>
      <c r="G69" s="39">
        <v>10</v>
      </c>
      <c r="H69" s="39"/>
      <c r="I69" s="40" t="s">
        <v>260</v>
      </c>
      <c r="J69" s="41">
        <v>2</v>
      </c>
      <c r="K69" s="41">
        <v>1319</v>
      </c>
      <c r="L69" s="41"/>
      <c r="M69" s="42">
        <v>375</v>
      </c>
      <c r="N69" s="42">
        <v>399.56</v>
      </c>
      <c r="O69" s="43">
        <v>2638</v>
      </c>
      <c r="P69" s="44">
        <v>750</v>
      </c>
      <c r="Q69" s="44">
        <v>799.12</v>
      </c>
      <c r="R69" s="45">
        <v>5378.87</v>
      </c>
      <c r="S69" s="46">
        <v>0</v>
      </c>
      <c r="T69" s="39">
        <f t="shared" si="37"/>
        <v>10</v>
      </c>
      <c r="U69" s="47">
        <f t="shared" si="38"/>
        <v>3.8794255138463067E-2</v>
      </c>
      <c r="V69" s="48">
        <f t="shared" si="39"/>
        <v>24.560000000000002</v>
      </c>
      <c r="W69" s="49">
        <f t="shared" si="40"/>
        <v>3.8794255138463068E-3</v>
      </c>
      <c r="X69" s="44">
        <f t="shared" si="41"/>
        <v>446.63550501701042</v>
      </c>
      <c r="Y69" s="44">
        <f t="shared" si="42"/>
        <v>49.120000000000005</v>
      </c>
      <c r="Z69" s="44">
        <f t="shared" si="43"/>
        <v>1119.1967257413369</v>
      </c>
      <c r="AA69" s="50">
        <f t="shared" si="44"/>
        <v>1245.7555050170104</v>
      </c>
      <c r="AB69" s="51">
        <f t="shared" si="45"/>
        <v>1046.2715955327071</v>
      </c>
      <c r="AC69" s="44">
        <f t="shared" si="46"/>
        <v>1164.5840002028701</v>
      </c>
      <c r="AD69" s="44">
        <f t="shared" si="47"/>
        <v>75662.75525328271</v>
      </c>
      <c r="AE69" s="44">
        <f t="shared" si="48"/>
        <v>0</v>
      </c>
      <c r="AF69" s="52">
        <f>HLOOKUP(I69,ElecAvoidedCostsWOCC!$A$5:$Q$50,G69+1,FALSE)</f>
        <v>0.68726615252653023</v>
      </c>
      <c r="AG69" s="44">
        <f t="shared" si="49"/>
        <v>1813.0081103649868</v>
      </c>
      <c r="AH69" s="52">
        <f>HLOOKUP(I69,ElecAvoidedCostsWOCC!$A$5:$Q$50,T69+1,FALSE)</f>
        <v>0.68726615252653023</v>
      </c>
      <c r="AI69" s="44">
        <f t="shared" si="50"/>
        <v>0</v>
      </c>
      <c r="AJ69" s="44">
        <f t="shared" si="51"/>
        <v>1813.0081103649868</v>
      </c>
      <c r="AK69" s="44">
        <f>HLOOKUP(I69,ElecAvoidedCostsWOCC!$A$5:$Q$50,G69+1,FALSE)*J69*L69</f>
        <v>0</v>
      </c>
      <c r="AL69" s="44">
        <f t="shared" si="52"/>
        <v>1813.0081103649868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1813.0081103649868</v>
      </c>
      <c r="AN69" s="48">
        <f t="shared" si="53"/>
        <v>77657.064174684201</v>
      </c>
      <c r="AO69" s="47">
        <f t="shared" si="54"/>
        <v>1.7328274208207834</v>
      </c>
      <c r="AP69" s="47">
        <f t="shared" si="55"/>
        <v>66.68223516822863</v>
      </c>
      <c r="AQ69">
        <v>2020</v>
      </c>
    </row>
    <row r="70" spans="2:43">
      <c r="B70" s="97" t="s">
        <v>70</v>
      </c>
      <c r="C70" s="61">
        <v>18230716</v>
      </c>
      <c r="D70" s="61" t="s">
        <v>131</v>
      </c>
      <c r="E70" s="38" t="s">
        <v>2168</v>
      </c>
      <c r="F70" s="39" t="s">
        <v>1167</v>
      </c>
      <c r="G70" s="39">
        <v>10</v>
      </c>
      <c r="H70" s="39"/>
      <c r="I70" s="40" t="s">
        <v>260</v>
      </c>
      <c r="J70" s="41">
        <v>2</v>
      </c>
      <c r="K70" s="41">
        <v>745</v>
      </c>
      <c r="L70" s="41"/>
      <c r="M70" s="42">
        <v>200</v>
      </c>
      <c r="N70" s="42">
        <v>224.48</v>
      </c>
      <c r="O70" s="43">
        <v>1490</v>
      </c>
      <c r="P70" s="44">
        <v>400</v>
      </c>
      <c r="Q70" s="44">
        <v>448.96</v>
      </c>
      <c r="R70" s="45">
        <v>5378.87</v>
      </c>
      <c r="S70" s="46">
        <v>0</v>
      </c>
      <c r="T70" s="39">
        <f t="shared" si="37"/>
        <v>10</v>
      </c>
      <c r="U70" s="47">
        <f t="shared" si="38"/>
        <v>2.1911842364029554E-2</v>
      </c>
      <c r="V70" s="48">
        <f t="shared" si="39"/>
        <v>24.47999999999999</v>
      </c>
      <c r="W70" s="49">
        <f t="shared" si="40"/>
        <v>2.1911842364029555E-3</v>
      </c>
      <c r="X70" s="44">
        <f t="shared" si="41"/>
        <v>252.26948539626437</v>
      </c>
      <c r="Y70" s="44">
        <f t="shared" si="42"/>
        <v>48.95999999999998</v>
      </c>
      <c r="Z70" s="44">
        <f t="shared" si="43"/>
        <v>632.14674804950414</v>
      </c>
      <c r="AA70" s="50">
        <f t="shared" si="44"/>
        <v>701.22948539626441</v>
      </c>
      <c r="AB70" s="51">
        <f t="shared" si="45"/>
        <v>590.95704220763207</v>
      </c>
      <c r="AC70" s="44">
        <f t="shared" si="46"/>
        <v>655.53845507737151</v>
      </c>
      <c r="AD70" s="44">
        <f t="shared" si="47"/>
        <v>75662.75525328271</v>
      </c>
      <c r="AE70" s="44">
        <f t="shared" si="48"/>
        <v>0</v>
      </c>
      <c r="AF70" s="52">
        <f>HLOOKUP(I70,ElecAvoidedCostsWOCC!$A$5:$Q$50,G70+1,FALSE)</f>
        <v>0.68726615252653023</v>
      </c>
      <c r="AG70" s="44">
        <f t="shared" si="49"/>
        <v>1024.0265672645301</v>
      </c>
      <c r="AH70" s="52">
        <f>HLOOKUP(I70,ElecAvoidedCostsWOCC!$A$5:$Q$50,T70+1,FALSE)</f>
        <v>0.68726615252653023</v>
      </c>
      <c r="AI70" s="44">
        <f t="shared" si="50"/>
        <v>0</v>
      </c>
      <c r="AJ70" s="44">
        <f t="shared" si="51"/>
        <v>1024.0265672645301</v>
      </c>
      <c r="AK70" s="44">
        <f>HLOOKUP(I70,ElecAvoidedCostsWOCC!$A$5:$Q$50,G70+1,FALSE)*J70*L70</f>
        <v>0</v>
      </c>
      <c r="AL70" s="44">
        <f t="shared" si="52"/>
        <v>1024.0265672645301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1024.0265672645301</v>
      </c>
      <c r="AN70" s="48">
        <f t="shared" si="53"/>
        <v>76789.184477273695</v>
      </c>
      <c r="AO70" s="47">
        <f t="shared" si="54"/>
        <v>1.7328274208207837</v>
      </c>
      <c r="AP70" s="47">
        <f t="shared" si="55"/>
        <v>117.13909974695606</v>
      </c>
      <c r="AQ70">
        <v>2020</v>
      </c>
    </row>
    <row r="71" spans="2:43">
      <c r="B71" s="97" t="s">
        <v>70</v>
      </c>
      <c r="C71" s="61">
        <v>18230716</v>
      </c>
      <c r="D71" s="61" t="s">
        <v>131</v>
      </c>
      <c r="E71" s="38" t="s">
        <v>1170</v>
      </c>
      <c r="F71" s="39" t="s">
        <v>1171</v>
      </c>
      <c r="G71" s="39"/>
      <c r="H71" s="39"/>
      <c r="I71" s="40" t="s">
        <v>258</v>
      </c>
      <c r="J71" s="41">
        <v>1</v>
      </c>
      <c r="K71" s="41">
        <v>0</v>
      </c>
      <c r="L71" s="41"/>
      <c r="M71" s="42">
        <v>25</v>
      </c>
      <c r="N71" s="42">
        <v>25</v>
      </c>
      <c r="O71" s="43">
        <v>0</v>
      </c>
      <c r="P71" s="44">
        <v>25</v>
      </c>
      <c r="Q71" s="44">
        <v>25</v>
      </c>
      <c r="R71" s="45">
        <v>0</v>
      </c>
      <c r="S71" s="46">
        <v>0</v>
      </c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25</v>
      </c>
      <c r="AB71" s="51">
        <f t="shared" si="45"/>
        <v>0</v>
      </c>
      <c r="AC71" s="44">
        <f t="shared" si="46"/>
        <v>23.371038608955779</v>
      </c>
      <c r="AD71" s="44">
        <f t="shared" si="47"/>
        <v>0</v>
      </c>
      <c r="AE71" s="44">
        <f t="shared" si="48"/>
        <v>0</v>
      </c>
      <c r="AF71" s="52" t="str">
        <f>HLOOKUP(I71,ElecAvoidedCostsWOCC!$A$5:$Q$50,G71+1,FALSE)</f>
        <v>Comm Cooking</v>
      </c>
      <c r="AG71" s="44" t="e">
        <f t="shared" si="49"/>
        <v>#VALUE!</v>
      </c>
      <c r="AH71" s="52" t="str">
        <f>HLOOKUP(I71,ElecAvoidedCostsWOCC!$A$5:$Q$50,T71+1,FALSE)</f>
        <v>Comm Cooking</v>
      </c>
      <c r="AI71" s="44" t="e">
        <f t="shared" si="50"/>
        <v>#VALUE!</v>
      </c>
      <c r="AJ71" s="44" t="e">
        <f t="shared" si="51"/>
        <v>#VALUE!</v>
      </c>
      <c r="AK71" s="44" t="e">
        <f>HLOOKUP(I71,ElecAvoidedCostsWOCC!$A$5:$Q$50,G71+1,FALSE)*J71*L71</f>
        <v>#VALUE!</v>
      </c>
      <c r="AL71" s="44" t="e">
        <f t="shared" si="52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>
        <f t="shared" si="55"/>
        <v>0</v>
      </c>
      <c r="AQ71">
        <v>2020</v>
      </c>
    </row>
    <row r="72" spans="2:43">
      <c r="B72" s="97" t="s">
        <v>70</v>
      </c>
      <c r="C72" s="61">
        <v>18230716</v>
      </c>
      <c r="D72" s="61" t="s">
        <v>131</v>
      </c>
      <c r="E72" s="38" t="s">
        <v>1172</v>
      </c>
      <c r="F72" s="39" t="s">
        <v>1173</v>
      </c>
      <c r="G72" s="39"/>
      <c r="H72" s="39"/>
      <c r="I72" s="40" t="s">
        <v>258</v>
      </c>
      <c r="J72" s="41">
        <v>3</v>
      </c>
      <c r="K72" s="41">
        <v>0</v>
      </c>
      <c r="L72" s="41"/>
      <c r="M72" s="42">
        <v>50</v>
      </c>
      <c r="N72" s="42">
        <v>50</v>
      </c>
      <c r="O72" s="43">
        <v>0</v>
      </c>
      <c r="P72" s="44">
        <v>150</v>
      </c>
      <c r="Q72" s="44">
        <v>150</v>
      </c>
      <c r="R72" s="45">
        <v>0</v>
      </c>
      <c r="S72" s="46">
        <v>0</v>
      </c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150</v>
      </c>
      <c r="AB72" s="51">
        <f t="shared" si="45"/>
        <v>0</v>
      </c>
      <c r="AC72" s="44">
        <f t="shared" si="46"/>
        <v>140.22623165373469</v>
      </c>
      <c r="AD72" s="44">
        <f t="shared" si="47"/>
        <v>0</v>
      </c>
      <c r="AE72" s="44">
        <f t="shared" si="48"/>
        <v>0</v>
      </c>
      <c r="AF72" s="52" t="str">
        <f>HLOOKUP(I72,ElecAvoidedCostsWOCC!$A$5:$Q$50,G72+1,FALSE)</f>
        <v>Comm Cooking</v>
      </c>
      <c r="AG72" s="44" t="e">
        <f t="shared" si="49"/>
        <v>#VALUE!</v>
      </c>
      <c r="AH72" s="52" t="str">
        <f>HLOOKUP(I72,ElecAvoidedCostsWOCC!$A$5:$Q$50,T72+1,FALSE)</f>
        <v>Comm Cooking</v>
      </c>
      <c r="AI72" s="44" t="e">
        <f t="shared" si="50"/>
        <v>#VALUE!</v>
      </c>
      <c r="AJ72" s="44" t="e">
        <f t="shared" si="51"/>
        <v>#VALUE!</v>
      </c>
      <c r="AK72" s="44" t="e">
        <f>HLOOKUP(I72,ElecAvoidedCostsWOCC!$A$5:$Q$50,G72+1,FALSE)*J72*L72</f>
        <v>#VALUE!</v>
      </c>
      <c r="AL72" s="44" t="e">
        <f t="shared" si="52"/>
        <v>#VALUE!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>
        <f t="shared" si="55"/>
        <v>0</v>
      </c>
      <c r="AQ72">
        <v>2020</v>
      </c>
    </row>
    <row r="73" spans="2:43">
      <c r="B73" s="97" t="s">
        <v>70</v>
      </c>
      <c r="C73" s="61">
        <v>18230716</v>
      </c>
      <c r="D73" s="61" t="s">
        <v>131</v>
      </c>
      <c r="E73" s="38" t="s">
        <v>1179</v>
      </c>
      <c r="F73" s="39" t="s">
        <v>1180</v>
      </c>
      <c r="G73" s="39"/>
      <c r="H73" s="39"/>
      <c r="I73" s="40" t="s">
        <v>258</v>
      </c>
      <c r="J73" s="41">
        <v>5</v>
      </c>
      <c r="K73" s="41">
        <v>0</v>
      </c>
      <c r="L73" s="41"/>
      <c r="M73" s="42">
        <v>50</v>
      </c>
      <c r="N73" s="42">
        <v>50</v>
      </c>
      <c r="O73" s="43">
        <v>0</v>
      </c>
      <c r="P73" s="44">
        <v>250</v>
      </c>
      <c r="Q73" s="44">
        <v>250</v>
      </c>
      <c r="R73" s="45">
        <v>0</v>
      </c>
      <c r="S73" s="46">
        <v>0</v>
      </c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250</v>
      </c>
      <c r="AB73" s="51">
        <f t="shared" si="45"/>
        <v>0</v>
      </c>
      <c r="AC73" s="44">
        <f t="shared" si="46"/>
        <v>233.7103860895578</v>
      </c>
      <c r="AD73" s="44">
        <f t="shared" si="47"/>
        <v>0</v>
      </c>
      <c r="AE73" s="44">
        <f t="shared" si="48"/>
        <v>0</v>
      </c>
      <c r="AF73" s="52" t="str">
        <f>HLOOKUP(I73,ElecAvoidedCostsWOCC!$A$5:$Q$50,G73+1,FALSE)</f>
        <v>Comm Cooking</v>
      </c>
      <c r="AG73" s="44" t="e">
        <f t="shared" si="49"/>
        <v>#VALUE!</v>
      </c>
      <c r="AH73" s="52" t="str">
        <f>HLOOKUP(I73,ElecAvoidedCostsWOCC!$A$5:$Q$50,T73+1,FALSE)</f>
        <v>Comm Cooking</v>
      </c>
      <c r="AI73" s="44" t="e">
        <f t="shared" si="50"/>
        <v>#VALUE!</v>
      </c>
      <c r="AJ73" s="44" t="e">
        <f t="shared" si="51"/>
        <v>#VALUE!</v>
      </c>
      <c r="AK73" s="44" t="e">
        <f>HLOOKUP(I73,ElecAvoidedCostsWOCC!$A$5:$Q$50,G73+1,FALSE)*J73*L73</f>
        <v>#VALUE!</v>
      </c>
      <c r="AL73" s="44" t="e">
        <f t="shared" si="52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>
        <f t="shared" si="55"/>
        <v>0</v>
      </c>
      <c r="AQ73">
        <v>2020</v>
      </c>
    </row>
    <row r="74" spans="2:43">
      <c r="B74" s="97" t="s">
        <v>70</v>
      </c>
      <c r="C74" s="61">
        <v>18230716</v>
      </c>
      <c r="D74" s="61" t="s">
        <v>131</v>
      </c>
      <c r="E74" s="38" t="s">
        <v>1182</v>
      </c>
      <c r="F74" s="39" t="s">
        <v>1183</v>
      </c>
      <c r="G74" s="39"/>
      <c r="H74" s="39"/>
      <c r="I74" s="40" t="s">
        <v>258</v>
      </c>
      <c r="J74" s="41">
        <v>4</v>
      </c>
      <c r="K74" s="41">
        <v>0</v>
      </c>
      <c r="L74" s="41"/>
      <c r="M74" s="42">
        <v>50</v>
      </c>
      <c r="N74" s="42">
        <v>50</v>
      </c>
      <c r="O74" s="43">
        <v>0</v>
      </c>
      <c r="P74" s="44">
        <v>200</v>
      </c>
      <c r="Q74" s="44">
        <v>200</v>
      </c>
      <c r="R74" s="45">
        <v>0</v>
      </c>
      <c r="S74" s="46">
        <v>0</v>
      </c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200</v>
      </c>
      <c r="AB74" s="51">
        <f t="shared" si="45"/>
        <v>0</v>
      </c>
      <c r="AC74" s="44">
        <f t="shared" si="46"/>
        <v>186.96830887164623</v>
      </c>
      <c r="AD74" s="44">
        <f t="shared" si="47"/>
        <v>0</v>
      </c>
      <c r="AE74" s="44">
        <f t="shared" si="48"/>
        <v>0</v>
      </c>
      <c r="AF74" s="52" t="str">
        <f>HLOOKUP(I74,ElecAvoidedCostsWOCC!$A$5:$Q$50,G74+1,FALSE)</f>
        <v>Comm Cooking</v>
      </c>
      <c r="AG74" s="44" t="e">
        <f t="shared" si="49"/>
        <v>#VALUE!</v>
      </c>
      <c r="AH74" s="52" t="str">
        <f>HLOOKUP(I74,ElecAvoidedCostsWOCC!$A$5:$Q$50,T74+1,FALSE)</f>
        <v>Comm Cooking</v>
      </c>
      <c r="AI74" s="44" t="e">
        <f t="shared" si="50"/>
        <v>#VALUE!</v>
      </c>
      <c r="AJ74" s="44" t="e">
        <f t="shared" si="51"/>
        <v>#VALUE!</v>
      </c>
      <c r="AK74" s="44" t="e">
        <f>HLOOKUP(I74,ElecAvoidedCostsWOCC!$A$5:$Q$50,G74+1,FALSE)*J74*L74</f>
        <v>#VALUE!</v>
      </c>
      <c r="AL74" s="44" t="e">
        <f t="shared" si="52"/>
        <v>#VALUE!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>
        <f t="shared" si="55"/>
        <v>0</v>
      </c>
      <c r="AQ74">
        <v>2020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3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ref="T84:T101" si="56">G84+H84</f>
        <v>0</v>
      </c>
      <c r="U84" s="47">
        <f t="shared" ref="U84:U101" si="57">(O84/$A$10)*T84</f>
        <v>0</v>
      </c>
      <c r="V84" s="48">
        <f t="shared" ref="V84:V101" si="58">N84-M84</f>
        <v>0</v>
      </c>
      <c r="W84" s="49">
        <f t="shared" ref="W84:W101" si="59">(O84/A$10)</f>
        <v>0</v>
      </c>
      <c r="X84" s="44">
        <f t="shared" ref="X84:X101" si="60">W84*A$8</f>
        <v>0</v>
      </c>
      <c r="Y84" s="44">
        <f t="shared" ref="Y84:Y101" si="61">Q84-P84</f>
        <v>0</v>
      </c>
      <c r="Z84" s="44">
        <f t="shared" ref="Z84:Z101" si="62">X84+(A$6*W84)</f>
        <v>0</v>
      </c>
      <c r="AA84" s="50">
        <f t="shared" ref="AA84:AA101" si="63">Q84+X84</f>
        <v>0</v>
      </c>
      <c r="AB84" s="51">
        <f t="shared" ref="AB84:AB101" si="64">Z84/(1+ElecDiscountRate)^1</f>
        <v>0</v>
      </c>
      <c r="AC84" s="44">
        <f t="shared" ref="AC84:AC101" si="65">AA84/(1+ElecDiscountRate)^1</f>
        <v>0</v>
      </c>
      <c r="AD84" s="44">
        <f t="shared" ref="AD84:AD101" si="66">-PV(ElecDiscountRate,T84,R84)*J84</f>
        <v>0</v>
      </c>
      <c r="AE84" s="44">
        <f t="shared" ref="AE84:AE101" si="67">-PV(ElecDiscountRate,T84,S84)*J84</f>
        <v>0</v>
      </c>
      <c r="AF84" s="52" t="e">
        <f>HLOOKUP(I84,ElecAvoidedCostsWOCC!$A$5:$Q$50,G84+1,FALSE)</f>
        <v>#N/A</v>
      </c>
      <c r="AG84" s="44" t="e">
        <f t="shared" ref="AG84:AG101" si="68">AF84*J84*K84</f>
        <v>#N/A</v>
      </c>
      <c r="AH84" s="52" t="e">
        <f>HLOOKUP(I84,ElecAvoidedCostsWOCC!$A$5:$Q$50,T84+1,FALSE)</f>
        <v>#N/A</v>
      </c>
      <c r="AI84" s="44" t="e">
        <f t="shared" ref="AI84:AI101" si="69">AH84*J84*L84</f>
        <v>#N/A</v>
      </c>
      <c r="AJ84" s="44" t="e">
        <f t="shared" ref="AJ84:AJ101" si="70">AG84+AI84</f>
        <v>#N/A</v>
      </c>
      <c r="AK84" s="44" t="e">
        <f>HLOOKUP(I84,ElecAvoidedCostsWOCC!$A$5:$Q$50,G84+1,FALSE)*J84*L84</f>
        <v>#N/A</v>
      </c>
      <c r="AL84" s="44" t="e">
        <f t="shared" ref="AL84:AL101" si="71">AG84+AI84-AK84</f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ref="AN84:AN101" si="72">AM84*1.1+AD84+AE84</f>
        <v>0</v>
      </c>
      <c r="AO84" s="47">
        <f t="shared" ref="AO84:AO101" si="73">IFERROR(AM84/AB84,0)</f>
        <v>0</v>
      </c>
      <c r="AP84" s="47" t="e">
        <f t="shared" ref="AP84:AP101" si="74">AN84/AC84</f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6"/>
        <v>0</v>
      </c>
      <c r="U85" s="47">
        <f t="shared" si="57"/>
        <v>0</v>
      </c>
      <c r="V85" s="48">
        <f t="shared" si="58"/>
        <v>0</v>
      </c>
      <c r="W85" s="49">
        <f t="shared" si="59"/>
        <v>0</v>
      </c>
      <c r="X85" s="44">
        <f t="shared" si="60"/>
        <v>0</v>
      </c>
      <c r="Y85" s="44">
        <f t="shared" si="61"/>
        <v>0</v>
      </c>
      <c r="Z85" s="44">
        <f t="shared" si="62"/>
        <v>0</v>
      </c>
      <c r="AA85" s="50">
        <f t="shared" si="63"/>
        <v>0</v>
      </c>
      <c r="AB85" s="51">
        <f t="shared" si="64"/>
        <v>0</v>
      </c>
      <c r="AC85" s="44">
        <f t="shared" si="65"/>
        <v>0</v>
      </c>
      <c r="AD85" s="44">
        <f t="shared" si="66"/>
        <v>0</v>
      </c>
      <c r="AE85" s="44">
        <f t="shared" si="67"/>
        <v>0</v>
      </c>
      <c r="AF85" s="52" t="e">
        <f>HLOOKUP(I85,ElecAvoidedCostsWOCC!$A$5:$Q$50,G85+1,FALSE)</f>
        <v>#N/A</v>
      </c>
      <c r="AG85" s="44" t="e">
        <f t="shared" si="68"/>
        <v>#N/A</v>
      </c>
      <c r="AH85" s="52" t="e">
        <f>HLOOKUP(I85,ElecAvoidedCostsWOCC!$A$5:$Q$50,T85+1,FALSE)</f>
        <v>#N/A</v>
      </c>
      <c r="AI85" s="44" t="e">
        <f t="shared" si="69"/>
        <v>#N/A</v>
      </c>
      <c r="AJ85" s="44" t="e">
        <f t="shared" si="70"/>
        <v>#N/A</v>
      </c>
      <c r="AK85" s="44" t="e">
        <f>HLOOKUP(I85,ElecAvoidedCostsWOCC!$A$5:$Q$50,G85+1,FALSE)*J85*L85</f>
        <v>#N/A</v>
      </c>
      <c r="AL85" s="44" t="e">
        <f t="shared" si="71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2"/>
        <v>0</v>
      </c>
      <c r="AO85" s="47">
        <f t="shared" si="73"/>
        <v>0</v>
      </c>
      <c r="AP85" s="47" t="e">
        <f t="shared" si="74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6"/>
        <v>0</v>
      </c>
      <c r="U86" s="47">
        <f t="shared" si="57"/>
        <v>0</v>
      </c>
      <c r="V86" s="48">
        <f t="shared" si="58"/>
        <v>0</v>
      </c>
      <c r="W86" s="49">
        <f t="shared" si="59"/>
        <v>0</v>
      </c>
      <c r="X86" s="44">
        <f t="shared" si="60"/>
        <v>0</v>
      </c>
      <c r="Y86" s="44">
        <f t="shared" si="61"/>
        <v>0</v>
      </c>
      <c r="Z86" s="44">
        <f t="shared" si="62"/>
        <v>0</v>
      </c>
      <c r="AA86" s="50">
        <f t="shared" si="63"/>
        <v>0</v>
      </c>
      <c r="AB86" s="51">
        <f t="shared" si="64"/>
        <v>0</v>
      </c>
      <c r="AC86" s="44">
        <f t="shared" si="65"/>
        <v>0</v>
      </c>
      <c r="AD86" s="44">
        <f t="shared" si="66"/>
        <v>0</v>
      </c>
      <c r="AE86" s="44">
        <f t="shared" si="67"/>
        <v>0</v>
      </c>
      <c r="AF86" s="52" t="e">
        <f>HLOOKUP(I86,ElecAvoidedCostsWOCC!$A$5:$Q$50,G86+1,FALSE)</f>
        <v>#N/A</v>
      </c>
      <c r="AG86" s="44" t="e">
        <f t="shared" si="68"/>
        <v>#N/A</v>
      </c>
      <c r="AH86" s="52" t="e">
        <f>HLOOKUP(I86,ElecAvoidedCostsWOCC!$A$5:$Q$50,T86+1,FALSE)</f>
        <v>#N/A</v>
      </c>
      <c r="AI86" s="44" t="e">
        <f t="shared" si="69"/>
        <v>#N/A</v>
      </c>
      <c r="AJ86" s="44" t="e">
        <f t="shared" si="70"/>
        <v>#N/A</v>
      </c>
      <c r="AK86" s="44" t="e">
        <f>HLOOKUP(I86,ElecAvoidedCostsWOCC!$A$5:$Q$50,G86+1,FALSE)*J86*L86</f>
        <v>#N/A</v>
      </c>
      <c r="AL86" s="44" t="e">
        <f t="shared" si="71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2"/>
        <v>0</v>
      </c>
      <c r="AO86" s="47">
        <f t="shared" si="73"/>
        <v>0</v>
      </c>
      <c r="AP86" s="47" t="e">
        <f t="shared" si="74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6"/>
        <v>0</v>
      </c>
      <c r="U87" s="47">
        <f t="shared" si="57"/>
        <v>0</v>
      </c>
      <c r="V87" s="48">
        <f t="shared" si="58"/>
        <v>0</v>
      </c>
      <c r="W87" s="49">
        <f t="shared" si="59"/>
        <v>0</v>
      </c>
      <c r="X87" s="44">
        <f t="shared" si="60"/>
        <v>0</v>
      </c>
      <c r="Y87" s="44">
        <f t="shared" si="61"/>
        <v>0</v>
      </c>
      <c r="Z87" s="44">
        <f t="shared" si="62"/>
        <v>0</v>
      </c>
      <c r="AA87" s="50">
        <f t="shared" si="63"/>
        <v>0</v>
      </c>
      <c r="AB87" s="51">
        <f t="shared" si="64"/>
        <v>0</v>
      </c>
      <c r="AC87" s="44">
        <f t="shared" si="65"/>
        <v>0</v>
      </c>
      <c r="AD87" s="44">
        <f t="shared" si="66"/>
        <v>0</v>
      </c>
      <c r="AE87" s="44">
        <f t="shared" si="67"/>
        <v>0</v>
      </c>
      <c r="AF87" s="52" t="e">
        <f>HLOOKUP(I87,ElecAvoidedCostsWOCC!$A$5:$Q$50,G87+1,FALSE)</f>
        <v>#N/A</v>
      </c>
      <c r="AG87" s="44" t="e">
        <f t="shared" si="68"/>
        <v>#N/A</v>
      </c>
      <c r="AH87" s="52" t="e">
        <f>HLOOKUP(I87,ElecAvoidedCostsWOCC!$A$5:$Q$50,T87+1,FALSE)</f>
        <v>#N/A</v>
      </c>
      <c r="AI87" s="44" t="e">
        <f t="shared" si="69"/>
        <v>#N/A</v>
      </c>
      <c r="AJ87" s="44" t="e">
        <f t="shared" si="70"/>
        <v>#N/A</v>
      </c>
      <c r="AK87" s="44" t="e">
        <f>HLOOKUP(I87,ElecAvoidedCostsWOCC!$A$5:$Q$50,G87+1,FALSE)*J87*L87</f>
        <v>#N/A</v>
      </c>
      <c r="AL87" s="44" t="e">
        <f t="shared" si="71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2"/>
        <v>0</v>
      </c>
      <c r="AO87" s="47">
        <f t="shared" si="73"/>
        <v>0</v>
      </c>
      <c r="AP87" s="47" t="e">
        <f t="shared" si="74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6"/>
        <v>0</v>
      </c>
      <c r="U88" s="47">
        <f t="shared" si="57"/>
        <v>0</v>
      </c>
      <c r="V88" s="48">
        <f t="shared" si="58"/>
        <v>0</v>
      </c>
      <c r="W88" s="49">
        <f t="shared" si="59"/>
        <v>0</v>
      </c>
      <c r="X88" s="44">
        <f t="shared" si="60"/>
        <v>0</v>
      </c>
      <c r="Y88" s="44">
        <f t="shared" si="61"/>
        <v>0</v>
      </c>
      <c r="Z88" s="44">
        <f t="shared" si="62"/>
        <v>0</v>
      </c>
      <c r="AA88" s="50">
        <f t="shared" si="63"/>
        <v>0</v>
      </c>
      <c r="AB88" s="51">
        <f t="shared" si="64"/>
        <v>0</v>
      </c>
      <c r="AC88" s="44">
        <f t="shared" si="65"/>
        <v>0</v>
      </c>
      <c r="AD88" s="44">
        <f t="shared" si="66"/>
        <v>0</v>
      </c>
      <c r="AE88" s="44">
        <f t="shared" si="67"/>
        <v>0</v>
      </c>
      <c r="AF88" s="52" t="e">
        <f>HLOOKUP(I88,ElecAvoidedCostsWOCC!$A$5:$Q$50,G88+1,FALSE)</f>
        <v>#N/A</v>
      </c>
      <c r="AG88" s="44" t="e">
        <f t="shared" si="68"/>
        <v>#N/A</v>
      </c>
      <c r="AH88" s="52" t="e">
        <f>HLOOKUP(I88,ElecAvoidedCostsWOCC!$A$5:$Q$50,T88+1,FALSE)</f>
        <v>#N/A</v>
      </c>
      <c r="AI88" s="44" t="e">
        <f t="shared" si="69"/>
        <v>#N/A</v>
      </c>
      <c r="AJ88" s="44" t="e">
        <f t="shared" si="70"/>
        <v>#N/A</v>
      </c>
      <c r="AK88" s="44" t="e">
        <f>HLOOKUP(I88,ElecAvoidedCostsWOCC!$A$5:$Q$50,G88+1,FALSE)*J88*L88</f>
        <v>#N/A</v>
      </c>
      <c r="AL88" s="44" t="e">
        <f t="shared" si="71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2"/>
        <v>0</v>
      </c>
      <c r="AO88" s="47">
        <f t="shared" si="73"/>
        <v>0</v>
      </c>
      <c r="AP88" s="47" t="e">
        <f t="shared" si="74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6"/>
        <v>0</v>
      </c>
      <c r="U89" s="47">
        <f t="shared" si="57"/>
        <v>0</v>
      </c>
      <c r="V89" s="48">
        <f t="shared" si="58"/>
        <v>0</v>
      </c>
      <c r="W89" s="49">
        <f t="shared" si="59"/>
        <v>0</v>
      </c>
      <c r="X89" s="44">
        <f t="shared" si="60"/>
        <v>0</v>
      </c>
      <c r="Y89" s="44">
        <f t="shared" si="61"/>
        <v>0</v>
      </c>
      <c r="Z89" s="44">
        <f t="shared" si="62"/>
        <v>0</v>
      </c>
      <c r="AA89" s="50">
        <f t="shared" si="63"/>
        <v>0</v>
      </c>
      <c r="AB89" s="51">
        <f t="shared" si="64"/>
        <v>0</v>
      </c>
      <c r="AC89" s="44">
        <f t="shared" si="65"/>
        <v>0</v>
      </c>
      <c r="AD89" s="44">
        <f t="shared" si="66"/>
        <v>0</v>
      </c>
      <c r="AE89" s="44">
        <f t="shared" si="67"/>
        <v>0</v>
      </c>
      <c r="AF89" s="52" t="e">
        <f>HLOOKUP(I89,ElecAvoidedCostsWOCC!$A$5:$Q$50,G89+1,FALSE)</f>
        <v>#N/A</v>
      </c>
      <c r="AG89" s="44" t="e">
        <f t="shared" si="68"/>
        <v>#N/A</v>
      </c>
      <c r="AH89" s="52" t="e">
        <f>HLOOKUP(I89,ElecAvoidedCostsWOCC!$A$5:$Q$50,T89+1,FALSE)</f>
        <v>#N/A</v>
      </c>
      <c r="AI89" s="44" t="e">
        <f t="shared" si="69"/>
        <v>#N/A</v>
      </c>
      <c r="AJ89" s="44" t="e">
        <f t="shared" si="70"/>
        <v>#N/A</v>
      </c>
      <c r="AK89" s="44" t="e">
        <f>HLOOKUP(I89,ElecAvoidedCostsWOCC!$A$5:$Q$50,G89+1,FALSE)*J89*L89</f>
        <v>#N/A</v>
      </c>
      <c r="AL89" s="44" t="e">
        <f t="shared" si="71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2"/>
        <v>0</v>
      </c>
      <c r="AO89" s="47">
        <f t="shared" si="73"/>
        <v>0</v>
      </c>
      <c r="AP89" s="47" t="e">
        <f t="shared" si="74"/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6"/>
        <v>0</v>
      </c>
      <c r="U90" s="47">
        <f t="shared" si="57"/>
        <v>0</v>
      </c>
      <c r="V90" s="48">
        <f t="shared" si="58"/>
        <v>0</v>
      </c>
      <c r="W90" s="49">
        <f t="shared" si="59"/>
        <v>0</v>
      </c>
      <c r="X90" s="44">
        <f t="shared" si="60"/>
        <v>0</v>
      </c>
      <c r="Y90" s="44">
        <f t="shared" si="61"/>
        <v>0</v>
      </c>
      <c r="Z90" s="44">
        <f t="shared" si="62"/>
        <v>0</v>
      </c>
      <c r="AA90" s="50">
        <f t="shared" si="63"/>
        <v>0</v>
      </c>
      <c r="AB90" s="51">
        <f t="shared" si="64"/>
        <v>0</v>
      </c>
      <c r="AC90" s="44">
        <f t="shared" si="65"/>
        <v>0</v>
      </c>
      <c r="AD90" s="44">
        <f t="shared" si="66"/>
        <v>0</v>
      </c>
      <c r="AE90" s="44">
        <f t="shared" si="67"/>
        <v>0</v>
      </c>
      <c r="AF90" s="52" t="e">
        <f>HLOOKUP(I90,ElecAvoidedCostsWOCC!$A$5:$Q$50,G90+1,FALSE)</f>
        <v>#N/A</v>
      </c>
      <c r="AG90" s="44" t="e">
        <f t="shared" si="68"/>
        <v>#N/A</v>
      </c>
      <c r="AH90" s="52" t="e">
        <f>HLOOKUP(I90,ElecAvoidedCostsWOCC!$A$5:$Q$50,T90+1,FALSE)</f>
        <v>#N/A</v>
      </c>
      <c r="AI90" s="44" t="e">
        <f t="shared" si="69"/>
        <v>#N/A</v>
      </c>
      <c r="AJ90" s="44" t="e">
        <f t="shared" si="70"/>
        <v>#N/A</v>
      </c>
      <c r="AK90" s="44" t="e">
        <f>HLOOKUP(I90,ElecAvoidedCostsWOCC!$A$5:$Q$50,G90+1,FALSE)*J90*L90</f>
        <v>#N/A</v>
      </c>
      <c r="AL90" s="44" t="e">
        <f t="shared" si="71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2"/>
        <v>0</v>
      </c>
      <c r="AO90" s="47">
        <f t="shared" si="73"/>
        <v>0</v>
      </c>
      <c r="AP90" s="47" t="e">
        <f t="shared" si="74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6"/>
        <v>0</v>
      </c>
      <c r="U91" s="47">
        <f t="shared" si="57"/>
        <v>0</v>
      </c>
      <c r="V91" s="48">
        <f t="shared" si="58"/>
        <v>0</v>
      </c>
      <c r="W91" s="49">
        <f t="shared" si="59"/>
        <v>0</v>
      </c>
      <c r="X91" s="44">
        <f t="shared" si="60"/>
        <v>0</v>
      </c>
      <c r="Y91" s="44">
        <f t="shared" si="61"/>
        <v>0</v>
      </c>
      <c r="Z91" s="44">
        <f t="shared" si="62"/>
        <v>0</v>
      </c>
      <c r="AA91" s="50">
        <f t="shared" si="63"/>
        <v>0</v>
      </c>
      <c r="AB91" s="51">
        <f t="shared" si="64"/>
        <v>0</v>
      </c>
      <c r="AC91" s="44">
        <f t="shared" si="65"/>
        <v>0</v>
      </c>
      <c r="AD91" s="44">
        <f t="shared" si="66"/>
        <v>0</v>
      </c>
      <c r="AE91" s="44">
        <f t="shared" si="67"/>
        <v>0</v>
      </c>
      <c r="AF91" s="52" t="e">
        <f>HLOOKUP(I91,ElecAvoidedCostsWOCC!$A$5:$Q$50,G91+1,FALSE)</f>
        <v>#N/A</v>
      </c>
      <c r="AG91" s="44" t="e">
        <f t="shared" si="68"/>
        <v>#N/A</v>
      </c>
      <c r="AH91" s="52" t="e">
        <f>HLOOKUP(I91,ElecAvoidedCostsWOCC!$A$5:$Q$50,T91+1,FALSE)</f>
        <v>#N/A</v>
      </c>
      <c r="AI91" s="44" t="e">
        <f t="shared" si="69"/>
        <v>#N/A</v>
      </c>
      <c r="AJ91" s="44" t="e">
        <f t="shared" si="70"/>
        <v>#N/A</v>
      </c>
      <c r="AK91" s="44" t="e">
        <f>HLOOKUP(I91,ElecAvoidedCostsWOCC!$A$5:$Q$50,G91+1,FALSE)*J91*L91</f>
        <v>#N/A</v>
      </c>
      <c r="AL91" s="44" t="e">
        <f t="shared" si="71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2"/>
        <v>0</v>
      </c>
      <c r="AO91" s="47">
        <f t="shared" si="73"/>
        <v>0</v>
      </c>
      <c r="AP91" s="47" t="e">
        <f t="shared" si="74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6"/>
        <v>0</v>
      </c>
      <c r="U92" s="47">
        <f t="shared" si="57"/>
        <v>0</v>
      </c>
      <c r="V92" s="48">
        <f t="shared" si="58"/>
        <v>0</v>
      </c>
      <c r="W92" s="49">
        <f t="shared" si="59"/>
        <v>0</v>
      </c>
      <c r="X92" s="44">
        <f t="shared" si="60"/>
        <v>0</v>
      </c>
      <c r="Y92" s="44">
        <f t="shared" si="61"/>
        <v>0</v>
      </c>
      <c r="Z92" s="44">
        <f t="shared" si="62"/>
        <v>0</v>
      </c>
      <c r="AA92" s="50">
        <f t="shared" si="63"/>
        <v>0</v>
      </c>
      <c r="AB92" s="51">
        <f t="shared" si="64"/>
        <v>0</v>
      </c>
      <c r="AC92" s="44">
        <f t="shared" si="65"/>
        <v>0</v>
      </c>
      <c r="AD92" s="44">
        <f t="shared" si="66"/>
        <v>0</v>
      </c>
      <c r="AE92" s="44">
        <f t="shared" si="67"/>
        <v>0</v>
      </c>
      <c r="AF92" s="52" t="e">
        <f>HLOOKUP(I92,ElecAvoidedCostsWOCC!$A$5:$Q$50,G92+1,FALSE)</f>
        <v>#N/A</v>
      </c>
      <c r="AG92" s="44" t="e">
        <f t="shared" si="68"/>
        <v>#N/A</v>
      </c>
      <c r="AH92" s="52" t="e">
        <f>HLOOKUP(I92,ElecAvoidedCostsWOCC!$A$5:$Q$50,T92+1,FALSE)</f>
        <v>#N/A</v>
      </c>
      <c r="AI92" s="44" t="e">
        <f t="shared" si="69"/>
        <v>#N/A</v>
      </c>
      <c r="AJ92" s="44" t="e">
        <f t="shared" si="70"/>
        <v>#N/A</v>
      </c>
      <c r="AK92" s="44" t="e">
        <f>HLOOKUP(I92,ElecAvoidedCostsWOCC!$A$5:$Q$50,G92+1,FALSE)*J92*L92</f>
        <v>#N/A</v>
      </c>
      <c r="AL92" s="44" t="e">
        <f t="shared" si="71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2"/>
        <v>0</v>
      </c>
      <c r="AO92" s="47">
        <f t="shared" si="73"/>
        <v>0</v>
      </c>
      <c r="AP92" s="47" t="e">
        <f t="shared" si="74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6"/>
        <v>0</v>
      </c>
      <c r="U93" s="47">
        <f t="shared" si="57"/>
        <v>0</v>
      </c>
      <c r="V93" s="48">
        <f t="shared" si="58"/>
        <v>0</v>
      </c>
      <c r="W93" s="49">
        <f t="shared" si="59"/>
        <v>0</v>
      </c>
      <c r="X93" s="44">
        <f t="shared" si="60"/>
        <v>0</v>
      </c>
      <c r="Y93" s="44">
        <f t="shared" si="61"/>
        <v>0</v>
      </c>
      <c r="Z93" s="44">
        <f t="shared" si="62"/>
        <v>0</v>
      </c>
      <c r="AA93" s="50">
        <f t="shared" si="63"/>
        <v>0</v>
      </c>
      <c r="AB93" s="51">
        <f t="shared" si="64"/>
        <v>0</v>
      </c>
      <c r="AC93" s="44">
        <f t="shared" si="65"/>
        <v>0</v>
      </c>
      <c r="AD93" s="44">
        <f t="shared" si="66"/>
        <v>0</v>
      </c>
      <c r="AE93" s="44">
        <f t="shared" si="67"/>
        <v>0</v>
      </c>
      <c r="AF93" s="52" t="e">
        <f>HLOOKUP(I93,ElecAvoidedCostsWOCC!$A$5:$Q$50,G93+1,FALSE)</f>
        <v>#N/A</v>
      </c>
      <c r="AG93" s="44" t="e">
        <f t="shared" si="68"/>
        <v>#N/A</v>
      </c>
      <c r="AH93" s="52" t="e">
        <f>HLOOKUP(I93,ElecAvoidedCostsWOCC!$A$5:$Q$50,T93+1,FALSE)</f>
        <v>#N/A</v>
      </c>
      <c r="AI93" s="44" t="e">
        <f t="shared" si="69"/>
        <v>#N/A</v>
      </c>
      <c r="AJ93" s="44" t="e">
        <f t="shared" si="70"/>
        <v>#N/A</v>
      </c>
      <c r="AK93" s="44" t="e">
        <f>HLOOKUP(I93,ElecAvoidedCostsWOCC!$A$5:$Q$50,G93+1,FALSE)*J93*L93</f>
        <v>#N/A</v>
      </c>
      <c r="AL93" s="44" t="e">
        <f t="shared" si="71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2"/>
        <v>0</v>
      </c>
      <c r="AO93" s="47">
        <f t="shared" si="73"/>
        <v>0</v>
      </c>
      <c r="AP93" s="47" t="e">
        <f t="shared" si="74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6"/>
        <v>0</v>
      </c>
      <c r="U94" s="47">
        <f t="shared" si="57"/>
        <v>0</v>
      </c>
      <c r="V94" s="48">
        <f t="shared" si="58"/>
        <v>0</v>
      </c>
      <c r="W94" s="49">
        <f t="shared" si="59"/>
        <v>0</v>
      </c>
      <c r="X94" s="44">
        <f t="shared" si="60"/>
        <v>0</v>
      </c>
      <c r="Y94" s="44">
        <f t="shared" si="61"/>
        <v>0</v>
      </c>
      <c r="Z94" s="44">
        <f t="shared" si="62"/>
        <v>0</v>
      </c>
      <c r="AA94" s="50">
        <f t="shared" si="63"/>
        <v>0</v>
      </c>
      <c r="AB94" s="51">
        <f t="shared" si="64"/>
        <v>0</v>
      </c>
      <c r="AC94" s="44">
        <f t="shared" si="65"/>
        <v>0</v>
      </c>
      <c r="AD94" s="44">
        <f t="shared" si="66"/>
        <v>0</v>
      </c>
      <c r="AE94" s="44">
        <f t="shared" si="67"/>
        <v>0</v>
      </c>
      <c r="AF94" s="52" t="e">
        <f>HLOOKUP(I94,ElecAvoidedCostsWOCC!$A$5:$Q$50,G94+1,FALSE)</f>
        <v>#N/A</v>
      </c>
      <c r="AG94" s="44" t="e">
        <f t="shared" si="68"/>
        <v>#N/A</v>
      </c>
      <c r="AH94" s="52" t="e">
        <f>HLOOKUP(I94,ElecAvoidedCostsWOCC!$A$5:$Q$50,T94+1,FALSE)</f>
        <v>#N/A</v>
      </c>
      <c r="AI94" s="44" t="e">
        <f t="shared" si="69"/>
        <v>#N/A</v>
      </c>
      <c r="AJ94" s="44" t="e">
        <f t="shared" si="70"/>
        <v>#N/A</v>
      </c>
      <c r="AK94" s="44" t="e">
        <f>HLOOKUP(I94,ElecAvoidedCostsWOCC!$A$5:$Q$50,G94+1,FALSE)*J94*L94</f>
        <v>#N/A</v>
      </c>
      <c r="AL94" s="44" t="e">
        <f t="shared" si="71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2"/>
        <v>0</v>
      </c>
      <c r="AO94" s="47">
        <f t="shared" si="73"/>
        <v>0</v>
      </c>
      <c r="AP94" s="47" t="e">
        <f t="shared" si="74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6"/>
        <v>0</v>
      </c>
      <c r="U95" s="47">
        <f t="shared" si="57"/>
        <v>0</v>
      </c>
      <c r="V95" s="48">
        <f t="shared" si="58"/>
        <v>0</v>
      </c>
      <c r="W95" s="49">
        <f t="shared" si="59"/>
        <v>0</v>
      </c>
      <c r="X95" s="44">
        <f t="shared" si="60"/>
        <v>0</v>
      </c>
      <c r="Y95" s="44">
        <f t="shared" si="61"/>
        <v>0</v>
      </c>
      <c r="Z95" s="44">
        <f t="shared" si="62"/>
        <v>0</v>
      </c>
      <c r="AA95" s="50">
        <f t="shared" si="63"/>
        <v>0</v>
      </c>
      <c r="AB95" s="51">
        <f t="shared" si="64"/>
        <v>0</v>
      </c>
      <c r="AC95" s="44">
        <f t="shared" si="65"/>
        <v>0</v>
      </c>
      <c r="AD95" s="44">
        <f t="shared" si="66"/>
        <v>0</v>
      </c>
      <c r="AE95" s="44">
        <f t="shared" si="67"/>
        <v>0</v>
      </c>
      <c r="AF95" s="52" t="e">
        <f>HLOOKUP(I95,ElecAvoidedCostsWOCC!$A$5:$Q$50,G95+1,FALSE)</f>
        <v>#N/A</v>
      </c>
      <c r="AG95" s="44" t="e">
        <f t="shared" si="68"/>
        <v>#N/A</v>
      </c>
      <c r="AH95" s="52" t="e">
        <f>HLOOKUP(I95,ElecAvoidedCostsWOCC!$A$5:$Q$50,T95+1,FALSE)</f>
        <v>#N/A</v>
      </c>
      <c r="AI95" s="44" t="e">
        <f t="shared" si="69"/>
        <v>#N/A</v>
      </c>
      <c r="AJ95" s="44" t="e">
        <f t="shared" si="70"/>
        <v>#N/A</v>
      </c>
      <c r="AK95" s="44" t="e">
        <f>HLOOKUP(I95,ElecAvoidedCostsWOCC!$A$5:$Q$50,G95+1,FALSE)*J95*L95</f>
        <v>#N/A</v>
      </c>
      <c r="AL95" s="44" t="e">
        <f t="shared" si="71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2"/>
        <v>0</v>
      </c>
      <c r="AO95" s="47">
        <f t="shared" si="73"/>
        <v>0</v>
      </c>
      <c r="AP95" s="47" t="e">
        <f t="shared" si="74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6"/>
        <v>0</v>
      </c>
      <c r="U96" s="47">
        <f t="shared" si="57"/>
        <v>0</v>
      </c>
      <c r="V96" s="48">
        <f t="shared" si="58"/>
        <v>0</v>
      </c>
      <c r="W96" s="49">
        <f t="shared" si="59"/>
        <v>0</v>
      </c>
      <c r="X96" s="44">
        <f t="shared" si="60"/>
        <v>0</v>
      </c>
      <c r="Y96" s="44">
        <f t="shared" si="61"/>
        <v>0</v>
      </c>
      <c r="Z96" s="44">
        <f t="shared" si="62"/>
        <v>0</v>
      </c>
      <c r="AA96" s="50">
        <f t="shared" si="63"/>
        <v>0</v>
      </c>
      <c r="AB96" s="51">
        <f t="shared" si="64"/>
        <v>0</v>
      </c>
      <c r="AC96" s="44">
        <f t="shared" si="65"/>
        <v>0</v>
      </c>
      <c r="AD96" s="44">
        <f t="shared" si="66"/>
        <v>0</v>
      </c>
      <c r="AE96" s="44">
        <f t="shared" si="67"/>
        <v>0</v>
      </c>
      <c r="AF96" s="52" t="e">
        <f>HLOOKUP(I96,ElecAvoidedCostsWOCC!$A$5:$Q$50,G96+1,FALSE)</f>
        <v>#N/A</v>
      </c>
      <c r="AG96" s="44" t="e">
        <f t="shared" si="68"/>
        <v>#N/A</v>
      </c>
      <c r="AH96" s="52" t="e">
        <f>HLOOKUP(I96,ElecAvoidedCostsWOCC!$A$5:$Q$50,T96+1,FALSE)</f>
        <v>#N/A</v>
      </c>
      <c r="AI96" s="44" t="e">
        <f t="shared" si="69"/>
        <v>#N/A</v>
      </c>
      <c r="AJ96" s="44" t="e">
        <f t="shared" si="70"/>
        <v>#N/A</v>
      </c>
      <c r="AK96" s="44" t="e">
        <f>HLOOKUP(I96,ElecAvoidedCostsWOCC!$A$5:$Q$50,G96+1,FALSE)*J96*L96</f>
        <v>#N/A</v>
      </c>
      <c r="AL96" s="44" t="e">
        <f t="shared" si="71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2"/>
        <v>0</v>
      </c>
      <c r="AO96" s="47">
        <f t="shared" si="73"/>
        <v>0</v>
      </c>
      <c r="AP96" s="47" t="e">
        <f t="shared" si="74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6"/>
        <v>0</v>
      </c>
      <c r="U97" s="47">
        <f t="shared" si="57"/>
        <v>0</v>
      </c>
      <c r="V97" s="48">
        <f t="shared" si="58"/>
        <v>0</v>
      </c>
      <c r="W97" s="49">
        <f t="shared" si="59"/>
        <v>0</v>
      </c>
      <c r="X97" s="44">
        <f t="shared" si="60"/>
        <v>0</v>
      </c>
      <c r="Y97" s="44">
        <f t="shared" si="61"/>
        <v>0</v>
      </c>
      <c r="Z97" s="44">
        <f t="shared" si="62"/>
        <v>0</v>
      </c>
      <c r="AA97" s="50">
        <f t="shared" si="63"/>
        <v>0</v>
      </c>
      <c r="AB97" s="51">
        <f t="shared" si="64"/>
        <v>0</v>
      </c>
      <c r="AC97" s="44">
        <f t="shared" si="65"/>
        <v>0</v>
      </c>
      <c r="AD97" s="44">
        <f t="shared" si="66"/>
        <v>0</v>
      </c>
      <c r="AE97" s="44">
        <f t="shared" si="67"/>
        <v>0</v>
      </c>
      <c r="AF97" s="52" t="e">
        <f>HLOOKUP(I97,ElecAvoidedCostsWOCC!$A$5:$Q$50,G97+1,FALSE)</f>
        <v>#N/A</v>
      </c>
      <c r="AG97" s="44" t="e">
        <f t="shared" si="68"/>
        <v>#N/A</v>
      </c>
      <c r="AH97" s="52" t="e">
        <f>HLOOKUP(I97,ElecAvoidedCostsWOCC!$A$5:$Q$50,T97+1,FALSE)</f>
        <v>#N/A</v>
      </c>
      <c r="AI97" s="44" t="e">
        <f t="shared" si="69"/>
        <v>#N/A</v>
      </c>
      <c r="AJ97" s="44" t="e">
        <f t="shared" si="70"/>
        <v>#N/A</v>
      </c>
      <c r="AK97" s="44" t="e">
        <f>HLOOKUP(I97,ElecAvoidedCostsWOCC!$A$5:$Q$50,G97+1,FALSE)*J97*L97</f>
        <v>#N/A</v>
      </c>
      <c r="AL97" s="44" t="e">
        <f t="shared" si="71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2"/>
        <v>0</v>
      </c>
      <c r="AO97" s="47">
        <f t="shared" si="73"/>
        <v>0</v>
      </c>
      <c r="AP97" s="47" t="e">
        <f t="shared" si="74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6"/>
        <v>0</v>
      </c>
      <c r="U98" s="47">
        <f t="shared" si="57"/>
        <v>0</v>
      </c>
      <c r="V98" s="48">
        <f t="shared" si="58"/>
        <v>0</v>
      </c>
      <c r="W98" s="49">
        <f t="shared" si="59"/>
        <v>0</v>
      </c>
      <c r="X98" s="44">
        <f t="shared" si="60"/>
        <v>0</v>
      </c>
      <c r="Y98" s="44">
        <f t="shared" si="61"/>
        <v>0</v>
      </c>
      <c r="Z98" s="44">
        <f t="shared" si="62"/>
        <v>0</v>
      </c>
      <c r="AA98" s="50">
        <f t="shared" si="63"/>
        <v>0</v>
      </c>
      <c r="AB98" s="51">
        <f t="shared" si="64"/>
        <v>0</v>
      </c>
      <c r="AC98" s="44">
        <f t="shared" si="65"/>
        <v>0</v>
      </c>
      <c r="AD98" s="44">
        <f t="shared" si="66"/>
        <v>0</v>
      </c>
      <c r="AE98" s="44">
        <f t="shared" si="67"/>
        <v>0</v>
      </c>
      <c r="AF98" s="52" t="e">
        <f>HLOOKUP(I98,ElecAvoidedCostsWOCC!$A$5:$Q$50,G98+1,FALSE)</f>
        <v>#N/A</v>
      </c>
      <c r="AG98" s="44" t="e">
        <f t="shared" si="68"/>
        <v>#N/A</v>
      </c>
      <c r="AH98" s="52" t="e">
        <f>HLOOKUP(I98,ElecAvoidedCostsWOCC!$A$5:$Q$50,T98+1,FALSE)</f>
        <v>#N/A</v>
      </c>
      <c r="AI98" s="44" t="e">
        <f t="shared" si="69"/>
        <v>#N/A</v>
      </c>
      <c r="AJ98" s="44" t="e">
        <f t="shared" si="70"/>
        <v>#N/A</v>
      </c>
      <c r="AK98" s="44" t="e">
        <f>HLOOKUP(I98,ElecAvoidedCostsWOCC!$A$5:$Q$50,G98+1,FALSE)*J98*L98</f>
        <v>#N/A</v>
      </c>
      <c r="AL98" s="44" t="e">
        <f t="shared" si="71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2"/>
        <v>0</v>
      </c>
      <c r="AO98" s="47">
        <f t="shared" si="73"/>
        <v>0</v>
      </c>
      <c r="AP98" s="47" t="e">
        <f t="shared" si="74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6"/>
        <v>0</v>
      </c>
      <c r="U99" s="47">
        <f t="shared" si="57"/>
        <v>0</v>
      </c>
      <c r="V99" s="48">
        <f t="shared" si="58"/>
        <v>0</v>
      </c>
      <c r="W99" s="49">
        <f t="shared" si="59"/>
        <v>0</v>
      </c>
      <c r="X99" s="44">
        <f t="shared" si="60"/>
        <v>0</v>
      </c>
      <c r="Y99" s="44">
        <f t="shared" si="61"/>
        <v>0</v>
      </c>
      <c r="Z99" s="44">
        <f t="shared" si="62"/>
        <v>0</v>
      </c>
      <c r="AA99" s="50">
        <f t="shared" si="63"/>
        <v>0</v>
      </c>
      <c r="AB99" s="51">
        <f t="shared" si="64"/>
        <v>0</v>
      </c>
      <c r="AC99" s="44">
        <f t="shared" si="65"/>
        <v>0</v>
      </c>
      <c r="AD99" s="44">
        <f t="shared" si="66"/>
        <v>0</v>
      </c>
      <c r="AE99" s="44">
        <f t="shared" si="67"/>
        <v>0</v>
      </c>
      <c r="AF99" s="52" t="e">
        <f>HLOOKUP(I99,ElecAvoidedCostsWOCC!$A$5:$Q$50,G99+1,FALSE)</f>
        <v>#N/A</v>
      </c>
      <c r="AG99" s="44" t="e">
        <f t="shared" si="68"/>
        <v>#N/A</v>
      </c>
      <c r="AH99" s="52" t="e">
        <f>HLOOKUP(I99,ElecAvoidedCostsWOCC!$A$5:$Q$50,T99+1,FALSE)</f>
        <v>#N/A</v>
      </c>
      <c r="AI99" s="44" t="e">
        <f t="shared" si="69"/>
        <v>#N/A</v>
      </c>
      <c r="AJ99" s="44" t="e">
        <f t="shared" si="70"/>
        <v>#N/A</v>
      </c>
      <c r="AK99" s="44" t="e">
        <f>HLOOKUP(I99,ElecAvoidedCostsWOCC!$A$5:$Q$50,G99+1,FALSE)*J99*L99</f>
        <v>#N/A</v>
      </c>
      <c r="AL99" s="44" t="e">
        <f t="shared" si="71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2"/>
        <v>0</v>
      </c>
      <c r="AO99" s="47">
        <f t="shared" si="73"/>
        <v>0</v>
      </c>
      <c r="AP99" s="47" t="e">
        <f t="shared" si="74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6"/>
        <v>0</v>
      </c>
      <c r="U100" s="47">
        <f t="shared" si="57"/>
        <v>0</v>
      </c>
      <c r="V100" s="48">
        <f t="shared" si="58"/>
        <v>0</v>
      </c>
      <c r="W100" s="49">
        <f t="shared" si="59"/>
        <v>0</v>
      </c>
      <c r="X100" s="44">
        <f t="shared" si="60"/>
        <v>0</v>
      </c>
      <c r="Y100" s="44">
        <f t="shared" si="61"/>
        <v>0</v>
      </c>
      <c r="Z100" s="44">
        <f t="shared" si="62"/>
        <v>0</v>
      </c>
      <c r="AA100" s="50">
        <f t="shared" si="63"/>
        <v>0</v>
      </c>
      <c r="AB100" s="51">
        <f t="shared" si="64"/>
        <v>0</v>
      </c>
      <c r="AC100" s="44">
        <f t="shared" si="65"/>
        <v>0</v>
      </c>
      <c r="AD100" s="44">
        <f t="shared" si="66"/>
        <v>0</v>
      </c>
      <c r="AE100" s="44">
        <f t="shared" si="67"/>
        <v>0</v>
      </c>
      <c r="AF100" s="52" t="e">
        <f>HLOOKUP(I100,ElecAvoidedCostsWOCC!$A$5:$Q$50,G100+1,FALSE)</f>
        <v>#N/A</v>
      </c>
      <c r="AG100" s="44" t="e">
        <f t="shared" si="68"/>
        <v>#N/A</v>
      </c>
      <c r="AH100" s="52" t="e">
        <f>HLOOKUP(I100,ElecAvoidedCostsWOCC!$A$5:$Q$50,T100+1,FALSE)</f>
        <v>#N/A</v>
      </c>
      <c r="AI100" s="44" t="e">
        <f t="shared" si="69"/>
        <v>#N/A</v>
      </c>
      <c r="AJ100" s="44" t="e">
        <f t="shared" si="70"/>
        <v>#N/A</v>
      </c>
      <c r="AK100" s="44" t="e">
        <f>HLOOKUP(I100,ElecAvoidedCostsWOCC!$A$5:$Q$50,G100+1,FALSE)*J100*L100</f>
        <v>#N/A</v>
      </c>
      <c r="AL100" s="44" t="e">
        <f t="shared" si="71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2"/>
        <v>0</v>
      </c>
      <c r="AO100" s="47">
        <f t="shared" si="73"/>
        <v>0</v>
      </c>
      <c r="AP100" s="47" t="e">
        <f t="shared" si="74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6"/>
        <v>0</v>
      </c>
      <c r="U101" s="47">
        <f t="shared" si="57"/>
        <v>0</v>
      </c>
      <c r="V101" s="48">
        <f t="shared" si="58"/>
        <v>0</v>
      </c>
      <c r="W101" s="49">
        <f t="shared" si="59"/>
        <v>0</v>
      </c>
      <c r="X101" s="44">
        <f t="shared" si="60"/>
        <v>0</v>
      </c>
      <c r="Y101" s="44">
        <f t="shared" si="61"/>
        <v>0</v>
      </c>
      <c r="Z101" s="44">
        <f t="shared" si="62"/>
        <v>0</v>
      </c>
      <c r="AA101" s="50">
        <f t="shared" si="63"/>
        <v>0</v>
      </c>
      <c r="AB101" s="51">
        <f t="shared" si="64"/>
        <v>0</v>
      </c>
      <c r="AC101" s="44">
        <f t="shared" si="65"/>
        <v>0</v>
      </c>
      <c r="AD101" s="44">
        <f t="shared" si="66"/>
        <v>0</v>
      </c>
      <c r="AE101" s="44">
        <f t="shared" si="67"/>
        <v>0</v>
      </c>
      <c r="AF101" s="52" t="e">
        <f>HLOOKUP(I101,ElecAvoidedCostsWOCC!$A$5:$Q$50,G101+1,FALSE)</f>
        <v>#N/A</v>
      </c>
      <c r="AG101" s="44" t="e">
        <f t="shared" si="68"/>
        <v>#N/A</v>
      </c>
      <c r="AH101" s="52" t="e">
        <f>HLOOKUP(I101,ElecAvoidedCostsWOCC!$A$5:$Q$50,T101+1,FALSE)</f>
        <v>#N/A</v>
      </c>
      <c r="AI101" s="44" t="e">
        <f t="shared" si="69"/>
        <v>#N/A</v>
      </c>
      <c r="AJ101" s="44" t="e">
        <f t="shared" si="70"/>
        <v>#N/A</v>
      </c>
      <c r="AK101" s="44" t="e">
        <f>HLOOKUP(I101,ElecAvoidedCostsWOCC!$A$5:$Q$50,G101+1,FALSE)*J101*L101</f>
        <v>#N/A</v>
      </c>
      <c r="AL101" s="44" t="e">
        <f t="shared" si="71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2"/>
        <v>0</v>
      </c>
      <c r="AO101" s="47">
        <f t="shared" si="73"/>
        <v>0</v>
      </c>
      <c r="AP101" s="47" t="e">
        <f t="shared" si="74"/>
        <v>#DIV/0!</v>
      </c>
    </row>
  </sheetData>
  <conditionalFormatting sqref="J5:L10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01 R5:S101">
    <cfRule type="expression" dxfId="192" priority="2">
      <formula>ISTEXT(M5)</formula>
    </cfRule>
  </conditionalFormatting>
  <conditionalFormatting sqref="M5:N101 R5:S101">
    <cfRule type="notContainsBlanks" dxfId="191" priority="3">
      <formula>LEN(TRIM(M5))&gt;0</formula>
    </cfRule>
  </conditionalFormatting>
  <conditionalFormatting sqref="R5:S10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0.17453448507151753</v>
      </c>
      <c r="V5" s="48">
        <f t="shared" ref="V5:V24" si="2">N5-M5</f>
        <v>-225</v>
      </c>
      <c r="W5" s="49">
        <f t="shared" ref="W5:W24" si="3">(O5/A$10)</f>
        <v>1.1635632338101169E-2</v>
      </c>
      <c r="X5" s="44">
        <f t="shared" ref="X5:X24" si="4">W5*A$8</f>
        <v>1207.6025895776258</v>
      </c>
      <c r="Y5" s="44">
        <f t="shared" ref="Y5:Y24" si="5">Q5-P5</f>
        <v>-6750</v>
      </c>
      <c r="Z5" s="44">
        <f t="shared" ref="Z5:Z24" si="6">X5+(A$6*W5)</f>
        <v>4590.0561263667551</v>
      </c>
      <c r="AA5" s="50">
        <f t="shared" ref="AA5:AA24" si="7">Q5+X5</f>
        <v>1207.6025895776258</v>
      </c>
      <c r="AB5" s="51">
        <f t="shared" ref="AB5:AC20" si="8">Z5/(1+ElecDiscountRate)^1</f>
        <v>4290.9751578636578</v>
      </c>
      <c r="AC5" s="44">
        <f t="shared" si="8"/>
        <v>1128.9170698117471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3.7136211327886146</v>
      </c>
      <c r="AP5" s="47">
        <f>AN5/AC5</f>
        <v>15.526881555691036</v>
      </c>
      <c r="AQ5">
        <v>2021</v>
      </c>
    </row>
    <row r="6" spans="1:43" ht="13.5" customHeight="1">
      <c r="A6" s="53">
        <f>SUMIF('Program Costs'!D:D,C2,'Program Costs'!L:L)</f>
        <v>290697.87</v>
      </c>
      <c r="B6" s="97" t="s">
        <v>70</v>
      </c>
      <c r="C6" s="98">
        <v>18230718</v>
      </c>
      <c r="D6" s="61" t="s">
        <v>132</v>
      </c>
      <c r="E6" s="38" t="s">
        <v>1222</v>
      </c>
      <c r="F6" s="39" t="s">
        <v>1223</v>
      </c>
      <c r="G6" s="39">
        <v>10</v>
      </c>
      <c r="H6" s="39"/>
      <c r="I6" s="40" t="s">
        <v>261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4.4347694311884294E-3</v>
      </c>
      <c r="V6" s="48">
        <f t="shared" si="2"/>
        <v>-130.4</v>
      </c>
      <c r="W6" s="49">
        <f t="shared" si="3"/>
        <v>4.4347694311884294E-4</v>
      </c>
      <c r="X6" s="44">
        <f t="shared" si="4"/>
        <v>46.026196889586508</v>
      </c>
      <c r="Y6" s="44">
        <f t="shared" si="5"/>
        <v>-30.79000000000002</v>
      </c>
      <c r="Z6" s="44">
        <f t="shared" si="6"/>
        <v>174.94399964834531</v>
      </c>
      <c r="AA6" s="50">
        <f t="shared" si="7"/>
        <v>185.2261968895865</v>
      </c>
      <c r="AB6" s="51">
        <f t="shared" si="8"/>
        <v>163.544918807465</v>
      </c>
      <c r="AC6" s="44">
        <f t="shared" si="8"/>
        <v>173.15714395586284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3.5114257498939856</v>
      </c>
      <c r="AP6" s="47">
        <f t="shared" ref="AP6:AP24" si="16">AN6/AC6</f>
        <v>3.6481510877908581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1224</v>
      </c>
      <c r="F7" s="39" t="s">
        <v>1225</v>
      </c>
      <c r="G7" s="39">
        <v>10</v>
      </c>
      <c r="H7" s="39"/>
      <c r="I7" s="40" t="s">
        <v>261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2.9636586956045746E-2</v>
      </c>
      <c r="V7" s="48">
        <f t="shared" si="2"/>
        <v>-130.4</v>
      </c>
      <c r="W7" s="49">
        <f t="shared" si="3"/>
        <v>2.9636586956045745E-3</v>
      </c>
      <c r="X7" s="44">
        <f t="shared" si="4"/>
        <v>307.58293244769033</v>
      </c>
      <c r="Y7" s="44">
        <f t="shared" si="5"/>
        <v>694.22999999999979</v>
      </c>
      <c r="Z7" s="44">
        <f t="shared" si="6"/>
        <v>1169.1122026669184</v>
      </c>
      <c r="AA7" s="50">
        <f t="shared" si="7"/>
        <v>2673.2829324476902</v>
      </c>
      <c r="AB7" s="51">
        <f t="shared" si="8"/>
        <v>1092.9346570691953</v>
      </c>
      <c r="AC7" s="44">
        <f t="shared" si="8"/>
        <v>2499.0959450758996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3.5114257498939865</v>
      </c>
      <c r="AP7" s="47">
        <f t="shared" si="16"/>
        <v>1.6892247758156991</v>
      </c>
      <c r="AQ7">
        <v>2021</v>
      </c>
    </row>
    <row r="8" spans="1:43" ht="13.5" customHeight="1">
      <c r="A8" s="53">
        <f>SUMIF('Program Costs'!D:D,C2,'Program Costs'!O:O)</f>
        <v>103784.87</v>
      </c>
      <c r="B8" s="97" t="s">
        <v>70</v>
      </c>
      <c r="C8" s="98">
        <v>18230718</v>
      </c>
      <c r="D8" s="61" t="s">
        <v>132</v>
      </c>
      <c r="E8" s="38" t="s">
        <v>1226</v>
      </c>
      <c r="F8" s="39" t="s">
        <v>1227</v>
      </c>
      <c r="G8" s="39">
        <v>10</v>
      </c>
      <c r="H8" s="39"/>
      <c r="I8" s="40" t="s">
        <v>261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0.17869602760639458</v>
      </c>
      <c r="V8" s="48">
        <f t="shared" si="2"/>
        <v>-130.4</v>
      </c>
      <c r="W8" s="49">
        <f t="shared" si="3"/>
        <v>1.7869602760639459E-2</v>
      </c>
      <c r="X8" s="44">
        <f t="shared" si="4"/>
        <v>1854.5943994646072</v>
      </c>
      <c r="Y8" s="44">
        <f t="shared" si="5"/>
        <v>25538.63</v>
      </c>
      <c r="Z8" s="44">
        <f t="shared" si="6"/>
        <v>7049.2498597286176</v>
      </c>
      <c r="AA8" s="50">
        <f t="shared" si="7"/>
        <v>34298.634399464609</v>
      </c>
      <c r="AB8" s="51">
        <f t="shared" si="8"/>
        <v>6589.9316254357454</v>
      </c>
      <c r="AC8" s="44">
        <f t="shared" si="8"/>
        <v>32063.788351373849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3.511425749893986</v>
      </c>
      <c r="AP8" s="47">
        <f t="shared" si="16"/>
        <v>0.79385694792564176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18230718</v>
      </c>
      <c r="D9" s="61" t="s">
        <v>132</v>
      </c>
      <c r="E9" s="38" t="s">
        <v>1228</v>
      </c>
      <c r="F9" s="39" t="s">
        <v>1229</v>
      </c>
      <c r="G9" s="39">
        <v>10</v>
      </c>
      <c r="H9" s="39"/>
      <c r="I9" s="40" t="s">
        <v>261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1.2627818041350105E-3</v>
      </c>
      <c r="V9" s="48">
        <f t="shared" si="2"/>
        <v>-130.4</v>
      </c>
      <c r="W9" s="49">
        <f t="shared" si="3"/>
        <v>1.2627818041350105E-4</v>
      </c>
      <c r="X9" s="44">
        <f t="shared" si="4"/>
        <v>13.105764538051751</v>
      </c>
      <c r="Y9" s="44">
        <f t="shared" si="5"/>
        <v>-95.6</v>
      </c>
      <c r="Z9" s="44">
        <f t="shared" si="6"/>
        <v>49.814562611732221</v>
      </c>
      <c r="AA9" s="50">
        <f t="shared" si="7"/>
        <v>117.50576453805175</v>
      </c>
      <c r="AB9" s="51">
        <f t="shared" si="8"/>
        <v>46.56872264348155</v>
      </c>
      <c r="AC9" s="44">
        <f t="shared" si="8"/>
        <v>109.84927039174697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3.511425749893986</v>
      </c>
      <c r="AP9" s="47">
        <f t="shared" si="16"/>
        <v>1.6374698928041818</v>
      </c>
      <c r="AQ9">
        <v>2021</v>
      </c>
    </row>
    <row r="10" spans="1:43" ht="13.5" customHeight="1">
      <c r="A10" s="54">
        <f>SUM(O5:O999)</f>
        <v>1330396.1100000001</v>
      </c>
      <c r="B10" s="97" t="s">
        <v>70</v>
      </c>
      <c r="C10" s="98">
        <v>18230718</v>
      </c>
      <c r="D10" s="61" t="s">
        <v>132</v>
      </c>
      <c r="E10" s="38" t="s">
        <v>1230</v>
      </c>
      <c r="F10" s="39" t="s">
        <v>1231</v>
      </c>
      <c r="G10" s="39">
        <v>10</v>
      </c>
      <c r="H10" s="39"/>
      <c r="I10" s="40" t="s">
        <v>261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1.7692174400600134E-2</v>
      </c>
      <c r="V10" s="48">
        <f t="shared" si="2"/>
        <v>-130.4</v>
      </c>
      <c r="W10" s="49">
        <f t="shared" si="3"/>
        <v>1.7692174400600134E-3</v>
      </c>
      <c r="X10" s="44">
        <f t="shared" si="4"/>
        <v>183.61800201836127</v>
      </c>
      <c r="Y10" s="44">
        <f t="shared" si="5"/>
        <v>2429.5700000000002</v>
      </c>
      <c r="Z10" s="44">
        <f t="shared" si="6"/>
        <v>697.92574341065983</v>
      </c>
      <c r="AA10" s="50">
        <f t="shared" si="7"/>
        <v>3669.1880020183617</v>
      </c>
      <c r="AB10" s="51">
        <f t="shared" si="8"/>
        <v>652.44997981738788</v>
      </c>
      <c r="AC10" s="44">
        <f t="shared" si="8"/>
        <v>3430.109378347538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3.5114257498939851</v>
      </c>
      <c r="AP10" s="47">
        <f t="shared" si="16"/>
        <v>0.73470911496925051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18230718</v>
      </c>
      <c r="D11" s="61" t="s">
        <v>132</v>
      </c>
      <c r="E11" s="38" t="s">
        <v>1232</v>
      </c>
      <c r="F11" s="39" t="s">
        <v>1233</v>
      </c>
      <c r="G11" s="39">
        <v>15</v>
      </c>
      <c r="H11" s="39"/>
      <c r="I11" s="40" t="s">
        <v>261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0.94200839177137996</v>
      </c>
      <c r="V11" s="48">
        <f t="shared" si="2"/>
        <v>1615.35</v>
      </c>
      <c r="W11" s="49">
        <f t="shared" si="3"/>
        <v>6.2800559451425333E-2</v>
      </c>
      <c r="X11" s="44">
        <f t="shared" si="4"/>
        <v>6517.7478985934495</v>
      </c>
      <c r="Y11" s="44">
        <f t="shared" si="5"/>
        <v>84935.07</v>
      </c>
      <c r="Z11" s="44">
        <f t="shared" si="6"/>
        <v>24773.736765931164</v>
      </c>
      <c r="AA11" s="50">
        <f t="shared" si="7"/>
        <v>117742.81789859345</v>
      </c>
      <c r="AB11" s="51">
        <f t="shared" si="8"/>
        <v>23159.51833778738</v>
      </c>
      <c r="AC11" s="44">
        <f t="shared" si="8"/>
        <v>110070.87772141109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4.9740575963417282</v>
      </c>
      <c r="AP11" s="47">
        <f t="shared" si="16"/>
        <v>1.1512259968342795</v>
      </c>
      <c r="AQ11">
        <v>2021</v>
      </c>
    </row>
    <row r="12" spans="1:43" ht="13.5" customHeight="1">
      <c r="A12" s="55">
        <f>SUM(P5:P1000)</f>
        <v>290697.87</v>
      </c>
      <c r="B12" s="97" t="s">
        <v>70</v>
      </c>
      <c r="C12" s="98">
        <v>18230718</v>
      </c>
      <c r="D12" s="61" t="s">
        <v>132</v>
      </c>
      <c r="E12" s="38" t="s">
        <v>1234</v>
      </c>
      <c r="F12" s="39" t="s">
        <v>1235</v>
      </c>
      <c r="G12" s="39">
        <v>15</v>
      </c>
      <c r="H12" s="39"/>
      <c r="I12" s="40" t="s">
        <v>256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0.32149071752772934</v>
      </c>
      <c r="V12" s="48">
        <f t="shared" si="2"/>
        <v>75.199999999999989</v>
      </c>
      <c r="W12" s="49">
        <f t="shared" si="3"/>
        <v>2.1432714501848624E-2</v>
      </c>
      <c r="X12" s="44">
        <f t="shared" si="4"/>
        <v>2224.3914883214738</v>
      </c>
      <c r="Y12" s="44">
        <f t="shared" si="5"/>
        <v>3985.6000000000004</v>
      </c>
      <c r="Z12" s="44">
        <f t="shared" si="6"/>
        <v>8454.8359423269794</v>
      </c>
      <c r="AA12" s="50">
        <f t="shared" si="7"/>
        <v>14159.991488321473</v>
      </c>
      <c r="AB12" s="51">
        <f t="shared" si="8"/>
        <v>7903.931889620434</v>
      </c>
      <c r="AC12" s="44">
        <f t="shared" si="8"/>
        <v>13237.348311041855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3.7136211327886155</v>
      </c>
      <c r="AP12" s="47">
        <f t="shared" si="16"/>
        <v>2.4391160970075529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18230718</v>
      </c>
      <c r="D13" s="61" t="s">
        <v>132</v>
      </c>
      <c r="E13" s="38" t="s">
        <v>1236</v>
      </c>
      <c r="F13" s="39" t="s">
        <v>1237</v>
      </c>
      <c r="G13" s="39">
        <v>15</v>
      </c>
      <c r="H13" s="39"/>
      <c r="I13" s="40" t="s">
        <v>256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1.2247856016355911</v>
      </c>
      <c r="V13" s="48">
        <f t="shared" si="2"/>
        <v>75.199999999999989</v>
      </c>
      <c r="W13" s="49">
        <f t="shared" si="3"/>
        <v>8.1652373442372736E-2</v>
      </c>
      <c r="X13" s="44">
        <f t="shared" si="4"/>
        <v>8474.2809629081057</v>
      </c>
      <c r="Y13" s="44">
        <f t="shared" si="5"/>
        <v>12784</v>
      </c>
      <c r="Z13" s="44">
        <f t="shared" si="6"/>
        <v>32210.452003050428</v>
      </c>
      <c r="AA13" s="50">
        <f t="shared" si="7"/>
        <v>46758.280962908102</v>
      </c>
      <c r="AB13" s="51">
        <f t="shared" si="8"/>
        <v>30111.668695008342</v>
      </c>
      <c r="AC13" s="44">
        <f t="shared" si="8"/>
        <v>43711.583586901092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3.7136211327886146</v>
      </c>
      <c r="AP13" s="47">
        <f t="shared" si="16"/>
        <v>2.8140289606690043</v>
      </c>
      <c r="AQ13">
        <v>2021</v>
      </c>
    </row>
    <row r="14" spans="1:43" ht="13.5" customHeight="1">
      <c r="A14" s="55">
        <f>SUM(Y5:Y1000)</f>
        <v>524723.32000000007</v>
      </c>
      <c r="B14" s="97" t="s">
        <v>70</v>
      </c>
      <c r="C14" s="98">
        <v>18230718</v>
      </c>
      <c r="D14" s="61" t="s">
        <v>132</v>
      </c>
      <c r="E14" s="38" t="s">
        <v>1238</v>
      </c>
      <c r="F14" s="39" t="s">
        <v>1239</v>
      </c>
      <c r="G14" s="39">
        <v>15</v>
      </c>
      <c r="H14" s="39"/>
      <c r="I14" s="40" t="s">
        <v>256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7.0831573613064753</v>
      </c>
      <c r="V14" s="48">
        <f t="shared" si="2"/>
        <v>-774.8</v>
      </c>
      <c r="W14" s="49">
        <f t="shared" si="3"/>
        <v>0.47221049075376503</v>
      </c>
      <c r="X14" s="44">
        <f t="shared" si="4"/>
        <v>49008.304395515705</v>
      </c>
      <c r="Y14" s="44">
        <f t="shared" si="5"/>
        <v>194028.2</v>
      </c>
      <c r="Z14" s="44">
        <f t="shared" si="6"/>
        <v>186278.88824928988</v>
      </c>
      <c r="AA14" s="50">
        <f t="shared" si="7"/>
        <v>320036.50439551572</v>
      </c>
      <c r="AB14" s="51">
        <f t="shared" si="8"/>
        <v>174141.24357230053</v>
      </c>
      <c r="AC14" s="44">
        <f t="shared" si="8"/>
        <v>299183.42002011376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3.7136211327886137</v>
      </c>
      <c r="AP14" s="47">
        <f t="shared" si="16"/>
        <v>2.377685442576928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18230718</v>
      </c>
      <c r="D15" s="61" t="s">
        <v>132</v>
      </c>
      <c r="E15" s="38" t="s">
        <v>1240</v>
      </c>
      <c r="F15" s="39" t="s">
        <v>1241</v>
      </c>
      <c r="G15" s="39">
        <v>15</v>
      </c>
      <c r="H15" s="39"/>
      <c r="I15" s="40" t="s">
        <v>256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0.81855320518037289</v>
      </c>
      <c r="V15" s="48">
        <f t="shared" si="2"/>
        <v>-774.8</v>
      </c>
      <c r="W15" s="49">
        <f t="shared" si="3"/>
        <v>5.4570213678691526E-2</v>
      </c>
      <c r="X15" s="44">
        <f t="shared" si="4"/>
        <v>5663.5625325152214</v>
      </c>
      <c r="Y15" s="44">
        <f t="shared" si="5"/>
        <v>26158</v>
      </c>
      <c r="Z15" s="44">
        <f t="shared" si="6"/>
        <v>21527.007414355714</v>
      </c>
      <c r="AA15" s="50">
        <f t="shared" si="7"/>
        <v>42821.562532515221</v>
      </c>
      <c r="AB15" s="51">
        <f t="shared" si="8"/>
        <v>20124.340856647388</v>
      </c>
      <c r="AC15" s="44">
        <f t="shared" si="8"/>
        <v>40031.375649729096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3.7136211327886146</v>
      </c>
      <c r="AP15" s="47">
        <f t="shared" si="16"/>
        <v>2.0535790714979365</v>
      </c>
      <c r="AQ15">
        <v>2021</v>
      </c>
    </row>
    <row r="16" spans="1:43" ht="13.5" customHeight="1">
      <c r="A16" s="54">
        <f>SUM(U5:U999)</f>
        <v>14.658412824132505</v>
      </c>
      <c r="B16" s="97" t="s">
        <v>70</v>
      </c>
      <c r="C16" s="98">
        <v>18230718</v>
      </c>
      <c r="D16" s="61" t="s">
        <v>132</v>
      </c>
      <c r="E16" s="38" t="s">
        <v>1242</v>
      </c>
      <c r="F16" s="39" t="s">
        <v>1243</v>
      </c>
      <c r="G16" s="39">
        <v>15</v>
      </c>
      <c r="H16" s="39"/>
      <c r="I16" s="40" t="s">
        <v>256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0.32075785308782956</v>
      </c>
      <c r="V16" s="48">
        <f t="shared" si="2"/>
        <v>-574.79999999999995</v>
      </c>
      <c r="W16" s="49">
        <f t="shared" si="3"/>
        <v>2.1383856872521971E-2</v>
      </c>
      <c r="X16" s="44">
        <f t="shared" si="4"/>
        <v>2219.3208056132994</v>
      </c>
      <c r="Y16" s="44">
        <f t="shared" si="5"/>
        <v>6673.4</v>
      </c>
      <c r="Z16" s="44">
        <f t="shared" si="6"/>
        <v>8435.562450840298</v>
      </c>
      <c r="AA16" s="50">
        <f t="shared" si="7"/>
        <v>14492.720805613299</v>
      </c>
      <c r="AB16" s="51">
        <f t="shared" si="8"/>
        <v>7885.91422907385</v>
      </c>
      <c r="AC16" s="44">
        <f t="shared" si="8"/>
        <v>13548.397499872204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3.7136211327886146</v>
      </c>
      <c r="AP16" s="47">
        <f t="shared" si="16"/>
        <v>2.3776854425769285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18230718</v>
      </c>
      <c r="D17" s="61" t="s">
        <v>132</v>
      </c>
      <c r="E17" s="38" t="s">
        <v>1244</v>
      </c>
      <c r="F17" s="39" t="s">
        <v>1245</v>
      </c>
      <c r="G17" s="39">
        <v>15</v>
      </c>
      <c r="H17" s="39"/>
      <c r="I17" s="40" t="s">
        <v>256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0.58854651942721026</v>
      </c>
      <c r="V17" s="48">
        <f t="shared" si="2"/>
        <v>-1774.8</v>
      </c>
      <c r="W17" s="49">
        <f t="shared" si="3"/>
        <v>3.9236434628480685E-2</v>
      </c>
      <c r="X17" s="44">
        <f t="shared" si="4"/>
        <v>4072.148267180366</v>
      </c>
      <c r="Y17" s="44">
        <f t="shared" si="5"/>
        <v>14520</v>
      </c>
      <c r="Z17" s="44">
        <f t="shared" si="6"/>
        <v>15478.096240073943</v>
      </c>
      <c r="AA17" s="50">
        <f t="shared" si="7"/>
        <v>26592.148267180368</v>
      </c>
      <c r="AB17" s="51">
        <f t="shared" si="8"/>
        <v>14469.567392796056</v>
      </c>
      <c r="AC17" s="44">
        <f t="shared" si="8"/>
        <v>24859.444953893955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3.7136211327886137</v>
      </c>
      <c r="AP17" s="47">
        <f t="shared" si="16"/>
        <v>2.377685442576928</v>
      </c>
      <c r="AQ17">
        <v>2021</v>
      </c>
    </row>
    <row r="18" spans="1:43" ht="13.5" customHeight="1">
      <c r="A18" s="59">
        <f>A6+A8</f>
        <v>394482.74</v>
      </c>
      <c r="B18" s="97" t="s">
        <v>70</v>
      </c>
      <c r="C18" s="98">
        <v>18230718</v>
      </c>
      <c r="D18" s="61" t="s">
        <v>132</v>
      </c>
      <c r="E18" s="38" t="s">
        <v>1246</v>
      </c>
      <c r="F18" s="39" t="s">
        <v>1247</v>
      </c>
      <c r="G18" s="39">
        <v>15</v>
      </c>
      <c r="H18" s="39"/>
      <c r="I18" s="40" t="s">
        <v>256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0.31687930897512917</v>
      </c>
      <c r="V18" s="48">
        <f t="shared" si="2"/>
        <v>-2187.09</v>
      </c>
      <c r="W18" s="49">
        <f t="shared" si="3"/>
        <v>2.1125287265008612E-2</v>
      </c>
      <c r="X18" s="44">
        <f t="shared" si="4"/>
        <v>2192.485192511574</v>
      </c>
      <c r="Y18" s="44">
        <f t="shared" si="5"/>
        <v>3451.8500000000004</v>
      </c>
      <c r="Z18" s="44">
        <f t="shared" si="6"/>
        <v>8333.561203587702</v>
      </c>
      <c r="AA18" s="50">
        <f t="shared" si="7"/>
        <v>13144.335192511575</v>
      </c>
      <c r="AB18" s="51">
        <f t="shared" si="8"/>
        <v>7790.5592255657675</v>
      </c>
      <c r="AC18" s="44">
        <f t="shared" si="8"/>
        <v>12287.870610929769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3.7136211327886151</v>
      </c>
      <c r="AP18" s="47">
        <f t="shared" si="16"/>
        <v>2.5898957534290457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1248</v>
      </c>
      <c r="F19" s="39" t="s">
        <v>1249</v>
      </c>
      <c r="G19" s="39">
        <v>15</v>
      </c>
      <c r="H19" s="39"/>
      <c r="I19" s="40" t="s">
        <v>256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0.25803029445117664</v>
      </c>
      <c r="V19" s="48">
        <f t="shared" si="2"/>
        <v>-1187.0899999999999</v>
      </c>
      <c r="W19" s="49">
        <f t="shared" si="3"/>
        <v>1.7202019630078443E-2</v>
      </c>
      <c r="X19" s="44">
        <f t="shared" si="4"/>
        <v>1785.3093710451392</v>
      </c>
      <c r="Y19" s="44">
        <f t="shared" si="5"/>
        <v>2917.9400000000005</v>
      </c>
      <c r="Z19" s="44">
        <f t="shared" si="6"/>
        <v>6785.899837207131</v>
      </c>
      <c r="AA19" s="50">
        <f t="shared" si="7"/>
        <v>10703.24937104514</v>
      </c>
      <c r="AB19" s="51">
        <f t="shared" si="8"/>
        <v>6343.7410836749841</v>
      </c>
      <c r="AC19" s="44">
        <f t="shared" si="8"/>
        <v>10005.842171679105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3.7136211327886137</v>
      </c>
      <c r="AP19" s="47">
        <f t="shared" si="16"/>
        <v>2.5898945435647955</v>
      </c>
      <c r="AQ19">
        <v>2021</v>
      </c>
    </row>
    <row r="20" spans="1:43" ht="13.5" customHeight="1">
      <c r="A20" s="59">
        <f>A8+SUM(Q5:Q906)</f>
        <v>919206.05999999994</v>
      </c>
      <c r="B20" s="97" t="s">
        <v>70</v>
      </c>
      <c r="C20" s="100">
        <v>18230718</v>
      </c>
      <c r="D20" s="100" t="s">
        <v>132</v>
      </c>
      <c r="E20" s="38" t="s">
        <v>1220</v>
      </c>
      <c r="F20" s="39" t="s">
        <v>1221</v>
      </c>
      <c r="G20" s="39">
        <v>15</v>
      </c>
      <c r="H20" s="39"/>
      <c r="I20" s="40" t="s">
        <v>256</v>
      </c>
      <c r="J20" s="41">
        <v>15</v>
      </c>
      <c r="K20" s="41">
        <v>516</v>
      </c>
      <c r="L20" s="41"/>
      <c r="M20" s="42">
        <v>225</v>
      </c>
      <c r="N20" s="42">
        <v>0</v>
      </c>
      <c r="O20" s="43">
        <v>7740</v>
      </c>
      <c r="P20" s="44">
        <v>3375</v>
      </c>
      <c r="Q20" s="44">
        <v>0</v>
      </c>
      <c r="R20" s="45">
        <v>0</v>
      </c>
      <c r="S20" s="46">
        <v>0</v>
      </c>
      <c r="T20" s="39">
        <f t="shared" si="0"/>
        <v>15</v>
      </c>
      <c r="U20" s="47">
        <f t="shared" si="1"/>
        <v>8.7267242535758766E-2</v>
      </c>
      <c r="V20" s="48">
        <f t="shared" si="2"/>
        <v>-225</v>
      </c>
      <c r="W20" s="49">
        <f t="shared" si="3"/>
        <v>5.8178161690505843E-3</v>
      </c>
      <c r="X20" s="44">
        <f t="shared" si="4"/>
        <v>603.80129478881292</v>
      </c>
      <c r="Y20" s="44">
        <f t="shared" si="5"/>
        <v>-3375</v>
      </c>
      <c r="Z20" s="44">
        <f t="shared" si="6"/>
        <v>2295.0280631833775</v>
      </c>
      <c r="AA20" s="50">
        <f t="shared" si="7"/>
        <v>603.80129478881292</v>
      </c>
      <c r="AB20" s="51">
        <f t="shared" si="8"/>
        <v>2145.4875789318289</v>
      </c>
      <c r="AC20" s="44">
        <f t="shared" si="8"/>
        <v>564.45853490587353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7967.5280132567204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7967.5280132567204</v>
      </c>
      <c r="AK20" s="44">
        <f>HLOOKUP(I20,ElecAvoidedCostsWOCC!$A$5:$Q$50,G20+1,FALSE)*J20*L20</f>
        <v>0</v>
      </c>
      <c r="AL20" s="44">
        <f t="shared" si="13"/>
        <v>7967.5280132567204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7967.5280132567204</v>
      </c>
      <c r="AN20" s="48">
        <f t="shared" si="14"/>
        <v>8764.2808145823928</v>
      </c>
      <c r="AO20" s="47">
        <f t="shared" si="15"/>
        <v>3.7136211327886146</v>
      </c>
      <c r="AP20" s="47">
        <f t="shared" si="16"/>
        <v>15.526881555691036</v>
      </c>
      <c r="AQ20">
        <v>2020</v>
      </c>
    </row>
    <row r="21" spans="1:43" ht="13.5" customHeight="1">
      <c r="A21" s="58" t="s">
        <v>245</v>
      </c>
      <c r="B21" s="97" t="s">
        <v>2575</v>
      </c>
      <c r="C21" s="100">
        <v>18230719</v>
      </c>
      <c r="D21" s="100" t="s">
        <v>132</v>
      </c>
      <c r="E21" s="38" t="s">
        <v>1393</v>
      </c>
      <c r="F21" s="39" t="s">
        <v>1394</v>
      </c>
      <c r="G21" s="39">
        <v>10</v>
      </c>
      <c r="H21" s="39"/>
      <c r="I21" s="40" t="s">
        <v>261</v>
      </c>
      <c r="J21" s="41">
        <v>71</v>
      </c>
      <c r="K21" s="41">
        <v>188</v>
      </c>
      <c r="L21" s="41"/>
      <c r="M21" s="42">
        <v>200</v>
      </c>
      <c r="N21" s="42">
        <v>69.599999999999994</v>
      </c>
      <c r="O21" s="43">
        <v>13348</v>
      </c>
      <c r="P21" s="44">
        <v>6600</v>
      </c>
      <c r="Q21" s="44">
        <v>4941.6000000000004</v>
      </c>
      <c r="R21" s="45">
        <v>0</v>
      </c>
      <c r="S21" s="46">
        <v>0</v>
      </c>
      <c r="T21" s="39">
        <f t="shared" si="0"/>
        <v>10</v>
      </c>
      <c r="U21" s="47">
        <f t="shared" si="1"/>
        <v>0.10033102096186976</v>
      </c>
      <c r="V21" s="48">
        <f t="shared" si="2"/>
        <v>-130.4</v>
      </c>
      <c r="W21" s="49">
        <f t="shared" si="3"/>
        <v>1.0033102096186975E-2</v>
      </c>
      <c r="X21" s="44">
        <f t="shared" si="4"/>
        <v>1041.2841967494926</v>
      </c>
      <c r="Y21" s="44">
        <f t="shared" si="5"/>
        <v>-1658.3999999999996</v>
      </c>
      <c r="Z21" s="44">
        <f t="shared" si="6"/>
        <v>3957.8856056035811</v>
      </c>
      <c r="AA21" s="50">
        <f t="shared" si="7"/>
        <v>5982.8841967494927</v>
      </c>
      <c r="AB21" s="51">
        <f t="shared" ref="AB21:AC24" si="18">Z21/(1+ElecDiscountRate)^1</f>
        <v>3699.995891935665</v>
      </c>
      <c r="AC21" s="44">
        <f t="shared" si="18"/>
        <v>5593.0487022057514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0.97334887994043018</v>
      </c>
      <c r="AG21" s="44">
        <f t="shared" si="10"/>
        <v>12992.260849444861</v>
      </c>
      <c r="AH21" s="52">
        <f>HLOOKUP(I21,ElecAvoidedCostsWOCC!$A$5:$Q$50,T21+1,FALSE)</f>
        <v>0.97334887994043018</v>
      </c>
      <c r="AI21" s="44">
        <f t="shared" si="11"/>
        <v>0</v>
      </c>
      <c r="AJ21" s="44">
        <f t="shared" si="12"/>
        <v>12992.260849444861</v>
      </c>
      <c r="AK21" s="44">
        <f>HLOOKUP(I21,ElecAvoidedCostsWOCC!$A$5:$Q$50,G21+1,FALSE)*J21*L21</f>
        <v>0</v>
      </c>
      <c r="AL21" s="44">
        <f t="shared" si="13"/>
        <v>12992.260849444861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12992.260849444863</v>
      </c>
      <c r="AN21" s="48">
        <f t="shared" si="14"/>
        <v>14291.486934389352</v>
      </c>
      <c r="AO21" s="47">
        <f t="shared" si="15"/>
        <v>3.5114257498939869</v>
      </c>
      <c r="AP21" s="47">
        <f t="shared" si="16"/>
        <v>2.5552230447686188</v>
      </c>
      <c r="AQ21">
        <v>2020</v>
      </c>
    </row>
    <row r="22" spans="1:43" ht="13.5" customHeight="1">
      <c r="A22" s="60">
        <f>(SUM(AM5:AM1000)/(SUM(AB5:AB1000)))</f>
        <v>3.9335124042203971</v>
      </c>
      <c r="B22" s="97" t="s">
        <v>2576</v>
      </c>
      <c r="C22" s="100">
        <v>18230720</v>
      </c>
      <c r="D22" s="100" t="s">
        <v>132</v>
      </c>
      <c r="E22" s="38" t="s">
        <v>1224</v>
      </c>
      <c r="F22" s="39" t="s">
        <v>1225</v>
      </c>
      <c r="G22" s="39">
        <v>10</v>
      </c>
      <c r="H22" s="39"/>
      <c r="I22" s="40" t="s">
        <v>261</v>
      </c>
      <c r="J22" s="41">
        <v>375</v>
      </c>
      <c r="K22" s="41">
        <v>116</v>
      </c>
      <c r="L22" s="41"/>
      <c r="M22" s="42">
        <v>200</v>
      </c>
      <c r="N22" s="42">
        <v>69.599999999999994</v>
      </c>
      <c r="O22" s="43">
        <v>43500</v>
      </c>
      <c r="P22" s="44">
        <v>34400</v>
      </c>
      <c r="Q22" s="44">
        <v>26100</v>
      </c>
      <c r="R22" s="45">
        <v>0</v>
      </c>
      <c r="S22" s="46">
        <v>0</v>
      </c>
      <c r="T22" s="39">
        <f t="shared" si="0"/>
        <v>10</v>
      </c>
      <c r="U22" s="47">
        <f t="shared" si="1"/>
        <v>0.32697028857067234</v>
      </c>
      <c r="V22" s="48">
        <f t="shared" si="2"/>
        <v>-130.4</v>
      </c>
      <c r="W22" s="49">
        <f t="shared" si="3"/>
        <v>3.2697028857067233E-2</v>
      </c>
      <c r="X22" s="44">
        <f t="shared" si="4"/>
        <v>3393.4568893169712</v>
      </c>
      <c r="Y22" s="44">
        <f t="shared" si="5"/>
        <v>-8300</v>
      </c>
      <c r="Z22" s="44">
        <f t="shared" si="6"/>
        <v>12898.413533394949</v>
      </c>
      <c r="AA22" s="50">
        <f t="shared" si="7"/>
        <v>29493.456889316971</v>
      </c>
      <c r="AB22" s="51">
        <f t="shared" si="18"/>
        <v>12057.972827330044</v>
      </c>
      <c r="AC22" s="44">
        <f t="shared" si="18"/>
        <v>27571.70878687199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0.97334887994043018</v>
      </c>
      <c r="AG22" s="44">
        <f t="shared" si="10"/>
        <v>42340.676277408718</v>
      </c>
      <c r="AH22" s="52">
        <f>HLOOKUP(I22,ElecAvoidedCostsWOCC!$A$5:$Q$50,T22+1,FALSE)</f>
        <v>0.97334887994043018</v>
      </c>
      <c r="AI22" s="44">
        <f t="shared" si="11"/>
        <v>0</v>
      </c>
      <c r="AJ22" s="44">
        <f t="shared" si="12"/>
        <v>42340.676277408718</v>
      </c>
      <c r="AK22" s="44">
        <f>HLOOKUP(I22,ElecAvoidedCostsWOCC!$A$5:$Q$50,G22+1,FALSE)*J22*L22</f>
        <v>0</v>
      </c>
      <c r="AL22" s="44">
        <f t="shared" si="13"/>
        <v>42340.676277408718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42340.676277408711</v>
      </c>
      <c r="AN22" s="48">
        <f t="shared" si="14"/>
        <v>46574.743905149589</v>
      </c>
      <c r="AO22" s="47">
        <f t="shared" si="15"/>
        <v>3.5114257498939865</v>
      </c>
      <c r="AP22" s="47">
        <f t="shared" si="16"/>
        <v>1.6892222482534602</v>
      </c>
      <c r="AQ22">
        <v>2020</v>
      </c>
    </row>
    <row r="23" spans="1:43" ht="13.5" customHeight="1">
      <c r="A23" s="58" t="s">
        <v>246</v>
      </c>
      <c r="B23" s="97"/>
      <c r="C23" s="100"/>
      <c r="D23" s="100"/>
      <c r="E23" s="38" t="s">
        <v>1226</v>
      </c>
      <c r="F23" s="39" t="s">
        <v>1227</v>
      </c>
      <c r="G23" s="39">
        <v>10</v>
      </c>
      <c r="H23" s="39"/>
      <c r="I23" s="40" t="s">
        <v>261</v>
      </c>
      <c r="J23" s="41">
        <v>63</v>
      </c>
      <c r="K23" s="41">
        <v>51</v>
      </c>
      <c r="L23" s="41"/>
      <c r="M23" s="42">
        <v>200</v>
      </c>
      <c r="N23" s="42">
        <v>69.599999999999994</v>
      </c>
      <c r="O23" s="43">
        <v>3213</v>
      </c>
      <c r="P23" s="44">
        <v>3400</v>
      </c>
      <c r="Q23" s="44">
        <v>4384.8</v>
      </c>
      <c r="R23" s="45">
        <v>0</v>
      </c>
      <c r="S23" s="46">
        <v>0</v>
      </c>
      <c r="T23" s="39">
        <f t="shared" si="0"/>
        <v>10</v>
      </c>
      <c r="U23" s="47">
        <f t="shared" si="1"/>
        <v>2.4150702004082075E-2</v>
      </c>
      <c r="V23" s="48">
        <f t="shared" si="2"/>
        <v>-130.4</v>
      </c>
      <c r="W23" s="49">
        <f t="shared" si="3"/>
        <v>2.4150702004082075E-3</v>
      </c>
      <c r="X23" s="44">
        <f t="shared" si="4"/>
        <v>250.64774679023975</v>
      </c>
      <c r="Y23" s="44">
        <f t="shared" si="5"/>
        <v>984.80000000000018</v>
      </c>
      <c r="Z23" s="44">
        <f t="shared" si="6"/>
        <v>952.70350994937871</v>
      </c>
      <c r="AA23" s="50">
        <f t="shared" si="7"/>
        <v>4635.4477467902398</v>
      </c>
      <c r="AB23" s="51">
        <f t="shared" si="18"/>
        <v>890.62682055658468</v>
      </c>
      <c r="AC23" s="44">
        <f t="shared" si="18"/>
        <v>4333.4091304012709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0.97334887994043018</v>
      </c>
      <c r="AG23" s="44">
        <f t="shared" si="10"/>
        <v>3127.3699512486023</v>
      </c>
      <c r="AH23" s="52">
        <f>HLOOKUP(I23,ElecAvoidedCostsWOCC!$A$5:$Q$50,T23+1,FALSE)</f>
        <v>0.97334887994043018</v>
      </c>
      <c r="AI23" s="44">
        <f t="shared" si="11"/>
        <v>0</v>
      </c>
      <c r="AJ23" s="44">
        <f t="shared" si="12"/>
        <v>3127.3699512486023</v>
      </c>
      <c r="AK23" s="44">
        <f>HLOOKUP(I23,ElecAvoidedCostsWOCC!$A$5:$Q$50,G23+1,FALSE)*J23*L23</f>
        <v>0</v>
      </c>
      <c r="AL23" s="44">
        <f t="shared" si="13"/>
        <v>3127.3699512486023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3127.3699512486023</v>
      </c>
      <c r="AN23" s="48">
        <f t="shared" si="14"/>
        <v>3440.106946373463</v>
      </c>
      <c r="AO23" s="47">
        <f t="shared" si="15"/>
        <v>3.5114257498939865</v>
      </c>
      <c r="AP23" s="47">
        <f t="shared" si="16"/>
        <v>0.79385694792564188</v>
      </c>
      <c r="AQ23">
        <v>2020</v>
      </c>
    </row>
    <row r="24" spans="1:43" ht="13.5" customHeight="1">
      <c r="A24" s="60">
        <f>(SUM(AN5:AN1000)/SUM(AC5:AC1000))</f>
        <v>1.8568992312180088</v>
      </c>
      <c r="B24" s="97"/>
      <c r="C24" s="61"/>
      <c r="D24" s="61"/>
      <c r="E24" s="38" t="s">
        <v>1232</v>
      </c>
      <c r="F24" s="39" t="s">
        <v>1233</v>
      </c>
      <c r="G24" s="39">
        <v>15</v>
      </c>
      <c r="H24" s="39"/>
      <c r="I24" s="40" t="s">
        <v>261</v>
      </c>
      <c r="J24" s="41">
        <v>102.66</v>
      </c>
      <c r="K24" s="41">
        <v>1589</v>
      </c>
      <c r="L24" s="41"/>
      <c r="M24" s="42">
        <v>500</v>
      </c>
      <c r="N24" s="42">
        <v>2115.35</v>
      </c>
      <c r="O24" s="43">
        <v>163126.74</v>
      </c>
      <c r="P24" s="44">
        <v>51330</v>
      </c>
      <c r="Q24" s="44">
        <v>217161.82</v>
      </c>
      <c r="R24" s="45">
        <v>0</v>
      </c>
      <c r="S24" s="46">
        <v>0</v>
      </c>
      <c r="T24" s="39">
        <f t="shared" si="0"/>
        <v>15</v>
      </c>
      <c r="U24" s="47">
        <f t="shared" si="1"/>
        <v>1.8392274914273461</v>
      </c>
      <c r="V24" s="48">
        <f t="shared" si="2"/>
        <v>1615.35</v>
      </c>
      <c r="W24" s="49">
        <f t="shared" si="3"/>
        <v>0.12261516609515641</v>
      </c>
      <c r="X24" s="44">
        <f t="shared" si="4"/>
        <v>12725.599073214215</v>
      </c>
      <c r="Y24" s="44">
        <f t="shared" si="5"/>
        <v>165831.82</v>
      </c>
      <c r="Z24" s="44">
        <f t="shared" si="6"/>
        <v>48369.566686772399</v>
      </c>
      <c r="AA24" s="50">
        <f t="shared" si="7"/>
        <v>229887.41907321423</v>
      </c>
      <c r="AB24" s="51">
        <f t="shared" si="18"/>
        <v>45217.880421400761</v>
      </c>
      <c r="AC24" s="44">
        <f t="shared" si="18"/>
        <v>214908.3098749315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224916.34160054044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224916.34160054044</v>
      </c>
      <c r="AK24" s="44">
        <f>HLOOKUP(I24,ElecAvoidedCostsWOCC!$A$5:$Q$50,G24+1,FALSE)*J24*L24</f>
        <v>0</v>
      </c>
      <c r="AL24" s="44">
        <f t="shared" si="13"/>
        <v>224916.34160054044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224916.34160054041</v>
      </c>
      <c r="AN24" s="48">
        <f t="shared" si="14"/>
        <v>247407.97576059448</v>
      </c>
      <c r="AO24" s="47">
        <f t="shared" si="15"/>
        <v>4.9740575963417291</v>
      </c>
      <c r="AP24" s="47">
        <f t="shared" si="16"/>
        <v>1.1512257292636872</v>
      </c>
      <c r="AQ24">
        <v>2020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6" si="19">G25+H25</f>
        <v>0</v>
      </c>
      <c r="U25" s="47">
        <f t="shared" ref="U25:U26" si="20">(O25/$A$10)*T25</f>
        <v>0</v>
      </c>
      <c r="V25" s="48">
        <f t="shared" ref="V25:V26" si="21">N25-M25</f>
        <v>0</v>
      </c>
      <c r="W25" s="49">
        <f t="shared" ref="W25:W26" si="22">(O25/A$10)</f>
        <v>0</v>
      </c>
      <c r="X25" s="44">
        <f t="shared" ref="X25:X26" si="23">W25*A$8</f>
        <v>0</v>
      </c>
      <c r="Y25" s="44">
        <f t="shared" ref="Y25:Y26" si="24">Q25-P25</f>
        <v>0</v>
      </c>
      <c r="Z25" s="44">
        <f t="shared" ref="Z25:Z26" si="25">X25+(A$6*W25)</f>
        <v>0</v>
      </c>
      <c r="AA25" s="50">
        <f t="shared" ref="AA25:AA26" si="26">Q25+X25</f>
        <v>0</v>
      </c>
      <c r="AB25" s="51">
        <f t="shared" ref="AB25:AB26" si="27">Z25/(1+ElecDiscountRate)^1</f>
        <v>0</v>
      </c>
      <c r="AC25" s="44">
        <f t="shared" ref="AC25:AC26" si="28">AA25/(1+ElecDiscountRate)^1</f>
        <v>0</v>
      </c>
      <c r="AD25" s="44">
        <f t="shared" ref="AD25:AD26" si="29">-PV(ElecDiscountRate,T25,R25)*J25</f>
        <v>0</v>
      </c>
      <c r="AE25" s="44">
        <f t="shared" ref="AE25:AE26" si="30">-PV(ElecDiscountRate,T25,S25)*J25</f>
        <v>0</v>
      </c>
      <c r="AF25" s="52" t="e">
        <f>HLOOKUP(I25,ElecAvoidedCostsWOCC!$A$5:$Q$50,G25+1,FALSE)</f>
        <v>#N/A</v>
      </c>
      <c r="AG25" s="44" t="e">
        <f t="shared" ref="AG25:AG26" si="31">AF25*J25*K25</f>
        <v>#N/A</v>
      </c>
      <c r="AH25" s="52" t="e">
        <f>HLOOKUP(I25,ElecAvoidedCostsWOCC!$A$5:$Q$50,T25+1,FALSE)</f>
        <v>#N/A</v>
      </c>
      <c r="AI25" s="44" t="e">
        <f t="shared" ref="AI25:AI26" si="32">AH25*J25*L25</f>
        <v>#N/A</v>
      </c>
      <c r="AJ25" s="44" t="e">
        <f t="shared" ref="AJ25:AJ26" si="33">AG25+AI25</f>
        <v>#N/A</v>
      </c>
      <c r="AK25" s="44" t="e">
        <f>HLOOKUP(I25,ElecAvoidedCostsWOCC!$A$5:$Q$50,G25+1,FALSE)*J25*L25</f>
        <v>#N/A</v>
      </c>
      <c r="AL25" s="44" t="e">
        <f t="shared" ref="AL25:AL26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26" si="35">AM25*1.1+AD25+AE25</f>
        <v>0</v>
      </c>
      <c r="AO25" s="47">
        <f t="shared" ref="AO25:AO26" si="36">IFERROR(AM25/AB25,0)</f>
        <v>0</v>
      </c>
      <c r="AP25" s="47" t="e">
        <f t="shared" ref="AP25:AP2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/>
    <row r="28" spans="1:43" ht="13.5" customHeight="1"/>
  </sheetData>
  <conditionalFormatting sqref="J5:L26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6 R5:S26">
    <cfRule type="expression" dxfId="187" priority="2">
      <formula>ISTEXT(M5)</formula>
    </cfRule>
  </conditionalFormatting>
  <conditionalFormatting sqref="M5:N26 R5:S26">
    <cfRule type="notContainsBlanks" dxfId="186" priority="3">
      <formula>LEN(TRIM(M5))&gt;0</formula>
    </cfRule>
  </conditionalFormatting>
  <conditionalFormatting sqref="R5:S26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89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1250</v>
      </c>
      <c r="F5" s="39" t="s">
        <v>1251</v>
      </c>
      <c r="G5" s="39">
        <v>15</v>
      </c>
      <c r="H5" s="39"/>
      <c r="I5" s="40" t="s">
        <v>261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-5.6521459539773172E-3</v>
      </c>
      <c r="V5" s="48">
        <f t="shared" ref="V5:V24" si="2">N5-M5</f>
        <v>161</v>
      </c>
      <c r="W5" s="49">
        <f t="shared" ref="W5:W24" si="3">(O5/A$10)</f>
        <v>-3.7680973026515448E-4</v>
      </c>
      <c r="X5" s="44">
        <f t="shared" ref="X5:X24" si="4">W5*A$8</f>
        <v>-70.819523595170992</v>
      </c>
      <c r="Y5" s="44">
        <f t="shared" ref="Y5:Y24" si="5">Q5-P5</f>
        <v>-1139.8800000000001</v>
      </c>
      <c r="Z5" s="44">
        <f t="shared" ref="Z5:Z24" si="6">X5+(A$6*W5)</f>
        <v>-315.71087278835819</v>
      </c>
      <c r="AA5" s="50">
        <f t="shared" ref="AA5:AA24" si="7">Q5+X5</f>
        <v>-1210.6995235951711</v>
      </c>
      <c r="AB5" s="51">
        <f t="shared" ref="AB5:AC20" si="8">Z5/(1+ElecDiscountRate)^1</f>
        <v>-295.13963988815385</v>
      </c>
      <c r="AC5" s="44">
        <f t="shared" si="8"/>
        <v>-1131.8122123914845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1.5603239599710381</v>
      </c>
      <c r="AP5" s="47">
        <f>AN5/AC5</f>
        <v>0.4475696509316025</v>
      </c>
      <c r="AQ5">
        <v>2021</v>
      </c>
    </row>
    <row r="6" spans="1:43" ht="13.5" customHeight="1">
      <c r="A6" s="53">
        <f>SUMIF('Program Costs'!D:D,C2,'Program Costs'!L:L)</f>
        <v>649907.18000000005</v>
      </c>
      <c r="B6" s="97" t="s">
        <v>70</v>
      </c>
      <c r="C6" s="98">
        <v>18230524</v>
      </c>
      <c r="D6" s="61" t="s">
        <v>71</v>
      </c>
      <c r="E6" s="38" t="s">
        <v>1252</v>
      </c>
      <c r="F6" s="39" t="s">
        <v>1253</v>
      </c>
      <c r="G6" s="39">
        <v>15</v>
      </c>
      <c r="H6" s="39"/>
      <c r="I6" s="40" t="s">
        <v>261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2.254089344520295E-2</v>
      </c>
      <c r="V6" s="48">
        <f t="shared" si="2"/>
        <v>61</v>
      </c>
      <c r="W6" s="49">
        <f t="shared" si="3"/>
        <v>1.5027262296801968E-3</v>
      </c>
      <c r="X6" s="44">
        <f t="shared" si="4"/>
        <v>282.42995637355614</v>
      </c>
      <c r="Y6" s="44">
        <f t="shared" si="5"/>
        <v>1514.6299999999999</v>
      </c>
      <c r="Z6" s="44">
        <f t="shared" si="6"/>
        <v>1259.062522617045</v>
      </c>
      <c r="AA6" s="50">
        <f t="shared" si="7"/>
        <v>2790.2599563735562</v>
      </c>
      <c r="AB6" s="51">
        <f t="shared" si="8"/>
        <v>1177.0239530868887</v>
      </c>
      <c r="AC6" s="44">
        <f t="shared" si="8"/>
        <v>2608.4509267771859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1.5603239599710386</v>
      </c>
      <c r="AP6" s="47">
        <f t="shared" ref="AP6:AP24" si="16">AN6/AC6</f>
        <v>0.7744797965217749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1254</v>
      </c>
      <c r="F7" s="39" t="s">
        <v>1255</v>
      </c>
      <c r="G7" s="39">
        <v>15</v>
      </c>
      <c r="H7" s="39"/>
      <c r="I7" s="40" t="s">
        <v>261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7.8368526685236403E-2</v>
      </c>
      <c r="V7" s="48">
        <f t="shared" si="2"/>
        <v>126</v>
      </c>
      <c r="W7" s="49">
        <f t="shared" si="3"/>
        <v>5.2245684456824265E-3</v>
      </c>
      <c r="X7" s="44">
        <f t="shared" si="4"/>
        <v>981.93177775220613</v>
      </c>
      <c r="Y7" s="44">
        <f t="shared" si="5"/>
        <v>6554.5199999999995</v>
      </c>
      <c r="Z7" s="44">
        <f t="shared" si="6"/>
        <v>4377.4163230026552</v>
      </c>
      <c r="AA7" s="50">
        <f t="shared" si="7"/>
        <v>10917.751777752206</v>
      </c>
      <c r="AB7" s="51">
        <f t="shared" si="8"/>
        <v>4092.190635694732</v>
      </c>
      <c r="AC7" s="44">
        <f t="shared" si="8"/>
        <v>10206.367932833697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1.5603239599710381</v>
      </c>
      <c r="AP7" s="47">
        <f t="shared" si="16"/>
        <v>0.68816423762394352</v>
      </c>
      <c r="AQ7">
        <v>2021</v>
      </c>
    </row>
    <row r="8" spans="1:43" ht="13.5" customHeight="1">
      <c r="A8" s="53">
        <f>SUMIF('Program Costs'!D:D,C2,'Program Costs'!O:O)</f>
        <v>187945.05000000005</v>
      </c>
      <c r="B8" s="97" t="s">
        <v>70</v>
      </c>
      <c r="C8" s="98">
        <v>18230524</v>
      </c>
      <c r="D8" s="61" t="s">
        <v>71</v>
      </c>
      <c r="E8" s="38" t="s">
        <v>1256</v>
      </c>
      <c r="F8" s="39" t="s">
        <v>1257</v>
      </c>
      <c r="G8" s="39">
        <v>15</v>
      </c>
      <c r="H8" s="39"/>
      <c r="I8" s="40" t="s">
        <v>261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-3.1374486822377083E-2</v>
      </c>
      <c r="V8" s="48">
        <f t="shared" si="2"/>
        <v>173</v>
      </c>
      <c r="W8" s="49">
        <f t="shared" si="3"/>
        <v>-2.0916324548251389E-3</v>
      </c>
      <c r="X8" s="44">
        <f t="shared" si="4"/>
        <v>-393.11196630373354</v>
      </c>
      <c r="Y8" s="44">
        <f t="shared" si="5"/>
        <v>-5731.09</v>
      </c>
      <c r="Z8" s="44">
        <f t="shared" si="6"/>
        <v>-1752.478916615617</v>
      </c>
      <c r="AA8" s="50">
        <f t="shared" si="7"/>
        <v>-3247.9519663037336</v>
      </c>
      <c r="AB8" s="51">
        <f t="shared" si="8"/>
        <v>-1638.2900968641832</v>
      </c>
      <c r="AC8" s="44">
        <f t="shared" si="8"/>
        <v>-3036.3204321807361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1.5603239599710383</v>
      </c>
      <c r="AP8" s="47">
        <f t="shared" si="16"/>
        <v>0.92608460914415336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18230524</v>
      </c>
      <c r="D9" s="61" t="s">
        <v>71</v>
      </c>
      <c r="E9" s="38" t="s">
        <v>1258</v>
      </c>
      <c r="F9" s="39" t="s">
        <v>1259</v>
      </c>
      <c r="G9" s="39">
        <v>15</v>
      </c>
      <c r="H9" s="39"/>
      <c r="I9" s="40" t="s">
        <v>261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0.2186568199740746</v>
      </c>
      <c r="V9" s="48">
        <f t="shared" si="2"/>
        <v>49</v>
      </c>
      <c r="W9" s="49">
        <f t="shared" si="3"/>
        <v>1.4577121331604973E-2</v>
      </c>
      <c r="X9" s="44">
        <f t="shared" si="4"/>
        <v>2739.6977975245641</v>
      </c>
      <c r="Y9" s="44">
        <f t="shared" si="5"/>
        <v>3829.24</v>
      </c>
      <c r="Z9" s="44">
        <f t="shared" si="6"/>
        <v>12213.473614665798</v>
      </c>
      <c r="AA9" s="50">
        <f t="shared" si="7"/>
        <v>16014.937797524564</v>
      </c>
      <c r="AB9" s="51">
        <f t="shared" si="8"/>
        <v>11417.662535912683</v>
      </c>
      <c r="AC9" s="44">
        <f t="shared" si="8"/>
        <v>14971.429183438873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1.5603239599710381</v>
      </c>
      <c r="AP9" s="47">
        <f t="shared" si="16"/>
        <v>1.3089450194568379</v>
      </c>
      <c r="AQ9">
        <v>2021</v>
      </c>
    </row>
    <row r="10" spans="1:43" ht="13.5" customHeight="1">
      <c r="A10" s="54">
        <f>SUM(O5:O999)</f>
        <v>886389</v>
      </c>
      <c r="B10" s="97" t="s">
        <v>70</v>
      </c>
      <c r="C10" s="98">
        <v>18230524</v>
      </c>
      <c r="D10" s="61" t="s">
        <v>71</v>
      </c>
      <c r="E10" s="38" t="s">
        <v>1260</v>
      </c>
      <c r="F10" s="39" t="s">
        <v>1261</v>
      </c>
      <c r="G10" s="39">
        <v>15</v>
      </c>
      <c r="H10" s="39"/>
      <c r="I10" s="40" t="s">
        <v>261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0.28568720956600319</v>
      </c>
      <c r="V10" s="48">
        <f t="shared" si="2"/>
        <v>70</v>
      </c>
      <c r="W10" s="49">
        <f t="shared" si="3"/>
        <v>1.9045813971066878E-2</v>
      </c>
      <c r="X10" s="44">
        <f t="shared" si="4"/>
        <v>3579.5664590828637</v>
      </c>
      <c r="Y10" s="44">
        <f t="shared" si="5"/>
        <v>13173.300000000001</v>
      </c>
      <c r="Z10" s="44">
        <f t="shared" si="6"/>
        <v>15957.577707823541</v>
      </c>
      <c r="AA10" s="50">
        <f t="shared" si="7"/>
        <v>28985.216459082865</v>
      </c>
      <c r="AB10" s="51">
        <f t="shared" si="8"/>
        <v>14917.806588598241</v>
      </c>
      <c r="AC10" s="44">
        <f t="shared" si="8"/>
        <v>27096.584518166648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1.5603239599710381</v>
      </c>
      <c r="AP10" s="47">
        <f t="shared" si="16"/>
        <v>0.94492618205360446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18230524</v>
      </c>
      <c r="D11" s="61" t="s">
        <v>71</v>
      </c>
      <c r="E11" s="38" t="s">
        <v>1262</v>
      </c>
      <c r="F11" s="39" t="s">
        <v>1263</v>
      </c>
      <c r="G11" s="39">
        <v>15</v>
      </c>
      <c r="H11" s="39"/>
      <c r="I11" s="40" t="s">
        <v>261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0.36953865627845112</v>
      </c>
      <c r="V11" s="48">
        <f t="shared" si="2"/>
        <v>10</v>
      </c>
      <c r="W11" s="49">
        <f t="shared" si="3"/>
        <v>2.4635910418563407E-2</v>
      </c>
      <c r="X11" s="44">
        <f t="shared" si="4"/>
        <v>4630.1974154124218</v>
      </c>
      <c r="Y11" s="44">
        <f t="shared" si="5"/>
        <v>-175.90000000000146</v>
      </c>
      <c r="Z11" s="44">
        <f t="shared" si="6"/>
        <v>20641.252482273587</v>
      </c>
      <c r="AA11" s="50">
        <f t="shared" si="7"/>
        <v>21750.697415412422</v>
      </c>
      <c r="AB11" s="51">
        <f t="shared" si="8"/>
        <v>19296.300348016812</v>
      </c>
      <c r="AC11" s="44">
        <f t="shared" si="8"/>
        <v>20333.455562692736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1.5603239599710381</v>
      </c>
      <c r="AP11" s="47">
        <f t="shared" si="16"/>
        <v>1.6288096062606967</v>
      </c>
      <c r="AQ11">
        <v>2021</v>
      </c>
    </row>
    <row r="12" spans="1:43" ht="13.5" customHeight="1">
      <c r="A12" s="55">
        <f>SUM(P5:P1000)</f>
        <v>498082.39999999997</v>
      </c>
      <c r="B12" s="97" t="s">
        <v>70</v>
      </c>
      <c r="C12" s="98">
        <v>18230524</v>
      </c>
      <c r="D12" s="61" t="s">
        <v>71</v>
      </c>
      <c r="E12" s="38" t="s">
        <v>1264</v>
      </c>
      <c r="F12" s="39" t="s">
        <v>1265</v>
      </c>
      <c r="G12" s="39">
        <v>15</v>
      </c>
      <c r="H12" s="39"/>
      <c r="I12" s="40" t="s">
        <v>261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0.22424127555734558</v>
      </c>
      <c r="V12" s="48">
        <f t="shared" si="2"/>
        <v>31</v>
      </c>
      <c r="W12" s="49">
        <f t="shared" si="3"/>
        <v>1.4949418370489706E-2</v>
      </c>
      <c r="X12" s="44">
        <f t="shared" si="4"/>
        <v>2809.6691831126068</v>
      </c>
      <c r="Y12" s="44">
        <f t="shared" si="5"/>
        <v>3807.7300000000005</v>
      </c>
      <c r="Z12" s="44">
        <f t="shared" si="6"/>
        <v>12525.403518917767</v>
      </c>
      <c r="AA12" s="50">
        <f t="shared" si="7"/>
        <v>14601.349183112607</v>
      </c>
      <c r="AB12" s="51">
        <f t="shared" si="8"/>
        <v>11709.267569335108</v>
      </c>
      <c r="AC12" s="44">
        <f t="shared" si="8"/>
        <v>13649.947820054787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1.5603239599710383</v>
      </c>
      <c r="AP12" s="47">
        <f t="shared" si="16"/>
        <v>1.4723335269335329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18230524</v>
      </c>
      <c r="D13" s="61" t="s">
        <v>71</v>
      </c>
      <c r="E13" s="38" t="s">
        <v>1266</v>
      </c>
      <c r="F13" s="39" t="s">
        <v>1267</v>
      </c>
      <c r="G13" s="39">
        <v>15</v>
      </c>
      <c r="H13" s="39"/>
      <c r="I13" s="40" t="s">
        <v>261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0.84359124492745285</v>
      </c>
      <c r="V13" s="48">
        <f t="shared" si="2"/>
        <v>86</v>
      </c>
      <c r="W13" s="49">
        <f t="shared" si="3"/>
        <v>5.6239416328496855E-2</v>
      </c>
      <c r="X13" s="44">
        <f t="shared" si="4"/>
        <v>10569.919913830161</v>
      </c>
      <c r="Y13" s="44">
        <f t="shared" si="5"/>
        <v>33238.14</v>
      </c>
      <c r="Z13" s="44">
        <f t="shared" si="6"/>
        <v>47120.320384729508</v>
      </c>
      <c r="AA13" s="50">
        <f t="shared" si="7"/>
        <v>82457.059913830162</v>
      </c>
      <c r="AB13" s="51">
        <f t="shared" si="8"/>
        <v>44050.033079115179</v>
      </c>
      <c r="AC13" s="44">
        <f t="shared" si="8"/>
        <v>77084.285233084185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1.5603239599710379</v>
      </c>
      <c r="AP13" s="47">
        <f t="shared" si="16"/>
        <v>0.98081669989328402</v>
      </c>
      <c r="AQ13">
        <v>2021</v>
      </c>
    </row>
    <row r="14" spans="1:43" ht="13.5" customHeight="1">
      <c r="A14" s="55">
        <f>SUM(Y5:Y1000)</f>
        <v>460809.10000000009</v>
      </c>
      <c r="B14" s="97" t="s">
        <v>70</v>
      </c>
      <c r="C14" s="98">
        <v>18230524</v>
      </c>
      <c r="D14" s="61" t="s">
        <v>71</v>
      </c>
      <c r="E14" s="38" t="s">
        <v>1268</v>
      </c>
      <c r="F14" s="39" t="s">
        <v>1269</v>
      </c>
      <c r="G14" s="39">
        <v>15</v>
      </c>
      <c r="H14" s="39"/>
      <c r="I14" s="40" t="s">
        <v>261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1.232658573154676</v>
      </c>
      <c r="V14" s="48">
        <f t="shared" si="2"/>
        <v>93</v>
      </c>
      <c r="W14" s="49">
        <f t="shared" si="3"/>
        <v>8.2177238210311726E-2</v>
      </c>
      <c r="X14" s="44">
        <f t="shared" si="4"/>
        <v>15444.805144298951</v>
      </c>
      <c r="Y14" s="44">
        <f t="shared" si="5"/>
        <v>40580.550000000003</v>
      </c>
      <c r="Z14" s="44">
        <f t="shared" si="6"/>
        <v>68852.382289750894</v>
      </c>
      <c r="AA14" s="50">
        <f t="shared" si="7"/>
        <v>84388.105144298956</v>
      </c>
      <c r="AB14" s="51">
        <f t="shared" si="8"/>
        <v>64366.067392494049</v>
      </c>
      <c r="AC14" s="44">
        <f t="shared" si="8"/>
        <v>78889.506538561225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1.5603239599710383</v>
      </c>
      <c r="AP14" s="47">
        <f t="shared" si="16"/>
        <v>1.4003777400202229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18230524</v>
      </c>
      <c r="D15" s="61" t="s">
        <v>71</v>
      </c>
      <c r="E15" s="38" t="s">
        <v>1270</v>
      </c>
      <c r="F15" s="39" t="s">
        <v>1271</v>
      </c>
      <c r="G15" s="39">
        <v>15</v>
      </c>
      <c r="H15" s="39"/>
      <c r="I15" s="40" t="s">
        <v>261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1.5136243793639135</v>
      </c>
      <c r="V15" s="48">
        <f t="shared" si="2"/>
        <v>137</v>
      </c>
      <c r="W15" s="49">
        <f t="shared" si="3"/>
        <v>0.10090829195759424</v>
      </c>
      <c r="X15" s="44">
        <f t="shared" si="4"/>
        <v>18965.21397738465</v>
      </c>
      <c r="Y15" s="44">
        <f t="shared" si="5"/>
        <v>59764.880000000005</v>
      </c>
      <c r="Z15" s="44">
        <f t="shared" si="6"/>
        <v>84546.237442161393</v>
      </c>
      <c r="AA15" s="50">
        <f t="shared" si="7"/>
        <v>133260.09397738465</v>
      </c>
      <c r="AB15" s="51">
        <f t="shared" si="8"/>
        <v>79037.335180107868</v>
      </c>
      <c r="AC15" s="44">
        <f t="shared" si="8"/>
        <v>124577.07205514128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1.5603239599710383</v>
      </c>
      <c r="AP15" s="47">
        <f t="shared" si="16"/>
        <v>1.0889341863414272</v>
      </c>
      <c r="AQ15">
        <v>2021</v>
      </c>
    </row>
    <row r="16" spans="1:43" ht="13.5" customHeight="1">
      <c r="A16" s="54">
        <f>SUM(U5:U999)</f>
        <v>14.95303642080396</v>
      </c>
      <c r="B16" s="97" t="s">
        <v>70</v>
      </c>
      <c r="C16" s="98">
        <v>18230524</v>
      </c>
      <c r="D16" s="61" t="s">
        <v>71</v>
      </c>
      <c r="E16" s="38" t="s">
        <v>1272</v>
      </c>
      <c r="F16" s="39" t="s">
        <v>1273</v>
      </c>
      <c r="G16" s="39">
        <v>15</v>
      </c>
      <c r="H16" s="39"/>
      <c r="I16" s="40" t="s">
        <v>261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2.3759320117916625E-2</v>
      </c>
      <c r="V16" s="48">
        <f t="shared" si="2"/>
        <v>70</v>
      </c>
      <c r="W16" s="49">
        <f t="shared" si="3"/>
        <v>1.583954674527775E-3</v>
      </c>
      <c r="X16" s="44">
        <f t="shared" si="4"/>
        <v>297.6964405018565</v>
      </c>
      <c r="Y16" s="44">
        <f t="shared" si="5"/>
        <v>554.40000000000009</v>
      </c>
      <c r="Z16" s="44">
        <f t="shared" si="6"/>
        <v>1327.1199562720208</v>
      </c>
      <c r="AA16" s="50">
        <f t="shared" si="7"/>
        <v>1366.8964405018564</v>
      </c>
      <c r="AB16" s="51">
        <f t="shared" si="8"/>
        <v>1240.6468694699643</v>
      </c>
      <c r="AC16" s="44">
        <f t="shared" si="8"/>
        <v>1277.8315794165246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1.5603239599710379</v>
      </c>
      <c r="AP16" s="47">
        <f t="shared" si="16"/>
        <v>1.6664106398896952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18230524</v>
      </c>
      <c r="D17" s="61" t="s">
        <v>71</v>
      </c>
      <c r="E17" s="38" t="s">
        <v>1274</v>
      </c>
      <c r="F17" s="39" t="s">
        <v>1275</v>
      </c>
      <c r="G17" s="39">
        <v>15</v>
      </c>
      <c r="H17" s="39"/>
      <c r="I17" s="40" t="s">
        <v>261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6.5913498475274404E-2</v>
      </c>
      <c r="V17" s="48">
        <f t="shared" si="2"/>
        <v>104</v>
      </c>
      <c r="W17" s="49">
        <f t="shared" si="3"/>
        <v>4.3942332316849603E-3</v>
      </c>
      <c r="X17" s="44">
        <f t="shared" si="4"/>
        <v>825.87438444069164</v>
      </c>
      <c r="Y17" s="44">
        <f t="shared" si="5"/>
        <v>1612</v>
      </c>
      <c r="Z17" s="44">
        <f t="shared" si="6"/>
        <v>3681.718112307351</v>
      </c>
      <c r="AA17" s="50">
        <f t="shared" si="7"/>
        <v>3987.8743844406918</v>
      </c>
      <c r="AB17" s="51">
        <f t="shared" si="8"/>
        <v>3441.8230460010759</v>
      </c>
      <c r="AC17" s="44">
        <f t="shared" si="8"/>
        <v>3728.0306482571668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1.5603239599710379</v>
      </c>
      <c r="AP17" s="47">
        <f t="shared" si="16"/>
        <v>1.5845885987775477</v>
      </c>
      <c r="AQ17">
        <v>2021</v>
      </c>
    </row>
    <row r="18" spans="1:43" ht="13.5" customHeight="1">
      <c r="A18" s="59">
        <f>A6+A8</f>
        <v>837852.2300000001</v>
      </c>
      <c r="B18" s="97" t="s">
        <v>70</v>
      </c>
      <c r="C18" s="98">
        <v>18230524</v>
      </c>
      <c r="D18" s="61" t="s">
        <v>71</v>
      </c>
      <c r="E18" s="38" t="s">
        <v>1276</v>
      </c>
      <c r="F18" s="39" t="s">
        <v>1277</v>
      </c>
      <c r="G18" s="39">
        <v>15</v>
      </c>
      <c r="H18" s="39"/>
      <c r="I18" s="40" t="s">
        <v>261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5.545533620114871E-2</v>
      </c>
      <c r="V18" s="48">
        <f t="shared" si="2"/>
        <v>86</v>
      </c>
      <c r="W18" s="49">
        <f t="shared" si="3"/>
        <v>3.6970224134099138E-3</v>
      </c>
      <c r="X18" s="44">
        <f t="shared" si="4"/>
        <v>694.83706233944713</v>
      </c>
      <c r="Y18" s="44">
        <f t="shared" si="5"/>
        <v>1017.3800000000001</v>
      </c>
      <c r="Z18" s="44">
        <f t="shared" si="6"/>
        <v>3097.5584734354784</v>
      </c>
      <c r="AA18" s="50">
        <f t="shared" si="7"/>
        <v>2895.2170623394472</v>
      </c>
      <c r="AB18" s="51">
        <f t="shared" si="8"/>
        <v>2895.7263470463477</v>
      </c>
      <c r="AC18" s="44">
        <f t="shared" si="8"/>
        <v>2706.5691898097102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1.5603239599710381</v>
      </c>
      <c r="AP18" s="47">
        <f t="shared" si="16"/>
        <v>1.8363093541483935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1278</v>
      </c>
      <c r="F19" s="39" t="s">
        <v>1279</v>
      </c>
      <c r="G19" s="39">
        <v>15</v>
      </c>
      <c r="H19" s="39"/>
      <c r="I19" s="40" t="s">
        <v>261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9.8489489377688574E-2</v>
      </c>
      <c r="V19" s="48">
        <f t="shared" si="2"/>
        <v>113</v>
      </c>
      <c r="W19" s="49">
        <f t="shared" si="3"/>
        <v>6.5659659585125714E-3</v>
      </c>
      <c r="X19" s="44">
        <f t="shared" si="4"/>
        <v>1234.0408003709435</v>
      </c>
      <c r="Y19" s="44">
        <f t="shared" si="5"/>
        <v>3169.6499999999996</v>
      </c>
      <c r="Z19" s="44">
        <f t="shared" si="6"/>
        <v>5501.3092204438462</v>
      </c>
      <c r="AA19" s="50">
        <f t="shared" si="7"/>
        <v>5806.1908003709432</v>
      </c>
      <c r="AB19" s="51">
        <f t="shared" si="8"/>
        <v>5142.8524076319018</v>
      </c>
      <c r="AC19" s="44">
        <f t="shared" si="8"/>
        <v>5427.868374657327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1.5603239599710381</v>
      </c>
      <c r="AP19" s="47">
        <f t="shared" si="16"/>
        <v>1.6262309268327353</v>
      </c>
      <c r="AQ19">
        <v>2021</v>
      </c>
    </row>
    <row r="20" spans="1:43" ht="13.5" customHeight="1">
      <c r="A20" s="59">
        <f>A8+SUM(Q5:Q906)</f>
        <v>1146836.55</v>
      </c>
      <c r="B20" s="97" t="s">
        <v>70</v>
      </c>
      <c r="C20" s="98">
        <v>18230524</v>
      </c>
      <c r="D20" s="61" t="s">
        <v>71</v>
      </c>
      <c r="E20" s="38" t="s">
        <v>1280</v>
      </c>
      <c r="F20" s="39" t="s">
        <v>1281</v>
      </c>
      <c r="G20" s="39">
        <v>15</v>
      </c>
      <c r="H20" s="39"/>
      <c r="I20" s="40" t="s">
        <v>261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8.2920704115236082E-2</v>
      </c>
      <c r="V20" s="48">
        <f t="shared" si="2"/>
        <v>170</v>
      </c>
      <c r="W20" s="49">
        <f t="shared" si="3"/>
        <v>5.5280469410157393E-3</v>
      </c>
      <c r="X20" s="44">
        <f t="shared" si="4"/>
        <v>1038.9690587315504</v>
      </c>
      <c r="Y20" s="44">
        <f t="shared" si="5"/>
        <v>4491.3999999999996</v>
      </c>
      <c r="Z20" s="44">
        <f t="shared" si="6"/>
        <v>4631.6864570747166</v>
      </c>
      <c r="AA20" s="50">
        <f t="shared" si="7"/>
        <v>7511.8690587315505</v>
      </c>
      <c r="AB20" s="51">
        <f t="shared" si="8"/>
        <v>4329.8929205148324</v>
      </c>
      <c r="AC20" s="44">
        <f t="shared" si="8"/>
        <v>7022.407271881415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1.5603239599710377</v>
      </c>
      <c r="AP20" s="47">
        <f t="shared" si="16"/>
        <v>1.0582751679106241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1282</v>
      </c>
      <c r="F21" s="39" t="s">
        <v>1283</v>
      </c>
      <c r="G21" s="39">
        <v>15</v>
      </c>
      <c r="H21" s="39"/>
      <c r="I21" s="40" t="s">
        <v>261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5.1376991366093215E-2</v>
      </c>
      <c r="V21" s="48">
        <f t="shared" si="2"/>
        <v>202</v>
      </c>
      <c r="W21" s="49">
        <f t="shared" si="3"/>
        <v>3.4251327577395478E-3</v>
      </c>
      <c r="X21" s="44">
        <f t="shared" si="4"/>
        <v>643.73674740999741</v>
      </c>
      <c r="Y21" s="44">
        <f t="shared" si="5"/>
        <v>2242.1999999999998</v>
      </c>
      <c r="Z21" s="44">
        <f t="shared" si="6"/>
        <v>2869.7551191181301</v>
      </c>
      <c r="AA21" s="50">
        <f t="shared" si="7"/>
        <v>4273.4367474099972</v>
      </c>
      <c r="AB21" s="51">
        <f t="shared" ref="AB21:AC24" si="18">Z21/(1+ElecDiscountRate)^1</f>
        <v>2682.7663074863326</v>
      </c>
      <c r="AC21" s="44">
        <f t="shared" si="18"/>
        <v>3994.9862086659782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1.5603239599710381</v>
      </c>
      <c r="AP21" s="47">
        <f t="shared" si="16"/>
        <v>1.1525904628764492</v>
      </c>
      <c r="AQ21">
        <v>2021</v>
      </c>
    </row>
    <row r="22" spans="1:43" ht="13.5" customHeight="1">
      <c r="A22" s="60">
        <f>(SUM(AM5:AM1000)/(SUM(AB5:AB1000)))</f>
        <v>1.5522390139522972</v>
      </c>
      <c r="B22" s="97" t="s">
        <v>70</v>
      </c>
      <c r="C22" s="98">
        <v>18230524</v>
      </c>
      <c r="D22" s="61" t="s">
        <v>71</v>
      </c>
      <c r="E22" s="38" t="s">
        <v>1284</v>
      </c>
      <c r="F22" s="39" t="s">
        <v>1285</v>
      </c>
      <c r="G22" s="39">
        <v>15</v>
      </c>
      <c r="H22" s="39"/>
      <c r="I22" s="40" t="s">
        <v>261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6.0752107708917872E-3</v>
      </c>
      <c r="V22" s="48">
        <f t="shared" si="2"/>
        <v>75</v>
      </c>
      <c r="W22" s="49">
        <f t="shared" si="3"/>
        <v>4.0501405139278579E-4</v>
      </c>
      <c r="X22" s="44">
        <f t="shared" si="4"/>
        <v>76.120386139719713</v>
      </c>
      <c r="Y22" s="44">
        <f t="shared" si="5"/>
        <v>129</v>
      </c>
      <c r="Z22" s="44">
        <f t="shared" si="6"/>
        <v>339.34192614078023</v>
      </c>
      <c r="AA22" s="50">
        <f t="shared" si="7"/>
        <v>420.1203861397197</v>
      </c>
      <c r="AB22" s="51">
        <f t="shared" si="18"/>
        <v>317.2309302989438</v>
      </c>
      <c r="AC22" s="44">
        <f t="shared" si="18"/>
        <v>392.745990595232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1.5603239599710381</v>
      </c>
      <c r="AP22" s="47">
        <f t="shared" si="16"/>
        <v>1.3863447025979363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1286</v>
      </c>
      <c r="F23" s="39" t="s">
        <v>1287</v>
      </c>
      <c r="G23" s="39">
        <v>15</v>
      </c>
      <c r="H23" s="39"/>
      <c r="I23" s="40" t="s">
        <v>261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0.34114254576715192</v>
      </c>
      <c r="V23" s="48">
        <f t="shared" si="2"/>
        <v>100</v>
      </c>
      <c r="W23" s="49">
        <f t="shared" si="3"/>
        <v>2.2742836384476793E-2</v>
      </c>
      <c r="X23" s="44">
        <f t="shared" si="4"/>
        <v>4274.4035214223113</v>
      </c>
      <c r="Y23" s="44">
        <f t="shared" si="5"/>
        <v>-1274.2399999999998</v>
      </c>
      <c r="Z23" s="44">
        <f t="shared" si="6"/>
        <v>19055.136181259018</v>
      </c>
      <c r="AA23" s="50">
        <f t="shared" si="7"/>
        <v>13400.163521422312</v>
      </c>
      <c r="AB23" s="51">
        <f t="shared" si="18"/>
        <v>17813.532935644587</v>
      </c>
      <c r="AC23" s="44">
        <f t="shared" si="18"/>
        <v>12527.029561019268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1.5603239599710383</v>
      </c>
      <c r="AP23" s="47">
        <f t="shared" si="16"/>
        <v>2.4406720146554624</v>
      </c>
      <c r="AQ23">
        <v>2021</v>
      </c>
    </row>
    <row r="24" spans="1:43" ht="13.5" customHeight="1">
      <c r="A24" s="60">
        <f>(SUM(AN5:AN1000)/SUM(AC5:AC1000))</f>
        <v>1.2474328719870558</v>
      </c>
      <c r="B24" s="97" t="s">
        <v>70</v>
      </c>
      <c r="C24" s="98">
        <v>18230524</v>
      </c>
      <c r="D24" s="61" t="s">
        <v>71</v>
      </c>
      <c r="E24" s="38" t="s">
        <v>1288</v>
      </c>
      <c r="F24" s="39" t="s">
        <v>1289</v>
      </c>
      <c r="G24" s="39">
        <v>15</v>
      </c>
      <c r="H24" s="39"/>
      <c r="I24" s="40" t="s">
        <v>261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0.71421802391500799</v>
      </c>
      <c r="V24" s="48">
        <f t="shared" si="2"/>
        <v>240</v>
      </c>
      <c r="W24" s="49">
        <f t="shared" si="3"/>
        <v>4.76145349276672E-2</v>
      </c>
      <c r="X24" s="44">
        <f t="shared" si="4"/>
        <v>8948.9161477071611</v>
      </c>
      <c r="Y24" s="44">
        <f t="shared" si="5"/>
        <v>1196.7000000000007</v>
      </c>
      <c r="Z24" s="44">
        <f t="shared" si="6"/>
        <v>39893.944269558859</v>
      </c>
      <c r="AA24" s="50">
        <f t="shared" si="7"/>
        <v>35345.616147707158</v>
      </c>
      <c r="AB24" s="51">
        <f t="shared" si="18"/>
        <v>37294.516471495612</v>
      </c>
      <c r="AC24" s="44">
        <f t="shared" si="18"/>
        <v>33042.550385815797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1.5603239599710379</v>
      </c>
      <c r="AP24" s="47">
        <f t="shared" si="16"/>
        <v>1.937219725511502</v>
      </c>
      <c r="AQ24">
        <v>2021</v>
      </c>
    </row>
    <row r="25" spans="1:43" ht="13.5" customHeight="1">
      <c r="B25" s="97" t="s">
        <v>70</v>
      </c>
      <c r="C25" s="98">
        <v>18230524</v>
      </c>
      <c r="D25" s="61" t="s">
        <v>71</v>
      </c>
      <c r="E25" s="38" t="s">
        <v>1290</v>
      </c>
      <c r="F25" s="39" t="s">
        <v>1291</v>
      </c>
      <c r="G25" s="39">
        <v>15</v>
      </c>
      <c r="H25" s="39"/>
      <c r="I25" s="40" t="s">
        <v>261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2.436853345427346E-2</v>
      </c>
      <c r="V25" s="48">
        <f t="shared" ref="V25:V59" si="21">N25-M25</f>
        <v>150</v>
      </c>
      <c r="W25" s="49">
        <f t="shared" ref="W25:W59" si="22">(O25/A$10)</f>
        <v>1.6245688969515641E-3</v>
      </c>
      <c r="X25" s="44">
        <f t="shared" ref="X25:X59" si="23">W25*A$8</f>
        <v>305.32968256600662</v>
      </c>
      <c r="Y25" s="44">
        <f t="shared" ref="Y25:Y59" si="24">Q25-P25</f>
        <v>-300</v>
      </c>
      <c r="Z25" s="44">
        <f t="shared" ref="Z25:Z59" si="25">X25+(A$6*W25)</f>
        <v>1361.1486730995082</v>
      </c>
      <c r="AA25" s="50">
        <f t="shared" ref="AA25:AA59" si="26">Q25+X25</f>
        <v>305.32968256600662</v>
      </c>
      <c r="AB25" s="51">
        <f t="shared" ref="AB25:AB59" si="27">Z25/(1+ElecDiscountRate)^1</f>
        <v>1272.4583276615015</v>
      </c>
      <c r="AC25" s="44">
        <f t="shared" ref="AC25:AC59" si="28">AA25/(1+ElecDiscountRate)^1</f>
        <v>285.43487198841416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1.5603239599710383</v>
      </c>
      <c r="AP25" s="47">
        <f t="shared" ref="AP25:AP59" si="37">AN25/AC25</f>
        <v>7.6514545092971673</v>
      </c>
      <c r="AQ25">
        <v>2021</v>
      </c>
    </row>
    <row r="26" spans="1:43" ht="13.5" customHeight="1">
      <c r="B26" s="97" t="s">
        <v>70</v>
      </c>
      <c r="C26" s="98">
        <v>18230524</v>
      </c>
      <c r="D26" s="61" t="s">
        <v>71</v>
      </c>
      <c r="E26" s="38" t="s">
        <v>1292</v>
      </c>
      <c r="F26" s="39" t="s">
        <v>1293</v>
      </c>
      <c r="G26" s="39">
        <v>15</v>
      </c>
      <c r="H26" s="39"/>
      <c r="I26" s="40" t="s">
        <v>261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2.538388901486819E-2</v>
      </c>
      <c r="V26" s="48">
        <f t="shared" si="21"/>
        <v>232</v>
      </c>
      <c r="W26" s="49">
        <f t="shared" si="22"/>
        <v>1.6922592676578794E-3</v>
      </c>
      <c r="X26" s="44">
        <f t="shared" si="23"/>
        <v>318.05175267292361</v>
      </c>
      <c r="Y26" s="44">
        <f t="shared" si="24"/>
        <v>-500</v>
      </c>
      <c r="Z26" s="44">
        <f t="shared" si="25"/>
        <v>1417.8632011453212</v>
      </c>
      <c r="AA26" s="50">
        <f t="shared" si="26"/>
        <v>318.05175267292361</v>
      </c>
      <c r="AB26" s="51">
        <f t="shared" si="27"/>
        <v>1325.4774246473976</v>
      </c>
      <c r="AC26" s="44">
        <f t="shared" si="28"/>
        <v>297.32799165459812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1.5603239599710379</v>
      </c>
      <c r="AP26" s="47">
        <f t="shared" si="37"/>
        <v>7.6514545092971655</v>
      </c>
      <c r="AQ26">
        <v>2021</v>
      </c>
    </row>
    <row r="27" spans="1:43" ht="13.5" customHeight="1">
      <c r="B27" s="97" t="s">
        <v>70</v>
      </c>
      <c r="C27" s="98">
        <v>18230524</v>
      </c>
      <c r="D27" s="61" t="s">
        <v>71</v>
      </c>
      <c r="E27" s="38" t="s">
        <v>1294</v>
      </c>
      <c r="F27" s="39" t="s">
        <v>1295</v>
      </c>
      <c r="G27" s="39">
        <v>11</v>
      </c>
      <c r="H27" s="39"/>
      <c r="I27" s="40" t="s">
        <v>255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0.12914984278911404</v>
      </c>
      <c r="V27" s="48">
        <f t="shared" si="21"/>
        <v>251.55999999999995</v>
      </c>
      <c r="W27" s="49">
        <f t="shared" si="22"/>
        <v>1.1740894799010367E-2</v>
      </c>
      <c r="X27" s="44">
        <f t="shared" si="23"/>
        <v>2206.6430600447438</v>
      </c>
      <c r="Y27" s="44">
        <f t="shared" si="24"/>
        <v>251.55999999999995</v>
      </c>
      <c r="Z27" s="44">
        <f t="shared" si="25"/>
        <v>9837.1348895462397</v>
      </c>
      <c r="AA27" s="50">
        <f t="shared" si="26"/>
        <v>2958.2030600447438</v>
      </c>
      <c r="AB27" s="51">
        <f t="shared" si="27"/>
        <v>9196.1623722036456</v>
      </c>
      <c r="AC27" s="44">
        <f t="shared" si="28"/>
        <v>2765.4511171774734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0.87170983326733031</v>
      </c>
      <c r="AP27" s="47">
        <f t="shared" si="37"/>
        <v>3.1886384214920591</v>
      </c>
      <c r="AQ27">
        <v>2021</v>
      </c>
    </row>
    <row r="28" spans="1:43" ht="13.5" customHeight="1">
      <c r="B28" s="97" t="s">
        <v>70</v>
      </c>
      <c r="C28" s="98">
        <v>18230524</v>
      </c>
      <c r="D28" s="61" t="s">
        <v>71</v>
      </c>
      <c r="E28" s="38" t="s">
        <v>1296</v>
      </c>
      <c r="F28" s="39" t="s">
        <v>1297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70</v>
      </c>
      <c r="C29" s="61">
        <v>18230524</v>
      </c>
      <c r="D29" s="61" t="s">
        <v>71</v>
      </c>
      <c r="E29" s="38" t="s">
        <v>2169</v>
      </c>
      <c r="F29" s="39" t="s">
        <v>2170</v>
      </c>
      <c r="G29" s="39">
        <v>15</v>
      </c>
      <c r="H29" s="39"/>
      <c r="I29" s="40" t="s">
        <v>261</v>
      </c>
      <c r="J29" s="41">
        <v>0</v>
      </c>
      <c r="K29" s="41"/>
      <c r="L29" s="41"/>
      <c r="M29" s="42">
        <v>75</v>
      </c>
      <c r="N29" s="42">
        <v>236</v>
      </c>
      <c r="O29" s="43">
        <v>0</v>
      </c>
      <c r="P29" s="44">
        <v>219.75</v>
      </c>
      <c r="Q29" s="44">
        <v>0</v>
      </c>
      <c r="R29" s="45">
        <v>0</v>
      </c>
      <c r="S29" s="46">
        <v>0</v>
      </c>
      <c r="T29" s="39">
        <f t="shared" si="19"/>
        <v>15</v>
      </c>
      <c r="U29" s="47">
        <f t="shared" si="20"/>
        <v>0</v>
      </c>
      <c r="V29" s="48">
        <f t="shared" si="21"/>
        <v>161</v>
      </c>
      <c r="W29" s="49">
        <f t="shared" si="22"/>
        <v>0</v>
      </c>
      <c r="X29" s="44">
        <f t="shared" si="23"/>
        <v>0</v>
      </c>
      <c r="Y29" s="44">
        <f t="shared" si="24"/>
        <v>-219.75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1.3787827893853604</v>
      </c>
      <c r="AG29" s="44">
        <f t="shared" si="31"/>
        <v>0</v>
      </c>
      <c r="AH29" s="52">
        <f>HLOOKUP(I29,ElecAvoidedCostsWOCC!$A$5:$Q$50,T29+1,FALSE)</f>
        <v>1.3787827893853604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  <c r="AQ29">
        <v>2020</v>
      </c>
    </row>
    <row r="30" spans="1:43">
      <c r="B30" s="97" t="s">
        <v>70</v>
      </c>
      <c r="C30" s="61">
        <v>18230524</v>
      </c>
      <c r="D30" s="61" t="s">
        <v>71</v>
      </c>
      <c r="E30" s="38" t="s">
        <v>2171</v>
      </c>
      <c r="F30" s="39" t="s">
        <v>2172</v>
      </c>
      <c r="G30" s="39">
        <v>15</v>
      </c>
      <c r="H30" s="39"/>
      <c r="I30" s="40" t="s">
        <v>261</v>
      </c>
      <c r="J30" s="41">
        <v>1</v>
      </c>
      <c r="K30" s="41">
        <v>170</v>
      </c>
      <c r="L30" s="41"/>
      <c r="M30" s="42">
        <v>50</v>
      </c>
      <c r="N30" s="42">
        <v>145</v>
      </c>
      <c r="O30" s="43">
        <v>170</v>
      </c>
      <c r="P30" s="44">
        <v>250</v>
      </c>
      <c r="Q30" s="44">
        <v>725</v>
      </c>
      <c r="R30" s="45">
        <v>0</v>
      </c>
      <c r="S30" s="46">
        <v>0</v>
      </c>
      <c r="T30" s="39">
        <f t="shared" si="19"/>
        <v>15</v>
      </c>
      <c r="U30" s="47">
        <f t="shared" si="20"/>
        <v>2.8768407550183949E-3</v>
      </c>
      <c r="V30" s="48">
        <f t="shared" si="21"/>
        <v>95</v>
      </c>
      <c r="W30" s="49">
        <f t="shared" si="22"/>
        <v>1.9178938366789299E-4</v>
      </c>
      <c r="X30" s="44">
        <f t="shared" si="23"/>
        <v>36.04586530293134</v>
      </c>
      <c r="Y30" s="44">
        <f t="shared" si="24"/>
        <v>475</v>
      </c>
      <c r="Z30" s="44">
        <f t="shared" si="25"/>
        <v>160.69116279646974</v>
      </c>
      <c r="AA30" s="50">
        <f t="shared" si="26"/>
        <v>761.04586530293136</v>
      </c>
      <c r="AB30" s="51">
        <f t="shared" si="27"/>
        <v>150.2207747933717</v>
      </c>
      <c r="AC30" s="44">
        <f t="shared" si="28"/>
        <v>711.45729204723875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1.3787827893853604</v>
      </c>
      <c r="AG30" s="44">
        <f t="shared" si="31"/>
        <v>234.39307419551128</v>
      </c>
      <c r="AH30" s="52">
        <f>HLOOKUP(I30,ElecAvoidedCostsWOCC!$A$5:$Q$50,T30+1,FALSE)</f>
        <v>1.3787827893853604</v>
      </c>
      <c r="AI30" s="44">
        <f t="shared" si="32"/>
        <v>0</v>
      </c>
      <c r="AJ30" s="44">
        <f t="shared" si="33"/>
        <v>234.39307419551128</v>
      </c>
      <c r="AK30" s="44">
        <f>HLOOKUP(I30,ElecAvoidedCostsWOCC!$A$5:$Q$50,G30+1,FALSE)*J30*L30</f>
        <v>0</v>
      </c>
      <c r="AL30" s="44">
        <f t="shared" si="34"/>
        <v>234.39307419551128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234.39307419551128</v>
      </c>
      <c r="AN30" s="48">
        <f t="shared" si="35"/>
        <v>257.83238161506245</v>
      </c>
      <c r="AO30" s="47">
        <f t="shared" si="36"/>
        <v>1.5603239599710383</v>
      </c>
      <c r="AP30" s="47">
        <f t="shared" si="37"/>
        <v>0.36240036400940157</v>
      </c>
      <c r="AQ30">
        <v>2020</v>
      </c>
    </row>
    <row r="31" spans="1:43">
      <c r="B31" s="97" t="s">
        <v>70</v>
      </c>
      <c r="C31" s="61">
        <v>18230524</v>
      </c>
      <c r="D31" s="61" t="s">
        <v>71</v>
      </c>
      <c r="E31" s="38" t="s">
        <v>1250</v>
      </c>
      <c r="F31" s="39" t="s">
        <v>1251</v>
      </c>
      <c r="G31" s="39">
        <v>15</v>
      </c>
      <c r="H31" s="39"/>
      <c r="I31" s="40" t="s">
        <v>261</v>
      </c>
      <c r="J31" s="41">
        <v>2</v>
      </c>
      <c r="K31" s="41">
        <v>230</v>
      </c>
      <c r="L31" s="41"/>
      <c r="M31" s="42">
        <v>75</v>
      </c>
      <c r="N31" s="42">
        <v>236</v>
      </c>
      <c r="O31" s="43">
        <v>460</v>
      </c>
      <c r="P31" s="44">
        <v>219.75</v>
      </c>
      <c r="Q31" s="44">
        <v>1382.96</v>
      </c>
      <c r="R31" s="45">
        <v>0</v>
      </c>
      <c r="S31" s="46">
        <v>0</v>
      </c>
      <c r="T31" s="39">
        <f t="shared" si="19"/>
        <v>15</v>
      </c>
      <c r="U31" s="47">
        <f t="shared" si="20"/>
        <v>7.784392631226246E-3</v>
      </c>
      <c r="V31" s="48">
        <f t="shared" si="21"/>
        <v>161</v>
      </c>
      <c r="W31" s="49">
        <f t="shared" si="22"/>
        <v>5.1895950874841638E-4</v>
      </c>
      <c r="X31" s="44">
        <f t="shared" si="23"/>
        <v>97.535870819696584</v>
      </c>
      <c r="Y31" s="44">
        <f t="shared" si="24"/>
        <v>1163.21</v>
      </c>
      <c r="Z31" s="44">
        <f t="shared" si="25"/>
        <v>434.81138168456522</v>
      </c>
      <c r="AA31" s="50">
        <f t="shared" si="26"/>
        <v>1480.4958708196966</v>
      </c>
      <c r="AB31" s="51">
        <f t="shared" si="27"/>
        <v>406.47974355853529</v>
      </c>
      <c r="AC31" s="44">
        <f t="shared" si="28"/>
        <v>1384.0290462930695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1.3787827893853604</v>
      </c>
      <c r="AG31" s="44">
        <f t="shared" si="31"/>
        <v>634.24008311726573</v>
      </c>
      <c r="AH31" s="52">
        <f>HLOOKUP(I31,ElecAvoidedCostsWOCC!$A$5:$Q$50,T31+1,FALSE)</f>
        <v>1.3787827893853604</v>
      </c>
      <c r="AI31" s="44">
        <f t="shared" si="32"/>
        <v>0</v>
      </c>
      <c r="AJ31" s="44">
        <f t="shared" si="33"/>
        <v>634.24008311726573</v>
      </c>
      <c r="AK31" s="44">
        <f>HLOOKUP(I31,ElecAvoidedCostsWOCC!$A$5:$Q$50,G31+1,FALSE)*J31*L31</f>
        <v>0</v>
      </c>
      <c r="AL31" s="44">
        <f t="shared" si="34"/>
        <v>634.24008311726573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634.24008311726573</v>
      </c>
      <c r="AN31" s="48">
        <f t="shared" si="35"/>
        <v>697.66409142899238</v>
      </c>
      <c r="AO31" s="47">
        <f t="shared" si="36"/>
        <v>1.5603239599710379</v>
      </c>
      <c r="AP31" s="47">
        <f t="shared" si="37"/>
        <v>0.50408197233836183</v>
      </c>
      <c r="AQ31">
        <v>2020</v>
      </c>
    </row>
    <row r="32" spans="1:43">
      <c r="B32" s="97" t="s">
        <v>70</v>
      </c>
      <c r="C32" s="61">
        <v>18230524</v>
      </c>
      <c r="D32" s="61" t="s">
        <v>71</v>
      </c>
      <c r="E32" s="38" t="s">
        <v>2173</v>
      </c>
      <c r="F32" s="39" t="s">
        <v>2174</v>
      </c>
      <c r="G32" s="39">
        <v>15</v>
      </c>
      <c r="H32" s="39"/>
      <c r="I32" s="40" t="s">
        <v>261</v>
      </c>
      <c r="J32" s="41">
        <v>4</v>
      </c>
      <c r="K32" s="41">
        <v>455.25</v>
      </c>
      <c r="L32" s="41"/>
      <c r="M32" s="42">
        <v>125</v>
      </c>
      <c r="N32" s="42">
        <v>384</v>
      </c>
      <c r="O32" s="43">
        <v>1821</v>
      </c>
      <c r="P32" s="44">
        <v>2443.75</v>
      </c>
      <c r="Q32" s="44">
        <v>7507.2</v>
      </c>
      <c r="R32" s="45">
        <v>0</v>
      </c>
      <c r="S32" s="46">
        <v>0</v>
      </c>
      <c r="T32" s="39">
        <f t="shared" si="19"/>
        <v>15</v>
      </c>
      <c r="U32" s="47">
        <f t="shared" si="20"/>
        <v>3.0816041264049986E-2</v>
      </c>
      <c r="V32" s="48">
        <f t="shared" si="21"/>
        <v>259</v>
      </c>
      <c r="W32" s="49">
        <f t="shared" si="22"/>
        <v>2.0544027509366656E-3</v>
      </c>
      <c r="X32" s="44">
        <f t="shared" si="23"/>
        <v>386.11482774492924</v>
      </c>
      <c r="Y32" s="44">
        <f t="shared" si="24"/>
        <v>5063.45</v>
      </c>
      <c r="Z32" s="44">
        <f t="shared" si="25"/>
        <v>1721.28592619042</v>
      </c>
      <c r="AA32" s="50">
        <f t="shared" si="26"/>
        <v>7893.3148277449291</v>
      </c>
      <c r="AB32" s="51">
        <f t="shared" si="27"/>
        <v>1609.1295935219407</v>
      </c>
      <c r="AC32" s="44">
        <f t="shared" si="28"/>
        <v>7378.9986236747955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1.3787827893853604</v>
      </c>
      <c r="AG32" s="44">
        <f t="shared" si="31"/>
        <v>2510.7634594707411</v>
      </c>
      <c r="AH32" s="52">
        <f>HLOOKUP(I32,ElecAvoidedCostsWOCC!$A$5:$Q$50,T32+1,FALSE)</f>
        <v>1.3787827893853604</v>
      </c>
      <c r="AI32" s="44">
        <f t="shared" si="32"/>
        <v>0</v>
      </c>
      <c r="AJ32" s="44">
        <f t="shared" si="33"/>
        <v>2510.7634594707411</v>
      </c>
      <c r="AK32" s="44">
        <f>HLOOKUP(I32,ElecAvoidedCostsWOCC!$A$5:$Q$50,G32+1,FALSE)*J32*L32</f>
        <v>0</v>
      </c>
      <c r="AL32" s="44">
        <f t="shared" si="34"/>
        <v>2510.7634594707411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2510.7634594707411</v>
      </c>
      <c r="AN32" s="48">
        <f t="shared" si="35"/>
        <v>2761.8398054178156</v>
      </c>
      <c r="AO32" s="47">
        <f t="shared" si="36"/>
        <v>1.5603239599710379</v>
      </c>
      <c r="AP32" s="47">
        <f t="shared" si="37"/>
        <v>0.37428382173113878</v>
      </c>
      <c r="AQ32">
        <v>2020</v>
      </c>
    </row>
    <row r="33" spans="2:43">
      <c r="B33" s="97" t="s">
        <v>70</v>
      </c>
      <c r="C33" s="61">
        <v>18230524</v>
      </c>
      <c r="D33" s="61" t="s">
        <v>71</v>
      </c>
      <c r="E33" s="38" t="s">
        <v>1252</v>
      </c>
      <c r="F33" s="39" t="s">
        <v>1253</v>
      </c>
      <c r="G33" s="39">
        <v>15</v>
      </c>
      <c r="H33" s="39"/>
      <c r="I33" s="40" t="s">
        <v>261</v>
      </c>
      <c r="J33" s="41">
        <v>33</v>
      </c>
      <c r="K33" s="41">
        <v>382.78787878787881</v>
      </c>
      <c r="L33" s="41"/>
      <c r="M33" s="42">
        <v>40</v>
      </c>
      <c r="N33" s="42">
        <v>101</v>
      </c>
      <c r="O33" s="43">
        <v>12632</v>
      </c>
      <c r="P33" s="44">
        <v>9912</v>
      </c>
      <c r="Q33" s="44">
        <v>26209.8</v>
      </c>
      <c r="R33" s="45">
        <v>0</v>
      </c>
      <c r="S33" s="46">
        <v>0</v>
      </c>
      <c r="T33" s="39">
        <f t="shared" si="19"/>
        <v>15</v>
      </c>
      <c r="U33" s="47">
        <f t="shared" si="20"/>
        <v>0.21376619069054331</v>
      </c>
      <c r="V33" s="48">
        <f t="shared" si="21"/>
        <v>61</v>
      </c>
      <c r="W33" s="49">
        <f t="shared" si="22"/>
        <v>1.4251079379369555E-2</v>
      </c>
      <c r="X33" s="44">
        <f t="shared" si="23"/>
        <v>2678.4198265095806</v>
      </c>
      <c r="Y33" s="44">
        <f t="shared" si="24"/>
        <v>16297.8</v>
      </c>
      <c r="Z33" s="44">
        <f t="shared" si="25"/>
        <v>11940.298637911799</v>
      </c>
      <c r="AA33" s="50">
        <f t="shared" si="26"/>
        <v>28888.219826509579</v>
      </c>
      <c r="AB33" s="51">
        <f t="shared" si="27"/>
        <v>11162.287218763951</v>
      </c>
      <c r="AC33" s="44">
        <f t="shared" si="28"/>
        <v>27005.908036374291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1.3787827893853604</v>
      </c>
      <c r="AG33" s="44">
        <f t="shared" si="31"/>
        <v>17416.784195515873</v>
      </c>
      <c r="AH33" s="52">
        <f>HLOOKUP(I33,ElecAvoidedCostsWOCC!$A$5:$Q$50,T33+1,FALSE)</f>
        <v>1.3787827893853604</v>
      </c>
      <c r="AI33" s="44">
        <f t="shared" si="32"/>
        <v>0</v>
      </c>
      <c r="AJ33" s="44">
        <f t="shared" si="33"/>
        <v>17416.784195515873</v>
      </c>
      <c r="AK33" s="44">
        <f>HLOOKUP(I33,ElecAvoidedCostsWOCC!$A$5:$Q$50,G33+1,FALSE)*J33*L33</f>
        <v>0</v>
      </c>
      <c r="AL33" s="44">
        <f t="shared" si="34"/>
        <v>17416.784195515873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17416.784195515873</v>
      </c>
      <c r="AN33" s="48">
        <f t="shared" si="35"/>
        <v>19158.462615067463</v>
      </c>
      <c r="AO33" s="47">
        <f t="shared" si="36"/>
        <v>1.5603239599710379</v>
      </c>
      <c r="AP33" s="47">
        <f t="shared" si="37"/>
        <v>0.70941745744164231</v>
      </c>
      <c r="AQ33">
        <v>2020</v>
      </c>
    </row>
    <row r="34" spans="2:43">
      <c r="B34" s="97" t="s">
        <v>70</v>
      </c>
      <c r="C34" s="61">
        <v>18230524</v>
      </c>
      <c r="D34" s="61" t="s">
        <v>71</v>
      </c>
      <c r="E34" s="38" t="s">
        <v>1254</v>
      </c>
      <c r="F34" s="39" t="s">
        <v>1255</v>
      </c>
      <c r="G34" s="39">
        <v>15</v>
      </c>
      <c r="H34" s="39"/>
      <c r="I34" s="40" t="s">
        <v>261</v>
      </c>
      <c r="J34" s="41">
        <v>28</v>
      </c>
      <c r="K34" s="41">
        <v>772.32142857142856</v>
      </c>
      <c r="L34" s="41"/>
      <c r="M34" s="42">
        <v>65</v>
      </c>
      <c r="N34" s="42">
        <v>191</v>
      </c>
      <c r="O34" s="43">
        <v>21625</v>
      </c>
      <c r="P34" s="44">
        <v>15334.15</v>
      </c>
      <c r="Q34" s="44">
        <v>45058.81</v>
      </c>
      <c r="R34" s="45">
        <v>0</v>
      </c>
      <c r="S34" s="46">
        <v>0</v>
      </c>
      <c r="T34" s="39">
        <f t="shared" si="19"/>
        <v>15</v>
      </c>
      <c r="U34" s="47">
        <f t="shared" si="20"/>
        <v>0.3659510666310164</v>
      </c>
      <c r="V34" s="48">
        <f t="shared" si="21"/>
        <v>126</v>
      </c>
      <c r="W34" s="49">
        <f t="shared" si="22"/>
        <v>2.4396737775401092E-2</v>
      </c>
      <c r="X34" s="44">
        <f t="shared" si="23"/>
        <v>4585.2461010346478</v>
      </c>
      <c r="Y34" s="44">
        <f t="shared" si="24"/>
        <v>29724.659999999996</v>
      </c>
      <c r="Z34" s="44">
        <f t="shared" si="25"/>
        <v>20440.861149845045</v>
      </c>
      <c r="AA34" s="50">
        <f t="shared" si="26"/>
        <v>49644.056101034643</v>
      </c>
      <c r="AB34" s="51">
        <f t="shared" si="27"/>
        <v>19108.966205333312</v>
      </c>
      <c r="AC34" s="44">
        <f t="shared" si="28"/>
        <v>46409.326073697892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1.3787827893853604</v>
      </c>
      <c r="AG34" s="44">
        <f t="shared" si="31"/>
        <v>29816.177820458419</v>
      </c>
      <c r="AH34" s="52">
        <f>HLOOKUP(I34,ElecAvoidedCostsWOCC!$A$5:$Q$50,T34+1,FALSE)</f>
        <v>1.3787827893853604</v>
      </c>
      <c r="AI34" s="44">
        <f t="shared" si="32"/>
        <v>0</v>
      </c>
      <c r="AJ34" s="44">
        <f t="shared" si="33"/>
        <v>29816.177820458419</v>
      </c>
      <c r="AK34" s="44">
        <f>HLOOKUP(I34,ElecAvoidedCostsWOCC!$A$5:$Q$50,G34+1,FALSE)*J34*L34</f>
        <v>0</v>
      </c>
      <c r="AL34" s="44">
        <f t="shared" si="34"/>
        <v>29816.177820458419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29816.177820458415</v>
      </c>
      <c r="AN34" s="48">
        <f t="shared" si="35"/>
        <v>32797.795602504259</v>
      </c>
      <c r="AO34" s="47">
        <f t="shared" si="36"/>
        <v>1.5603239599710381</v>
      </c>
      <c r="AP34" s="47">
        <f t="shared" si="37"/>
        <v>0.70670700002024256</v>
      </c>
      <c r="AQ34">
        <v>2020</v>
      </c>
    </row>
    <row r="35" spans="2:43">
      <c r="B35" s="97" t="s">
        <v>70</v>
      </c>
      <c r="C35" s="61">
        <v>18230524</v>
      </c>
      <c r="D35" s="61" t="s">
        <v>71</v>
      </c>
      <c r="E35" s="38" t="s">
        <v>1256</v>
      </c>
      <c r="F35" s="39" t="s">
        <v>1257</v>
      </c>
      <c r="G35" s="39">
        <v>15</v>
      </c>
      <c r="H35" s="39"/>
      <c r="I35" s="40" t="s">
        <v>261</v>
      </c>
      <c r="J35" s="41">
        <v>7</v>
      </c>
      <c r="K35" s="41">
        <v>1873.2857142857142</v>
      </c>
      <c r="L35" s="41"/>
      <c r="M35" s="42">
        <v>125</v>
      </c>
      <c r="N35" s="42">
        <v>298</v>
      </c>
      <c r="O35" s="43">
        <v>13113</v>
      </c>
      <c r="P35" s="44">
        <v>7147.5</v>
      </c>
      <c r="Q35" s="44">
        <v>17039.64</v>
      </c>
      <c r="R35" s="45">
        <v>0</v>
      </c>
      <c r="S35" s="46">
        <v>0</v>
      </c>
      <c r="T35" s="39">
        <f t="shared" si="19"/>
        <v>15</v>
      </c>
      <c r="U35" s="47">
        <f t="shared" si="20"/>
        <v>0.22190595776797772</v>
      </c>
      <c r="V35" s="48">
        <f t="shared" si="21"/>
        <v>173</v>
      </c>
      <c r="W35" s="49">
        <f t="shared" si="22"/>
        <v>1.4793730517865181E-2</v>
      </c>
      <c r="X35" s="44">
        <f t="shared" si="23"/>
        <v>2780.4084218666981</v>
      </c>
      <c r="Y35" s="44">
        <f t="shared" si="24"/>
        <v>9892.14</v>
      </c>
      <c r="Z35" s="44">
        <f t="shared" si="25"/>
        <v>12394.960104412397</v>
      </c>
      <c r="AA35" s="50">
        <f t="shared" si="26"/>
        <v>19820.048421866697</v>
      </c>
      <c r="AB35" s="51">
        <f t="shared" si="27"/>
        <v>11587.323646267549</v>
      </c>
      <c r="AC35" s="44">
        <f t="shared" si="28"/>
        <v>18528.604675952785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1.3787827893853604</v>
      </c>
      <c r="AG35" s="44">
        <f t="shared" si="31"/>
        <v>18079.97871721023</v>
      </c>
      <c r="AH35" s="52">
        <f>HLOOKUP(I35,ElecAvoidedCostsWOCC!$A$5:$Q$50,T35+1,FALSE)</f>
        <v>1.3787827893853604</v>
      </c>
      <c r="AI35" s="44">
        <f t="shared" si="32"/>
        <v>0</v>
      </c>
      <c r="AJ35" s="44">
        <f t="shared" si="33"/>
        <v>18079.97871721023</v>
      </c>
      <c r="AK35" s="44">
        <f>HLOOKUP(I35,ElecAvoidedCostsWOCC!$A$5:$Q$50,G35+1,FALSE)*J35*L35</f>
        <v>0</v>
      </c>
      <c r="AL35" s="44">
        <f t="shared" si="34"/>
        <v>18079.97871721023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18079.97871721023</v>
      </c>
      <c r="AN35" s="48">
        <f t="shared" si="35"/>
        <v>19887.976588931255</v>
      </c>
      <c r="AO35" s="47">
        <f t="shared" si="36"/>
        <v>1.5603239599710381</v>
      </c>
      <c r="AP35" s="47">
        <f t="shared" si="37"/>
        <v>1.0733661242577386</v>
      </c>
      <c r="AQ35">
        <v>2020</v>
      </c>
    </row>
    <row r="36" spans="2:43">
      <c r="B36" s="97" t="s">
        <v>70</v>
      </c>
      <c r="C36" s="61">
        <v>18230524</v>
      </c>
      <c r="D36" s="61" t="s">
        <v>71</v>
      </c>
      <c r="E36" s="38" t="s">
        <v>1258</v>
      </c>
      <c r="F36" s="39" t="s">
        <v>1259</v>
      </c>
      <c r="G36" s="39">
        <v>15</v>
      </c>
      <c r="H36" s="39"/>
      <c r="I36" s="40" t="s">
        <v>261</v>
      </c>
      <c r="J36" s="41">
        <v>5</v>
      </c>
      <c r="K36" s="41">
        <v>809.2</v>
      </c>
      <c r="L36" s="41"/>
      <c r="M36" s="42">
        <v>40</v>
      </c>
      <c r="N36" s="42">
        <v>89</v>
      </c>
      <c r="O36" s="43">
        <v>4046</v>
      </c>
      <c r="P36" s="44">
        <v>2779.6</v>
      </c>
      <c r="Q36" s="44">
        <v>6184.61</v>
      </c>
      <c r="R36" s="45">
        <v>0</v>
      </c>
      <c r="S36" s="46">
        <v>0</v>
      </c>
      <c r="T36" s="39">
        <f t="shared" si="19"/>
        <v>15</v>
      </c>
      <c r="U36" s="47">
        <f t="shared" si="20"/>
        <v>6.8468809969437799E-2</v>
      </c>
      <c r="V36" s="48">
        <f t="shared" si="21"/>
        <v>49</v>
      </c>
      <c r="W36" s="49">
        <f t="shared" si="22"/>
        <v>4.5645873312958529E-3</v>
      </c>
      <c r="X36" s="44">
        <f t="shared" si="23"/>
        <v>857.8915942097658</v>
      </c>
      <c r="Y36" s="44">
        <f t="shared" si="24"/>
        <v>3405.0099999999998</v>
      </c>
      <c r="Z36" s="44">
        <f t="shared" si="25"/>
        <v>3824.44967455598</v>
      </c>
      <c r="AA36" s="50">
        <f t="shared" si="26"/>
        <v>7042.5015942097652</v>
      </c>
      <c r="AB36" s="51">
        <f t="shared" si="27"/>
        <v>3575.2544400822471</v>
      </c>
      <c r="AC36" s="44">
        <f t="shared" si="28"/>
        <v>6583.6230664763625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1.3787827893853604</v>
      </c>
      <c r="AG36" s="44">
        <f t="shared" si="31"/>
        <v>5578.5551658531676</v>
      </c>
      <c r="AH36" s="52">
        <f>HLOOKUP(I36,ElecAvoidedCostsWOCC!$A$5:$Q$50,T36+1,FALSE)</f>
        <v>1.3787827893853604</v>
      </c>
      <c r="AI36" s="44">
        <f t="shared" si="32"/>
        <v>0</v>
      </c>
      <c r="AJ36" s="44">
        <f t="shared" si="33"/>
        <v>5578.5551658531676</v>
      </c>
      <c r="AK36" s="44">
        <f>HLOOKUP(I36,ElecAvoidedCostsWOCC!$A$5:$Q$50,G36+1,FALSE)*J36*L36</f>
        <v>0</v>
      </c>
      <c r="AL36" s="44">
        <f t="shared" si="34"/>
        <v>5578.5551658531676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5578.5551658531685</v>
      </c>
      <c r="AN36" s="48">
        <f t="shared" si="35"/>
        <v>6136.4106824384862</v>
      </c>
      <c r="AO36" s="47">
        <f t="shared" si="36"/>
        <v>1.5603239599710381</v>
      </c>
      <c r="AP36" s="47">
        <f t="shared" si="37"/>
        <v>0.93207199447443001</v>
      </c>
      <c r="AQ36">
        <v>2020</v>
      </c>
    </row>
    <row r="37" spans="2:43">
      <c r="B37" s="97" t="s">
        <v>70</v>
      </c>
      <c r="C37" s="61">
        <v>18230524</v>
      </c>
      <c r="D37" s="61" t="s">
        <v>71</v>
      </c>
      <c r="E37" s="38" t="s">
        <v>1260</v>
      </c>
      <c r="F37" s="39" t="s">
        <v>1261</v>
      </c>
      <c r="G37" s="39">
        <v>15</v>
      </c>
      <c r="H37" s="39"/>
      <c r="I37" s="40" t="s">
        <v>261</v>
      </c>
      <c r="J37" s="41">
        <v>9</v>
      </c>
      <c r="K37" s="41">
        <v>1379.1111111111111</v>
      </c>
      <c r="L37" s="41"/>
      <c r="M37" s="42">
        <v>65</v>
      </c>
      <c r="N37" s="42">
        <v>135</v>
      </c>
      <c r="O37" s="43">
        <v>12412</v>
      </c>
      <c r="P37" s="44">
        <v>9664.2000000000007</v>
      </c>
      <c r="Q37" s="44">
        <v>20071.8</v>
      </c>
      <c r="R37" s="45">
        <v>0</v>
      </c>
      <c r="S37" s="46">
        <v>0</v>
      </c>
      <c r="T37" s="39">
        <f t="shared" si="19"/>
        <v>15</v>
      </c>
      <c r="U37" s="47">
        <f t="shared" si="20"/>
        <v>0.21004322030169598</v>
      </c>
      <c r="V37" s="48">
        <f t="shared" si="21"/>
        <v>70</v>
      </c>
      <c r="W37" s="49">
        <f t="shared" si="22"/>
        <v>1.4002881353446399E-2</v>
      </c>
      <c r="X37" s="44">
        <f t="shared" si="23"/>
        <v>2631.772236117552</v>
      </c>
      <c r="Y37" s="44">
        <f t="shared" si="24"/>
        <v>10407.599999999999</v>
      </c>
      <c r="Z37" s="44">
        <f t="shared" si="25"/>
        <v>11732.345368410486</v>
      </c>
      <c r="AA37" s="50">
        <f t="shared" si="26"/>
        <v>22703.57223611755</v>
      </c>
      <c r="AB37" s="51">
        <f t="shared" si="27"/>
        <v>10967.883863149</v>
      </c>
      <c r="AC37" s="44">
        <f t="shared" si="28"/>
        <v>21224.242531660791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1.3787827893853604</v>
      </c>
      <c r="AG37" s="44">
        <f t="shared" si="31"/>
        <v>17113.451981851093</v>
      </c>
      <c r="AH37" s="52">
        <f>HLOOKUP(I37,ElecAvoidedCostsWOCC!$A$5:$Q$50,T37+1,FALSE)</f>
        <v>1.3787827893853604</v>
      </c>
      <c r="AI37" s="44">
        <f t="shared" si="32"/>
        <v>0</v>
      </c>
      <c r="AJ37" s="44">
        <f t="shared" si="33"/>
        <v>17113.451981851093</v>
      </c>
      <c r="AK37" s="44">
        <f>HLOOKUP(I37,ElecAvoidedCostsWOCC!$A$5:$Q$50,G37+1,FALSE)*J37*L37</f>
        <v>0</v>
      </c>
      <c r="AL37" s="44">
        <f t="shared" si="34"/>
        <v>17113.451981851093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17113.451981851093</v>
      </c>
      <c r="AN37" s="48">
        <f t="shared" si="35"/>
        <v>18824.797180036203</v>
      </c>
      <c r="AO37" s="47">
        <f t="shared" si="36"/>
        <v>1.5603239599710379</v>
      </c>
      <c r="AP37" s="47">
        <f t="shared" si="37"/>
        <v>0.88694789234314164</v>
      </c>
      <c r="AQ37">
        <v>2020</v>
      </c>
    </row>
    <row r="38" spans="2:43">
      <c r="B38" s="97" t="s">
        <v>70</v>
      </c>
      <c r="C38" s="61">
        <v>18230524</v>
      </c>
      <c r="D38" s="61" t="s">
        <v>71</v>
      </c>
      <c r="E38" s="38" t="s">
        <v>2175</v>
      </c>
      <c r="F38" s="39" t="s">
        <v>2176</v>
      </c>
      <c r="G38" s="39">
        <v>15</v>
      </c>
      <c r="H38" s="39"/>
      <c r="I38" s="40" t="s">
        <v>261</v>
      </c>
      <c r="J38" s="41">
        <v>14</v>
      </c>
      <c r="K38" s="41">
        <v>4093.0714285714284</v>
      </c>
      <c r="L38" s="41"/>
      <c r="M38" s="42">
        <v>125</v>
      </c>
      <c r="N38" s="42">
        <v>204</v>
      </c>
      <c r="O38" s="43">
        <v>57303</v>
      </c>
      <c r="P38" s="44">
        <v>31436.25</v>
      </c>
      <c r="Q38" s="44">
        <v>51303.96</v>
      </c>
      <c r="R38" s="45">
        <v>0</v>
      </c>
      <c r="S38" s="46">
        <v>0</v>
      </c>
      <c r="T38" s="39">
        <f t="shared" si="19"/>
        <v>15</v>
      </c>
      <c r="U38" s="47">
        <f t="shared" si="20"/>
        <v>0.96971532814599459</v>
      </c>
      <c r="V38" s="48">
        <f t="shared" si="21"/>
        <v>79</v>
      </c>
      <c r="W38" s="49">
        <f t="shared" si="22"/>
        <v>6.4647688543066309E-2</v>
      </c>
      <c r="X38" s="44">
        <f t="shared" si="23"/>
        <v>12150.213055611028</v>
      </c>
      <c r="Y38" s="44">
        <f t="shared" si="24"/>
        <v>19867.71</v>
      </c>
      <c r="Z38" s="44">
        <f t="shared" si="25"/>
        <v>54165.210010153562</v>
      </c>
      <c r="AA38" s="50">
        <f t="shared" si="26"/>
        <v>63454.173055611027</v>
      </c>
      <c r="AB38" s="51">
        <f t="shared" si="27"/>
        <v>50635.888576379883</v>
      </c>
      <c r="AC38" s="44">
        <f t="shared" si="28"/>
        <v>59319.597135281874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1.3787827893853604</v>
      </c>
      <c r="AG38" s="44">
        <f t="shared" si="31"/>
        <v>79008.390180149305</v>
      </c>
      <c r="AH38" s="52">
        <f>HLOOKUP(I38,ElecAvoidedCostsWOCC!$A$5:$Q$50,T38+1,FALSE)</f>
        <v>1.3787827893853604</v>
      </c>
      <c r="AI38" s="44">
        <f t="shared" si="32"/>
        <v>0</v>
      </c>
      <c r="AJ38" s="44">
        <f t="shared" si="33"/>
        <v>79008.390180149305</v>
      </c>
      <c r="AK38" s="44">
        <f>HLOOKUP(I38,ElecAvoidedCostsWOCC!$A$5:$Q$50,G38+1,FALSE)*J38*L38</f>
        <v>0</v>
      </c>
      <c r="AL38" s="44">
        <f t="shared" si="34"/>
        <v>79008.390180149305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79008.390180149305</v>
      </c>
      <c r="AN38" s="48">
        <f t="shared" si="35"/>
        <v>86909.229198164248</v>
      </c>
      <c r="AO38" s="47">
        <f t="shared" si="36"/>
        <v>1.5603239599710381</v>
      </c>
      <c r="AP38" s="47">
        <f t="shared" si="37"/>
        <v>1.4651014739692614</v>
      </c>
      <c r="AQ38">
        <v>2020</v>
      </c>
    </row>
    <row r="39" spans="2:43">
      <c r="B39" s="97" t="s">
        <v>70</v>
      </c>
      <c r="C39" s="61">
        <v>18230524</v>
      </c>
      <c r="D39" s="61" t="s">
        <v>71</v>
      </c>
      <c r="E39" s="38" t="s">
        <v>1262</v>
      </c>
      <c r="F39" s="39" t="s">
        <v>1263</v>
      </c>
      <c r="G39" s="39">
        <v>15</v>
      </c>
      <c r="H39" s="39"/>
      <c r="I39" s="40" t="s">
        <v>261</v>
      </c>
      <c r="J39" s="41">
        <v>6</v>
      </c>
      <c r="K39" s="41">
        <v>1305.1666666666667</v>
      </c>
      <c r="L39" s="41"/>
      <c r="M39" s="42">
        <v>40</v>
      </c>
      <c r="N39" s="42">
        <v>50</v>
      </c>
      <c r="O39" s="43">
        <v>7831</v>
      </c>
      <c r="P39" s="44">
        <v>6320.4</v>
      </c>
      <c r="Q39" s="44">
        <v>7900.5</v>
      </c>
      <c r="R39" s="45">
        <v>0</v>
      </c>
      <c r="S39" s="46">
        <v>0</v>
      </c>
      <c r="T39" s="39">
        <f t="shared" si="19"/>
        <v>15</v>
      </c>
      <c r="U39" s="47">
        <f t="shared" si="20"/>
        <v>0.13252082325028852</v>
      </c>
      <c r="V39" s="48">
        <f t="shared" si="21"/>
        <v>10</v>
      </c>
      <c r="W39" s="49">
        <f t="shared" si="22"/>
        <v>8.8347215500192353E-3</v>
      </c>
      <c r="X39" s="44">
        <f t="shared" si="23"/>
        <v>1660.442183454443</v>
      </c>
      <c r="Y39" s="44">
        <f t="shared" si="24"/>
        <v>1580.1000000000004</v>
      </c>
      <c r="Z39" s="44">
        <f t="shared" si="25"/>
        <v>7402.1911521126731</v>
      </c>
      <c r="AA39" s="50">
        <f t="shared" si="26"/>
        <v>9560.9421834544428</v>
      </c>
      <c r="AB39" s="51">
        <f t="shared" si="27"/>
        <v>6919.8758082758459</v>
      </c>
      <c r="AC39" s="44">
        <f t="shared" si="28"/>
        <v>8937.9659563003097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1.3787827893853604</v>
      </c>
      <c r="AG39" s="44">
        <f t="shared" si="31"/>
        <v>10797.248023676759</v>
      </c>
      <c r="AH39" s="52">
        <f>HLOOKUP(I39,ElecAvoidedCostsWOCC!$A$5:$Q$50,T39+1,FALSE)</f>
        <v>1.3787827893853604</v>
      </c>
      <c r="AI39" s="44">
        <f t="shared" si="32"/>
        <v>0</v>
      </c>
      <c r="AJ39" s="44">
        <f t="shared" si="33"/>
        <v>10797.248023676759</v>
      </c>
      <c r="AK39" s="44">
        <f>HLOOKUP(I39,ElecAvoidedCostsWOCC!$A$5:$Q$50,G39+1,FALSE)*J39*L39</f>
        <v>0</v>
      </c>
      <c r="AL39" s="44">
        <f t="shared" si="34"/>
        <v>10797.248023676759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10797.248023676759</v>
      </c>
      <c r="AN39" s="48">
        <f t="shared" si="35"/>
        <v>11876.972826044435</v>
      </c>
      <c r="AO39" s="47">
        <f t="shared" si="36"/>
        <v>1.5603239599710386</v>
      </c>
      <c r="AP39" s="47">
        <f t="shared" si="37"/>
        <v>1.328822786315542</v>
      </c>
      <c r="AQ39">
        <v>2020</v>
      </c>
    </row>
    <row r="40" spans="2:43">
      <c r="B40" s="97" t="s">
        <v>70</v>
      </c>
      <c r="C40" s="61">
        <v>18230524</v>
      </c>
      <c r="D40" s="61" t="s">
        <v>71</v>
      </c>
      <c r="E40" s="38" t="s">
        <v>1264</v>
      </c>
      <c r="F40" s="39" t="s">
        <v>1265</v>
      </c>
      <c r="G40" s="39">
        <v>15</v>
      </c>
      <c r="H40" s="39"/>
      <c r="I40" s="40" t="s">
        <v>261</v>
      </c>
      <c r="J40" s="41">
        <v>1</v>
      </c>
      <c r="K40" s="41">
        <v>2018</v>
      </c>
      <c r="L40" s="41"/>
      <c r="M40" s="42">
        <v>65</v>
      </c>
      <c r="N40" s="42">
        <v>96</v>
      </c>
      <c r="O40" s="43">
        <v>2018</v>
      </c>
      <c r="P40" s="44">
        <v>1538.55</v>
      </c>
      <c r="Q40" s="44">
        <v>2272.3200000000002</v>
      </c>
      <c r="R40" s="45">
        <v>0</v>
      </c>
      <c r="S40" s="46">
        <v>0</v>
      </c>
      <c r="T40" s="39">
        <f t="shared" si="19"/>
        <v>15</v>
      </c>
      <c r="U40" s="47">
        <f t="shared" si="20"/>
        <v>3.4149792021336008E-2</v>
      </c>
      <c r="V40" s="48">
        <f t="shared" si="21"/>
        <v>31</v>
      </c>
      <c r="W40" s="49">
        <f t="shared" si="22"/>
        <v>2.2766528014224003E-3</v>
      </c>
      <c r="X40" s="44">
        <f t="shared" si="23"/>
        <v>427.88562459597318</v>
      </c>
      <c r="Y40" s="44">
        <f t="shared" si="24"/>
        <v>733.77000000000021</v>
      </c>
      <c r="Z40" s="44">
        <f t="shared" si="25"/>
        <v>1907.4986266075055</v>
      </c>
      <c r="AA40" s="50">
        <f t="shared" si="26"/>
        <v>2700.2056245959734</v>
      </c>
      <c r="AB40" s="51">
        <f t="shared" si="27"/>
        <v>1783.2089619589653</v>
      </c>
      <c r="AC40" s="44">
        <f t="shared" si="28"/>
        <v>2524.2643961820822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1.3787827893853604</v>
      </c>
      <c r="AG40" s="44">
        <f t="shared" si="31"/>
        <v>2782.3836689796572</v>
      </c>
      <c r="AH40" s="52">
        <f>HLOOKUP(I40,ElecAvoidedCostsWOCC!$A$5:$Q$50,T40+1,FALSE)</f>
        <v>1.3787827893853604</v>
      </c>
      <c r="AI40" s="44">
        <f t="shared" si="32"/>
        <v>0</v>
      </c>
      <c r="AJ40" s="44">
        <f t="shared" si="33"/>
        <v>2782.3836689796572</v>
      </c>
      <c r="AK40" s="44">
        <f>HLOOKUP(I40,ElecAvoidedCostsWOCC!$A$5:$Q$50,G40+1,FALSE)*J40*L40</f>
        <v>0</v>
      </c>
      <c r="AL40" s="44">
        <f t="shared" si="34"/>
        <v>2782.3836689796572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2782.3836689796572</v>
      </c>
      <c r="AN40" s="48">
        <f t="shared" si="35"/>
        <v>3060.6220358776231</v>
      </c>
      <c r="AO40" s="47">
        <f t="shared" si="36"/>
        <v>1.5603239599710381</v>
      </c>
      <c r="AP40" s="47">
        <f t="shared" si="37"/>
        <v>1.2124807688555823</v>
      </c>
      <c r="AQ40">
        <v>2020</v>
      </c>
    </row>
    <row r="41" spans="2:43">
      <c r="B41" s="97" t="s">
        <v>70</v>
      </c>
      <c r="C41" s="61">
        <v>18230524</v>
      </c>
      <c r="D41" s="61" t="s">
        <v>71</v>
      </c>
      <c r="E41" s="38" t="s">
        <v>1266</v>
      </c>
      <c r="F41" s="39" t="s">
        <v>1267</v>
      </c>
      <c r="G41" s="39">
        <v>15</v>
      </c>
      <c r="H41" s="39"/>
      <c r="I41" s="40" t="s">
        <v>261</v>
      </c>
      <c r="J41" s="41">
        <v>23</v>
      </c>
      <c r="K41" s="41">
        <v>4204.695652173913</v>
      </c>
      <c r="L41" s="41"/>
      <c r="M41" s="42">
        <v>100</v>
      </c>
      <c r="N41" s="42">
        <v>186</v>
      </c>
      <c r="O41" s="43">
        <v>96708</v>
      </c>
      <c r="P41" s="44">
        <v>67284</v>
      </c>
      <c r="Q41" s="44">
        <v>135997.62</v>
      </c>
      <c r="R41" s="45">
        <v>0</v>
      </c>
      <c r="S41" s="46">
        <v>0</v>
      </c>
      <c r="T41" s="39">
        <f t="shared" si="19"/>
        <v>15</v>
      </c>
      <c r="U41" s="47">
        <f t="shared" si="20"/>
        <v>1.6365500925665819</v>
      </c>
      <c r="V41" s="48">
        <f t="shared" si="21"/>
        <v>86</v>
      </c>
      <c r="W41" s="49">
        <f t="shared" si="22"/>
        <v>0.10910333950443879</v>
      </c>
      <c r="X41" s="44">
        <f t="shared" si="23"/>
        <v>20505.432598328727</v>
      </c>
      <c r="Y41" s="44">
        <f t="shared" si="24"/>
        <v>68713.62</v>
      </c>
      <c r="Z41" s="44">
        <f t="shared" si="25"/>
        <v>91412.476304241151</v>
      </c>
      <c r="AA41" s="50">
        <f t="shared" si="26"/>
        <v>156503.05259832874</v>
      </c>
      <c r="AB41" s="51">
        <f t="shared" si="27"/>
        <v>85456.180521867005</v>
      </c>
      <c r="AC41" s="44">
        <f t="shared" si="28"/>
        <v>146305.55538779913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1.3787827893853604</v>
      </c>
      <c r="AG41" s="44">
        <f t="shared" si="31"/>
        <v>133339.32599587942</v>
      </c>
      <c r="AH41" s="52">
        <f>HLOOKUP(I41,ElecAvoidedCostsWOCC!$A$5:$Q$50,T41+1,FALSE)</f>
        <v>1.3787827893853604</v>
      </c>
      <c r="AI41" s="44">
        <f t="shared" si="32"/>
        <v>0</v>
      </c>
      <c r="AJ41" s="44">
        <f t="shared" si="33"/>
        <v>133339.32599587942</v>
      </c>
      <c r="AK41" s="44">
        <f>HLOOKUP(I41,ElecAvoidedCostsWOCC!$A$5:$Q$50,G41+1,FALSE)*J41*L41</f>
        <v>0</v>
      </c>
      <c r="AL41" s="44">
        <f t="shared" si="34"/>
        <v>133339.32599587942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133339.32599587942</v>
      </c>
      <c r="AN41" s="48">
        <f t="shared" si="35"/>
        <v>146673.25859546737</v>
      </c>
      <c r="AO41" s="47">
        <f t="shared" si="36"/>
        <v>1.5603239599710381</v>
      </c>
      <c r="AP41" s="47">
        <f t="shared" si="37"/>
        <v>1.0025132552669898</v>
      </c>
      <c r="AQ41">
        <v>2020</v>
      </c>
    </row>
    <row r="42" spans="2:43">
      <c r="B42" s="97" t="s">
        <v>70</v>
      </c>
      <c r="C42" s="61">
        <v>18230524</v>
      </c>
      <c r="D42" s="61" t="s">
        <v>71</v>
      </c>
      <c r="E42" s="38" t="s">
        <v>2177</v>
      </c>
      <c r="F42" s="39" t="s">
        <v>2178</v>
      </c>
      <c r="G42" s="39">
        <v>15</v>
      </c>
      <c r="H42" s="39"/>
      <c r="I42" s="40" t="s">
        <v>261</v>
      </c>
      <c r="J42" s="41">
        <v>5</v>
      </c>
      <c r="K42" s="41">
        <v>11778</v>
      </c>
      <c r="L42" s="41"/>
      <c r="M42" s="42">
        <v>40</v>
      </c>
      <c r="N42" s="42">
        <v>95</v>
      </c>
      <c r="O42" s="43">
        <v>58890</v>
      </c>
      <c r="P42" s="44">
        <v>21453.599999999999</v>
      </c>
      <c r="Q42" s="44">
        <v>50952.3</v>
      </c>
      <c r="R42" s="45">
        <v>0</v>
      </c>
      <c r="S42" s="46">
        <v>0</v>
      </c>
      <c r="T42" s="39">
        <f t="shared" si="19"/>
        <v>15</v>
      </c>
      <c r="U42" s="47">
        <f t="shared" si="20"/>
        <v>0.9965714827237252</v>
      </c>
      <c r="V42" s="48">
        <f t="shared" si="21"/>
        <v>55</v>
      </c>
      <c r="W42" s="49">
        <f t="shared" si="22"/>
        <v>6.6438098848248348E-2</v>
      </c>
      <c r="X42" s="44">
        <f t="shared" si="23"/>
        <v>12486.711809938981</v>
      </c>
      <c r="Y42" s="44">
        <f t="shared" si="24"/>
        <v>29498.700000000004</v>
      </c>
      <c r="Z42" s="44">
        <f t="shared" si="25"/>
        <v>55665.309276965316</v>
      </c>
      <c r="AA42" s="50">
        <f t="shared" si="26"/>
        <v>63439.01180993898</v>
      </c>
      <c r="AB42" s="51">
        <f t="shared" si="27"/>
        <v>52038.243691656833</v>
      </c>
      <c r="AC42" s="44">
        <f t="shared" si="28"/>
        <v>59305.423772963426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1.3787827893853604</v>
      </c>
      <c r="AG42" s="44">
        <f t="shared" si="31"/>
        <v>81196.518466903872</v>
      </c>
      <c r="AH42" s="52">
        <f>HLOOKUP(I42,ElecAvoidedCostsWOCC!$A$5:$Q$50,T42+1,FALSE)</f>
        <v>1.3787827893853604</v>
      </c>
      <c r="AI42" s="44">
        <f t="shared" si="32"/>
        <v>0</v>
      </c>
      <c r="AJ42" s="44">
        <f t="shared" si="33"/>
        <v>81196.518466903872</v>
      </c>
      <c r="AK42" s="44">
        <f>HLOOKUP(I42,ElecAvoidedCostsWOCC!$A$5:$Q$50,G42+1,FALSE)*J42*L42</f>
        <v>0</v>
      </c>
      <c r="AL42" s="44">
        <f t="shared" si="34"/>
        <v>81196.518466903872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81196.518466903872</v>
      </c>
      <c r="AN42" s="48">
        <f t="shared" si="35"/>
        <v>89316.170313594266</v>
      </c>
      <c r="AO42" s="47">
        <f t="shared" si="36"/>
        <v>1.5603239599710379</v>
      </c>
      <c r="AP42" s="47">
        <f t="shared" si="37"/>
        <v>1.5060371317051839</v>
      </c>
      <c r="AQ42">
        <v>2020</v>
      </c>
    </row>
    <row r="43" spans="2:43">
      <c r="B43" s="97" t="s">
        <v>70</v>
      </c>
      <c r="C43" s="61">
        <v>18230524</v>
      </c>
      <c r="D43" s="61" t="s">
        <v>71</v>
      </c>
      <c r="E43" s="38" t="s">
        <v>1268</v>
      </c>
      <c r="F43" s="39" t="s">
        <v>1269</v>
      </c>
      <c r="G43" s="39">
        <v>15</v>
      </c>
      <c r="H43" s="39"/>
      <c r="I43" s="40" t="s">
        <v>261</v>
      </c>
      <c r="J43" s="41">
        <v>4</v>
      </c>
      <c r="K43" s="41">
        <v>15577.25</v>
      </c>
      <c r="L43" s="41"/>
      <c r="M43" s="42">
        <v>65</v>
      </c>
      <c r="N43" s="42">
        <v>158</v>
      </c>
      <c r="O43" s="43">
        <v>62309</v>
      </c>
      <c r="P43" s="44">
        <v>24478.35</v>
      </c>
      <c r="Q43" s="44">
        <v>59501.22</v>
      </c>
      <c r="R43" s="45">
        <v>0</v>
      </c>
      <c r="S43" s="46">
        <v>0</v>
      </c>
      <c r="T43" s="39">
        <f t="shared" si="19"/>
        <v>15</v>
      </c>
      <c r="U43" s="47">
        <f t="shared" si="20"/>
        <v>1.0544298270849479</v>
      </c>
      <c r="V43" s="48">
        <f t="shared" si="21"/>
        <v>93</v>
      </c>
      <c r="W43" s="49">
        <f t="shared" si="22"/>
        <v>7.0295321805663197E-2</v>
      </c>
      <c r="X43" s="44">
        <f t="shared" si="23"/>
        <v>13211.657771531463</v>
      </c>
      <c r="Y43" s="44">
        <f t="shared" si="24"/>
        <v>35022.870000000003</v>
      </c>
      <c r="Z43" s="44">
        <f t="shared" si="25"/>
        <v>58897.092133442544</v>
      </c>
      <c r="AA43" s="50">
        <f t="shared" si="26"/>
        <v>72712.877771531465</v>
      </c>
      <c r="AB43" s="51">
        <f t="shared" si="27"/>
        <v>55059.448568236461</v>
      </c>
      <c r="AC43" s="44">
        <f t="shared" si="28"/>
        <v>67975.018950669779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1.3787827893853604</v>
      </c>
      <c r="AG43" s="44">
        <f t="shared" si="31"/>
        <v>85910.576823812415</v>
      </c>
      <c r="AH43" s="52">
        <f>HLOOKUP(I43,ElecAvoidedCostsWOCC!$A$5:$Q$50,T43+1,FALSE)</f>
        <v>1.3787827893853604</v>
      </c>
      <c r="AI43" s="44">
        <f t="shared" si="32"/>
        <v>0</v>
      </c>
      <c r="AJ43" s="44">
        <f t="shared" si="33"/>
        <v>85910.576823812415</v>
      </c>
      <c r="AK43" s="44">
        <f>HLOOKUP(I43,ElecAvoidedCostsWOCC!$A$5:$Q$50,G43+1,FALSE)*J43*L43</f>
        <v>0</v>
      </c>
      <c r="AL43" s="44">
        <f t="shared" si="34"/>
        <v>85910.576823812415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85910.576823812415</v>
      </c>
      <c r="AN43" s="48">
        <f t="shared" si="35"/>
        <v>94501.634506193659</v>
      </c>
      <c r="AO43" s="47">
        <f t="shared" si="36"/>
        <v>1.5603239599710381</v>
      </c>
      <c r="AP43" s="47">
        <f t="shared" si="37"/>
        <v>1.3902406496535813</v>
      </c>
      <c r="AQ43">
        <v>2020</v>
      </c>
    </row>
    <row r="44" spans="2:43">
      <c r="B44" s="97" t="s">
        <v>70</v>
      </c>
      <c r="C44" s="61">
        <v>18230524</v>
      </c>
      <c r="D44" s="61" t="s">
        <v>71</v>
      </c>
      <c r="E44" s="38" t="s">
        <v>1270</v>
      </c>
      <c r="F44" s="39" t="s">
        <v>1271</v>
      </c>
      <c r="G44" s="39">
        <v>15</v>
      </c>
      <c r="H44" s="39"/>
      <c r="I44" s="40" t="s">
        <v>261</v>
      </c>
      <c r="J44" s="41">
        <v>3</v>
      </c>
      <c r="K44" s="41">
        <v>14111</v>
      </c>
      <c r="L44" s="41"/>
      <c r="M44" s="42">
        <v>125</v>
      </c>
      <c r="N44" s="42">
        <v>262</v>
      </c>
      <c r="O44" s="43">
        <v>42333</v>
      </c>
      <c r="P44" s="44">
        <v>26366.25</v>
      </c>
      <c r="Q44" s="44">
        <v>55263.66</v>
      </c>
      <c r="R44" s="45">
        <v>0</v>
      </c>
      <c r="S44" s="46">
        <v>0</v>
      </c>
      <c r="T44" s="39">
        <f t="shared" si="19"/>
        <v>15</v>
      </c>
      <c r="U44" s="47">
        <f t="shared" si="20"/>
        <v>0.71638411577761008</v>
      </c>
      <c r="V44" s="48">
        <f t="shared" si="21"/>
        <v>137</v>
      </c>
      <c r="W44" s="49">
        <f t="shared" si="22"/>
        <v>4.775894105184067E-2</v>
      </c>
      <c r="X44" s="44">
        <f t="shared" si="23"/>
        <v>8976.0565639352499</v>
      </c>
      <c r="Y44" s="44">
        <f t="shared" si="24"/>
        <v>28897.410000000003</v>
      </c>
      <c r="Z44" s="44">
        <f t="shared" si="25"/>
        <v>40014.935262723258</v>
      </c>
      <c r="AA44" s="50">
        <f t="shared" si="26"/>
        <v>64239.716563935253</v>
      </c>
      <c r="AB44" s="51">
        <f t="shared" si="27"/>
        <v>37407.623878398852</v>
      </c>
      <c r="AC44" s="44">
        <f t="shared" si="28"/>
        <v>60053.955841764277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1.3787827893853604</v>
      </c>
      <c r="AG44" s="44">
        <f t="shared" si="31"/>
        <v>58368.011823050467</v>
      </c>
      <c r="AH44" s="52">
        <f>HLOOKUP(I44,ElecAvoidedCostsWOCC!$A$5:$Q$50,T44+1,FALSE)</f>
        <v>1.3787827893853604</v>
      </c>
      <c r="AI44" s="44">
        <f t="shared" si="32"/>
        <v>0</v>
      </c>
      <c r="AJ44" s="44">
        <f t="shared" si="33"/>
        <v>58368.011823050467</v>
      </c>
      <c r="AK44" s="44">
        <f>HLOOKUP(I44,ElecAvoidedCostsWOCC!$A$5:$Q$50,G44+1,FALSE)*J44*L44</f>
        <v>0</v>
      </c>
      <c r="AL44" s="44">
        <f t="shared" si="34"/>
        <v>58368.011823050467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58368.011823050459</v>
      </c>
      <c r="AN44" s="48">
        <f t="shared" si="35"/>
        <v>64204.813005355514</v>
      </c>
      <c r="AO44" s="47">
        <f t="shared" si="36"/>
        <v>1.5603239599710381</v>
      </c>
      <c r="AP44" s="47">
        <f t="shared" si="37"/>
        <v>1.0691187966789115</v>
      </c>
      <c r="AQ44">
        <v>2020</v>
      </c>
    </row>
    <row r="45" spans="2:43">
      <c r="B45" s="97" t="s">
        <v>70</v>
      </c>
      <c r="C45" s="61">
        <v>18230524</v>
      </c>
      <c r="D45" s="61" t="s">
        <v>71</v>
      </c>
      <c r="E45" s="38" t="s">
        <v>2179</v>
      </c>
      <c r="F45" s="39" t="s">
        <v>2180</v>
      </c>
      <c r="G45" s="39">
        <v>15</v>
      </c>
      <c r="H45" s="39"/>
      <c r="I45" s="40" t="s">
        <v>261</v>
      </c>
      <c r="J45" s="41">
        <v>1</v>
      </c>
      <c r="K45" s="41">
        <v>1087</v>
      </c>
      <c r="L45" s="41"/>
      <c r="M45" s="42">
        <v>50</v>
      </c>
      <c r="N45" s="42">
        <v>145</v>
      </c>
      <c r="O45" s="43">
        <v>1087</v>
      </c>
      <c r="P45" s="44">
        <v>300</v>
      </c>
      <c r="Q45" s="44">
        <v>568.4</v>
      </c>
      <c r="R45" s="45">
        <v>0</v>
      </c>
      <c r="S45" s="46">
        <v>0</v>
      </c>
      <c r="T45" s="39">
        <f t="shared" si="19"/>
        <v>15</v>
      </c>
      <c r="U45" s="47">
        <f t="shared" si="20"/>
        <v>1.8394858239441151E-2</v>
      </c>
      <c r="V45" s="48">
        <f t="shared" si="21"/>
        <v>95</v>
      </c>
      <c r="W45" s="49">
        <f t="shared" si="22"/>
        <v>1.22632388262941E-3</v>
      </c>
      <c r="X45" s="44">
        <f t="shared" si="23"/>
        <v>230.48150343697864</v>
      </c>
      <c r="Y45" s="44">
        <f t="shared" si="24"/>
        <v>268.39999999999998</v>
      </c>
      <c r="Z45" s="44">
        <f t="shared" si="25"/>
        <v>1027.4781997633095</v>
      </c>
      <c r="AA45" s="50">
        <f t="shared" si="26"/>
        <v>798.88150343697862</v>
      </c>
      <c r="AB45" s="51">
        <f t="shared" si="27"/>
        <v>960.52930706114739</v>
      </c>
      <c r="AC45" s="44">
        <f t="shared" si="28"/>
        <v>746.82761843225069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1.3787827893853604</v>
      </c>
      <c r="AG45" s="44">
        <f t="shared" si="31"/>
        <v>1498.7368920618867</v>
      </c>
      <c r="AH45" s="52">
        <f>HLOOKUP(I45,ElecAvoidedCostsWOCC!$A$5:$Q$50,T45+1,FALSE)</f>
        <v>1.3787827893853604</v>
      </c>
      <c r="AI45" s="44">
        <f t="shared" si="32"/>
        <v>0</v>
      </c>
      <c r="AJ45" s="44">
        <f t="shared" si="33"/>
        <v>1498.7368920618867</v>
      </c>
      <c r="AK45" s="44">
        <f>HLOOKUP(I45,ElecAvoidedCostsWOCC!$A$5:$Q$50,G45+1,FALSE)*J45*L45</f>
        <v>0</v>
      </c>
      <c r="AL45" s="44">
        <f t="shared" si="34"/>
        <v>1498.7368920618867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1498.7368920618867</v>
      </c>
      <c r="AN45" s="48">
        <f t="shared" si="35"/>
        <v>1648.6105812680755</v>
      </c>
      <c r="AO45" s="47">
        <f t="shared" si="36"/>
        <v>1.5603239599710381</v>
      </c>
      <c r="AP45" s="47">
        <f t="shared" si="37"/>
        <v>2.2074847536153768</v>
      </c>
      <c r="AQ45">
        <v>2020</v>
      </c>
    </row>
    <row r="46" spans="2:43">
      <c r="B46" s="97" t="s">
        <v>70</v>
      </c>
      <c r="C46" s="61">
        <v>18230524</v>
      </c>
      <c r="D46" s="61" t="s">
        <v>71</v>
      </c>
      <c r="E46" s="38" t="s">
        <v>2181</v>
      </c>
      <c r="F46" s="39" t="s">
        <v>2182</v>
      </c>
      <c r="G46" s="39">
        <v>15</v>
      </c>
      <c r="H46" s="39"/>
      <c r="I46" s="40" t="s">
        <v>261</v>
      </c>
      <c r="J46" s="41">
        <v>2</v>
      </c>
      <c r="K46" s="41">
        <v>225</v>
      </c>
      <c r="L46" s="41"/>
      <c r="M46" s="42">
        <v>50</v>
      </c>
      <c r="N46" s="42">
        <v>101</v>
      </c>
      <c r="O46" s="43">
        <v>450</v>
      </c>
      <c r="P46" s="44">
        <v>282</v>
      </c>
      <c r="Q46" s="44">
        <v>569.64</v>
      </c>
      <c r="R46" s="45">
        <v>0</v>
      </c>
      <c r="S46" s="46">
        <v>0</v>
      </c>
      <c r="T46" s="39">
        <f t="shared" si="19"/>
        <v>15</v>
      </c>
      <c r="U46" s="47">
        <f t="shared" si="20"/>
        <v>7.6151667044604575E-3</v>
      </c>
      <c r="V46" s="48">
        <f t="shared" si="21"/>
        <v>51</v>
      </c>
      <c r="W46" s="49">
        <f t="shared" si="22"/>
        <v>5.0767778029736383E-4</v>
      </c>
      <c r="X46" s="44">
        <f t="shared" si="23"/>
        <v>95.415525801877081</v>
      </c>
      <c r="Y46" s="44">
        <f t="shared" si="24"/>
        <v>287.64</v>
      </c>
      <c r="Z46" s="44">
        <f t="shared" si="25"/>
        <v>425.35896034359644</v>
      </c>
      <c r="AA46" s="50">
        <f t="shared" si="26"/>
        <v>665.05552580187702</v>
      </c>
      <c r="AB46" s="51">
        <f t="shared" si="27"/>
        <v>397.64322739421931</v>
      </c>
      <c r="AC46" s="44">
        <f t="shared" si="28"/>
        <v>621.72153482460214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1.3787827893853604</v>
      </c>
      <c r="AG46" s="44">
        <f t="shared" si="31"/>
        <v>620.45225522341218</v>
      </c>
      <c r="AH46" s="52">
        <f>HLOOKUP(I46,ElecAvoidedCostsWOCC!$A$5:$Q$50,T46+1,FALSE)</f>
        <v>1.3787827893853604</v>
      </c>
      <c r="AI46" s="44">
        <f t="shared" si="32"/>
        <v>0</v>
      </c>
      <c r="AJ46" s="44">
        <f t="shared" si="33"/>
        <v>620.45225522341218</v>
      </c>
      <c r="AK46" s="44">
        <f>HLOOKUP(I46,ElecAvoidedCostsWOCC!$A$5:$Q$50,G46+1,FALSE)*J46*L46</f>
        <v>0</v>
      </c>
      <c r="AL46" s="44">
        <f t="shared" si="34"/>
        <v>620.45225522341218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620.45225522341218</v>
      </c>
      <c r="AN46" s="48">
        <f t="shared" si="35"/>
        <v>682.49748074575348</v>
      </c>
      <c r="AO46" s="47">
        <f t="shared" si="36"/>
        <v>1.5603239599710379</v>
      </c>
      <c r="AP46" s="47">
        <f t="shared" si="37"/>
        <v>1.0977542879197473</v>
      </c>
      <c r="AQ46">
        <v>2020</v>
      </c>
    </row>
    <row r="47" spans="2:43">
      <c r="B47" s="97" t="s">
        <v>70</v>
      </c>
      <c r="C47" s="61">
        <v>18230524</v>
      </c>
      <c r="D47" s="61" t="s">
        <v>71</v>
      </c>
      <c r="E47" s="38" t="s">
        <v>2183</v>
      </c>
      <c r="F47" s="39" t="s">
        <v>2184</v>
      </c>
      <c r="G47" s="39">
        <v>15</v>
      </c>
      <c r="H47" s="39"/>
      <c r="I47" s="40" t="s">
        <v>261</v>
      </c>
      <c r="J47" s="41">
        <v>2</v>
      </c>
      <c r="K47" s="41">
        <v>422</v>
      </c>
      <c r="L47" s="41"/>
      <c r="M47" s="42">
        <v>75</v>
      </c>
      <c r="N47" s="42">
        <v>191</v>
      </c>
      <c r="O47" s="43">
        <v>844</v>
      </c>
      <c r="P47" s="44">
        <v>600</v>
      </c>
      <c r="Q47" s="44">
        <v>1528</v>
      </c>
      <c r="R47" s="45">
        <v>0</v>
      </c>
      <c r="S47" s="46">
        <v>0</v>
      </c>
      <c r="T47" s="39">
        <f t="shared" si="19"/>
        <v>15</v>
      </c>
      <c r="U47" s="47">
        <f t="shared" si="20"/>
        <v>1.4282668219032501E-2</v>
      </c>
      <c r="V47" s="48">
        <f t="shared" si="21"/>
        <v>116</v>
      </c>
      <c r="W47" s="49">
        <f t="shared" si="22"/>
        <v>9.5217788126883342E-4</v>
      </c>
      <c r="X47" s="44">
        <f t="shared" si="23"/>
        <v>178.957119503965</v>
      </c>
      <c r="Y47" s="44">
        <f t="shared" si="24"/>
        <v>928</v>
      </c>
      <c r="Z47" s="44">
        <f t="shared" si="25"/>
        <v>797.78436117776744</v>
      </c>
      <c r="AA47" s="50">
        <f t="shared" si="26"/>
        <v>1706.957119503965</v>
      </c>
      <c r="AB47" s="51">
        <f t="shared" si="27"/>
        <v>745.80196426826899</v>
      </c>
      <c r="AC47" s="44">
        <f t="shared" si="28"/>
        <v>1595.7344297503644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1.3787827893853604</v>
      </c>
      <c r="AG47" s="44">
        <f t="shared" si="31"/>
        <v>1163.692674241244</v>
      </c>
      <c r="AH47" s="52">
        <f>HLOOKUP(I47,ElecAvoidedCostsWOCC!$A$5:$Q$50,T47+1,FALSE)</f>
        <v>1.3787827893853604</v>
      </c>
      <c r="AI47" s="44">
        <f t="shared" si="32"/>
        <v>0</v>
      </c>
      <c r="AJ47" s="44">
        <f t="shared" si="33"/>
        <v>1163.692674241244</v>
      </c>
      <c r="AK47" s="44">
        <f>HLOOKUP(I47,ElecAvoidedCostsWOCC!$A$5:$Q$50,G47+1,FALSE)*J47*L47</f>
        <v>0</v>
      </c>
      <c r="AL47" s="44">
        <f t="shared" si="34"/>
        <v>1163.692674241244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1163.692674241244</v>
      </c>
      <c r="AN47" s="48">
        <f t="shared" si="35"/>
        <v>1280.0619416653685</v>
      </c>
      <c r="AO47" s="47">
        <f t="shared" si="36"/>
        <v>1.5603239599710379</v>
      </c>
      <c r="AP47" s="47">
        <f t="shared" si="37"/>
        <v>0.80217730331582837</v>
      </c>
      <c r="AQ47">
        <v>2020</v>
      </c>
    </row>
    <row r="48" spans="2:43">
      <c r="B48" s="97" t="s">
        <v>70</v>
      </c>
      <c r="C48" s="61">
        <v>18230524</v>
      </c>
      <c r="D48" s="61" t="s">
        <v>71</v>
      </c>
      <c r="E48" s="38" t="s">
        <v>2185</v>
      </c>
      <c r="F48" s="39" t="s">
        <v>2186</v>
      </c>
      <c r="G48" s="39">
        <v>15</v>
      </c>
      <c r="H48" s="39"/>
      <c r="I48" s="40" t="s">
        <v>261</v>
      </c>
      <c r="J48" s="41">
        <v>1</v>
      </c>
      <c r="K48" s="41">
        <v>617</v>
      </c>
      <c r="L48" s="41"/>
      <c r="M48" s="42">
        <v>125</v>
      </c>
      <c r="N48" s="42">
        <v>298</v>
      </c>
      <c r="O48" s="43">
        <v>617</v>
      </c>
      <c r="P48" s="44">
        <v>572.5</v>
      </c>
      <c r="Q48" s="44">
        <v>1364.84</v>
      </c>
      <c r="R48" s="45">
        <v>0</v>
      </c>
      <c r="S48" s="46">
        <v>0</v>
      </c>
      <c r="T48" s="39">
        <f t="shared" si="19"/>
        <v>15</v>
      </c>
      <c r="U48" s="47">
        <f t="shared" si="20"/>
        <v>1.0441239681449116E-2</v>
      </c>
      <c r="V48" s="48">
        <f t="shared" si="21"/>
        <v>173</v>
      </c>
      <c r="W48" s="49">
        <f t="shared" si="22"/>
        <v>6.9608264542994104E-4</v>
      </c>
      <c r="X48" s="44">
        <f t="shared" si="23"/>
        <v>130.82528759946257</v>
      </c>
      <c r="Y48" s="44">
        <f t="shared" si="24"/>
        <v>792.33999999999992</v>
      </c>
      <c r="Z48" s="44">
        <f t="shared" si="25"/>
        <v>583.21439673777547</v>
      </c>
      <c r="AA48" s="50">
        <f t="shared" si="26"/>
        <v>1495.6652875994625</v>
      </c>
      <c r="AB48" s="51">
        <f t="shared" si="27"/>
        <v>545.21304733829618</v>
      </c>
      <c r="AC48" s="44">
        <f t="shared" si="28"/>
        <v>1398.2100473024796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1.3787827893853604</v>
      </c>
      <c r="AG48" s="44">
        <f t="shared" si="31"/>
        <v>850.70898105076731</v>
      </c>
      <c r="AH48" s="52">
        <f>HLOOKUP(I48,ElecAvoidedCostsWOCC!$A$5:$Q$50,T48+1,FALSE)</f>
        <v>1.3787827893853604</v>
      </c>
      <c r="AI48" s="44">
        <f t="shared" si="32"/>
        <v>0</v>
      </c>
      <c r="AJ48" s="44">
        <f t="shared" si="33"/>
        <v>850.70898105076731</v>
      </c>
      <c r="AK48" s="44">
        <f>HLOOKUP(I48,ElecAvoidedCostsWOCC!$A$5:$Q$50,G48+1,FALSE)*J48*L48</f>
        <v>0</v>
      </c>
      <c r="AL48" s="44">
        <f t="shared" si="34"/>
        <v>850.70898105076731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850.70898105076731</v>
      </c>
      <c r="AN48" s="48">
        <f t="shared" si="35"/>
        <v>935.77987915584413</v>
      </c>
      <c r="AO48" s="47">
        <f t="shared" si="36"/>
        <v>1.5603239599710381</v>
      </c>
      <c r="AP48" s="47">
        <f t="shared" si="37"/>
        <v>0.66926988613850491</v>
      </c>
      <c r="AQ48">
        <v>2020</v>
      </c>
    </row>
    <row r="49" spans="2:43">
      <c r="B49" s="97" t="s">
        <v>70</v>
      </c>
      <c r="C49" s="61">
        <v>18230524</v>
      </c>
      <c r="D49" s="61" t="s">
        <v>71</v>
      </c>
      <c r="E49" s="38" t="s">
        <v>1272</v>
      </c>
      <c r="F49" s="39" t="s">
        <v>1273</v>
      </c>
      <c r="G49" s="39">
        <v>15</v>
      </c>
      <c r="H49" s="39"/>
      <c r="I49" s="40" t="s">
        <v>261</v>
      </c>
      <c r="J49" s="41">
        <v>12</v>
      </c>
      <c r="K49" s="41">
        <v>1897.3333333333333</v>
      </c>
      <c r="L49" s="41"/>
      <c r="M49" s="42">
        <v>65</v>
      </c>
      <c r="N49" s="42">
        <v>135</v>
      </c>
      <c r="O49" s="43">
        <v>22768</v>
      </c>
      <c r="P49" s="44">
        <v>5302.7</v>
      </c>
      <c r="Q49" s="44">
        <v>14512.5</v>
      </c>
      <c r="R49" s="45">
        <v>0</v>
      </c>
      <c r="S49" s="46">
        <v>0</v>
      </c>
      <c r="T49" s="39">
        <f t="shared" si="19"/>
        <v>15</v>
      </c>
      <c r="U49" s="47">
        <f t="shared" si="20"/>
        <v>0.38529359006034597</v>
      </c>
      <c r="V49" s="48">
        <f t="shared" si="21"/>
        <v>70</v>
      </c>
      <c r="W49" s="49">
        <f t="shared" si="22"/>
        <v>2.5686239337356399E-2</v>
      </c>
      <c r="X49" s="44">
        <f t="shared" si="23"/>
        <v>4827.6015365714165</v>
      </c>
      <c r="Y49" s="44">
        <f t="shared" si="24"/>
        <v>9209.7999999999993</v>
      </c>
      <c r="Z49" s="44">
        <f t="shared" si="25"/>
        <v>21521.272909117783</v>
      </c>
      <c r="AA49" s="50">
        <f t="shared" si="26"/>
        <v>19340.101536571416</v>
      </c>
      <c r="AB49" s="51">
        <f t="shared" si="27"/>
        <v>20118.980002914632</v>
      </c>
      <c r="AC49" s="44">
        <f t="shared" si="28"/>
        <v>18079.930388493423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1.3787827893853604</v>
      </c>
      <c r="AG49" s="44">
        <f t="shared" si="31"/>
        <v>31392.126548725886</v>
      </c>
      <c r="AH49" s="52">
        <f>HLOOKUP(I49,ElecAvoidedCostsWOCC!$A$5:$Q$50,T49+1,FALSE)</f>
        <v>1.3787827893853604</v>
      </c>
      <c r="AI49" s="44">
        <f t="shared" si="32"/>
        <v>0</v>
      </c>
      <c r="AJ49" s="44">
        <f t="shared" si="33"/>
        <v>31392.126548725886</v>
      </c>
      <c r="AK49" s="44">
        <f>HLOOKUP(I49,ElecAvoidedCostsWOCC!$A$5:$Q$50,G49+1,FALSE)*J49*L49</f>
        <v>0</v>
      </c>
      <c r="AL49" s="44">
        <f t="shared" si="34"/>
        <v>31392.126548725886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31392.126548725886</v>
      </c>
      <c r="AN49" s="48">
        <f t="shared" si="35"/>
        <v>34531.33920359848</v>
      </c>
      <c r="AO49" s="47">
        <f t="shared" si="36"/>
        <v>1.5603239599710381</v>
      </c>
      <c r="AP49" s="47">
        <f t="shared" si="37"/>
        <v>1.9099265573265258</v>
      </c>
      <c r="AQ49">
        <v>2020</v>
      </c>
    </row>
    <row r="50" spans="2:43">
      <c r="B50" s="97" t="s">
        <v>70</v>
      </c>
      <c r="C50" s="61">
        <v>18230524</v>
      </c>
      <c r="D50" s="61" t="s">
        <v>71</v>
      </c>
      <c r="E50" s="38" t="s">
        <v>1274</v>
      </c>
      <c r="F50" s="39" t="s">
        <v>1275</v>
      </c>
      <c r="G50" s="39">
        <v>15</v>
      </c>
      <c r="H50" s="39"/>
      <c r="I50" s="40" t="s">
        <v>261</v>
      </c>
      <c r="J50" s="41">
        <v>5</v>
      </c>
      <c r="K50" s="41">
        <v>2255</v>
      </c>
      <c r="L50" s="41"/>
      <c r="M50" s="42">
        <v>100</v>
      </c>
      <c r="N50" s="42">
        <v>204</v>
      </c>
      <c r="O50" s="43">
        <v>11275</v>
      </c>
      <c r="P50" s="44">
        <v>3750</v>
      </c>
      <c r="Q50" s="44">
        <v>7650</v>
      </c>
      <c r="R50" s="45">
        <v>0</v>
      </c>
      <c r="S50" s="46">
        <v>0</v>
      </c>
      <c r="T50" s="39">
        <f t="shared" si="19"/>
        <v>15</v>
      </c>
      <c r="U50" s="47">
        <f t="shared" si="20"/>
        <v>0.19080223242842589</v>
      </c>
      <c r="V50" s="48">
        <f t="shared" si="21"/>
        <v>104</v>
      </c>
      <c r="W50" s="49">
        <f t="shared" si="22"/>
        <v>1.2720148828561727E-2</v>
      </c>
      <c r="X50" s="44">
        <f t="shared" si="23"/>
        <v>2390.6890075914757</v>
      </c>
      <c r="Y50" s="44">
        <f t="shared" si="24"/>
        <v>3900</v>
      </c>
      <c r="Z50" s="44">
        <f t="shared" si="25"/>
        <v>10657.605061942331</v>
      </c>
      <c r="AA50" s="50">
        <f t="shared" si="26"/>
        <v>10040.689007591476</v>
      </c>
      <c r="AB50" s="51">
        <f t="shared" si="27"/>
        <v>9963.1719752662721</v>
      </c>
      <c r="AC50" s="44">
        <f t="shared" si="28"/>
        <v>9386.4532182775311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1.3787827893853604</v>
      </c>
      <c r="AG50" s="44">
        <f t="shared" si="31"/>
        <v>15545.775950319938</v>
      </c>
      <c r="AH50" s="52">
        <f>HLOOKUP(I50,ElecAvoidedCostsWOCC!$A$5:$Q$50,T50+1,FALSE)</f>
        <v>1.3787827893853604</v>
      </c>
      <c r="AI50" s="44">
        <f t="shared" si="32"/>
        <v>0</v>
      </c>
      <c r="AJ50" s="44">
        <f t="shared" si="33"/>
        <v>15545.775950319938</v>
      </c>
      <c r="AK50" s="44">
        <f>HLOOKUP(I50,ElecAvoidedCostsWOCC!$A$5:$Q$50,G50+1,FALSE)*J50*L50</f>
        <v>0</v>
      </c>
      <c r="AL50" s="44">
        <f t="shared" si="34"/>
        <v>15545.775950319938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15545.775950319938</v>
      </c>
      <c r="AN50" s="48">
        <f t="shared" si="35"/>
        <v>17100.353545351933</v>
      </c>
      <c r="AO50" s="47">
        <f t="shared" si="36"/>
        <v>1.5603239599710379</v>
      </c>
      <c r="AP50" s="47">
        <f t="shared" si="37"/>
        <v>1.8218120463279683</v>
      </c>
      <c r="AQ50">
        <v>2020</v>
      </c>
    </row>
    <row r="51" spans="2:43">
      <c r="B51" s="97" t="s">
        <v>70</v>
      </c>
      <c r="C51" s="61">
        <v>18230524</v>
      </c>
      <c r="D51" s="61" t="s">
        <v>71</v>
      </c>
      <c r="E51" s="38" t="s">
        <v>2187</v>
      </c>
      <c r="F51" s="39" t="s">
        <v>2188</v>
      </c>
      <c r="G51" s="39">
        <v>15</v>
      </c>
      <c r="H51" s="39"/>
      <c r="I51" s="40" t="s">
        <v>261</v>
      </c>
      <c r="J51" s="41">
        <v>2</v>
      </c>
      <c r="K51" s="41">
        <v>1225</v>
      </c>
      <c r="L51" s="41"/>
      <c r="M51" s="42">
        <v>40</v>
      </c>
      <c r="N51" s="42">
        <v>50</v>
      </c>
      <c r="O51" s="43">
        <v>2450</v>
      </c>
      <c r="P51" s="44">
        <v>1133.5999999999999</v>
      </c>
      <c r="Q51" s="44">
        <v>1417</v>
      </c>
      <c r="R51" s="45">
        <v>0</v>
      </c>
      <c r="S51" s="46">
        <v>0</v>
      </c>
      <c r="T51" s="39">
        <f t="shared" si="19"/>
        <v>15</v>
      </c>
      <c r="U51" s="47">
        <f t="shared" si="20"/>
        <v>4.1460352057618041E-2</v>
      </c>
      <c r="V51" s="48">
        <f t="shared" si="21"/>
        <v>10</v>
      </c>
      <c r="W51" s="49">
        <f t="shared" si="22"/>
        <v>2.7640234705078696E-3</v>
      </c>
      <c r="X51" s="44">
        <f t="shared" si="23"/>
        <v>519.48452936577519</v>
      </c>
      <c r="Y51" s="44">
        <f t="shared" si="24"/>
        <v>283.40000000000009</v>
      </c>
      <c r="Z51" s="44">
        <f t="shared" si="25"/>
        <v>2315.8432285373583</v>
      </c>
      <c r="AA51" s="50">
        <f t="shared" si="26"/>
        <v>1936.4845293657752</v>
      </c>
      <c r="AB51" s="51">
        <f t="shared" si="27"/>
        <v>2164.9464602574162</v>
      </c>
      <c r="AC51" s="44">
        <f t="shared" si="28"/>
        <v>1810.3061880581238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1.3787827893853604</v>
      </c>
      <c r="AG51" s="44">
        <f t="shared" si="31"/>
        <v>3378.0178339941331</v>
      </c>
      <c r="AH51" s="52">
        <f>HLOOKUP(I51,ElecAvoidedCostsWOCC!$A$5:$Q$50,T51+1,FALSE)</f>
        <v>1.3787827893853604</v>
      </c>
      <c r="AI51" s="44">
        <f t="shared" si="32"/>
        <v>0</v>
      </c>
      <c r="AJ51" s="44">
        <f t="shared" si="33"/>
        <v>3378.0178339941331</v>
      </c>
      <c r="AK51" s="44">
        <f>HLOOKUP(I51,ElecAvoidedCostsWOCC!$A$5:$Q$50,G51+1,FALSE)*J51*L51</f>
        <v>0</v>
      </c>
      <c r="AL51" s="44">
        <f t="shared" si="34"/>
        <v>3378.0178339941331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3378.0178339941331</v>
      </c>
      <c r="AN51" s="48">
        <f t="shared" si="35"/>
        <v>3715.8196173935467</v>
      </c>
      <c r="AO51" s="47">
        <f t="shared" si="36"/>
        <v>1.5603239599710379</v>
      </c>
      <c r="AP51" s="47">
        <f t="shared" si="37"/>
        <v>2.052591789115755</v>
      </c>
      <c r="AQ51">
        <v>2020</v>
      </c>
    </row>
    <row r="52" spans="2:43">
      <c r="B52" s="97" t="s">
        <v>70</v>
      </c>
      <c r="C52" s="61">
        <v>18230524</v>
      </c>
      <c r="D52" s="61" t="s">
        <v>71</v>
      </c>
      <c r="E52" s="38" t="s">
        <v>1276</v>
      </c>
      <c r="F52" s="39" t="s">
        <v>1277</v>
      </c>
      <c r="G52" s="39">
        <v>15</v>
      </c>
      <c r="H52" s="39"/>
      <c r="I52" s="40" t="s">
        <v>261</v>
      </c>
      <c r="J52" s="41">
        <v>2</v>
      </c>
      <c r="K52" s="41">
        <v>3304</v>
      </c>
      <c r="L52" s="41"/>
      <c r="M52" s="42">
        <v>100</v>
      </c>
      <c r="N52" s="42">
        <v>186</v>
      </c>
      <c r="O52" s="43">
        <v>6608</v>
      </c>
      <c r="P52" s="44">
        <v>2366</v>
      </c>
      <c r="Q52" s="44">
        <v>4400.76</v>
      </c>
      <c r="R52" s="45">
        <v>0</v>
      </c>
      <c r="S52" s="46">
        <v>0</v>
      </c>
      <c r="T52" s="39">
        <f t="shared" si="19"/>
        <v>15</v>
      </c>
      <c r="U52" s="47">
        <f t="shared" si="20"/>
        <v>0.11182449240683266</v>
      </c>
      <c r="V52" s="48">
        <f t="shared" si="21"/>
        <v>86</v>
      </c>
      <c r="W52" s="49">
        <f t="shared" si="22"/>
        <v>7.4549661604555112E-3</v>
      </c>
      <c r="X52" s="44">
        <f t="shared" si="23"/>
        <v>1401.1239877751195</v>
      </c>
      <c r="Y52" s="44">
        <f t="shared" si="24"/>
        <v>2034.7600000000002</v>
      </c>
      <c r="Z52" s="44">
        <f t="shared" si="25"/>
        <v>6246.1600221121889</v>
      </c>
      <c r="AA52" s="50">
        <f t="shared" si="26"/>
        <v>5801.8839877751197</v>
      </c>
      <c r="AB52" s="51">
        <f t="shared" si="27"/>
        <v>5839.1698813800022</v>
      </c>
      <c r="AC52" s="44">
        <f t="shared" si="28"/>
        <v>5423.8421873189864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1.3787827893853604</v>
      </c>
      <c r="AG52" s="44">
        <f t="shared" si="31"/>
        <v>9110.9966722584613</v>
      </c>
      <c r="AH52" s="52">
        <f>HLOOKUP(I52,ElecAvoidedCostsWOCC!$A$5:$Q$50,T52+1,FALSE)</f>
        <v>1.3787827893853604</v>
      </c>
      <c r="AI52" s="44">
        <f t="shared" si="32"/>
        <v>0</v>
      </c>
      <c r="AJ52" s="44">
        <f t="shared" si="33"/>
        <v>9110.9966722584613</v>
      </c>
      <c r="AK52" s="44">
        <f>HLOOKUP(I52,ElecAvoidedCostsWOCC!$A$5:$Q$50,G52+1,FALSE)*J52*L52</f>
        <v>0</v>
      </c>
      <c r="AL52" s="44">
        <f t="shared" si="34"/>
        <v>9110.9966722584613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9110.9966722584613</v>
      </c>
      <c r="AN52" s="48">
        <f t="shared" si="35"/>
        <v>10022.096339484307</v>
      </c>
      <c r="AO52" s="47">
        <f t="shared" si="36"/>
        <v>1.5603239599710381</v>
      </c>
      <c r="AP52" s="47">
        <f t="shared" si="37"/>
        <v>1.8477853878042578</v>
      </c>
      <c r="AQ52">
        <v>2020</v>
      </c>
    </row>
    <row r="53" spans="2:43">
      <c r="B53" s="97" t="s">
        <v>70</v>
      </c>
      <c r="C53" s="61">
        <v>18230524</v>
      </c>
      <c r="D53" s="61" t="s">
        <v>71</v>
      </c>
      <c r="E53" s="38" t="s">
        <v>2189</v>
      </c>
      <c r="F53" s="39" t="s">
        <v>2190</v>
      </c>
      <c r="G53" s="39">
        <v>15</v>
      </c>
      <c r="H53" s="39"/>
      <c r="I53" s="40" t="s">
        <v>261</v>
      </c>
      <c r="J53" s="41">
        <v>1</v>
      </c>
      <c r="K53" s="41">
        <v>9817</v>
      </c>
      <c r="L53" s="41"/>
      <c r="M53" s="42">
        <v>65</v>
      </c>
      <c r="N53" s="42">
        <v>158</v>
      </c>
      <c r="O53" s="43">
        <v>9817</v>
      </c>
      <c r="P53" s="44">
        <v>1885</v>
      </c>
      <c r="Q53" s="44">
        <v>4582</v>
      </c>
      <c r="R53" s="45">
        <v>0</v>
      </c>
      <c r="S53" s="46">
        <v>0</v>
      </c>
      <c r="T53" s="39">
        <f t="shared" si="19"/>
        <v>15</v>
      </c>
      <c r="U53" s="47">
        <f t="shared" si="20"/>
        <v>0.166129092305974</v>
      </c>
      <c r="V53" s="48">
        <f t="shared" si="21"/>
        <v>93</v>
      </c>
      <c r="W53" s="49">
        <f t="shared" si="22"/>
        <v>1.1075272820398267E-2</v>
      </c>
      <c r="X53" s="44">
        <f t="shared" si="23"/>
        <v>2081.5427039933938</v>
      </c>
      <c r="Y53" s="44">
        <f t="shared" si="24"/>
        <v>2697</v>
      </c>
      <c r="Z53" s="44">
        <f t="shared" si="25"/>
        <v>9279.4420304290798</v>
      </c>
      <c r="AA53" s="50">
        <f t="shared" si="26"/>
        <v>6663.5427039933938</v>
      </c>
      <c r="AB53" s="51">
        <f t="shared" si="27"/>
        <v>8674.807918509001</v>
      </c>
      <c r="AC53" s="44">
        <f t="shared" si="28"/>
        <v>6229.356552298208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1.3787827893853604</v>
      </c>
      <c r="AG53" s="44">
        <f t="shared" si="31"/>
        <v>13535.510643396083</v>
      </c>
      <c r="AH53" s="52">
        <f>HLOOKUP(I53,ElecAvoidedCostsWOCC!$A$5:$Q$50,T53+1,FALSE)</f>
        <v>1.3787827893853604</v>
      </c>
      <c r="AI53" s="44">
        <f t="shared" si="32"/>
        <v>0</v>
      </c>
      <c r="AJ53" s="44">
        <f t="shared" si="33"/>
        <v>13535.510643396083</v>
      </c>
      <c r="AK53" s="44">
        <f>HLOOKUP(I53,ElecAvoidedCostsWOCC!$A$5:$Q$50,G53+1,FALSE)*J53*L53</f>
        <v>0</v>
      </c>
      <c r="AL53" s="44">
        <f t="shared" si="34"/>
        <v>13535.510643396083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13535.510643396083</v>
      </c>
      <c r="AN53" s="48">
        <f t="shared" si="35"/>
        <v>14889.061707735693</v>
      </c>
      <c r="AO53" s="47">
        <f t="shared" si="36"/>
        <v>1.5603239599710381</v>
      </c>
      <c r="AP53" s="47">
        <f t="shared" si="37"/>
        <v>2.3901444046002864</v>
      </c>
      <c r="AQ53">
        <v>2020</v>
      </c>
    </row>
    <row r="54" spans="2:43">
      <c r="B54" s="97" t="s">
        <v>70</v>
      </c>
      <c r="C54" s="61">
        <v>18230524</v>
      </c>
      <c r="D54" s="61" t="s">
        <v>71</v>
      </c>
      <c r="E54" s="38" t="s">
        <v>2191</v>
      </c>
      <c r="F54" s="39" t="s">
        <v>2192</v>
      </c>
      <c r="G54" s="39">
        <v>15</v>
      </c>
      <c r="H54" s="39"/>
      <c r="I54" s="40" t="s">
        <v>261</v>
      </c>
      <c r="J54" s="41">
        <v>1</v>
      </c>
      <c r="K54" s="41">
        <v>951</v>
      </c>
      <c r="L54" s="41"/>
      <c r="M54" s="42">
        <v>50</v>
      </c>
      <c r="N54" s="42">
        <v>163</v>
      </c>
      <c r="O54" s="43">
        <v>951</v>
      </c>
      <c r="P54" s="44">
        <v>400</v>
      </c>
      <c r="Q54" s="44">
        <v>1304</v>
      </c>
      <c r="R54" s="45">
        <v>0</v>
      </c>
      <c r="S54" s="46">
        <v>0</v>
      </c>
      <c r="T54" s="39">
        <f t="shared" si="19"/>
        <v>15</v>
      </c>
      <c r="U54" s="47">
        <f t="shared" si="20"/>
        <v>1.6093385635426432E-2</v>
      </c>
      <c r="V54" s="48">
        <f t="shared" si="21"/>
        <v>113</v>
      </c>
      <c r="W54" s="49">
        <f t="shared" si="22"/>
        <v>1.0728923756950955E-3</v>
      </c>
      <c r="X54" s="44">
        <f t="shared" si="23"/>
        <v>201.64481119463355</v>
      </c>
      <c r="Y54" s="44">
        <f t="shared" si="24"/>
        <v>904</v>
      </c>
      <c r="Z54" s="44">
        <f t="shared" si="25"/>
        <v>898.92526952613366</v>
      </c>
      <c r="AA54" s="50">
        <f t="shared" si="26"/>
        <v>1505.6448111946336</v>
      </c>
      <c r="AB54" s="51">
        <f t="shared" si="27"/>
        <v>840.35268722645003</v>
      </c>
      <c r="AC54" s="44">
        <f t="shared" si="28"/>
        <v>1407.5393205521486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1.3787827893853604</v>
      </c>
      <c r="AG54" s="44">
        <f t="shared" si="31"/>
        <v>1311.2224327054778</v>
      </c>
      <c r="AH54" s="52">
        <f>HLOOKUP(I54,ElecAvoidedCostsWOCC!$A$5:$Q$50,T54+1,FALSE)</f>
        <v>1.3787827893853604</v>
      </c>
      <c r="AI54" s="44">
        <f t="shared" si="32"/>
        <v>0</v>
      </c>
      <c r="AJ54" s="44">
        <f t="shared" si="33"/>
        <v>1311.2224327054778</v>
      </c>
      <c r="AK54" s="44">
        <f>HLOOKUP(I54,ElecAvoidedCostsWOCC!$A$5:$Q$50,G54+1,FALSE)*J54*L54</f>
        <v>0</v>
      </c>
      <c r="AL54" s="44">
        <f t="shared" si="34"/>
        <v>1311.2224327054778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1311.2224327054778</v>
      </c>
      <c r="AN54" s="48">
        <f t="shared" si="35"/>
        <v>1442.3446759760257</v>
      </c>
      <c r="AO54" s="47">
        <f t="shared" si="36"/>
        <v>1.5603239599710381</v>
      </c>
      <c r="AP54" s="47">
        <f t="shared" si="37"/>
        <v>1.0247278032774414</v>
      </c>
      <c r="AQ54">
        <v>2020</v>
      </c>
    </row>
    <row r="55" spans="2:43">
      <c r="B55" s="97" t="s">
        <v>70</v>
      </c>
      <c r="C55" s="61">
        <v>18230524</v>
      </c>
      <c r="D55" s="61" t="s">
        <v>71</v>
      </c>
      <c r="E55" s="38" t="s">
        <v>1280</v>
      </c>
      <c r="F55" s="39" t="s">
        <v>1281</v>
      </c>
      <c r="G55" s="39">
        <v>15</v>
      </c>
      <c r="H55" s="39"/>
      <c r="I55" s="40" t="s">
        <v>261</v>
      </c>
      <c r="J55" s="41">
        <v>24</v>
      </c>
      <c r="K55" s="41">
        <v>526.54166666666663</v>
      </c>
      <c r="L55" s="41"/>
      <c r="M55" s="42">
        <v>75</v>
      </c>
      <c r="N55" s="42">
        <v>245</v>
      </c>
      <c r="O55" s="43">
        <v>12637</v>
      </c>
      <c r="P55" s="44">
        <v>4860.75</v>
      </c>
      <c r="Q55" s="44">
        <v>15878.45</v>
      </c>
      <c r="R55" s="45">
        <v>0</v>
      </c>
      <c r="S55" s="46">
        <v>0</v>
      </c>
      <c r="T55" s="39">
        <f t="shared" si="19"/>
        <v>15</v>
      </c>
      <c r="U55" s="47">
        <f t="shared" si="20"/>
        <v>0.2138508036539262</v>
      </c>
      <c r="V55" s="48">
        <f t="shared" si="21"/>
        <v>170</v>
      </c>
      <c r="W55" s="49">
        <f t="shared" si="22"/>
        <v>1.425672024359508E-2</v>
      </c>
      <c r="X55" s="44">
        <f t="shared" si="23"/>
        <v>2679.4799990184902</v>
      </c>
      <c r="Y55" s="44">
        <f t="shared" si="24"/>
        <v>11017.7</v>
      </c>
      <c r="Z55" s="44">
        <f t="shared" si="25"/>
        <v>11945.024848582281</v>
      </c>
      <c r="AA55" s="50">
        <f t="shared" si="26"/>
        <v>18557.929999018492</v>
      </c>
      <c r="AB55" s="51">
        <f t="shared" si="27"/>
        <v>11166.705476846106</v>
      </c>
      <c r="AC55" s="44">
        <f t="shared" si="28"/>
        <v>17348.723940374395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1.3787827893853604</v>
      </c>
      <c r="AG55" s="44">
        <f t="shared" si="31"/>
        <v>17423.678109462799</v>
      </c>
      <c r="AH55" s="52">
        <f>HLOOKUP(I55,ElecAvoidedCostsWOCC!$A$5:$Q$50,T55+1,FALSE)</f>
        <v>1.3787827893853604</v>
      </c>
      <c r="AI55" s="44">
        <f t="shared" si="32"/>
        <v>0</v>
      </c>
      <c r="AJ55" s="44">
        <f t="shared" si="33"/>
        <v>17423.678109462799</v>
      </c>
      <c r="AK55" s="44">
        <f>HLOOKUP(I55,ElecAvoidedCostsWOCC!$A$5:$Q$50,G55+1,FALSE)*J55*L55</f>
        <v>0</v>
      </c>
      <c r="AL55" s="44">
        <f t="shared" si="34"/>
        <v>17423.678109462799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17423.678109462799</v>
      </c>
      <c r="AN55" s="48">
        <f t="shared" si="35"/>
        <v>19166.04592040908</v>
      </c>
      <c r="AO55" s="47">
        <f t="shared" si="36"/>
        <v>1.5603239599710383</v>
      </c>
      <c r="AP55" s="47">
        <f t="shared" si="37"/>
        <v>1.1047524870578733</v>
      </c>
      <c r="AQ55">
        <v>2020</v>
      </c>
    </row>
    <row r="56" spans="2:43">
      <c r="B56" s="97" t="s">
        <v>70</v>
      </c>
      <c r="C56" s="61">
        <v>18230524</v>
      </c>
      <c r="D56" s="61" t="s">
        <v>71</v>
      </c>
      <c r="E56" s="38" t="s">
        <v>1282</v>
      </c>
      <c r="F56" s="39" t="s">
        <v>1283</v>
      </c>
      <c r="G56" s="39">
        <v>15</v>
      </c>
      <c r="H56" s="39"/>
      <c r="I56" s="40" t="s">
        <v>261</v>
      </c>
      <c r="J56" s="41">
        <v>10</v>
      </c>
      <c r="K56" s="41">
        <v>1074.3</v>
      </c>
      <c r="L56" s="41"/>
      <c r="M56" s="42">
        <v>125</v>
      </c>
      <c r="N56" s="42">
        <v>327</v>
      </c>
      <c r="O56" s="43">
        <v>10743</v>
      </c>
      <c r="P56" s="44">
        <v>4796.25</v>
      </c>
      <c r="Q56" s="44">
        <v>12546.99</v>
      </c>
      <c r="R56" s="45">
        <v>0</v>
      </c>
      <c r="S56" s="46">
        <v>0</v>
      </c>
      <c r="T56" s="39">
        <f t="shared" si="19"/>
        <v>15</v>
      </c>
      <c r="U56" s="47">
        <f t="shared" si="20"/>
        <v>0.181799413124486</v>
      </c>
      <c r="V56" s="48">
        <f t="shared" si="21"/>
        <v>202</v>
      </c>
      <c r="W56" s="49">
        <f t="shared" si="22"/>
        <v>1.2119960874965733E-2</v>
      </c>
      <c r="X56" s="44">
        <f t="shared" si="23"/>
        <v>2277.886652643479</v>
      </c>
      <c r="Y56" s="44">
        <f t="shared" si="24"/>
        <v>7750.74</v>
      </c>
      <c r="Z56" s="44">
        <f t="shared" si="25"/>
        <v>10154.736246602792</v>
      </c>
      <c r="AA56" s="50">
        <f t="shared" si="26"/>
        <v>14824.876652643479</v>
      </c>
      <c r="AB56" s="51">
        <f t="shared" si="27"/>
        <v>9493.0693153246611</v>
      </c>
      <c r="AC56" s="44">
        <f t="shared" si="28"/>
        <v>13858.910584877514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1.3787827893853604</v>
      </c>
      <c r="AG56" s="44">
        <f t="shared" si="31"/>
        <v>14812.263506366924</v>
      </c>
      <c r="AH56" s="52">
        <f>HLOOKUP(I56,ElecAvoidedCostsWOCC!$A$5:$Q$50,T56+1,FALSE)</f>
        <v>1.3787827893853604</v>
      </c>
      <c r="AI56" s="44">
        <f t="shared" si="32"/>
        <v>0</v>
      </c>
      <c r="AJ56" s="44">
        <f t="shared" si="33"/>
        <v>14812.263506366924</v>
      </c>
      <c r="AK56" s="44">
        <f>HLOOKUP(I56,ElecAvoidedCostsWOCC!$A$5:$Q$50,G56+1,FALSE)*J56*L56</f>
        <v>0</v>
      </c>
      <c r="AL56" s="44">
        <f t="shared" si="34"/>
        <v>14812.263506366924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14812.263506366926</v>
      </c>
      <c r="AN56" s="48">
        <f t="shared" si="35"/>
        <v>16293.48985700362</v>
      </c>
      <c r="AO56" s="47">
        <f t="shared" si="36"/>
        <v>1.5603239599710381</v>
      </c>
      <c r="AP56" s="47">
        <f t="shared" si="37"/>
        <v>1.1756688779551443</v>
      </c>
      <c r="AQ56">
        <v>2020</v>
      </c>
    </row>
    <row r="57" spans="2:43">
      <c r="B57" s="97" t="s">
        <v>70</v>
      </c>
      <c r="C57" s="61">
        <v>18230524</v>
      </c>
      <c r="D57" s="61" t="s">
        <v>71</v>
      </c>
      <c r="E57" s="38" t="s">
        <v>1286</v>
      </c>
      <c r="F57" s="39" t="s">
        <v>1287</v>
      </c>
      <c r="G57" s="39">
        <v>15</v>
      </c>
      <c r="H57" s="39"/>
      <c r="I57" s="40" t="s">
        <v>261</v>
      </c>
      <c r="J57" s="41">
        <v>11</v>
      </c>
      <c r="K57" s="41">
        <v>807.4545454545455</v>
      </c>
      <c r="L57" s="41"/>
      <c r="M57" s="42">
        <v>400</v>
      </c>
      <c r="N57" s="42">
        <v>500</v>
      </c>
      <c r="O57" s="43">
        <v>8882</v>
      </c>
      <c r="P57" s="44">
        <v>4800</v>
      </c>
      <c r="Q57" s="44">
        <v>630</v>
      </c>
      <c r="R57" s="45">
        <v>0</v>
      </c>
      <c r="S57" s="46">
        <v>0</v>
      </c>
      <c r="T57" s="39">
        <f t="shared" si="19"/>
        <v>15</v>
      </c>
      <c r="U57" s="47">
        <f t="shared" si="20"/>
        <v>0.15030646815337284</v>
      </c>
      <c r="V57" s="48">
        <f t="shared" si="21"/>
        <v>100</v>
      </c>
      <c r="W57" s="49">
        <f t="shared" si="22"/>
        <v>1.0020431210224856E-2</v>
      </c>
      <c r="X57" s="44">
        <f t="shared" si="23"/>
        <v>1883.2904448272716</v>
      </c>
      <c r="Y57" s="44">
        <f t="shared" si="24"/>
        <v>-4170</v>
      </c>
      <c r="Z57" s="44">
        <f t="shared" si="25"/>
        <v>8395.6406350484958</v>
      </c>
      <c r="AA57" s="50">
        <f t="shared" si="26"/>
        <v>2513.2904448272716</v>
      </c>
      <c r="AB57" s="51">
        <f t="shared" si="27"/>
        <v>7848.5936571454567</v>
      </c>
      <c r="AC57" s="44">
        <f t="shared" si="28"/>
        <v>2349.5283208631126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1.3787827893853604</v>
      </c>
      <c r="AG57" s="44">
        <f t="shared" si="31"/>
        <v>12246.348735320771</v>
      </c>
      <c r="AH57" s="52">
        <f>HLOOKUP(I57,ElecAvoidedCostsWOCC!$A$5:$Q$50,T57+1,FALSE)</f>
        <v>1.3787827893853604</v>
      </c>
      <c r="AI57" s="44">
        <f t="shared" si="32"/>
        <v>0</v>
      </c>
      <c r="AJ57" s="44">
        <f t="shared" si="33"/>
        <v>12246.348735320771</v>
      </c>
      <c r="AK57" s="44">
        <f>HLOOKUP(I57,ElecAvoidedCostsWOCC!$A$5:$Q$50,G57+1,FALSE)*J57*L57</f>
        <v>0</v>
      </c>
      <c r="AL57" s="44">
        <f t="shared" si="34"/>
        <v>12246.348735320771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12246.348735320771</v>
      </c>
      <c r="AN57" s="48">
        <f t="shared" si="35"/>
        <v>13470.98360885285</v>
      </c>
      <c r="AO57" s="47">
        <f t="shared" si="36"/>
        <v>1.5603239599710381</v>
      </c>
      <c r="AP57" s="47">
        <f t="shared" si="37"/>
        <v>5.7334842441499951</v>
      </c>
      <c r="AQ57">
        <v>2020</v>
      </c>
    </row>
    <row r="58" spans="2:43">
      <c r="B58" s="97" t="s">
        <v>70</v>
      </c>
      <c r="C58" s="61">
        <v>18230524</v>
      </c>
      <c r="D58" s="61" t="s">
        <v>71</v>
      </c>
      <c r="E58" s="38" t="s">
        <v>1288</v>
      </c>
      <c r="F58" s="39" t="s">
        <v>1289</v>
      </c>
      <c r="G58" s="39">
        <v>15</v>
      </c>
      <c r="H58" s="39"/>
      <c r="I58" s="40" t="s">
        <v>261</v>
      </c>
      <c r="J58" s="41">
        <v>22</v>
      </c>
      <c r="K58" s="41">
        <v>1053.590909090909</v>
      </c>
      <c r="L58" s="41"/>
      <c r="M58" s="42">
        <v>600</v>
      </c>
      <c r="N58" s="42">
        <v>840</v>
      </c>
      <c r="O58" s="43">
        <v>23179</v>
      </c>
      <c r="P58" s="44">
        <v>13350</v>
      </c>
      <c r="Q58" s="44">
        <v>13183.5</v>
      </c>
      <c r="R58" s="45">
        <v>0</v>
      </c>
      <c r="S58" s="46">
        <v>0</v>
      </c>
      <c r="T58" s="39">
        <f t="shared" si="19"/>
        <v>15</v>
      </c>
      <c r="U58" s="47">
        <f t="shared" si="20"/>
        <v>0.39224877565041982</v>
      </c>
      <c r="V58" s="48">
        <f t="shared" si="21"/>
        <v>240</v>
      </c>
      <c r="W58" s="49">
        <f t="shared" si="22"/>
        <v>2.6149918376694656E-2</v>
      </c>
      <c r="X58" s="44">
        <f t="shared" si="23"/>
        <v>4914.7477168037967</v>
      </c>
      <c r="Y58" s="44">
        <f t="shared" si="24"/>
        <v>-166.5</v>
      </c>
      <c r="Z58" s="44">
        <f t="shared" si="25"/>
        <v>21909.7674262316</v>
      </c>
      <c r="AA58" s="50">
        <f t="shared" si="26"/>
        <v>18098.247716803795</v>
      </c>
      <c r="AB58" s="51">
        <f t="shared" si="27"/>
        <v>20482.160817268017</v>
      </c>
      <c r="AC58" s="44">
        <f t="shared" si="28"/>
        <v>16918.993845754692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1.3787827893853604</v>
      </c>
      <c r="AG58" s="44">
        <f t="shared" si="31"/>
        <v>31958.806275163268</v>
      </c>
      <c r="AH58" s="52">
        <f>HLOOKUP(I58,ElecAvoidedCostsWOCC!$A$5:$Q$50,T58+1,FALSE)</f>
        <v>1.3787827893853604</v>
      </c>
      <c r="AI58" s="44">
        <f t="shared" si="32"/>
        <v>0</v>
      </c>
      <c r="AJ58" s="44">
        <f t="shared" si="33"/>
        <v>31958.806275163268</v>
      </c>
      <c r="AK58" s="44">
        <f>HLOOKUP(I58,ElecAvoidedCostsWOCC!$A$5:$Q$50,G58+1,FALSE)*J58*L58</f>
        <v>0</v>
      </c>
      <c r="AL58" s="44">
        <f t="shared" si="34"/>
        <v>31958.806275163268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31958.806275163264</v>
      </c>
      <c r="AN58" s="48">
        <f t="shared" si="35"/>
        <v>35154.68690267959</v>
      </c>
      <c r="AO58" s="47">
        <f t="shared" si="36"/>
        <v>1.5603239599710379</v>
      </c>
      <c r="AP58" s="47">
        <f t="shared" si="37"/>
        <v>2.0778237301327818</v>
      </c>
      <c r="AQ58">
        <v>2020</v>
      </c>
    </row>
    <row r="59" spans="2:43">
      <c r="B59" s="97" t="s">
        <v>70</v>
      </c>
      <c r="C59" s="61">
        <v>18230524</v>
      </c>
      <c r="D59" s="61" t="s">
        <v>71</v>
      </c>
      <c r="E59" s="38" t="s">
        <v>2202</v>
      </c>
      <c r="F59" s="39" t="s">
        <v>2203</v>
      </c>
      <c r="G59" s="39">
        <v>15</v>
      </c>
      <c r="H59" s="39"/>
      <c r="I59" s="40" t="s">
        <v>261</v>
      </c>
      <c r="J59" s="41">
        <v>2</v>
      </c>
      <c r="K59" s="41">
        <v>603.5</v>
      </c>
      <c r="L59" s="41"/>
      <c r="M59" s="42">
        <v>300</v>
      </c>
      <c r="N59" s="42">
        <v>450</v>
      </c>
      <c r="O59" s="43">
        <v>1207</v>
      </c>
      <c r="P59" s="44">
        <v>600</v>
      </c>
      <c r="Q59" s="44">
        <v>147.07</v>
      </c>
      <c r="R59" s="45">
        <v>0</v>
      </c>
      <c r="S59" s="46">
        <v>0</v>
      </c>
      <c r="T59" s="39">
        <f t="shared" si="19"/>
        <v>15</v>
      </c>
      <c r="U59" s="47">
        <f t="shared" si="20"/>
        <v>2.0425569360630606E-2</v>
      </c>
      <c r="V59" s="48">
        <f t="shared" si="21"/>
        <v>150</v>
      </c>
      <c r="W59" s="49">
        <f t="shared" si="22"/>
        <v>1.3617046240420403E-3</v>
      </c>
      <c r="X59" s="44">
        <f t="shared" si="23"/>
        <v>255.92564365081253</v>
      </c>
      <c r="Y59" s="44">
        <f t="shared" si="24"/>
        <v>-452.93</v>
      </c>
      <c r="Z59" s="44">
        <f t="shared" si="25"/>
        <v>1140.9072558549353</v>
      </c>
      <c r="AA59" s="50">
        <f t="shared" si="26"/>
        <v>402.99564365081255</v>
      </c>
      <c r="AB59" s="51">
        <f t="shared" si="27"/>
        <v>1066.5675010329394</v>
      </c>
      <c r="AC59" s="44">
        <f t="shared" si="28"/>
        <v>376.737069880165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1.3787827893853604</v>
      </c>
      <c r="AG59" s="44">
        <f t="shared" si="31"/>
        <v>1664.1908267881299</v>
      </c>
      <c r="AH59" s="52">
        <f>HLOOKUP(I59,ElecAvoidedCostsWOCC!$A$5:$Q$50,T59+1,FALSE)</f>
        <v>1.3787827893853604</v>
      </c>
      <c r="AI59" s="44">
        <f t="shared" si="32"/>
        <v>0</v>
      </c>
      <c r="AJ59" s="44">
        <f t="shared" si="33"/>
        <v>1664.1908267881299</v>
      </c>
      <c r="AK59" s="44">
        <f>HLOOKUP(I59,ElecAvoidedCostsWOCC!$A$5:$Q$50,G59+1,FALSE)*J59*L59</f>
        <v>0</v>
      </c>
      <c r="AL59" s="44">
        <f t="shared" si="34"/>
        <v>1664.1908267881299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1664.1908267881299</v>
      </c>
      <c r="AN59" s="48">
        <f t="shared" si="35"/>
        <v>1830.609909466943</v>
      </c>
      <c r="AO59" s="47">
        <f t="shared" si="36"/>
        <v>1.5603239599710377</v>
      </c>
      <c r="AP59" s="47">
        <f t="shared" si="37"/>
        <v>4.8591180847938205</v>
      </c>
      <c r="AQ59">
        <v>2020</v>
      </c>
    </row>
    <row r="60" spans="2:43">
      <c r="B60" s="97" t="s">
        <v>70</v>
      </c>
      <c r="C60" s="61">
        <v>18230524</v>
      </c>
      <c r="D60" s="61" t="s">
        <v>71</v>
      </c>
      <c r="E60" s="38" t="s">
        <v>2204</v>
      </c>
      <c r="F60" s="39" t="s">
        <v>1297</v>
      </c>
      <c r="G60" s="39"/>
      <c r="H60" s="39"/>
      <c r="I60" s="40" t="s">
        <v>261</v>
      </c>
      <c r="J60" s="41">
        <v>36</v>
      </c>
      <c r="K60" s="41">
        <v>0</v>
      </c>
      <c r="L60" s="41"/>
      <c r="M60" s="42">
        <v>50</v>
      </c>
      <c r="N60" s="42">
        <v>50</v>
      </c>
      <c r="O60" s="43">
        <v>0</v>
      </c>
      <c r="P60" s="44">
        <v>1800</v>
      </c>
      <c r="Q60" s="44">
        <v>0</v>
      </c>
      <c r="R60" s="45">
        <v>0</v>
      </c>
      <c r="S60" s="46">
        <v>0</v>
      </c>
      <c r="T60" s="39">
        <f t="shared" ref="T60:T89" si="38">G60+H60</f>
        <v>0</v>
      </c>
      <c r="U60" s="47">
        <f t="shared" ref="U60:U89" si="39">(O60/$A$10)*T60</f>
        <v>0</v>
      </c>
      <c r="V60" s="48">
        <f t="shared" ref="V60:V89" si="40">N60-M60</f>
        <v>0</v>
      </c>
      <c r="W60" s="49">
        <f t="shared" ref="W60:W89" si="41">(O60/A$10)</f>
        <v>0</v>
      </c>
      <c r="X60" s="44">
        <f t="shared" ref="X60:X89" si="42">W60*A$8</f>
        <v>0</v>
      </c>
      <c r="Y60" s="44">
        <f t="shared" ref="Y60:Y89" si="43">Q60-P60</f>
        <v>-1800</v>
      </c>
      <c r="Z60" s="44">
        <f t="shared" ref="Z60:Z89" si="44">X60+(A$6*W60)</f>
        <v>0</v>
      </c>
      <c r="AA60" s="50">
        <f t="shared" ref="AA60:AA89" si="45">Q60+X60</f>
        <v>0</v>
      </c>
      <c r="AB60" s="51">
        <f t="shared" ref="AB60:AB89" si="46">Z60/(1+ElecDiscountRate)^1</f>
        <v>0</v>
      </c>
      <c r="AC60" s="44">
        <f t="shared" ref="AC60:AC89" si="47">AA60/(1+ElecDiscountRate)^1</f>
        <v>0</v>
      </c>
      <c r="AD60" s="44">
        <f t="shared" ref="AD60:AD89" si="48">-PV(ElecDiscountRate,T60,R60)*J60</f>
        <v>0</v>
      </c>
      <c r="AE60" s="44">
        <f t="shared" ref="AE60:AE89" si="49">-PV(ElecDiscountRate,T60,S60)*J60</f>
        <v>0</v>
      </c>
      <c r="AF60" s="52" t="str">
        <f>HLOOKUP(I60,ElecAvoidedCostsWOCC!$A$5:$Q$50,G60+1,FALSE)</f>
        <v>Comm Space Heat</v>
      </c>
      <c r="AG60" s="44" t="e">
        <f t="shared" ref="AG60:AG89" si="50">AF60*J60*K60</f>
        <v>#VALUE!</v>
      </c>
      <c r="AH60" s="52" t="str">
        <f>HLOOKUP(I60,ElecAvoidedCostsWOCC!$A$5:$Q$50,T60+1,FALSE)</f>
        <v>Comm Space Heat</v>
      </c>
      <c r="AI60" s="44" t="e">
        <f t="shared" ref="AI60:AI89" si="51">AH60*J60*L60</f>
        <v>#VALUE!</v>
      </c>
      <c r="AJ60" s="44" t="e">
        <f t="shared" ref="AJ60:AJ89" si="52">AG60+AI60</f>
        <v>#VALUE!</v>
      </c>
      <c r="AK60" s="44" t="e">
        <f>HLOOKUP(I60,ElecAvoidedCostsWOCC!$A$5:$Q$50,G60+1,FALSE)*J60*L60</f>
        <v>#VALUE!</v>
      </c>
      <c r="AL60" s="44" t="e">
        <f t="shared" ref="AL60:AL89" si="53">AG60+AI60-AK60</f>
        <v>#VALUE!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ref="AN60:AN89" si="54">AM60*1.1+AD60+AE60</f>
        <v>0</v>
      </c>
      <c r="AO60" s="47">
        <f t="shared" ref="AO60:AO89" si="55">IFERROR(AM60/AB60,0)</f>
        <v>0</v>
      </c>
      <c r="AP60" s="47" t="e">
        <f t="shared" ref="AP60:AP89" si="56">AN60/AC60</f>
        <v>#DIV/0!</v>
      </c>
      <c r="AQ60">
        <v>2020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HLOOKUP(I85,ElecAvoidedCostsWOCC!$A$5:$Q$50,G85+1,FALSE)</f>
        <v>#N/A</v>
      </c>
      <c r="AG85" s="44" t="e">
        <f t="shared" si="50"/>
        <v>#N/A</v>
      </c>
      <c r="AH85" s="52" t="e">
        <f>HLOOKUP(I85,ElecAvoidedCostsWOCC!$A$5:$Q$50,T85+1,FALSE)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HLOOKUP(I85,ElecAvoidedCostsWOCC!$A$5:$Q$50,G85+1,FALSE)*J85*L85</f>
        <v>#N/A</v>
      </c>
      <c r="AL85" s="44" t="e">
        <f t="shared" si="53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HLOOKUP(I86,ElecAvoidedCostsWOCC!$A$5:$Q$50,G86+1,FALSE)</f>
        <v>#N/A</v>
      </c>
      <c r="AG86" s="44" t="e">
        <f t="shared" si="50"/>
        <v>#N/A</v>
      </c>
      <c r="AH86" s="52" t="e">
        <f>HLOOKUP(I86,ElecAvoidedCostsWOCC!$A$5:$Q$50,T86+1,FALSE)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HLOOKUP(I86,ElecAvoidedCostsWOCC!$A$5:$Q$50,G86+1,FALSE)*J86*L86</f>
        <v>#N/A</v>
      </c>
      <c r="AL86" s="44" t="e">
        <f t="shared" si="53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HLOOKUP(I87,ElecAvoidedCostsWOCC!$A$5:$Q$50,G87+1,FALSE)</f>
        <v>#N/A</v>
      </c>
      <c r="AG87" s="44" t="e">
        <f t="shared" si="50"/>
        <v>#N/A</v>
      </c>
      <c r="AH87" s="52" t="e">
        <f>HLOOKUP(I87,ElecAvoidedCostsWOCC!$A$5:$Q$50,T87+1,FALSE)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HLOOKUP(I87,ElecAvoidedCostsWOCC!$A$5:$Q$50,G87+1,FALSE)*J87*L87</f>
        <v>#N/A</v>
      </c>
      <c r="AL87" s="44" t="e">
        <f t="shared" si="53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</sheetData>
  <conditionalFormatting sqref="J5:L8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89 R5:S89">
    <cfRule type="expression" dxfId="182" priority="2">
      <formula>ISTEXT(M5)</formula>
    </cfRule>
  </conditionalFormatting>
  <conditionalFormatting sqref="M5:N89 R5:S89">
    <cfRule type="notContainsBlanks" dxfId="181" priority="3">
      <formula>LEN(TRIM(M5))&gt;0</formula>
    </cfRule>
  </conditionalFormatting>
  <conditionalFormatting sqref="R5:S8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12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5.5999615361543992E-3</v>
      </c>
      <c r="V5" s="48">
        <f t="shared" ref="V5:V23" si="2">N5-M5</f>
        <v>0</v>
      </c>
      <c r="W5" s="49">
        <f t="shared" ref="W5:W23" si="3">(O5/A$10)</f>
        <v>3.7333076907695995E-4</v>
      </c>
      <c r="X5" s="44">
        <f t="shared" ref="X5:X23" si="4">W5*A$8</f>
        <v>919.52079992101119</v>
      </c>
      <c r="Y5" s="44">
        <f t="shared" ref="Y5:Y23" si="5">Q5-P5</f>
        <v>0</v>
      </c>
      <c r="Z5" s="44">
        <f t="shared" ref="Z5:Z23" si="6">X5+(A$6*W5)</f>
        <v>4730.6851441917652</v>
      </c>
      <c r="AA5" s="50">
        <f t="shared" ref="AA5:AA23" si="7">Q5+X5</f>
        <v>919.52079992101119</v>
      </c>
      <c r="AB5" s="51">
        <f t="shared" ref="AB5:AC19" si="8">Z5/(1+ElecDiscountRate)^1</f>
        <v>4422.4410060687715</v>
      </c>
      <c r="AC5" s="44">
        <f t="shared" si="8"/>
        <v>859.60624466767422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2.0804675220839779</v>
      </c>
      <c r="AP5" s="47">
        <f>AN5/AC5</f>
        <v>11.773785302731314</v>
      </c>
      <c r="AQ5">
        <v>2021</v>
      </c>
    </row>
    <row r="6" spans="1:43" ht="13.5" customHeight="1">
      <c r="A6" s="53">
        <f>SUMIF('Program Costs'!D:D,C2,'Program Costs'!L:L)</f>
        <v>10208546.039999999</v>
      </c>
      <c r="B6" s="97" t="s">
        <v>70</v>
      </c>
      <c r="C6" s="98">
        <v>18231134</v>
      </c>
      <c r="D6" s="61" t="s">
        <v>176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4.1651985111159596E-3</v>
      </c>
      <c r="V6" s="48">
        <f t="shared" si="2"/>
        <v>0</v>
      </c>
      <c r="W6" s="49">
        <f t="shared" si="3"/>
        <v>2.0825992555579796E-4</v>
      </c>
      <c r="X6" s="44">
        <f t="shared" si="4"/>
        <v>512.94816607811163</v>
      </c>
      <c r="Y6" s="44">
        <f t="shared" si="5"/>
        <v>0</v>
      </c>
      <c r="Z6" s="44">
        <f t="shared" si="6"/>
        <v>2638.9792044014475</v>
      </c>
      <c r="AA6" s="50">
        <f t="shared" si="7"/>
        <v>512.94816607811163</v>
      </c>
      <c r="AB6" s="51">
        <f t="shared" si="8"/>
        <v>2467.0273949719053</v>
      </c>
      <c r="AC6" s="44">
        <f t="shared" si="8"/>
        <v>479.52525575218431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2.6662834682907715</v>
      </c>
      <c r="AP6" s="47">
        <f t="shared" ref="AP6:AP23" si="16">AN6/AC6</f>
        <v>15.089035891525059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1298</v>
      </c>
      <c r="F7" s="39" t="s">
        <v>1299</v>
      </c>
      <c r="G7" s="39">
        <v>12</v>
      </c>
      <c r="H7" s="39"/>
      <c r="I7" s="40" t="s">
        <v>260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4.6914871316540766E-4</v>
      </c>
      <c r="V7" s="48">
        <f t="shared" si="2"/>
        <v>0</v>
      </c>
      <c r="W7" s="49">
        <f t="shared" si="3"/>
        <v>3.9095726097117305E-5</v>
      </c>
      <c r="X7" s="44">
        <f t="shared" si="4"/>
        <v>96.29351854173936</v>
      </c>
      <c r="Y7" s="44">
        <f t="shared" si="5"/>
        <v>-3052.8</v>
      </c>
      <c r="Z7" s="44">
        <f t="shared" si="6"/>
        <v>495.40403837139081</v>
      </c>
      <c r="AA7" s="50">
        <f t="shared" si="7"/>
        <v>223.49351854173938</v>
      </c>
      <c r="AB7" s="51">
        <f t="shared" si="8"/>
        <v>463.12427631241542</v>
      </c>
      <c r="AC7" s="44">
        <f t="shared" si="8"/>
        <v>208.93102602761462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1.6585923267293048</v>
      </c>
      <c r="AP7" s="47">
        <f t="shared" si="16"/>
        <v>4.044147124436849</v>
      </c>
      <c r="AQ7">
        <v>2021</v>
      </c>
    </row>
    <row r="8" spans="1:43" ht="13.5" customHeight="1">
      <c r="A8" s="53">
        <f>SUMIF('Program Costs'!D:D,C2,'Program Costs'!O:O)</f>
        <v>2463019.0600000005</v>
      </c>
      <c r="B8" s="97" t="s">
        <v>70</v>
      </c>
      <c r="C8" s="98">
        <v>18231134</v>
      </c>
      <c r="D8" s="61" t="s">
        <v>176</v>
      </c>
      <c r="E8" s="38" t="s">
        <v>1300</v>
      </c>
      <c r="F8" s="39" t="s">
        <v>1301</v>
      </c>
      <c r="G8" s="39">
        <v>12</v>
      </c>
      <c r="H8" s="39"/>
      <c r="I8" s="40" t="s">
        <v>260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3.299829650773997E-3</v>
      </c>
      <c r="V8" s="48">
        <f t="shared" si="2"/>
        <v>0</v>
      </c>
      <c r="W8" s="49">
        <f t="shared" si="3"/>
        <v>2.7498580423116641E-4</v>
      </c>
      <c r="X8" s="44">
        <f t="shared" si="4"/>
        <v>677.2952770507917</v>
      </c>
      <c r="Y8" s="44">
        <f t="shared" si="5"/>
        <v>-1441.6</v>
      </c>
      <c r="Z8" s="44">
        <f t="shared" si="6"/>
        <v>3484.5005198910808</v>
      </c>
      <c r="AA8" s="50">
        <f t="shared" si="7"/>
        <v>1885.6952770507919</v>
      </c>
      <c r="AB8" s="51">
        <f t="shared" si="8"/>
        <v>3257.4558473320376</v>
      </c>
      <c r="AC8" s="44">
        <f t="shared" si="8"/>
        <v>1762.8262849871849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1.6585923267293046</v>
      </c>
      <c r="AP8" s="47">
        <f t="shared" si="16"/>
        <v>3.3713307153189342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18231134</v>
      </c>
      <c r="D9" s="61" t="s">
        <v>176</v>
      </c>
      <c r="E9" s="38" t="s">
        <v>1302</v>
      </c>
      <c r="F9" s="39" t="s">
        <v>1303</v>
      </c>
      <c r="G9" s="39">
        <v>15</v>
      </c>
      <c r="H9" s="39"/>
      <c r="I9" s="40" t="s">
        <v>260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3.6526936401633638E-4</v>
      </c>
      <c r="V9" s="48">
        <f t="shared" si="2"/>
        <v>0</v>
      </c>
      <c r="W9" s="49">
        <f t="shared" si="3"/>
        <v>2.4351290934422425E-5</v>
      </c>
      <c r="X9" s="44">
        <f t="shared" si="4"/>
        <v>59.977693707087653</v>
      </c>
      <c r="Y9" s="44">
        <f t="shared" si="5"/>
        <v>-1102.92</v>
      </c>
      <c r="Z9" s="44">
        <f t="shared" si="6"/>
        <v>308.56896834457359</v>
      </c>
      <c r="AA9" s="50">
        <f t="shared" si="7"/>
        <v>335.70769370708769</v>
      </c>
      <c r="AB9" s="51">
        <f t="shared" si="8"/>
        <v>288.4630909082673</v>
      </c>
      <c r="AC9" s="44">
        <f t="shared" si="8"/>
        <v>313.83349883807392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2.0256625747011254</v>
      </c>
      <c r="AP9" s="47">
        <f t="shared" si="16"/>
        <v>2.0480980474002064</v>
      </c>
      <c r="AQ9">
        <v>2021</v>
      </c>
    </row>
    <row r="10" spans="1:43" ht="13.5" customHeight="1">
      <c r="A10" s="54">
        <f>SUM(O5:O997)</f>
        <v>23941235.870000001</v>
      </c>
      <c r="B10" s="97" t="s">
        <v>70</v>
      </c>
      <c r="C10" s="98">
        <v>18231134</v>
      </c>
      <c r="D10" s="61" t="s">
        <v>176</v>
      </c>
      <c r="E10" s="38" t="s">
        <v>1304</v>
      </c>
      <c r="F10" s="39" t="s">
        <v>1305</v>
      </c>
      <c r="G10" s="39">
        <v>15</v>
      </c>
      <c r="H10" s="39"/>
      <c r="I10" s="40" t="s">
        <v>260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1.103639767949874E-2</v>
      </c>
      <c r="V10" s="48">
        <f t="shared" si="2"/>
        <v>0</v>
      </c>
      <c r="W10" s="49">
        <f t="shared" si="3"/>
        <v>7.35759845299916E-4</v>
      </c>
      <c r="X10" s="44">
        <f t="shared" si="4"/>
        <v>1812.1905225563448</v>
      </c>
      <c r="Y10" s="44">
        <f t="shared" si="5"/>
        <v>-2481.5700000000006</v>
      </c>
      <c r="Z10" s="44">
        <f t="shared" si="6"/>
        <v>9323.2287776838148</v>
      </c>
      <c r="AA10" s="50">
        <f t="shared" si="7"/>
        <v>5396.6805225563448</v>
      </c>
      <c r="AB10" s="51">
        <f t="shared" si="8"/>
        <v>8715.7415889350414</v>
      </c>
      <c r="AC10" s="44">
        <f t="shared" si="8"/>
        <v>5045.0411541145595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2.025662574701125</v>
      </c>
      <c r="AP10" s="47">
        <f t="shared" si="16"/>
        <v>3.8494565473227498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18231134</v>
      </c>
      <c r="D11" s="61" t="s">
        <v>176</v>
      </c>
      <c r="E11" s="38" t="s">
        <v>1306</v>
      </c>
      <c r="F11" s="39" t="s">
        <v>1307</v>
      </c>
      <c r="G11" s="39">
        <v>12</v>
      </c>
      <c r="H11" s="39"/>
      <c r="I11" s="40" t="s">
        <v>257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1.7863739462836677E-3</v>
      </c>
      <c r="V11" s="48">
        <f t="shared" si="2"/>
        <v>0</v>
      </c>
      <c r="W11" s="49">
        <f t="shared" si="3"/>
        <v>1.4886449552363898E-4</v>
      </c>
      <c r="X11" s="44">
        <f t="shared" si="4"/>
        <v>366.65608983200758</v>
      </c>
      <c r="Y11" s="44">
        <f t="shared" si="5"/>
        <v>0</v>
      </c>
      <c r="Z11" s="44">
        <f t="shared" si="6"/>
        <v>1886.3461461064501</v>
      </c>
      <c r="AA11" s="50">
        <f t="shared" si="7"/>
        <v>2808.6560898320076</v>
      </c>
      <c r="AB11" s="51">
        <f t="shared" si="8"/>
        <v>1763.4347444203513</v>
      </c>
      <c r="AC11" s="44">
        <f t="shared" si="8"/>
        <v>2625.648396589705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1.7512518895483784</v>
      </c>
      <c r="AP11" s="47">
        <f t="shared" si="16"/>
        <v>1.2937910024433399</v>
      </c>
      <c r="AQ11">
        <v>2021</v>
      </c>
    </row>
    <row r="12" spans="1:43" ht="13.5" customHeight="1">
      <c r="A12" s="55">
        <f>SUM(P5:P998)</f>
        <v>9295507.370000001</v>
      </c>
      <c r="B12" s="97" t="s">
        <v>70</v>
      </c>
      <c r="C12" s="98">
        <v>18231134</v>
      </c>
      <c r="D12" s="61" t="s">
        <v>176</v>
      </c>
      <c r="E12" s="38" t="s">
        <v>1308</v>
      </c>
      <c r="F12" s="39" t="s">
        <v>1309</v>
      </c>
      <c r="G12" s="39">
        <v>12</v>
      </c>
      <c r="H12" s="39"/>
      <c r="I12" s="40" t="s">
        <v>257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7.8943293080717641E-4</v>
      </c>
      <c r="V12" s="48">
        <f t="shared" si="2"/>
        <v>0</v>
      </c>
      <c r="W12" s="49">
        <f t="shared" si="3"/>
        <v>6.5786077567264701E-5</v>
      </c>
      <c r="X12" s="44">
        <f t="shared" si="4"/>
        <v>162.03236293081142</v>
      </c>
      <c r="Y12" s="44">
        <f t="shared" si="5"/>
        <v>0</v>
      </c>
      <c r="Z12" s="44">
        <f t="shared" si="6"/>
        <v>833.61256456724436</v>
      </c>
      <c r="AA12" s="50">
        <f t="shared" si="7"/>
        <v>717.03236293081136</v>
      </c>
      <c r="AB12" s="51">
        <f t="shared" si="8"/>
        <v>779.29565725646842</v>
      </c>
      <c r="AC12" s="44">
        <f t="shared" si="8"/>
        <v>670.31164151707139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1.7512518895483782</v>
      </c>
      <c r="AP12" s="47">
        <f t="shared" si="16"/>
        <v>2.2395811120307489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18231134</v>
      </c>
      <c r="D13" s="61" t="s">
        <v>176</v>
      </c>
      <c r="E13" s="38" t="s">
        <v>1310</v>
      </c>
      <c r="F13" s="39" t="s">
        <v>1311</v>
      </c>
      <c r="G13" s="39">
        <v>12</v>
      </c>
      <c r="H13" s="39"/>
      <c r="I13" s="40" t="s">
        <v>257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1.1859036916125583E-3</v>
      </c>
      <c r="V13" s="48">
        <f t="shared" si="2"/>
        <v>0</v>
      </c>
      <c r="W13" s="49">
        <f t="shared" si="3"/>
        <v>9.8825307634379861E-5</v>
      </c>
      <c r="X13" s="44">
        <f t="shared" si="4"/>
        <v>243.40861631384115</v>
      </c>
      <c r="Y13" s="44">
        <f t="shared" si="5"/>
        <v>0</v>
      </c>
      <c r="Z13" s="44">
        <f t="shared" si="6"/>
        <v>1252.2713192165713</v>
      </c>
      <c r="AA13" s="50">
        <f t="shared" si="7"/>
        <v>1205.4086163138411</v>
      </c>
      <c r="AB13" s="51">
        <f t="shared" si="8"/>
        <v>1170.6752540119392</v>
      </c>
      <c r="AC13" s="44">
        <f t="shared" si="8"/>
        <v>1126.8660524575498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1.7512518895483784</v>
      </c>
      <c r="AP13" s="47">
        <f t="shared" si="16"/>
        <v>2.0012688915255827</v>
      </c>
      <c r="AQ13">
        <v>2021</v>
      </c>
    </row>
    <row r="14" spans="1:43" ht="13.5" customHeight="1">
      <c r="A14" s="55">
        <f>SUM(Y5:Y998)</f>
        <v>-147987.7900000001</v>
      </c>
      <c r="B14" s="97" t="s">
        <v>70</v>
      </c>
      <c r="C14" s="98">
        <v>18231134</v>
      </c>
      <c r="D14" s="61" t="s">
        <v>176</v>
      </c>
      <c r="E14" s="38" t="s">
        <v>1312</v>
      </c>
      <c r="F14" s="39" t="s">
        <v>1311</v>
      </c>
      <c r="G14" s="39">
        <v>12</v>
      </c>
      <c r="H14" s="39"/>
      <c r="I14" s="40" t="s">
        <v>257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7.3890922323551714E-3</v>
      </c>
      <c r="V14" s="48">
        <f t="shared" si="2"/>
        <v>0</v>
      </c>
      <c r="W14" s="49">
        <f t="shared" si="3"/>
        <v>6.1575768602959758E-4</v>
      </c>
      <c r="X14" s="44">
        <f t="shared" si="4"/>
        <v>1516.622917032395</v>
      </c>
      <c r="Y14" s="44">
        <f t="shared" si="5"/>
        <v>0</v>
      </c>
      <c r="Z14" s="44">
        <f t="shared" si="6"/>
        <v>7802.6136043494062</v>
      </c>
      <c r="AA14" s="50">
        <f t="shared" si="7"/>
        <v>7510.622917032395</v>
      </c>
      <c r="AB14" s="51">
        <f t="shared" si="8"/>
        <v>7294.2073519205433</v>
      </c>
      <c r="AC14" s="44">
        <f t="shared" si="8"/>
        <v>7021.2423268508874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1.7512518895483786</v>
      </c>
      <c r="AP14" s="47">
        <f t="shared" si="16"/>
        <v>2.0012688915255827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18231134</v>
      </c>
      <c r="D15" s="61" t="s">
        <v>176</v>
      </c>
      <c r="E15" s="38" t="s">
        <v>1313</v>
      </c>
      <c r="F15" s="39" t="s">
        <v>1314</v>
      </c>
      <c r="G15" s="39">
        <v>12</v>
      </c>
      <c r="H15" s="39"/>
      <c r="I15" s="40" t="s">
        <v>257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8.1649920272056521E-4</v>
      </c>
      <c r="V15" s="48">
        <f t="shared" si="2"/>
        <v>0</v>
      </c>
      <c r="W15" s="49">
        <f t="shared" si="3"/>
        <v>6.8041600226713772E-5</v>
      </c>
      <c r="X15" s="44">
        <f t="shared" si="4"/>
        <v>167.58775823129636</v>
      </c>
      <c r="Y15" s="44">
        <f t="shared" si="5"/>
        <v>0</v>
      </c>
      <c r="Z15" s="44">
        <f t="shared" si="6"/>
        <v>862.19356678097824</v>
      </c>
      <c r="AA15" s="50">
        <f t="shared" si="7"/>
        <v>752.58775823129633</v>
      </c>
      <c r="AB15" s="51">
        <f t="shared" si="8"/>
        <v>806.01436550526148</v>
      </c>
      <c r="AC15" s="44">
        <f t="shared" si="8"/>
        <v>703.55030217004423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1.7512518895483786</v>
      </c>
      <c r="AP15" s="47">
        <f t="shared" si="16"/>
        <v>2.2069318908179127</v>
      </c>
      <c r="AQ15">
        <v>2021</v>
      </c>
    </row>
    <row r="16" spans="1:43" ht="13.5" customHeight="1">
      <c r="A16" s="54">
        <f>SUM(U5:U997)</f>
        <v>13.175850655031365</v>
      </c>
      <c r="B16" s="97" t="s">
        <v>70</v>
      </c>
      <c r="C16" s="98">
        <v>18231134</v>
      </c>
      <c r="D16" s="61" t="s">
        <v>176</v>
      </c>
      <c r="E16" s="38" t="s">
        <v>1315</v>
      </c>
      <c r="F16" s="39" t="s">
        <v>1314</v>
      </c>
      <c r="G16" s="39">
        <v>12</v>
      </c>
      <c r="H16" s="39"/>
      <c r="I16" s="40" t="s">
        <v>257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0.14987797703861808</v>
      </c>
      <c r="V16" s="48">
        <f t="shared" si="2"/>
        <v>0</v>
      </c>
      <c r="W16" s="49">
        <f t="shared" si="3"/>
        <v>1.248983141988484E-2</v>
      </c>
      <c r="X16" s="44">
        <f t="shared" si="4"/>
        <v>30762.692843363231</v>
      </c>
      <c r="Y16" s="44">
        <f t="shared" si="5"/>
        <v>0</v>
      </c>
      <c r="Z16" s="44">
        <f t="shared" si="6"/>
        <v>158265.7119250962</v>
      </c>
      <c r="AA16" s="50">
        <f t="shared" si="7"/>
        <v>136972.69284336324</v>
      </c>
      <c r="AB16" s="51">
        <f t="shared" si="8"/>
        <v>147953.36255501184</v>
      </c>
      <c r="AC16" s="44">
        <f t="shared" si="8"/>
        <v>128047.76371259533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1.7512518895483786</v>
      </c>
      <c r="AP16" s="47">
        <f t="shared" si="16"/>
        <v>2.2258410303296507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18231134</v>
      </c>
      <c r="D17" s="61" t="s">
        <v>176</v>
      </c>
      <c r="E17" s="38" t="s">
        <v>1316</v>
      </c>
      <c r="F17" s="39" t="s">
        <v>1317</v>
      </c>
      <c r="G17" s="39">
        <v>12</v>
      </c>
      <c r="H17" s="39"/>
      <c r="I17" s="40" t="s">
        <v>257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7.1064000590375532E-3</v>
      </c>
      <c r="V17" s="48">
        <f t="shared" si="2"/>
        <v>0</v>
      </c>
      <c r="W17" s="49">
        <f t="shared" si="3"/>
        <v>5.922000049197961E-4</v>
      </c>
      <c r="X17" s="44">
        <f t="shared" si="4"/>
        <v>1458.5998994495519</v>
      </c>
      <c r="Y17" s="44">
        <f t="shared" si="5"/>
        <v>0</v>
      </c>
      <c r="Z17" s="44">
        <f t="shared" si="6"/>
        <v>7504.1009145615162</v>
      </c>
      <c r="AA17" s="50">
        <f t="shared" si="7"/>
        <v>3668.5998994495521</v>
      </c>
      <c r="AB17" s="51">
        <f t="shared" si="8"/>
        <v>7015.1452879887029</v>
      </c>
      <c r="AC17" s="44">
        <f t="shared" si="8"/>
        <v>3429.5595956338711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1.7512518895483784</v>
      </c>
      <c r="AP17" s="47">
        <f t="shared" si="16"/>
        <v>3.9403937177110286</v>
      </c>
      <c r="AQ17">
        <v>2021</v>
      </c>
    </row>
    <row r="18" spans="1:43" ht="13.5" customHeight="1">
      <c r="A18" s="59">
        <f>A6+A8</f>
        <v>12671565.1</v>
      </c>
      <c r="B18" s="97" t="s">
        <v>70</v>
      </c>
      <c r="C18" s="98">
        <v>18231134</v>
      </c>
      <c r="D18" s="61" t="s">
        <v>176</v>
      </c>
      <c r="E18" s="38" t="s">
        <v>1318</v>
      </c>
      <c r="F18" s="39" t="s">
        <v>1317</v>
      </c>
      <c r="G18" s="39">
        <v>12</v>
      </c>
      <c r="H18" s="39"/>
      <c r="I18" s="40" t="s">
        <v>257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1.0525772410762352E-3</v>
      </c>
      <c r="V18" s="48">
        <f t="shared" si="2"/>
        <v>0</v>
      </c>
      <c r="W18" s="49">
        <f t="shared" si="3"/>
        <v>8.7714770089686268E-5</v>
      </c>
      <c r="X18" s="44">
        <f t="shared" si="4"/>
        <v>216.04315057441522</v>
      </c>
      <c r="Y18" s="44">
        <f t="shared" si="5"/>
        <v>0</v>
      </c>
      <c r="Z18" s="44">
        <f t="shared" si="6"/>
        <v>1111.4834194229925</v>
      </c>
      <c r="AA18" s="50">
        <f t="shared" si="7"/>
        <v>541.04315057441522</v>
      </c>
      <c r="AB18" s="51">
        <f t="shared" si="8"/>
        <v>1039.060876341958</v>
      </c>
      <c r="AC18" s="44">
        <f t="shared" si="8"/>
        <v>505.78961444742936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1.751251889548378</v>
      </c>
      <c r="AP18" s="47">
        <f t="shared" si="16"/>
        <v>3.9574222130704828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1319</v>
      </c>
      <c r="F19" s="39" t="s">
        <v>1320</v>
      </c>
      <c r="G19" s="39">
        <v>12</v>
      </c>
      <c r="H19" s="39"/>
      <c r="I19" s="40" t="s">
        <v>257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1.3633381408225523E-4</v>
      </c>
      <c r="V19" s="48">
        <f t="shared" si="2"/>
        <v>0</v>
      </c>
      <c r="W19" s="49">
        <f t="shared" si="3"/>
        <v>1.1361151173521269E-5</v>
      </c>
      <c r="X19" s="44">
        <f t="shared" si="4"/>
        <v>27.982731883924259</v>
      </c>
      <c r="Y19" s="44">
        <f t="shared" si="5"/>
        <v>0</v>
      </c>
      <c r="Z19" s="44">
        <f t="shared" si="6"/>
        <v>143.96356670621617</v>
      </c>
      <c r="AA19" s="50">
        <f t="shared" si="7"/>
        <v>127.98273188392426</v>
      </c>
      <c r="AB19" s="51">
        <f t="shared" si="8"/>
        <v>134.58312303095835</v>
      </c>
      <c r="AC19" s="44">
        <f t="shared" si="8"/>
        <v>119.64357472555319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1.7512518895483784</v>
      </c>
      <c r="AP19" s="47">
        <f t="shared" si="16"/>
        <v>2.1669182315466609</v>
      </c>
      <c r="AQ19">
        <v>2021</v>
      </c>
    </row>
    <row r="20" spans="1:43" ht="13.5" customHeight="1">
      <c r="A20" s="59">
        <f>A8+SUM(Q5:Q904)</f>
        <v>11610538.639999999</v>
      </c>
      <c r="B20" s="97" t="s">
        <v>70</v>
      </c>
      <c r="C20" s="98">
        <v>18231134</v>
      </c>
      <c r="D20" s="61" t="s">
        <v>176</v>
      </c>
      <c r="E20" s="38" t="s">
        <v>1321</v>
      </c>
      <c r="F20" s="39" t="s">
        <v>1320</v>
      </c>
      <c r="G20" s="39">
        <v>12</v>
      </c>
      <c r="H20" s="39"/>
      <c r="I20" s="40" t="s">
        <v>257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1.2360264173780933E-2</v>
      </c>
      <c r="V20" s="48">
        <f t="shared" si="2"/>
        <v>0</v>
      </c>
      <c r="W20" s="49">
        <f t="shared" si="3"/>
        <v>1.0300220144817444E-3</v>
      </c>
      <c r="X20" s="44">
        <f t="shared" si="4"/>
        <v>2536.9638538881331</v>
      </c>
      <c r="Y20" s="44">
        <f t="shared" si="5"/>
        <v>0</v>
      </c>
      <c r="Z20" s="44">
        <f t="shared" si="6"/>
        <v>13051.991010938567</v>
      </c>
      <c r="AA20" s="50">
        <f t="shared" si="7"/>
        <v>11536.963853888134</v>
      </c>
      <c r="AB20" s="51">
        <f t="shared" ref="AB20:AC23" si="18">Z20/(1+ElecDiscountRate)^1</f>
        <v>12201.543433615561</v>
      </c>
      <c r="AC20" s="44">
        <f t="shared" si="18"/>
        <v>10785.233106373873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1.7512518895483786</v>
      </c>
      <c r="AP20" s="47">
        <f t="shared" si="16"/>
        <v>2.1793477582777108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1322</v>
      </c>
      <c r="F21" s="39" t="s">
        <v>1323</v>
      </c>
      <c r="G21" s="39">
        <v>12</v>
      </c>
      <c r="H21" s="39"/>
      <c r="I21" s="40" t="s">
        <v>257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3.2750189015200572E-3</v>
      </c>
      <c r="V21" s="48">
        <f t="shared" si="2"/>
        <v>0</v>
      </c>
      <c r="W21" s="49">
        <f t="shared" si="3"/>
        <v>2.729182417933381E-4</v>
      </c>
      <c r="X21" s="44">
        <f t="shared" si="4"/>
        <v>672.20283135868044</v>
      </c>
      <c r="Y21" s="44">
        <f t="shared" si="5"/>
        <v>0</v>
      </c>
      <c r="Z21" s="44">
        <f t="shared" si="6"/>
        <v>3458.3012678618243</v>
      </c>
      <c r="AA21" s="50">
        <f t="shared" si="7"/>
        <v>2958.2028313586807</v>
      </c>
      <c r="AB21" s="51">
        <f t="shared" si="18"/>
        <v>3232.9636981039766</v>
      </c>
      <c r="AC21" s="44">
        <f t="shared" si="18"/>
        <v>2765.4509033922413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1.7512518895483786</v>
      </c>
      <c r="AP21" s="47">
        <f t="shared" si="16"/>
        <v>2.2520404018097118</v>
      </c>
      <c r="AQ21">
        <v>2021</v>
      </c>
    </row>
    <row r="22" spans="1:43" ht="13.5" customHeight="1">
      <c r="A22" s="60">
        <f>(SUM(AM5:AM998)/(SUM(AB5:AB998)))</f>
        <v>1.8991473496517517</v>
      </c>
      <c r="B22" s="97" t="s">
        <v>70</v>
      </c>
      <c r="C22" s="98">
        <v>18231134</v>
      </c>
      <c r="D22" s="61" t="s">
        <v>176</v>
      </c>
      <c r="E22" s="38" t="s">
        <v>1324</v>
      </c>
      <c r="F22" s="39" t="s">
        <v>1323</v>
      </c>
      <c r="G22" s="39">
        <v>12</v>
      </c>
      <c r="H22" s="39"/>
      <c r="I22" s="40" t="s">
        <v>257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0.25572815176479025</v>
      </c>
      <c r="V22" s="48">
        <f t="shared" si="2"/>
        <v>0</v>
      </c>
      <c r="W22" s="49">
        <f t="shared" si="3"/>
        <v>2.1310679313732518E-2</v>
      </c>
      <c r="X22" s="44">
        <f t="shared" si="4"/>
        <v>52488.60933127092</v>
      </c>
      <c r="Y22" s="44">
        <f t="shared" si="5"/>
        <v>0</v>
      </c>
      <c r="Z22" s="44">
        <f t="shared" si="6"/>
        <v>270039.66024918493</v>
      </c>
      <c r="AA22" s="50">
        <f t="shared" si="7"/>
        <v>229526.60933127091</v>
      </c>
      <c r="AB22" s="51">
        <f t="shared" si="18"/>
        <v>252444.2930253201</v>
      </c>
      <c r="AC22" s="44">
        <f t="shared" si="18"/>
        <v>214571.0099385537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1.7512518895483784</v>
      </c>
      <c r="AP22" s="47">
        <f t="shared" si="16"/>
        <v>2.2663960980664988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1325</v>
      </c>
      <c r="F23" s="39" t="s">
        <v>1326</v>
      </c>
      <c r="G23" s="39">
        <v>12</v>
      </c>
      <c r="H23" s="39"/>
      <c r="I23" s="40" t="s">
        <v>257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1.2630926892914821E-3</v>
      </c>
      <c r="V23" s="48">
        <f t="shared" si="2"/>
        <v>0</v>
      </c>
      <c r="W23" s="49">
        <f t="shared" si="3"/>
        <v>1.0525772410762351E-4</v>
      </c>
      <c r="X23" s="44">
        <f t="shared" si="4"/>
        <v>259.25178068929824</v>
      </c>
      <c r="Y23" s="44">
        <f t="shared" si="5"/>
        <v>0</v>
      </c>
      <c r="Z23" s="44">
        <f t="shared" si="6"/>
        <v>1333.7801033075907</v>
      </c>
      <c r="AA23" s="50">
        <f t="shared" si="7"/>
        <v>640.25178068929824</v>
      </c>
      <c r="AB23" s="51">
        <f t="shared" si="18"/>
        <v>1246.8730516103492</v>
      </c>
      <c r="AC23" s="44">
        <f t="shared" si="18"/>
        <v>598.53396343769111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1.7512518895483786</v>
      </c>
      <c r="AP23" s="47">
        <f t="shared" si="16"/>
        <v>4.0130515779420488</v>
      </c>
      <c r="AQ23">
        <v>2021</v>
      </c>
    </row>
    <row r="24" spans="1:43" ht="13.5" customHeight="1">
      <c r="A24" s="60">
        <f>(SUM(AN5:AN998)/SUM(AC5:AC998))</f>
        <v>2.2803031369852143</v>
      </c>
      <c r="B24" s="97" t="s">
        <v>70</v>
      </c>
      <c r="C24" s="98">
        <v>18231134</v>
      </c>
      <c r="D24" s="61" t="s">
        <v>176</v>
      </c>
      <c r="E24" s="38" t="s">
        <v>1327</v>
      </c>
      <c r="F24" s="39" t="s">
        <v>1328</v>
      </c>
      <c r="G24" s="39">
        <v>9</v>
      </c>
      <c r="H24" s="39"/>
      <c r="I24" s="40" t="s">
        <v>256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5.1865743554031492E-4</v>
      </c>
      <c r="V24" s="48">
        <f t="shared" ref="V24:V86" si="21">N24-M24</f>
        <v>0</v>
      </c>
      <c r="W24" s="49">
        <f t="shared" ref="W24:W86" si="22">(O24/A$10)</f>
        <v>5.7628603948923876E-5</v>
      </c>
      <c r="X24" s="44">
        <f t="shared" ref="X24:X86" si="23">W24*A$8</f>
        <v>141.9403499273908</v>
      </c>
      <c r="Y24" s="44">
        <f t="shared" ref="Y24:Y86" si="24">Q24-P24</f>
        <v>0</v>
      </c>
      <c r="Z24" s="44">
        <f t="shared" ref="Z24:Z86" si="25">X24+(A$6*W24)</f>
        <v>730.24460656090594</v>
      </c>
      <c r="AA24" s="50">
        <f t="shared" ref="AA24:AA86" si="26">Q24+X24</f>
        <v>681.9403499273908</v>
      </c>
      <c r="AB24" s="51">
        <f t="shared" ref="AB24:AB86" si="27">Z24/(1+ElecDiscountRate)^1</f>
        <v>682.66299575666619</v>
      </c>
      <c r="AC24" s="44">
        <f t="shared" ref="AC24:AC86" si="28">AA24/(1+ElecDiscountRate)^1</f>
        <v>637.50616988631464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1.28695321067737</v>
      </c>
      <c r="AP24" s="47">
        <f t="shared" ref="AP24:AP86" si="37">AN24/AC24</f>
        <v>1.5159239443784192</v>
      </c>
      <c r="AQ24">
        <v>2021</v>
      </c>
    </row>
    <row r="25" spans="1:43" ht="13.5" customHeight="1">
      <c r="B25" s="97" t="s">
        <v>70</v>
      </c>
      <c r="C25" s="98">
        <v>18231134</v>
      </c>
      <c r="D25" s="61" t="s">
        <v>176</v>
      </c>
      <c r="E25" s="38" t="s">
        <v>1329</v>
      </c>
      <c r="F25" s="39" t="s">
        <v>1328</v>
      </c>
      <c r="G25" s="39">
        <v>9</v>
      </c>
      <c r="H25" s="39"/>
      <c r="I25" s="40" t="s">
        <v>256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4.7286280714463379E-3</v>
      </c>
      <c r="V25" s="48">
        <f t="shared" si="21"/>
        <v>0</v>
      </c>
      <c r="W25" s="49">
        <f t="shared" si="22"/>
        <v>5.2540311904959312E-4</v>
      </c>
      <c r="X25" s="44">
        <f t="shared" si="23"/>
        <v>1294.0778964025972</v>
      </c>
      <c r="Y25" s="44">
        <f t="shared" si="24"/>
        <v>0</v>
      </c>
      <c r="Z25" s="44">
        <f t="shared" si="25"/>
        <v>6657.6798267799695</v>
      </c>
      <c r="AA25" s="50">
        <f t="shared" si="26"/>
        <v>6214.0778964025976</v>
      </c>
      <c r="AB25" s="51">
        <f t="shared" si="27"/>
        <v>6223.875691109628</v>
      </c>
      <c r="AC25" s="44">
        <f t="shared" si="28"/>
        <v>5809.1781774353531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1.2869532106773696</v>
      </c>
      <c r="AP25" s="47">
        <f t="shared" si="37"/>
        <v>1.5167068757001394</v>
      </c>
      <c r="AQ25">
        <v>2021</v>
      </c>
    </row>
    <row r="26" spans="1:43" ht="13.5" customHeight="1">
      <c r="B26" s="97" t="s">
        <v>70</v>
      </c>
      <c r="C26" s="98">
        <v>18231134</v>
      </c>
      <c r="D26" s="61" t="s">
        <v>176</v>
      </c>
      <c r="E26" s="38" t="s">
        <v>1330</v>
      </c>
      <c r="F26" s="39" t="s">
        <v>1331</v>
      </c>
      <c r="G26" s="39">
        <v>16</v>
      </c>
      <c r="H26" s="39"/>
      <c r="I26" s="40" t="s">
        <v>257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2.7986525158444129E-4</v>
      </c>
      <c r="V26" s="48">
        <f t="shared" si="21"/>
        <v>0</v>
      </c>
      <c r="W26" s="49">
        <f t="shared" si="22"/>
        <v>1.749157822402758E-5</v>
      </c>
      <c r="X26" s="44">
        <f t="shared" si="23"/>
        <v>43.082090555260891</v>
      </c>
      <c r="Y26" s="44">
        <f t="shared" si="24"/>
        <v>0</v>
      </c>
      <c r="Z26" s="44">
        <f t="shared" si="25"/>
        <v>221.64567216750785</v>
      </c>
      <c r="AA26" s="50">
        <f t="shared" si="26"/>
        <v>435.03209055526088</v>
      </c>
      <c r="AB26" s="51">
        <f t="shared" si="27"/>
        <v>207.20358246939125</v>
      </c>
      <c r="AC26" s="44">
        <f t="shared" si="28"/>
        <v>406.68607138006996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2.2486288823048994</v>
      </c>
      <c r="AP26" s="47">
        <f t="shared" si="37"/>
        <v>1.2602259878837012</v>
      </c>
      <c r="AQ26">
        <v>2021</v>
      </c>
    </row>
    <row r="27" spans="1:43" ht="13.5" customHeight="1">
      <c r="B27" s="97" t="s">
        <v>70</v>
      </c>
      <c r="C27" s="98">
        <v>18231134</v>
      </c>
      <c r="D27" s="61" t="s">
        <v>176</v>
      </c>
      <c r="E27" s="38" t="s">
        <v>1332</v>
      </c>
      <c r="F27" s="39" t="s">
        <v>1333</v>
      </c>
      <c r="G27" s="39">
        <v>10</v>
      </c>
      <c r="H27" s="39"/>
      <c r="I27" s="40" t="s">
        <v>257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1.2681676152752426E-2</v>
      </c>
      <c r="V27" s="48">
        <f t="shared" si="21"/>
        <v>0</v>
      </c>
      <c r="W27" s="49">
        <f t="shared" si="22"/>
        <v>1.2681676152752426E-3</v>
      </c>
      <c r="X27" s="44">
        <f t="shared" si="23"/>
        <v>3123.5210076976705</v>
      </c>
      <c r="Y27" s="44">
        <f t="shared" si="24"/>
        <v>0</v>
      </c>
      <c r="Z27" s="44">
        <f t="shared" si="25"/>
        <v>16069.668494671991</v>
      </c>
      <c r="AA27" s="50">
        <f t="shared" si="26"/>
        <v>26651.521007697669</v>
      </c>
      <c r="AB27" s="51">
        <f t="shared" si="27"/>
        <v>15022.593712883976</v>
      </c>
      <c r="AC27" s="44">
        <f t="shared" si="28"/>
        <v>24914.949058331931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1.4710708005294519</v>
      </c>
      <c r="AP27" s="47">
        <f t="shared" si="37"/>
        <v>0.97568848317735846</v>
      </c>
      <c r="AQ27">
        <v>2021</v>
      </c>
    </row>
    <row r="28" spans="1:43" ht="13.5" customHeight="1">
      <c r="B28" s="97" t="s">
        <v>70</v>
      </c>
      <c r="C28" s="98">
        <v>18231134</v>
      </c>
      <c r="D28" s="61" t="s">
        <v>176</v>
      </c>
      <c r="E28" s="38" t="s">
        <v>1334</v>
      </c>
      <c r="F28" s="39" t="s">
        <v>1335</v>
      </c>
      <c r="G28" s="39">
        <v>10</v>
      </c>
      <c r="H28" s="39"/>
      <c r="I28" s="40" t="s">
        <v>257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1.5395195218884079E-4</v>
      </c>
      <c r="V28" s="48">
        <f t="shared" si="21"/>
        <v>0</v>
      </c>
      <c r="W28" s="49">
        <f t="shared" si="22"/>
        <v>1.5395195218884079E-5</v>
      </c>
      <c r="X28" s="44">
        <f t="shared" si="23"/>
        <v>37.918659256532365</v>
      </c>
      <c r="Y28" s="44">
        <f t="shared" si="24"/>
        <v>0</v>
      </c>
      <c r="Z28" s="44">
        <f t="shared" si="25"/>
        <v>195.08121844329833</v>
      </c>
      <c r="AA28" s="50">
        <f t="shared" si="26"/>
        <v>241.91865925653235</v>
      </c>
      <c r="AB28" s="51">
        <f t="shared" si="27"/>
        <v>182.37002752481845</v>
      </c>
      <c r="AC28" s="44">
        <f t="shared" si="28"/>
        <v>226.15561302844941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1.4710708005294522</v>
      </c>
      <c r="AP28" s="47">
        <f t="shared" si="37"/>
        <v>1.304885342751767</v>
      </c>
      <c r="AQ28">
        <v>2021</v>
      </c>
    </row>
    <row r="29" spans="1:43">
      <c r="B29" s="97" t="s">
        <v>70</v>
      </c>
      <c r="C29" s="98">
        <v>18231134</v>
      </c>
      <c r="D29" s="61" t="s">
        <v>176</v>
      </c>
      <c r="E29" s="38" t="s">
        <v>1336</v>
      </c>
      <c r="F29" s="39" t="s">
        <v>1337</v>
      </c>
      <c r="G29" s="39">
        <v>4</v>
      </c>
      <c r="H29" s="39"/>
      <c r="I29" s="40" t="s">
        <v>255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2.4660381076643226E-4</v>
      </c>
      <c r="V29" s="48">
        <f t="shared" si="21"/>
        <v>0</v>
      </c>
      <c r="W29" s="49">
        <f t="shared" si="22"/>
        <v>6.1650952691608065E-5</v>
      </c>
      <c r="X29" s="44">
        <f t="shared" si="23"/>
        <v>151.84747154658899</v>
      </c>
      <c r="Y29" s="44">
        <f t="shared" si="24"/>
        <v>0</v>
      </c>
      <c r="Z29" s="44">
        <f t="shared" si="25"/>
        <v>781.21406050873179</v>
      </c>
      <c r="AA29" s="50">
        <f t="shared" si="26"/>
        <v>228.14747154658897</v>
      </c>
      <c r="AB29" s="51">
        <f t="shared" si="27"/>
        <v>730.31135880034753</v>
      </c>
      <c r="AC29" s="44">
        <f t="shared" si="28"/>
        <v>213.28173464203886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0.57049068275166792</v>
      </c>
      <c r="AP29" s="47">
        <f t="shared" si="37"/>
        <v>5.8980755607036297</v>
      </c>
      <c r="AQ29">
        <v>2021</v>
      </c>
    </row>
    <row r="30" spans="1:43">
      <c r="B30" s="97" t="s">
        <v>70</v>
      </c>
      <c r="C30" s="98">
        <v>18231134</v>
      </c>
      <c r="D30" s="61" t="s">
        <v>176</v>
      </c>
      <c r="E30" s="38" t="s">
        <v>1338</v>
      </c>
      <c r="F30" s="39" t="s">
        <v>1339</v>
      </c>
      <c r="G30" s="39">
        <v>10</v>
      </c>
      <c r="H30" s="39"/>
      <c r="I30" s="40" t="s">
        <v>255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1.2664342043425177E-4</v>
      </c>
      <c r="V30" s="48">
        <f t="shared" si="21"/>
        <v>0</v>
      </c>
      <c r="W30" s="49">
        <f t="shared" si="22"/>
        <v>1.2664342043425179E-5</v>
      </c>
      <c r="X30" s="44">
        <f t="shared" si="23"/>
        <v>31.192515835315568</v>
      </c>
      <c r="Y30" s="44">
        <f t="shared" si="24"/>
        <v>0</v>
      </c>
      <c r="Z30" s="44">
        <f t="shared" si="25"/>
        <v>160.47703465192916</v>
      </c>
      <c r="AA30" s="50">
        <f t="shared" si="26"/>
        <v>57.372515835315568</v>
      </c>
      <c r="AB30" s="51">
        <f t="shared" si="27"/>
        <v>150.02059890803883</v>
      </c>
      <c r="AC30" s="44">
        <f t="shared" si="28"/>
        <v>53.634211307203479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1.417821792555793</v>
      </c>
      <c r="AP30" s="47">
        <f t="shared" si="37"/>
        <v>39.163031841835576</v>
      </c>
      <c r="AQ30">
        <v>2021</v>
      </c>
    </row>
    <row r="31" spans="1:43">
      <c r="B31" s="97" t="s">
        <v>70</v>
      </c>
      <c r="C31" s="98">
        <v>18231134</v>
      </c>
      <c r="D31" s="61" t="s">
        <v>176</v>
      </c>
      <c r="E31" s="38" t="s">
        <v>1340</v>
      </c>
      <c r="F31" s="39" t="s">
        <v>1341</v>
      </c>
      <c r="G31" s="39">
        <v>10</v>
      </c>
      <c r="H31" s="39"/>
      <c r="I31" s="40" t="s">
        <v>255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6.3321710217125886E-5</v>
      </c>
      <c r="V31" s="48">
        <f t="shared" si="21"/>
        <v>0</v>
      </c>
      <c r="W31" s="49">
        <f t="shared" si="22"/>
        <v>6.3321710217125893E-6</v>
      </c>
      <c r="X31" s="44">
        <f t="shared" si="23"/>
        <v>15.596257917657784</v>
      </c>
      <c r="Y31" s="44">
        <f t="shared" si="24"/>
        <v>0</v>
      </c>
      <c r="Z31" s="44">
        <f t="shared" si="25"/>
        <v>80.23851732596458</v>
      </c>
      <c r="AA31" s="50">
        <f t="shared" si="26"/>
        <v>28.686257917657784</v>
      </c>
      <c r="AB31" s="51">
        <f t="shared" si="27"/>
        <v>75.010299454019417</v>
      </c>
      <c r="AC31" s="44">
        <f t="shared" si="28"/>
        <v>26.81710565360174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1.417821792555793</v>
      </c>
      <c r="AP31" s="47">
        <f t="shared" si="37"/>
        <v>39.163031841835576</v>
      </c>
      <c r="AQ31">
        <v>2021</v>
      </c>
    </row>
    <row r="32" spans="1:43">
      <c r="B32" s="97" t="s">
        <v>70</v>
      </c>
      <c r="C32" s="98">
        <v>18231134</v>
      </c>
      <c r="D32" s="61" t="s">
        <v>176</v>
      </c>
      <c r="E32" s="38" t="s">
        <v>1342</v>
      </c>
      <c r="F32" s="39" t="s">
        <v>1343</v>
      </c>
      <c r="G32" s="39">
        <v>15</v>
      </c>
      <c r="H32" s="39"/>
      <c r="I32" s="40" t="s">
        <v>257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1.0578401272816163E-2</v>
      </c>
      <c r="V32" s="48">
        <f t="shared" si="21"/>
        <v>0</v>
      </c>
      <c r="W32" s="49">
        <f t="shared" si="22"/>
        <v>7.0522675152107756E-4</v>
      </c>
      <c r="X32" s="44">
        <f t="shared" si="23"/>
        <v>1736.9869306182984</v>
      </c>
      <c r="Y32" s="44">
        <f t="shared" si="24"/>
        <v>0</v>
      </c>
      <c r="Z32" s="44">
        <f t="shared" si="25"/>
        <v>8936.3266921608574</v>
      </c>
      <c r="AA32" s="50">
        <f t="shared" si="26"/>
        <v>5087.4669306182986</v>
      </c>
      <c r="AB32" s="51">
        <f t="shared" si="27"/>
        <v>8354.0494457893401</v>
      </c>
      <c r="AC32" s="44">
        <f t="shared" si="28"/>
        <v>4755.9754422906408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2.1313862253123603</v>
      </c>
      <c r="AP32" s="47">
        <f t="shared" si="37"/>
        <v>4.1182459294478004</v>
      </c>
      <c r="AQ32">
        <v>2021</v>
      </c>
    </row>
    <row r="33" spans="2:43">
      <c r="B33" s="97" t="s">
        <v>70</v>
      </c>
      <c r="C33" s="98">
        <v>18231134</v>
      </c>
      <c r="D33" s="61" t="s">
        <v>176</v>
      </c>
      <c r="E33" s="38" t="s">
        <v>1344</v>
      </c>
      <c r="F33" s="39" t="s">
        <v>1343</v>
      </c>
      <c r="G33" s="39">
        <v>15</v>
      </c>
      <c r="H33" s="39"/>
      <c r="I33" s="40" t="s">
        <v>257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0.74478611283152607</v>
      </c>
      <c r="V33" s="48">
        <f t="shared" si="21"/>
        <v>0</v>
      </c>
      <c r="W33" s="49">
        <f t="shared" si="22"/>
        <v>4.9652407522101739E-2</v>
      </c>
      <c r="X33" s="44">
        <f t="shared" si="23"/>
        <v>122294.82610182399</v>
      </c>
      <c r="Y33" s="44">
        <f t="shared" si="24"/>
        <v>0</v>
      </c>
      <c r="Z33" s="44">
        <f t="shared" si="25"/>
        <v>629173.71428804181</v>
      </c>
      <c r="AA33" s="50">
        <f t="shared" si="26"/>
        <v>356828.42610182398</v>
      </c>
      <c r="AB33" s="51">
        <f t="shared" si="27"/>
        <v>588177.72673463752</v>
      </c>
      <c r="AC33" s="44">
        <f t="shared" si="28"/>
        <v>333578.03692794609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2.1313862253123603</v>
      </c>
      <c r="AP33" s="47">
        <f t="shared" si="37"/>
        <v>4.1339571033430662</v>
      </c>
      <c r="AQ33">
        <v>2021</v>
      </c>
    </row>
    <row r="34" spans="2:43">
      <c r="B34" s="97" t="s">
        <v>70</v>
      </c>
      <c r="C34" s="98">
        <v>18231134</v>
      </c>
      <c r="D34" s="61" t="s">
        <v>176</v>
      </c>
      <c r="E34" s="38" t="s">
        <v>1345</v>
      </c>
      <c r="F34" s="39" t="s">
        <v>1346</v>
      </c>
      <c r="G34" s="39">
        <v>15</v>
      </c>
      <c r="H34" s="39"/>
      <c r="I34" s="40" t="s">
        <v>257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0.13251421176529263</v>
      </c>
      <c r="V34" s="48">
        <f t="shared" si="21"/>
        <v>53.05</v>
      </c>
      <c r="W34" s="49">
        <f t="shared" si="22"/>
        <v>8.8342807843528413E-3</v>
      </c>
      <c r="X34" s="44">
        <f t="shared" si="23"/>
        <v>21759.001953252802</v>
      </c>
      <c r="Y34" s="44">
        <f t="shared" si="24"/>
        <v>2175.049999999901</v>
      </c>
      <c r="Z34" s="44">
        <f t="shared" si="25"/>
        <v>111944.16407060609</v>
      </c>
      <c r="AA34" s="50">
        <f t="shared" si="26"/>
        <v>103449.84195325279</v>
      </c>
      <c r="AB34" s="51">
        <f t="shared" si="27"/>
        <v>104650.05522165661</v>
      </c>
      <c r="AC34" s="44">
        <f t="shared" si="28"/>
        <v>96709.210015193778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2.1313862253123608</v>
      </c>
      <c r="AP34" s="47">
        <f t="shared" si="37"/>
        <v>2.53703504306189</v>
      </c>
      <c r="AQ34">
        <v>2021</v>
      </c>
    </row>
    <row r="35" spans="2:43">
      <c r="B35" s="97" t="s">
        <v>70</v>
      </c>
      <c r="C35" s="98">
        <v>18231134</v>
      </c>
      <c r="D35" s="61" t="s">
        <v>176</v>
      </c>
      <c r="E35" s="38" t="s">
        <v>1347</v>
      </c>
      <c r="F35" s="39" t="s">
        <v>1348</v>
      </c>
      <c r="G35" s="39">
        <v>12</v>
      </c>
      <c r="H35" s="39"/>
      <c r="I35" s="40" t="s">
        <v>257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4.4208244125201881E-4</v>
      </c>
      <c r="V35" s="48">
        <f t="shared" si="21"/>
        <v>0</v>
      </c>
      <c r="W35" s="49">
        <f t="shared" si="22"/>
        <v>3.6840203437668234E-5</v>
      </c>
      <c r="X35" s="44">
        <f t="shared" si="23"/>
        <v>90.738123241254399</v>
      </c>
      <c r="Y35" s="44">
        <f t="shared" si="24"/>
        <v>0</v>
      </c>
      <c r="Z35" s="44">
        <f t="shared" si="25"/>
        <v>466.82303615765682</v>
      </c>
      <c r="AA35" s="50">
        <f t="shared" si="26"/>
        <v>867.73812324125436</v>
      </c>
      <c r="AB35" s="51">
        <f t="shared" si="27"/>
        <v>436.4055680636223</v>
      </c>
      <c r="AC35" s="44">
        <f t="shared" si="28"/>
        <v>811.19764722936736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1.7512518895483782</v>
      </c>
      <c r="AP35" s="47">
        <f t="shared" si="37"/>
        <v>1.0363463036662792</v>
      </c>
      <c r="AQ35">
        <v>2021</v>
      </c>
    </row>
    <row r="36" spans="2:43">
      <c r="B36" s="97" t="s">
        <v>70</v>
      </c>
      <c r="C36" s="98">
        <v>18231134</v>
      </c>
      <c r="D36" s="61" t="s">
        <v>176</v>
      </c>
      <c r="E36" s="38" t="s">
        <v>1349</v>
      </c>
      <c r="F36" s="39" t="s">
        <v>1350</v>
      </c>
      <c r="G36" s="39">
        <v>12</v>
      </c>
      <c r="H36" s="39"/>
      <c r="I36" s="40" t="s">
        <v>257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5.1325671183907848E-4</v>
      </c>
      <c r="V36" s="48">
        <f t="shared" si="21"/>
        <v>0</v>
      </c>
      <c r="W36" s="49">
        <f t="shared" si="22"/>
        <v>4.2771392653256542E-5</v>
      </c>
      <c r="X36" s="44">
        <f t="shared" si="23"/>
        <v>105.34675532771486</v>
      </c>
      <c r="Y36" s="44">
        <f t="shared" si="24"/>
        <v>0</v>
      </c>
      <c r="Z36" s="44">
        <f t="shared" si="25"/>
        <v>541.980486423402</v>
      </c>
      <c r="AA36" s="50">
        <f t="shared" si="26"/>
        <v>697.34675532771485</v>
      </c>
      <c r="AB36" s="51">
        <f t="shared" si="27"/>
        <v>506.66587494007848</v>
      </c>
      <c r="AC36" s="44">
        <f t="shared" si="28"/>
        <v>651.90871770376259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1.7512518895483784</v>
      </c>
      <c r="AP36" s="47">
        <f t="shared" si="37"/>
        <v>1.4971874151065845</v>
      </c>
      <c r="AQ36">
        <v>2021</v>
      </c>
    </row>
    <row r="37" spans="2:43">
      <c r="B37" s="97" t="s">
        <v>70</v>
      </c>
      <c r="C37" s="98">
        <v>18231134</v>
      </c>
      <c r="D37" s="61" t="s">
        <v>176</v>
      </c>
      <c r="E37" s="38" t="s">
        <v>1351</v>
      </c>
      <c r="F37" s="39" t="s">
        <v>1350</v>
      </c>
      <c r="G37" s="39">
        <v>12</v>
      </c>
      <c r="H37" s="39"/>
      <c r="I37" s="40" t="s">
        <v>257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4.1285086758555876E-2</v>
      </c>
      <c r="V37" s="48">
        <f t="shared" si="21"/>
        <v>0</v>
      </c>
      <c r="W37" s="49">
        <f t="shared" si="22"/>
        <v>3.440423896546323E-3</v>
      </c>
      <c r="X37" s="44">
        <f t="shared" si="23"/>
        <v>8473.829631673063</v>
      </c>
      <c r="Y37" s="44">
        <f t="shared" si="24"/>
        <v>0</v>
      </c>
      <c r="Z37" s="44">
        <f t="shared" si="25"/>
        <v>43595.555376682394</v>
      </c>
      <c r="AA37" s="50">
        <f t="shared" si="26"/>
        <v>56092.829631673063</v>
      </c>
      <c r="AB37" s="51">
        <f t="shared" si="27"/>
        <v>40754.93631549256</v>
      </c>
      <c r="AC37" s="44">
        <f t="shared" si="28"/>
        <v>52437.907480296402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1.7512518895483786</v>
      </c>
      <c r="AP37" s="47">
        <f t="shared" si="37"/>
        <v>1.4971874151065845</v>
      </c>
      <c r="AQ37">
        <v>2021</v>
      </c>
    </row>
    <row r="38" spans="2:43">
      <c r="B38" s="97" t="s">
        <v>70</v>
      </c>
      <c r="C38" s="98">
        <v>18231134</v>
      </c>
      <c r="D38" s="61" t="s">
        <v>176</v>
      </c>
      <c r="E38" s="38" t="s">
        <v>1352</v>
      </c>
      <c r="F38" s="39" t="s">
        <v>1353</v>
      </c>
      <c r="G38" s="39">
        <v>12</v>
      </c>
      <c r="H38" s="39"/>
      <c r="I38" s="40" t="s">
        <v>257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8.9043022322472937E-3</v>
      </c>
      <c r="V38" s="48">
        <f t="shared" si="21"/>
        <v>0</v>
      </c>
      <c r="W38" s="49">
        <f t="shared" si="22"/>
        <v>7.4202518602060788E-4</v>
      </c>
      <c r="X38" s="44">
        <f t="shared" si="23"/>
        <v>1827.6221761688032</v>
      </c>
      <c r="Y38" s="44">
        <f t="shared" si="24"/>
        <v>0</v>
      </c>
      <c r="Z38" s="44">
        <f t="shared" si="25"/>
        <v>9402.6204504997422</v>
      </c>
      <c r="AA38" s="50">
        <f t="shared" si="26"/>
        <v>15412.622176168803</v>
      </c>
      <c r="AB38" s="51">
        <f t="shared" si="27"/>
        <v>8789.9602229594657</v>
      </c>
      <c r="AC38" s="44">
        <f t="shared" si="28"/>
        <v>14408.359517779565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1.7512518895483786</v>
      </c>
      <c r="AP38" s="47">
        <f t="shared" si="37"/>
        <v>1.1752051212748755</v>
      </c>
      <c r="AQ38">
        <v>2021</v>
      </c>
    </row>
    <row r="39" spans="2:43">
      <c r="B39" s="97" t="s">
        <v>70</v>
      </c>
      <c r="C39" s="98">
        <v>18231134</v>
      </c>
      <c r="D39" s="61" t="s">
        <v>176</v>
      </c>
      <c r="E39" s="38" t="s">
        <v>1354</v>
      </c>
      <c r="F39" s="39" t="s">
        <v>1355</v>
      </c>
      <c r="G39" s="39">
        <v>12</v>
      </c>
      <c r="H39" s="39"/>
      <c r="I39" s="40" t="s">
        <v>257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2.9383946752787243E-2</v>
      </c>
      <c r="V39" s="48">
        <f t="shared" si="21"/>
        <v>0</v>
      </c>
      <c r="W39" s="49">
        <f t="shared" si="22"/>
        <v>2.4486622293989368E-3</v>
      </c>
      <c r="X39" s="44">
        <f t="shared" si="23"/>
        <v>6031.1017425116752</v>
      </c>
      <c r="Y39" s="44">
        <f t="shared" si="24"/>
        <v>0</v>
      </c>
      <c r="Z39" s="44">
        <f t="shared" si="25"/>
        <v>31028.382847739762</v>
      </c>
      <c r="AA39" s="50">
        <f t="shared" si="26"/>
        <v>35801.101742511673</v>
      </c>
      <c r="AB39" s="51">
        <f t="shared" si="27"/>
        <v>29006.621340319492</v>
      </c>
      <c r="AC39" s="44">
        <f t="shared" si="28"/>
        <v>33468.357242695776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1.7512518895483784</v>
      </c>
      <c r="AP39" s="47">
        <f t="shared" si="37"/>
        <v>1.6695677672380713</v>
      </c>
      <c r="AQ39">
        <v>2021</v>
      </c>
    </row>
    <row r="40" spans="2:43">
      <c r="B40" s="97" t="s">
        <v>70</v>
      </c>
      <c r="C40" s="98">
        <v>18231134</v>
      </c>
      <c r="D40" s="61" t="s">
        <v>176</v>
      </c>
      <c r="E40" s="38" t="s">
        <v>1356</v>
      </c>
      <c r="F40" s="39" t="s">
        <v>1355</v>
      </c>
      <c r="G40" s="39">
        <v>12</v>
      </c>
      <c r="H40" s="39"/>
      <c r="I40" s="40" t="s">
        <v>257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0.88116353368519729</v>
      </c>
      <c r="V40" s="48">
        <f t="shared" si="21"/>
        <v>0</v>
      </c>
      <c r="W40" s="49">
        <f t="shared" si="22"/>
        <v>7.3430294473766436E-2</v>
      </c>
      <c r="X40" s="44">
        <f t="shared" si="23"/>
        <v>180860.21487029945</v>
      </c>
      <c r="Y40" s="44">
        <f t="shared" si="24"/>
        <v>0</v>
      </c>
      <c r="Z40" s="44">
        <f t="shared" si="25"/>
        <v>930476.75673650159</v>
      </c>
      <c r="AA40" s="50">
        <f t="shared" si="26"/>
        <v>1066680.2148702994</v>
      </c>
      <c r="AB40" s="51">
        <f t="shared" si="27"/>
        <v>869848.32825698936</v>
      </c>
      <c r="AC40" s="44">
        <f t="shared" si="28"/>
        <v>997176.9794057206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1.7512518895483786</v>
      </c>
      <c r="AP40" s="47">
        <f t="shared" si="37"/>
        <v>1.6803996842438473</v>
      </c>
      <c r="AQ40">
        <v>2021</v>
      </c>
    </row>
    <row r="41" spans="2:43">
      <c r="B41" s="97" t="s">
        <v>70</v>
      </c>
      <c r="C41" s="98">
        <v>18231134</v>
      </c>
      <c r="D41" s="61" t="s">
        <v>176</v>
      </c>
      <c r="E41" s="38" t="s">
        <v>1357</v>
      </c>
      <c r="F41" s="39" t="s">
        <v>1358</v>
      </c>
      <c r="G41" s="39">
        <v>12</v>
      </c>
      <c r="H41" s="39"/>
      <c r="I41" s="40" t="s">
        <v>257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7.8296709918342228E-3</v>
      </c>
      <c r="V41" s="48">
        <f t="shared" si="21"/>
        <v>0</v>
      </c>
      <c r="W41" s="49">
        <f t="shared" si="22"/>
        <v>6.5247258265285193E-4</v>
      </c>
      <c r="X41" s="44">
        <f t="shared" si="23"/>
        <v>1607.0524072014</v>
      </c>
      <c r="Y41" s="44">
        <f t="shared" si="24"/>
        <v>0</v>
      </c>
      <c r="Z41" s="44">
        <f t="shared" si="25"/>
        <v>8267.8488070507428</v>
      </c>
      <c r="AA41" s="50">
        <f t="shared" si="26"/>
        <v>11201.0524072014</v>
      </c>
      <c r="AB41" s="51">
        <f t="shared" si="27"/>
        <v>7729.128547303676</v>
      </c>
      <c r="AC41" s="44">
        <f t="shared" si="28"/>
        <v>10471.209130785639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1.7512518895483786</v>
      </c>
      <c r="AP41" s="47">
        <f t="shared" si="37"/>
        <v>1.4219194635847705</v>
      </c>
      <c r="AQ41">
        <v>2021</v>
      </c>
    </row>
    <row r="42" spans="2:43">
      <c r="B42" s="97" t="s">
        <v>70</v>
      </c>
      <c r="C42" s="98">
        <v>18231134</v>
      </c>
      <c r="D42" s="61" t="s">
        <v>176</v>
      </c>
      <c r="E42" s="38" t="s">
        <v>1359</v>
      </c>
      <c r="F42" s="39" t="s">
        <v>1360</v>
      </c>
      <c r="G42" s="39">
        <v>12</v>
      </c>
      <c r="H42" s="39"/>
      <c r="I42" s="40" t="s">
        <v>257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1.2703103618017192E-2</v>
      </c>
      <c r="V42" s="48">
        <f t="shared" si="21"/>
        <v>0</v>
      </c>
      <c r="W42" s="49">
        <f t="shared" si="22"/>
        <v>1.0585919681680993E-3</v>
      </c>
      <c r="X42" s="44">
        <f t="shared" si="23"/>
        <v>2607.3321943609426</v>
      </c>
      <c r="Y42" s="44">
        <f t="shared" si="24"/>
        <v>0</v>
      </c>
      <c r="Z42" s="44">
        <f t="shared" si="25"/>
        <v>13414.017038979198</v>
      </c>
      <c r="AA42" s="50">
        <f t="shared" si="26"/>
        <v>12903.332194360943</v>
      </c>
      <c r="AB42" s="51">
        <f t="shared" si="27"/>
        <v>12539.980404766942</v>
      </c>
      <c r="AC42" s="44">
        <f t="shared" si="28"/>
        <v>12062.570995943668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1.7512518895483782</v>
      </c>
      <c r="AP42" s="47">
        <f t="shared" si="37"/>
        <v>2.002618747259254</v>
      </c>
      <c r="AQ42">
        <v>2021</v>
      </c>
    </row>
    <row r="43" spans="2:43">
      <c r="B43" s="97" t="s">
        <v>70</v>
      </c>
      <c r="C43" s="98">
        <v>18231134</v>
      </c>
      <c r="D43" s="61" t="s">
        <v>176</v>
      </c>
      <c r="E43" s="38" t="s">
        <v>1361</v>
      </c>
      <c r="F43" s="39" t="s">
        <v>1360</v>
      </c>
      <c r="G43" s="39">
        <v>12</v>
      </c>
      <c r="H43" s="39"/>
      <c r="I43" s="40" t="s">
        <v>257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0.63362643776501082</v>
      </c>
      <c r="V43" s="48">
        <f t="shared" si="21"/>
        <v>0</v>
      </c>
      <c r="W43" s="49">
        <f t="shared" si="22"/>
        <v>5.2802203147084233E-2</v>
      </c>
      <c r="X43" s="44">
        <f t="shared" si="23"/>
        <v>130052.83276126048</v>
      </c>
      <c r="Y43" s="44">
        <f t="shared" si="24"/>
        <v>0</v>
      </c>
      <c r="Z43" s="44">
        <f t="shared" si="25"/>
        <v>669086.55460170272</v>
      </c>
      <c r="AA43" s="50">
        <f t="shared" si="26"/>
        <v>640952.83276126045</v>
      </c>
      <c r="AB43" s="51">
        <f t="shared" si="27"/>
        <v>625489.90801318374</v>
      </c>
      <c r="AC43" s="44">
        <f t="shared" si="28"/>
        <v>599189.33603931975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1.7512518895483786</v>
      </c>
      <c r="AP43" s="47">
        <f t="shared" si="37"/>
        <v>2.0109326871475117</v>
      </c>
      <c r="AQ43">
        <v>2021</v>
      </c>
    </row>
    <row r="44" spans="2:43">
      <c r="B44" s="97" t="s">
        <v>70</v>
      </c>
      <c r="C44" s="98">
        <v>18231134</v>
      </c>
      <c r="D44" s="61" t="s">
        <v>176</v>
      </c>
      <c r="E44" s="38" t="s">
        <v>1362</v>
      </c>
      <c r="F44" s="39" t="s">
        <v>1363</v>
      </c>
      <c r="G44" s="39">
        <v>12</v>
      </c>
      <c r="H44" s="39"/>
      <c r="I44" s="40" t="s">
        <v>257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6.7665679783472264E-4</v>
      </c>
      <c r="V44" s="48">
        <f t="shared" si="21"/>
        <v>0</v>
      </c>
      <c r="W44" s="49">
        <f t="shared" si="22"/>
        <v>5.6388066486226887E-5</v>
      </c>
      <c r="X44" s="44">
        <f t="shared" si="23"/>
        <v>138.88488251212408</v>
      </c>
      <c r="Y44" s="44">
        <f t="shared" si="24"/>
        <v>0</v>
      </c>
      <c r="Z44" s="44">
        <f t="shared" si="25"/>
        <v>714.52505534335228</v>
      </c>
      <c r="AA44" s="50">
        <f t="shared" si="26"/>
        <v>738.88488251212402</v>
      </c>
      <c r="AB44" s="51">
        <f t="shared" si="27"/>
        <v>667.96770621983001</v>
      </c>
      <c r="AC44" s="44">
        <f t="shared" si="28"/>
        <v>690.74028467058429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1.7512518895483784</v>
      </c>
      <c r="AP44" s="47">
        <f t="shared" si="37"/>
        <v>1.8628675741069722</v>
      </c>
      <c r="AQ44">
        <v>2021</v>
      </c>
    </row>
    <row r="45" spans="2:43">
      <c r="B45" s="97" t="s">
        <v>70</v>
      </c>
      <c r="C45" s="98">
        <v>18231134</v>
      </c>
      <c r="D45" s="61" t="s">
        <v>176</v>
      </c>
      <c r="E45" s="38" t="s">
        <v>1364</v>
      </c>
      <c r="F45" s="39" t="s">
        <v>1363</v>
      </c>
      <c r="G45" s="39">
        <v>12</v>
      </c>
      <c r="H45" s="39"/>
      <c r="I45" s="40" t="s">
        <v>257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3.8118332944689377E-3</v>
      </c>
      <c r="V45" s="48">
        <f t="shared" si="21"/>
        <v>0</v>
      </c>
      <c r="W45" s="49">
        <f t="shared" si="22"/>
        <v>3.1765277453907814E-4</v>
      </c>
      <c r="X45" s="44">
        <f t="shared" si="23"/>
        <v>782.38483815163238</v>
      </c>
      <c r="Y45" s="44">
        <f t="shared" si="24"/>
        <v>0</v>
      </c>
      <c r="Z45" s="44">
        <f t="shared" si="25"/>
        <v>4025.1578117675508</v>
      </c>
      <c r="AA45" s="50">
        <f t="shared" si="26"/>
        <v>5282.3848381516327</v>
      </c>
      <c r="AB45" s="51">
        <f t="shared" si="27"/>
        <v>3762.8847450383755</v>
      </c>
      <c r="AC45" s="44">
        <f t="shared" si="28"/>
        <v>4938.1927999921772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1.7512518895483784</v>
      </c>
      <c r="AP45" s="47">
        <f t="shared" si="37"/>
        <v>1.4678922463097894</v>
      </c>
      <c r="AQ45">
        <v>2021</v>
      </c>
    </row>
    <row r="46" spans="2:43">
      <c r="B46" s="97" t="s">
        <v>70</v>
      </c>
      <c r="C46" s="98">
        <v>18231134</v>
      </c>
      <c r="D46" s="61" t="s">
        <v>176</v>
      </c>
      <c r="E46" s="38" t="s">
        <v>1365</v>
      </c>
      <c r="F46" s="39" t="s">
        <v>1366</v>
      </c>
      <c r="G46" s="39">
        <v>12</v>
      </c>
      <c r="H46" s="39"/>
      <c r="I46" s="40" t="s">
        <v>257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8.7679684181650383E-2</v>
      </c>
      <c r="V46" s="48">
        <f t="shared" si="21"/>
        <v>0</v>
      </c>
      <c r="W46" s="49">
        <f t="shared" si="22"/>
        <v>7.3066403484708655E-3</v>
      </c>
      <c r="X46" s="44">
        <f t="shared" si="23"/>
        <v>17996.394442848788</v>
      </c>
      <c r="Y46" s="44">
        <f t="shared" si="24"/>
        <v>0</v>
      </c>
      <c r="Z46" s="44">
        <f t="shared" si="25"/>
        <v>92586.56883793525</v>
      </c>
      <c r="AA46" s="50">
        <f t="shared" si="26"/>
        <v>86596.394442848788</v>
      </c>
      <c r="AB46" s="51">
        <f t="shared" si="27"/>
        <v>86553.770999285072</v>
      </c>
      <c r="AC46" s="44">
        <f t="shared" si="28"/>
        <v>80953.907116807313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1.7512518895483784</v>
      </c>
      <c r="AP46" s="47">
        <f t="shared" si="37"/>
        <v>2.0596312945150284</v>
      </c>
      <c r="AQ46">
        <v>2021</v>
      </c>
    </row>
    <row r="47" spans="2:43">
      <c r="B47" s="97" t="s">
        <v>70</v>
      </c>
      <c r="C47" s="98">
        <v>18231134</v>
      </c>
      <c r="D47" s="61" t="s">
        <v>176</v>
      </c>
      <c r="E47" s="38" t="s">
        <v>1367</v>
      </c>
      <c r="F47" s="39" t="s">
        <v>1366</v>
      </c>
      <c r="G47" s="39">
        <v>12</v>
      </c>
      <c r="H47" s="39"/>
      <c r="I47" s="40" t="s">
        <v>257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1.2854073268022983</v>
      </c>
      <c r="V47" s="48">
        <f t="shared" si="21"/>
        <v>0</v>
      </c>
      <c r="W47" s="49">
        <f t="shared" si="22"/>
        <v>0.10711727723352486</v>
      </c>
      <c r="X47" s="44">
        <f t="shared" si="23"/>
        <v>263831.89548147586</v>
      </c>
      <c r="Y47" s="44">
        <f t="shared" si="24"/>
        <v>0</v>
      </c>
      <c r="Z47" s="44">
        <f t="shared" si="25"/>
        <v>1357343.5517993581</v>
      </c>
      <c r="AA47" s="50">
        <f t="shared" si="26"/>
        <v>1257831.8954814759</v>
      </c>
      <c r="AB47" s="51">
        <f t="shared" si="27"/>
        <v>1268901.1421887986</v>
      </c>
      <c r="AC47" s="44">
        <f t="shared" si="28"/>
        <v>1175873.5117149442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1.7512518895483786</v>
      </c>
      <c r="AP47" s="47">
        <f t="shared" si="37"/>
        <v>2.0787797759251005</v>
      </c>
      <c r="AQ47">
        <v>2021</v>
      </c>
    </row>
    <row r="48" spans="2:43">
      <c r="B48" s="97" t="s">
        <v>70</v>
      </c>
      <c r="C48" s="98">
        <v>18231134</v>
      </c>
      <c r="D48" s="61" t="s">
        <v>176</v>
      </c>
      <c r="E48" s="38" t="s">
        <v>1368</v>
      </c>
      <c r="F48" s="39" t="s">
        <v>1369</v>
      </c>
      <c r="G48" s="39">
        <v>15</v>
      </c>
      <c r="H48" s="39"/>
      <c r="I48" s="40" t="s">
        <v>257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4.8614031719992408E-2</v>
      </c>
      <c r="V48" s="48">
        <f t="shared" si="21"/>
        <v>65.900000000000006</v>
      </c>
      <c r="W48" s="49">
        <f t="shared" si="22"/>
        <v>3.2409354479994937E-3</v>
      </c>
      <c r="X48" s="44">
        <f t="shared" si="23"/>
        <v>7982.4857806523933</v>
      </c>
      <c r="Y48" s="44">
        <f t="shared" si="24"/>
        <v>0</v>
      </c>
      <c r="Z48" s="44">
        <f t="shared" si="25"/>
        <v>41067.72451422325</v>
      </c>
      <c r="AA48" s="50">
        <f t="shared" si="26"/>
        <v>41837.485780652394</v>
      </c>
      <c r="AB48" s="51">
        <f t="shared" si="27"/>
        <v>38391.815008154852</v>
      </c>
      <c r="AC48" s="44">
        <f t="shared" si="28"/>
        <v>39111.419819250623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2.1313862253123603</v>
      </c>
      <c r="AP48" s="47">
        <f t="shared" si="37"/>
        <v>2.3013883069550598</v>
      </c>
      <c r="AQ48">
        <v>2021</v>
      </c>
    </row>
    <row r="49" spans="2:43">
      <c r="B49" s="97" t="s">
        <v>70</v>
      </c>
      <c r="C49" s="98">
        <v>18231134</v>
      </c>
      <c r="D49" s="61" t="s">
        <v>176</v>
      </c>
      <c r="E49" s="38" t="s">
        <v>1370</v>
      </c>
      <c r="F49" s="39" t="s">
        <v>1369</v>
      </c>
      <c r="G49" s="39">
        <v>15</v>
      </c>
      <c r="H49" s="39"/>
      <c r="I49" s="40" t="s">
        <v>257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1.8625354280843982</v>
      </c>
      <c r="V49" s="48">
        <f t="shared" si="21"/>
        <v>28</v>
      </c>
      <c r="W49" s="49">
        <f t="shared" si="22"/>
        <v>0.12416902853895988</v>
      </c>
      <c r="X49" s="44">
        <f t="shared" si="23"/>
        <v>305830.6839531422</v>
      </c>
      <c r="Y49" s="44">
        <f t="shared" si="24"/>
        <v>-214777</v>
      </c>
      <c r="Z49" s="44">
        <f t="shared" si="25"/>
        <v>1573415.9285351881</v>
      </c>
      <c r="AA49" s="50">
        <f t="shared" si="26"/>
        <v>1296750.6839531423</v>
      </c>
      <c r="AB49" s="51">
        <f t="shared" si="27"/>
        <v>1470894.5765496755</v>
      </c>
      <c r="AC49" s="44">
        <f t="shared" si="28"/>
        <v>1212256.4120343481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2.1313862253123603</v>
      </c>
      <c r="AP49" s="47">
        <f t="shared" si="37"/>
        <v>2.8447355271084254</v>
      </c>
      <c r="AQ49">
        <v>2021</v>
      </c>
    </row>
    <row r="50" spans="2:43">
      <c r="B50" s="97" t="s">
        <v>70</v>
      </c>
      <c r="C50" s="98">
        <v>18231134</v>
      </c>
      <c r="D50" s="61" t="s">
        <v>176</v>
      </c>
      <c r="E50" s="38" t="s">
        <v>1371</v>
      </c>
      <c r="F50" s="39" t="s">
        <v>1372</v>
      </c>
      <c r="G50" s="39">
        <v>15</v>
      </c>
      <c r="H50" s="39"/>
      <c r="I50" s="40" t="s">
        <v>257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1.5833769069332509E-2</v>
      </c>
      <c r="V50" s="48">
        <f t="shared" si="21"/>
        <v>28</v>
      </c>
      <c r="W50" s="49">
        <f t="shared" si="22"/>
        <v>1.0555846046221673E-3</v>
      </c>
      <c r="X50" s="44">
        <f t="shared" si="23"/>
        <v>2599.9250006269626</v>
      </c>
      <c r="Y50" s="44">
        <f t="shared" si="24"/>
        <v>2268</v>
      </c>
      <c r="Z50" s="44">
        <f t="shared" si="25"/>
        <v>13375.909036027553</v>
      </c>
      <c r="AA50" s="50">
        <f t="shared" si="26"/>
        <v>13939.925000626963</v>
      </c>
      <c r="AB50" s="51">
        <f t="shared" si="27"/>
        <v>12504.355460435218</v>
      </c>
      <c r="AC50" s="44">
        <f t="shared" si="28"/>
        <v>13031.621015824026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2.1313862253123603</v>
      </c>
      <c r="AP50" s="47">
        <f t="shared" si="37"/>
        <v>2.2496642626163221</v>
      </c>
      <c r="AQ50">
        <v>2021</v>
      </c>
    </row>
    <row r="51" spans="2:43">
      <c r="B51" s="97" t="s">
        <v>70</v>
      </c>
      <c r="C51" s="98">
        <v>18231134</v>
      </c>
      <c r="D51" s="61" t="s">
        <v>176</v>
      </c>
      <c r="E51" s="38" t="s">
        <v>1373</v>
      </c>
      <c r="F51" s="39" t="s">
        <v>1374</v>
      </c>
      <c r="G51" s="39">
        <v>15</v>
      </c>
      <c r="H51" s="39"/>
      <c r="I51" s="40" t="s">
        <v>257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7.2063948969397964E-3</v>
      </c>
      <c r="V51" s="48">
        <f t="shared" si="21"/>
        <v>28</v>
      </c>
      <c r="W51" s="49">
        <f t="shared" si="22"/>
        <v>4.8042632646265308E-4</v>
      </c>
      <c r="X51" s="44">
        <f t="shared" si="23"/>
        <v>1183.2991990032972</v>
      </c>
      <c r="Y51" s="44">
        <f t="shared" si="24"/>
        <v>-2430</v>
      </c>
      <c r="Z51" s="44">
        <f t="shared" si="25"/>
        <v>6087.7534715253605</v>
      </c>
      <c r="AA51" s="50">
        <f t="shared" si="26"/>
        <v>8743.299199003297</v>
      </c>
      <c r="AB51" s="51">
        <f t="shared" si="27"/>
        <v>5691.0848569929512</v>
      </c>
      <c r="AC51" s="44">
        <f t="shared" si="28"/>
        <v>8173.5993259823281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2.1313862253123603</v>
      </c>
      <c r="AP51" s="47">
        <f t="shared" si="37"/>
        <v>1.6324374765951484</v>
      </c>
      <c r="AQ51">
        <v>2021</v>
      </c>
    </row>
    <row r="52" spans="2:43">
      <c r="B52" s="97" t="s">
        <v>70</v>
      </c>
      <c r="C52" s="98">
        <v>18231134</v>
      </c>
      <c r="D52" s="61" t="s">
        <v>176</v>
      </c>
      <c r="E52" s="38" t="s">
        <v>1375</v>
      </c>
      <c r="F52" s="39" t="s">
        <v>1376</v>
      </c>
      <c r="G52" s="39">
        <v>15</v>
      </c>
      <c r="H52" s="39"/>
      <c r="I52" s="40" t="s">
        <v>257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9.3021513680112286E-2</v>
      </c>
      <c r="V52" s="48">
        <f t="shared" si="21"/>
        <v>65.650000000000006</v>
      </c>
      <c r="W52" s="49">
        <f t="shared" si="22"/>
        <v>6.2014342453408193E-3</v>
      </c>
      <c r="X52" s="44">
        <f t="shared" si="23"/>
        <v>15274.250745611158</v>
      </c>
      <c r="Y52" s="44">
        <f t="shared" si="24"/>
        <v>1706.9000000000015</v>
      </c>
      <c r="Z52" s="44">
        <f t="shared" si="25"/>
        <v>78581.877753205568</v>
      </c>
      <c r="AA52" s="50">
        <f t="shared" si="26"/>
        <v>59475.890745611156</v>
      </c>
      <c r="AB52" s="51">
        <f t="shared" si="27"/>
        <v>73461.603957376428</v>
      </c>
      <c r="AC52" s="44">
        <f t="shared" si="28"/>
        <v>55600.533556708564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2.1313862253123599</v>
      </c>
      <c r="AP52" s="47">
        <f t="shared" si="37"/>
        <v>3.0976781124743993</v>
      </c>
      <c r="AQ52">
        <v>2021</v>
      </c>
    </row>
    <row r="53" spans="2:43">
      <c r="B53" s="97" t="s">
        <v>70</v>
      </c>
      <c r="C53" s="98">
        <v>18231134</v>
      </c>
      <c r="D53" s="61" t="s">
        <v>176</v>
      </c>
      <c r="E53" s="38" t="s">
        <v>1377</v>
      </c>
      <c r="F53" s="39" t="s">
        <v>1378</v>
      </c>
      <c r="G53" s="39">
        <v>12</v>
      </c>
      <c r="H53" s="39"/>
      <c r="I53" s="40" t="s">
        <v>257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1.4535590472005153E-3</v>
      </c>
      <c r="V53" s="48">
        <f t="shared" si="21"/>
        <v>0</v>
      </c>
      <c r="W53" s="49">
        <f t="shared" si="22"/>
        <v>1.2112992060004293E-4</v>
      </c>
      <c r="X53" s="44">
        <f t="shared" si="23"/>
        <v>298.34530317419245</v>
      </c>
      <c r="Y53" s="44">
        <f t="shared" si="24"/>
        <v>0</v>
      </c>
      <c r="Z53" s="44">
        <f t="shared" si="25"/>
        <v>1534.9056744412751</v>
      </c>
      <c r="AA53" s="50">
        <f t="shared" si="26"/>
        <v>948.3453031741924</v>
      </c>
      <c r="AB53" s="51">
        <f t="shared" si="27"/>
        <v>1434.893591138894</v>
      </c>
      <c r="AC53" s="44">
        <f t="shared" si="28"/>
        <v>886.55258780423696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1.7512518895483784</v>
      </c>
      <c r="AP53" s="47">
        <f t="shared" si="37"/>
        <v>3.1178591795746842</v>
      </c>
      <c r="AQ53">
        <v>2021</v>
      </c>
    </row>
    <row r="54" spans="2:43">
      <c r="B54" s="97" t="s">
        <v>70</v>
      </c>
      <c r="C54" s="98">
        <v>18231134</v>
      </c>
      <c r="D54" s="61" t="s">
        <v>176</v>
      </c>
      <c r="E54" s="38" t="s">
        <v>1379</v>
      </c>
      <c r="F54" s="39" t="s">
        <v>1380</v>
      </c>
      <c r="G54" s="39">
        <v>12</v>
      </c>
      <c r="H54" s="39"/>
      <c r="I54" s="40" t="s">
        <v>257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1.7763494011305606E-3</v>
      </c>
      <c r="V54" s="48">
        <f t="shared" si="21"/>
        <v>0</v>
      </c>
      <c r="W54" s="49">
        <f t="shared" si="22"/>
        <v>1.4802911676088006E-4</v>
      </c>
      <c r="X54" s="44">
        <f t="shared" si="23"/>
        <v>364.59853601701315</v>
      </c>
      <c r="Y54" s="44">
        <f t="shared" si="24"/>
        <v>0</v>
      </c>
      <c r="Z54" s="44">
        <f t="shared" si="25"/>
        <v>1875.7605897309929</v>
      </c>
      <c r="AA54" s="50">
        <f t="shared" si="26"/>
        <v>764.5985360170132</v>
      </c>
      <c r="AB54" s="51">
        <f t="shared" si="27"/>
        <v>1753.538926550428</v>
      </c>
      <c r="AC54" s="44">
        <f t="shared" si="28"/>
        <v>714.77847622418733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1.7512518895483784</v>
      </c>
      <c r="AP54" s="47">
        <f t="shared" si="37"/>
        <v>4.7259078256161571</v>
      </c>
      <c r="AQ54">
        <v>2021</v>
      </c>
    </row>
    <row r="55" spans="2:43">
      <c r="B55" s="97" t="s">
        <v>70</v>
      </c>
      <c r="C55" s="98">
        <v>18231134</v>
      </c>
      <c r="D55" s="61" t="s">
        <v>176</v>
      </c>
      <c r="E55" s="38" t="s">
        <v>1381</v>
      </c>
      <c r="F55" s="39" t="s">
        <v>1382</v>
      </c>
      <c r="G55" s="39">
        <v>15</v>
      </c>
      <c r="H55" s="39"/>
      <c r="I55" s="40" t="s">
        <v>257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5.7249550835322016E-2</v>
      </c>
      <c r="V55" s="48">
        <f t="shared" si="21"/>
        <v>65.650000000000006</v>
      </c>
      <c r="W55" s="49">
        <f t="shared" si="22"/>
        <v>3.816636722354801E-3</v>
      </c>
      <c r="X55" s="44">
        <f t="shared" si="23"/>
        <v>9400.4489922558041</v>
      </c>
      <c r="Y55" s="44">
        <f t="shared" si="24"/>
        <v>-1712.3600000000006</v>
      </c>
      <c r="Z55" s="44">
        <f t="shared" si="25"/>
        <v>48362.760690369483</v>
      </c>
      <c r="AA55" s="50">
        <f t="shared" si="26"/>
        <v>28000.148992255803</v>
      </c>
      <c r="AB55" s="51">
        <f t="shared" si="27"/>
        <v>45211.517893212564</v>
      </c>
      <c r="AC55" s="44">
        <f t="shared" si="28"/>
        <v>26175.702526180987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2.1313862253123603</v>
      </c>
      <c r="AP55" s="47">
        <f t="shared" si="37"/>
        <v>4.049538957105022</v>
      </c>
      <c r="AQ55">
        <v>2021</v>
      </c>
    </row>
    <row r="56" spans="2:43">
      <c r="B56" s="97" t="s">
        <v>70</v>
      </c>
      <c r="C56" s="98">
        <v>18231134</v>
      </c>
      <c r="D56" s="61" t="s">
        <v>176</v>
      </c>
      <c r="E56" s="38" t="s">
        <v>1383</v>
      </c>
      <c r="F56" s="39" t="s">
        <v>1384</v>
      </c>
      <c r="G56" s="39">
        <v>15</v>
      </c>
      <c r="H56" s="39"/>
      <c r="I56" s="40" t="s">
        <v>257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0.49419290901460111</v>
      </c>
      <c r="V56" s="48">
        <f t="shared" si="21"/>
        <v>89.59</v>
      </c>
      <c r="W56" s="49">
        <f t="shared" si="22"/>
        <v>3.2946193934306742E-2</v>
      </c>
      <c r="X56" s="44">
        <f t="shared" si="23"/>
        <v>81147.103614653912</v>
      </c>
      <c r="Y56" s="44">
        <f t="shared" si="24"/>
        <v>-5772.6900000000023</v>
      </c>
      <c r="Z56" s="44">
        <f t="shared" si="25"/>
        <v>417479.84123579302</v>
      </c>
      <c r="AA56" s="50">
        <f t="shared" si="26"/>
        <v>323925.16361465392</v>
      </c>
      <c r="AB56" s="51">
        <f t="shared" si="27"/>
        <v>390277.49951929791</v>
      </c>
      <c r="AC56" s="44">
        <f t="shared" si="28"/>
        <v>302818.70021001581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2.1313862253123577</v>
      </c>
      <c r="AP56" s="47">
        <f t="shared" si="37"/>
        <v>3.0216604672784859</v>
      </c>
      <c r="AQ56">
        <v>2021</v>
      </c>
    </row>
    <row r="57" spans="2:43">
      <c r="B57" s="97" t="s">
        <v>70</v>
      </c>
      <c r="C57" s="98">
        <v>18231134</v>
      </c>
      <c r="D57" s="61" t="s">
        <v>176</v>
      </c>
      <c r="E57" s="38" t="s">
        <v>1385</v>
      </c>
      <c r="F57" s="39" t="s">
        <v>1386</v>
      </c>
      <c r="G57" s="39">
        <v>15</v>
      </c>
      <c r="H57" s="39"/>
      <c r="I57" s="40" t="s">
        <v>257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8.9043022322472951E-2</v>
      </c>
      <c r="V57" s="48">
        <f t="shared" si="21"/>
        <v>141.32</v>
      </c>
      <c r="W57" s="49">
        <f t="shared" si="22"/>
        <v>5.936201488164863E-3</v>
      </c>
      <c r="X57" s="44">
        <f t="shared" si="23"/>
        <v>14620.977409350426</v>
      </c>
      <c r="Y57" s="44">
        <f t="shared" si="24"/>
        <v>0</v>
      </c>
      <c r="Z57" s="44">
        <f t="shared" si="25"/>
        <v>75220.963603997938</v>
      </c>
      <c r="AA57" s="50">
        <f t="shared" si="26"/>
        <v>54661.927409350421</v>
      </c>
      <c r="AB57" s="51">
        <f t="shared" si="27"/>
        <v>70319.681783675725</v>
      </c>
      <c r="AC57" s="44">
        <f t="shared" si="28"/>
        <v>51100.240636954673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2.1313862253123608</v>
      </c>
      <c r="AP57" s="47">
        <f t="shared" si="37"/>
        <v>3.2263300364001521</v>
      </c>
      <c r="AQ57">
        <v>2021</v>
      </c>
    </row>
    <row r="58" spans="2:43">
      <c r="B58" s="97" t="s">
        <v>70</v>
      </c>
      <c r="C58" s="98">
        <v>18231134</v>
      </c>
      <c r="D58" s="61" t="s">
        <v>176</v>
      </c>
      <c r="E58" s="38" t="s">
        <v>1387</v>
      </c>
      <c r="F58" s="39" t="s">
        <v>1388</v>
      </c>
      <c r="G58" s="39">
        <v>15</v>
      </c>
      <c r="H58" s="39"/>
      <c r="I58" s="40" t="s">
        <v>257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0.55304513400627553</v>
      </c>
      <c r="V58" s="48">
        <f t="shared" si="21"/>
        <v>141.32</v>
      </c>
      <c r="W58" s="49">
        <f t="shared" si="22"/>
        <v>3.6869675600418365E-2</v>
      </c>
      <c r="X58" s="44">
        <f t="shared" si="23"/>
        <v>90810.713739847401</v>
      </c>
      <c r="Y58" s="44">
        <f t="shared" si="24"/>
        <v>12012.200000000012</v>
      </c>
      <c r="Z58" s="44">
        <f t="shared" si="25"/>
        <v>467196.49458658294</v>
      </c>
      <c r="AA58" s="50">
        <f t="shared" si="26"/>
        <v>352725.6337398474</v>
      </c>
      <c r="AB58" s="51">
        <f t="shared" si="27"/>
        <v>436754.69251807319</v>
      </c>
      <c r="AC58" s="44">
        <f t="shared" si="28"/>
        <v>329742.57618009474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2.1313862253123603</v>
      </c>
      <c r="AP58" s="47">
        <f t="shared" si="37"/>
        <v>3.1053988868627211</v>
      </c>
      <c r="AQ58">
        <v>2021</v>
      </c>
    </row>
    <row r="59" spans="2:43">
      <c r="B59" s="97" t="s">
        <v>70</v>
      </c>
      <c r="C59" s="98">
        <v>18231134</v>
      </c>
      <c r="D59" s="61" t="s">
        <v>176</v>
      </c>
      <c r="E59" s="38" t="s">
        <v>1389</v>
      </c>
      <c r="F59" s="39" t="s">
        <v>1390</v>
      </c>
      <c r="G59" s="39">
        <v>15</v>
      </c>
      <c r="H59" s="39"/>
      <c r="I59" s="40" t="s">
        <v>257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1.3092055969957744E-2</v>
      </c>
      <c r="V59" s="48">
        <f t="shared" si="21"/>
        <v>87.32</v>
      </c>
      <c r="W59" s="49">
        <f t="shared" si="22"/>
        <v>8.7280373133051623E-4</v>
      </c>
      <c r="X59" s="44">
        <f t="shared" si="23"/>
        <v>2149.7322259061812</v>
      </c>
      <c r="Y59" s="44">
        <f t="shared" si="24"/>
        <v>0</v>
      </c>
      <c r="Z59" s="44">
        <f t="shared" si="25"/>
        <v>11059.789301077544</v>
      </c>
      <c r="AA59" s="50">
        <f t="shared" si="26"/>
        <v>8822.852225906181</v>
      </c>
      <c r="AB59" s="51">
        <f t="shared" si="27"/>
        <v>10339.150510495974</v>
      </c>
      <c r="AC59" s="44">
        <f t="shared" si="28"/>
        <v>8247.9688005105927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2.1313862253123608</v>
      </c>
      <c r="AP59" s="47">
        <f t="shared" si="37"/>
        <v>2.9389533185372883</v>
      </c>
      <c r="AQ59">
        <v>2021</v>
      </c>
    </row>
    <row r="60" spans="2:43">
      <c r="B60" s="97" t="s">
        <v>70</v>
      </c>
      <c r="C60" s="98">
        <v>18231134</v>
      </c>
      <c r="D60" s="61" t="s">
        <v>176</v>
      </c>
      <c r="E60" s="38" t="s">
        <v>1391</v>
      </c>
      <c r="F60" s="39" t="s">
        <v>1392</v>
      </c>
      <c r="G60" s="39">
        <v>15</v>
      </c>
      <c r="H60" s="39"/>
      <c r="I60" s="40" t="s">
        <v>257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6.30042662872775E-3</v>
      </c>
      <c r="V60" s="48">
        <f t="shared" si="21"/>
        <v>87.32</v>
      </c>
      <c r="W60" s="49">
        <f t="shared" si="22"/>
        <v>4.2002844191518335E-4</v>
      </c>
      <c r="X60" s="44">
        <f t="shared" si="23"/>
        <v>1034.5380581791997</v>
      </c>
      <c r="Y60" s="44">
        <f t="shared" si="24"/>
        <v>0</v>
      </c>
      <c r="Z60" s="44">
        <f t="shared" si="25"/>
        <v>5322.4177455798144</v>
      </c>
      <c r="AA60" s="50">
        <f t="shared" si="26"/>
        <v>3536.9580581791997</v>
      </c>
      <c r="AB60" s="51">
        <f t="shared" si="27"/>
        <v>4975.6172249974888</v>
      </c>
      <c r="AC60" s="44">
        <f t="shared" si="28"/>
        <v>3306.4953334385336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2.1313862253123608</v>
      </c>
      <c r="AP60" s="47">
        <f t="shared" si="37"/>
        <v>3.5280431517300594</v>
      </c>
      <c r="AQ60">
        <v>2021</v>
      </c>
    </row>
    <row r="61" spans="2:43">
      <c r="B61" s="97" t="s">
        <v>70</v>
      </c>
      <c r="C61" s="98">
        <v>18231134</v>
      </c>
      <c r="D61" s="61" t="s">
        <v>176</v>
      </c>
      <c r="E61" s="38" t="s">
        <v>1393</v>
      </c>
      <c r="F61" s="39" t="s">
        <v>1394</v>
      </c>
      <c r="G61" s="39">
        <v>10</v>
      </c>
      <c r="H61" s="39"/>
      <c r="I61" s="40" t="s">
        <v>261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2.2458322658010715E-4</v>
      </c>
      <c r="V61" s="48">
        <f t="shared" si="21"/>
        <v>-130.4</v>
      </c>
      <c r="W61" s="49">
        <f t="shared" si="22"/>
        <v>2.2458322658010716E-5</v>
      </c>
      <c r="X61" s="44">
        <f t="shared" si="23"/>
        <v>55.315276762310269</v>
      </c>
      <c r="Y61" s="44">
        <f t="shared" si="24"/>
        <v>-200.94</v>
      </c>
      <c r="Z61" s="44">
        <f t="shared" si="25"/>
        <v>284.58209759778782</v>
      </c>
      <c r="AA61" s="50">
        <f t="shared" si="26"/>
        <v>254.37527676231028</v>
      </c>
      <c r="AB61" s="51">
        <f t="shared" si="27"/>
        <v>266.03916761502086</v>
      </c>
      <c r="AC61" s="44">
        <f t="shared" si="28"/>
        <v>237.80057657503062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1.9671923892187881</v>
      </c>
      <c r="AP61" s="47">
        <f t="shared" si="37"/>
        <v>2.4208740644552975</v>
      </c>
      <c r="AQ61">
        <v>2021</v>
      </c>
    </row>
    <row r="62" spans="2:43">
      <c r="B62" s="97" t="s">
        <v>70</v>
      </c>
      <c r="C62" s="98">
        <v>18231134</v>
      </c>
      <c r="D62" s="61" t="s">
        <v>176</v>
      </c>
      <c r="E62" s="38" t="s">
        <v>1224</v>
      </c>
      <c r="F62" s="39" t="s">
        <v>1225</v>
      </c>
      <c r="G62" s="39">
        <v>10</v>
      </c>
      <c r="H62" s="39"/>
      <c r="I62" s="40" t="s">
        <v>261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1.2733177253476515E-3</v>
      </c>
      <c r="V62" s="48">
        <f t="shared" si="21"/>
        <v>-130.4</v>
      </c>
      <c r="W62" s="49">
        <f t="shared" si="22"/>
        <v>1.2733177253476514E-4</v>
      </c>
      <c r="X62" s="44">
        <f t="shared" si="23"/>
        <v>313.6205826967111</v>
      </c>
      <c r="Y62" s="44">
        <f t="shared" si="24"/>
        <v>1029.0899999999999</v>
      </c>
      <c r="Z62" s="44">
        <f t="shared" si="25"/>
        <v>1613.4928449726685</v>
      </c>
      <c r="AA62" s="50">
        <f t="shared" si="26"/>
        <v>2142.7105826967108</v>
      </c>
      <c r="AB62" s="51">
        <f t="shared" si="27"/>
        <v>1508.3601430052056</v>
      </c>
      <c r="AC62" s="44">
        <f t="shared" si="28"/>
        <v>2003.0948702409187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1.9671923892187877</v>
      </c>
      <c r="AP62" s="47">
        <f t="shared" si="37"/>
        <v>1.6294575466015331</v>
      </c>
      <c r="AQ62">
        <v>2021</v>
      </c>
    </row>
    <row r="63" spans="2:43">
      <c r="B63" s="97" t="s">
        <v>70</v>
      </c>
      <c r="C63" s="98">
        <v>18231134</v>
      </c>
      <c r="D63" s="61" t="s">
        <v>176</v>
      </c>
      <c r="E63" s="38" t="s">
        <v>1395</v>
      </c>
      <c r="F63" s="39" t="s">
        <v>1396</v>
      </c>
      <c r="G63" s="39">
        <v>15</v>
      </c>
      <c r="H63" s="39"/>
      <c r="I63" s="40" t="s">
        <v>257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7.7452141989192971E-3</v>
      </c>
      <c r="V63" s="48">
        <f t="shared" si="21"/>
        <v>75</v>
      </c>
      <c r="W63" s="49">
        <f t="shared" si="22"/>
        <v>5.1634761326128649E-4</v>
      </c>
      <c r="X63" s="44">
        <f t="shared" si="23"/>
        <v>1271.7740130480577</v>
      </c>
      <c r="Y63" s="44">
        <f t="shared" si="24"/>
        <v>1050</v>
      </c>
      <c r="Z63" s="44">
        <f t="shared" si="25"/>
        <v>6542.9323956700155</v>
      </c>
      <c r="AA63" s="50">
        <f t="shared" si="26"/>
        <v>4421.7740130480579</v>
      </c>
      <c r="AB63" s="51">
        <f t="shared" si="27"/>
        <v>6116.6050253996591</v>
      </c>
      <c r="AC63" s="44">
        <f t="shared" si="28"/>
        <v>4133.6580471609395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2.1313862253123603</v>
      </c>
      <c r="AP63" s="47">
        <f t="shared" si="37"/>
        <v>3.4692111207272727</v>
      </c>
      <c r="AQ63">
        <v>2021</v>
      </c>
    </row>
    <row r="64" spans="2:43">
      <c r="B64" s="97" t="s">
        <v>70</v>
      </c>
      <c r="C64" s="98">
        <v>18231134</v>
      </c>
      <c r="D64" s="61" t="s">
        <v>176</v>
      </c>
      <c r="E64" s="38" t="s">
        <v>1397</v>
      </c>
      <c r="F64" s="39" t="s">
        <v>1398</v>
      </c>
      <c r="G64" s="39">
        <v>15</v>
      </c>
      <c r="H64" s="39"/>
      <c r="I64" s="40" t="s">
        <v>257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0.19498993390937258</v>
      </c>
      <c r="V64" s="48">
        <f t="shared" si="21"/>
        <v>188</v>
      </c>
      <c r="W64" s="49">
        <f t="shared" si="22"/>
        <v>1.2999328927291505E-2</v>
      </c>
      <c r="X64" s="44">
        <f t="shared" si="23"/>
        <v>32017.594915128338</v>
      </c>
      <c r="Y64" s="44">
        <f t="shared" si="24"/>
        <v>6956</v>
      </c>
      <c r="Z64" s="44">
        <f t="shared" si="25"/>
        <v>164721.84275848747</v>
      </c>
      <c r="AA64" s="50">
        <f t="shared" si="26"/>
        <v>87877.594915128342</v>
      </c>
      <c r="AB64" s="51">
        <f t="shared" si="27"/>
        <v>153988.82187387816</v>
      </c>
      <c r="AC64" s="44">
        <f t="shared" si="28"/>
        <v>82151.626544945626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2.1313862253123599</v>
      </c>
      <c r="AP64" s="47">
        <f t="shared" si="37"/>
        <v>4.394686196212402</v>
      </c>
      <c r="AQ64">
        <v>2021</v>
      </c>
    </row>
    <row r="65" spans="2:43">
      <c r="B65" s="97" t="s">
        <v>70</v>
      </c>
      <c r="C65" s="98">
        <v>18231134</v>
      </c>
      <c r="D65" s="61" t="s">
        <v>176</v>
      </c>
      <c r="E65" s="38" t="s">
        <v>1399</v>
      </c>
      <c r="F65" s="39" t="s">
        <v>1400</v>
      </c>
      <c r="G65" s="39">
        <v>12</v>
      </c>
      <c r="H65" s="39"/>
      <c r="I65" s="40" t="s">
        <v>257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9.8801917029022607E-3</v>
      </c>
      <c r="V65" s="48">
        <f t="shared" si="21"/>
        <v>0</v>
      </c>
      <c r="W65" s="49">
        <f t="shared" si="22"/>
        <v>8.2334930857518843E-4</v>
      </c>
      <c r="X65" s="44">
        <f t="shared" si="23"/>
        <v>2027.9250400585111</v>
      </c>
      <c r="Y65" s="44">
        <f t="shared" si="24"/>
        <v>0</v>
      </c>
      <c r="Z65" s="44">
        <f t="shared" si="25"/>
        <v>10433.124363650488</v>
      </c>
      <c r="AA65" s="50">
        <f t="shared" si="26"/>
        <v>9323.9250400585115</v>
      </c>
      <c r="AB65" s="51">
        <f t="shared" si="27"/>
        <v>9753.3180925965098</v>
      </c>
      <c r="AC65" s="44">
        <f t="shared" si="28"/>
        <v>8716.392483928681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1.7512518895483786</v>
      </c>
      <c r="AP65" s="47">
        <f t="shared" si="37"/>
        <v>2.1555441023991362</v>
      </c>
      <c r="AQ65">
        <v>2021</v>
      </c>
    </row>
    <row r="66" spans="2:43">
      <c r="B66" s="97" t="s">
        <v>70</v>
      </c>
      <c r="C66" s="98">
        <v>18231134</v>
      </c>
      <c r="D66" s="61" t="s">
        <v>176</v>
      </c>
      <c r="E66" s="38" t="s">
        <v>1401</v>
      </c>
      <c r="F66" s="39" t="s">
        <v>1402</v>
      </c>
      <c r="G66" s="39">
        <v>12</v>
      </c>
      <c r="H66" s="39"/>
      <c r="I66" s="40" t="s">
        <v>257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2.7844176617270011E-2</v>
      </c>
      <c r="V66" s="48">
        <f t="shared" si="21"/>
        <v>0</v>
      </c>
      <c r="W66" s="49">
        <f t="shared" si="22"/>
        <v>2.3203480514391675E-3</v>
      </c>
      <c r="X66" s="44">
        <f t="shared" si="23"/>
        <v>5715.0614765285309</v>
      </c>
      <c r="Y66" s="44">
        <f t="shared" si="24"/>
        <v>0</v>
      </c>
      <c r="Z66" s="44">
        <f t="shared" si="25"/>
        <v>29402.44138846956</v>
      </c>
      <c r="AA66" s="50">
        <f t="shared" si="26"/>
        <v>21971.061476528532</v>
      </c>
      <c r="AB66" s="51">
        <f t="shared" si="27"/>
        <v>27486.62371549926</v>
      </c>
      <c r="AC66" s="44">
        <f t="shared" si="28"/>
        <v>20539.461041907573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1.7512518895483782</v>
      </c>
      <c r="AP66" s="47">
        <f t="shared" si="37"/>
        <v>2.5779450484579542</v>
      </c>
      <c r="AQ66">
        <v>2021</v>
      </c>
    </row>
    <row r="67" spans="2:43">
      <c r="B67" s="97" t="s">
        <v>70</v>
      </c>
      <c r="C67" s="98">
        <v>18231134</v>
      </c>
      <c r="D67" s="61" t="s">
        <v>176</v>
      </c>
      <c r="E67" s="38" t="s">
        <v>1403</v>
      </c>
      <c r="F67" s="39" t="s">
        <v>1404</v>
      </c>
      <c r="G67" s="39">
        <v>12</v>
      </c>
      <c r="H67" s="39"/>
      <c r="I67" s="40" t="s">
        <v>257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5.4132543826777811E-3</v>
      </c>
      <c r="V67" s="48">
        <f t="shared" si="21"/>
        <v>0</v>
      </c>
      <c r="W67" s="49">
        <f t="shared" si="22"/>
        <v>4.5110453188981509E-4</v>
      </c>
      <c r="X67" s="44">
        <f t="shared" si="23"/>
        <v>1111.0790600969926</v>
      </c>
      <c r="Y67" s="44">
        <f t="shared" si="24"/>
        <v>0</v>
      </c>
      <c r="Z67" s="44">
        <f t="shared" si="25"/>
        <v>5716.2004427468182</v>
      </c>
      <c r="AA67" s="50">
        <f t="shared" si="26"/>
        <v>6343.0790600969922</v>
      </c>
      <c r="AB67" s="51">
        <f t="shared" si="27"/>
        <v>5343.7416497586401</v>
      </c>
      <c r="AC67" s="44">
        <f t="shared" si="28"/>
        <v>5929.7738245274295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1.7512518895483784</v>
      </c>
      <c r="AP67" s="47">
        <f t="shared" si="37"/>
        <v>1.7359956268413639</v>
      </c>
      <c r="AQ67">
        <v>2021</v>
      </c>
    </row>
    <row r="68" spans="2:43">
      <c r="B68" s="97" t="s">
        <v>70</v>
      </c>
      <c r="C68" s="98">
        <v>18231134</v>
      </c>
      <c r="D68" s="61" t="s">
        <v>176</v>
      </c>
      <c r="E68" s="38" t="s">
        <v>1405</v>
      </c>
      <c r="F68" s="39" t="s">
        <v>1404</v>
      </c>
      <c r="G68" s="39">
        <v>12</v>
      </c>
      <c r="H68" s="39"/>
      <c r="I68" s="40" t="s">
        <v>257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3.5612697883670281E-2</v>
      </c>
      <c r="V68" s="48">
        <f t="shared" si="21"/>
        <v>0</v>
      </c>
      <c r="W68" s="49">
        <f t="shared" si="22"/>
        <v>2.96772482363919E-3</v>
      </c>
      <c r="X68" s="44">
        <f t="shared" si="23"/>
        <v>7309.5628054584649</v>
      </c>
      <c r="Y68" s="44">
        <f t="shared" si="24"/>
        <v>0</v>
      </c>
      <c r="Z68" s="44">
        <f t="shared" si="25"/>
        <v>37605.718301630011</v>
      </c>
      <c r="AA68" s="50">
        <f t="shared" si="26"/>
        <v>41426.562805458467</v>
      </c>
      <c r="AB68" s="51">
        <f t="shared" si="27"/>
        <v>35155.387773796399</v>
      </c>
      <c r="AC68" s="44">
        <f t="shared" si="28"/>
        <v>38727.271950508053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1.7512518895483784</v>
      </c>
      <c r="AP68" s="47">
        <f t="shared" si="37"/>
        <v>1.7487039438223368</v>
      </c>
      <c r="AQ68">
        <v>2021</v>
      </c>
    </row>
    <row r="69" spans="2:43">
      <c r="B69" s="97" t="s">
        <v>70</v>
      </c>
      <c r="C69" s="98">
        <v>18231134</v>
      </c>
      <c r="D69" s="61" t="s">
        <v>176</v>
      </c>
      <c r="E69" s="38" t="s">
        <v>1406</v>
      </c>
      <c r="F69" s="39" t="s">
        <v>1407</v>
      </c>
      <c r="G69" s="39">
        <v>12</v>
      </c>
      <c r="H69" s="39"/>
      <c r="I69" s="40" t="s">
        <v>257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0.17593076743702787</v>
      </c>
      <c r="V69" s="48">
        <f t="shared" si="21"/>
        <v>0</v>
      </c>
      <c r="W69" s="49">
        <f t="shared" si="22"/>
        <v>1.466089728641899E-2</v>
      </c>
      <c r="X69" s="44">
        <f t="shared" si="23"/>
        <v>36110.06945315226</v>
      </c>
      <c r="Y69" s="44">
        <f t="shared" si="24"/>
        <v>0</v>
      </c>
      <c r="Z69" s="44">
        <f t="shared" si="25"/>
        <v>185776.51438927156</v>
      </c>
      <c r="AA69" s="50">
        <f t="shared" si="26"/>
        <v>181910.06945315225</v>
      </c>
      <c r="AB69" s="51">
        <f t="shared" si="27"/>
        <v>173671.60361715578</v>
      </c>
      <c r="AC69" s="44">
        <f t="shared" si="28"/>
        <v>170057.09026189795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1.7512518895483786</v>
      </c>
      <c r="AP69" s="47">
        <f t="shared" si="37"/>
        <v>1.9673216558024587</v>
      </c>
      <c r="AQ69">
        <v>2021</v>
      </c>
    </row>
    <row r="70" spans="2:43">
      <c r="B70" s="97" t="s">
        <v>70</v>
      </c>
      <c r="C70" s="98">
        <v>18231134</v>
      </c>
      <c r="D70" s="61" t="s">
        <v>176</v>
      </c>
      <c r="E70" s="38" t="s">
        <v>1408</v>
      </c>
      <c r="F70" s="39" t="s">
        <v>1409</v>
      </c>
      <c r="G70" s="39">
        <v>12</v>
      </c>
      <c r="H70" s="39"/>
      <c r="I70" s="40" t="s">
        <v>257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1.0585919681680993E-3</v>
      </c>
      <c r="V70" s="48">
        <f t="shared" si="21"/>
        <v>0</v>
      </c>
      <c r="W70" s="49">
        <f t="shared" si="22"/>
        <v>8.8215997347341617E-5</v>
      </c>
      <c r="X70" s="44">
        <f t="shared" si="23"/>
        <v>217.27768286341188</v>
      </c>
      <c r="Y70" s="44">
        <f t="shared" si="24"/>
        <v>0</v>
      </c>
      <c r="Z70" s="44">
        <f t="shared" si="25"/>
        <v>1117.8347532482667</v>
      </c>
      <c r="AA70" s="50">
        <f t="shared" si="26"/>
        <v>487.27768286341188</v>
      </c>
      <c r="AB70" s="51">
        <f t="shared" si="27"/>
        <v>1044.9983670639119</v>
      </c>
      <c r="AC70" s="44">
        <f t="shared" si="28"/>
        <v>455.52742157933238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1.7512518895483782</v>
      </c>
      <c r="AP70" s="47">
        <f t="shared" si="37"/>
        <v>4.4191870917580438</v>
      </c>
      <c r="AQ70">
        <v>2021</v>
      </c>
    </row>
    <row r="71" spans="2:43">
      <c r="B71" s="97" t="s">
        <v>70</v>
      </c>
      <c r="C71" s="98">
        <v>18231134</v>
      </c>
      <c r="D71" s="61" t="s">
        <v>176</v>
      </c>
      <c r="E71" s="38" t="s">
        <v>1410</v>
      </c>
      <c r="F71" s="39" t="s">
        <v>1411</v>
      </c>
      <c r="G71" s="39">
        <v>12</v>
      </c>
      <c r="H71" s="39"/>
      <c r="I71" s="40" t="s">
        <v>257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1.5918977703133917E-3</v>
      </c>
      <c r="V71" s="48">
        <f t="shared" si="21"/>
        <v>0</v>
      </c>
      <c r="W71" s="49">
        <f t="shared" si="22"/>
        <v>1.3265814752611599E-4</v>
      </c>
      <c r="X71" s="44">
        <f t="shared" si="23"/>
        <v>326.7395458211156</v>
      </c>
      <c r="Y71" s="44">
        <f t="shared" si="24"/>
        <v>0</v>
      </c>
      <c r="Z71" s="44">
        <f t="shared" si="25"/>
        <v>1680.9863524225827</v>
      </c>
      <c r="AA71" s="50">
        <f t="shared" si="26"/>
        <v>1254.7395458211156</v>
      </c>
      <c r="AB71" s="51">
        <f t="shared" si="27"/>
        <v>1571.4558777438372</v>
      </c>
      <c r="AC71" s="44">
        <f t="shared" si="28"/>
        <v>1172.9826547827572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1.7512518895483784</v>
      </c>
      <c r="AP71" s="47">
        <f t="shared" si="37"/>
        <v>2.5807854621051813</v>
      </c>
      <c r="AQ71">
        <v>2021</v>
      </c>
    </row>
    <row r="72" spans="2:43">
      <c r="B72" s="97" t="s">
        <v>70</v>
      </c>
      <c r="C72" s="98">
        <v>18231134</v>
      </c>
      <c r="D72" s="61" t="s">
        <v>176</v>
      </c>
      <c r="E72" s="38" t="s">
        <v>1412</v>
      </c>
      <c r="F72" s="39" t="s">
        <v>1411</v>
      </c>
      <c r="G72" s="39">
        <v>12</v>
      </c>
      <c r="H72" s="39"/>
      <c r="I72" s="40" t="s">
        <v>257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0.17462757656712397</v>
      </c>
      <c r="V72" s="48">
        <f t="shared" si="21"/>
        <v>0</v>
      </c>
      <c r="W72" s="49">
        <f t="shared" si="22"/>
        <v>1.4552298047260331E-2</v>
      </c>
      <c r="X72" s="44">
        <f t="shared" si="23"/>
        <v>35842.587457202986</v>
      </c>
      <c r="Y72" s="44">
        <f t="shared" si="24"/>
        <v>0</v>
      </c>
      <c r="Z72" s="44">
        <f t="shared" si="25"/>
        <v>184400.39206046215</v>
      </c>
      <c r="AA72" s="50">
        <f t="shared" si="26"/>
        <v>136878.58745720299</v>
      </c>
      <c r="AB72" s="51">
        <f t="shared" si="27"/>
        <v>172385.14729406574</v>
      </c>
      <c r="AC72" s="44">
        <f t="shared" si="28"/>
        <v>127959.79008806485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1.7512518895483786</v>
      </c>
      <c r="AP72" s="47">
        <f t="shared" si="37"/>
        <v>2.5951808469922062</v>
      </c>
      <c r="AQ72">
        <v>2021</v>
      </c>
    </row>
    <row r="73" spans="2:43">
      <c r="B73" s="97" t="s">
        <v>70</v>
      </c>
      <c r="C73" s="98">
        <v>18231134</v>
      </c>
      <c r="D73" s="61" t="s">
        <v>176</v>
      </c>
      <c r="E73" s="38" t="s">
        <v>1413</v>
      </c>
      <c r="F73" s="39" t="s">
        <v>1414</v>
      </c>
      <c r="G73" s="39">
        <v>12</v>
      </c>
      <c r="H73" s="39"/>
      <c r="I73" s="40" t="s">
        <v>257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3.3281489908315249E-3</v>
      </c>
      <c r="V73" s="48">
        <f t="shared" si="21"/>
        <v>0</v>
      </c>
      <c r="W73" s="49">
        <f t="shared" si="22"/>
        <v>2.773457492359604E-4</v>
      </c>
      <c r="X73" s="44">
        <f t="shared" si="23"/>
        <v>683.10786657815106</v>
      </c>
      <c r="Y73" s="44">
        <f t="shared" si="24"/>
        <v>0</v>
      </c>
      <c r="Z73" s="44">
        <f t="shared" si="25"/>
        <v>3514.4047166517475</v>
      </c>
      <c r="AA73" s="50">
        <f t="shared" si="26"/>
        <v>5163.1078665781515</v>
      </c>
      <c r="AB73" s="51">
        <f t="shared" si="27"/>
        <v>3285.4115328145717</v>
      </c>
      <c r="AC73" s="44">
        <f t="shared" si="28"/>
        <v>4826.6877316800519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1.7512518895483782</v>
      </c>
      <c r="AP73" s="47">
        <f t="shared" si="37"/>
        <v>1.3112390571123933</v>
      </c>
      <c r="AQ73">
        <v>2021</v>
      </c>
    </row>
    <row r="74" spans="2:43">
      <c r="B74" s="97" t="s">
        <v>70</v>
      </c>
      <c r="C74" s="98">
        <v>18231134</v>
      </c>
      <c r="D74" s="61" t="s">
        <v>176</v>
      </c>
      <c r="E74" s="38" t="s">
        <v>1415</v>
      </c>
      <c r="F74" s="39" t="s">
        <v>1416</v>
      </c>
      <c r="G74" s="39">
        <v>12</v>
      </c>
      <c r="H74" s="39"/>
      <c r="I74" s="40" t="s">
        <v>257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8.6612070122844484E-3</v>
      </c>
      <c r="V74" s="48">
        <f t="shared" si="21"/>
        <v>0</v>
      </c>
      <c r="W74" s="49">
        <f t="shared" si="22"/>
        <v>7.217672510237041E-4</v>
      </c>
      <c r="X74" s="44">
        <f t="shared" si="23"/>
        <v>1777.726496155188</v>
      </c>
      <c r="Y74" s="44">
        <f t="shared" si="24"/>
        <v>0</v>
      </c>
      <c r="Z74" s="44">
        <f t="shared" si="25"/>
        <v>9145.9207083949077</v>
      </c>
      <c r="AA74" s="50">
        <f t="shared" si="26"/>
        <v>8497.7264961551882</v>
      </c>
      <c r="AB74" s="51">
        <f t="shared" si="27"/>
        <v>8549.9866396138241</v>
      </c>
      <c r="AC74" s="44">
        <f t="shared" si="28"/>
        <v>7944.0277611995771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1.7512518895483784</v>
      </c>
      <c r="AP74" s="47">
        <f t="shared" si="37"/>
        <v>2.0733183190152529</v>
      </c>
      <c r="AQ74">
        <v>2021</v>
      </c>
    </row>
    <row r="75" spans="2:43">
      <c r="B75" s="97" t="s">
        <v>70</v>
      </c>
      <c r="C75" s="98">
        <v>18231134</v>
      </c>
      <c r="D75" s="61" t="s">
        <v>176</v>
      </c>
      <c r="E75" s="38" t="s">
        <v>1417</v>
      </c>
      <c r="F75" s="39" t="s">
        <v>1418</v>
      </c>
      <c r="G75" s="39">
        <v>12</v>
      </c>
      <c r="H75" s="39"/>
      <c r="I75" s="40" t="s">
        <v>257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1.4841339099174915E-3</v>
      </c>
      <c r="V75" s="48">
        <f t="shared" si="21"/>
        <v>0</v>
      </c>
      <c r="W75" s="49">
        <f t="shared" si="22"/>
        <v>1.2367782582645763E-4</v>
      </c>
      <c r="X75" s="44">
        <f t="shared" si="23"/>
        <v>304.62084230992548</v>
      </c>
      <c r="Y75" s="44">
        <f t="shared" si="24"/>
        <v>0</v>
      </c>
      <c r="Z75" s="44">
        <f t="shared" si="25"/>
        <v>1567.1916213864192</v>
      </c>
      <c r="AA75" s="50">
        <f t="shared" si="26"/>
        <v>1690.6208423099256</v>
      </c>
      <c r="AB75" s="51">
        <f t="shared" si="27"/>
        <v>1465.0758356421604</v>
      </c>
      <c r="AC75" s="44">
        <f t="shared" si="28"/>
        <v>1580.4625991492244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1.7512518895483786</v>
      </c>
      <c r="AP75" s="47">
        <f t="shared" si="37"/>
        <v>1.7857357140683143</v>
      </c>
      <c r="AQ75">
        <v>2021</v>
      </c>
    </row>
    <row r="76" spans="2:43">
      <c r="B76" s="97" t="s">
        <v>70</v>
      </c>
      <c r="C76" s="98">
        <v>18231134</v>
      </c>
      <c r="D76" s="61" t="s">
        <v>176</v>
      </c>
      <c r="E76" s="38" t="s">
        <v>1419</v>
      </c>
      <c r="F76" s="39" t="s">
        <v>1418</v>
      </c>
      <c r="G76" s="39">
        <v>12</v>
      </c>
      <c r="H76" s="39"/>
      <c r="I76" s="40" t="s">
        <v>257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3.2283045211065786E-2</v>
      </c>
      <c r="V76" s="48">
        <f t="shared" si="21"/>
        <v>0</v>
      </c>
      <c r="W76" s="49">
        <f t="shared" si="22"/>
        <v>2.6902537675888155E-3</v>
      </c>
      <c r="X76" s="44">
        <f t="shared" si="23"/>
        <v>6626.1463058080644</v>
      </c>
      <c r="Y76" s="44">
        <f t="shared" si="24"/>
        <v>0</v>
      </c>
      <c r="Z76" s="44">
        <f t="shared" si="25"/>
        <v>34089.725751521946</v>
      </c>
      <c r="AA76" s="50">
        <f t="shared" si="26"/>
        <v>36502.146305808063</v>
      </c>
      <c r="AB76" s="51">
        <f t="shared" si="27"/>
        <v>31868.491868301338</v>
      </c>
      <c r="AC76" s="44">
        <f t="shared" si="28"/>
        <v>34123.722824911711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1.7512518895483786</v>
      </c>
      <c r="AP76" s="47">
        <f t="shared" si="37"/>
        <v>1.7990631496028948</v>
      </c>
      <c r="AQ76">
        <v>2021</v>
      </c>
    </row>
    <row r="77" spans="2:43">
      <c r="B77" s="97" t="s">
        <v>70</v>
      </c>
      <c r="C77" s="98">
        <v>18231134</v>
      </c>
      <c r="D77" s="61" t="s">
        <v>176</v>
      </c>
      <c r="E77" s="38" t="s">
        <v>1420</v>
      </c>
      <c r="F77" s="39" t="s">
        <v>1421</v>
      </c>
      <c r="G77" s="39">
        <v>12</v>
      </c>
      <c r="H77" s="39"/>
      <c r="I77" s="40" t="s">
        <v>257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5.7240152824240978E-3</v>
      </c>
      <c r="V77" s="48">
        <f t="shared" si="21"/>
        <v>0</v>
      </c>
      <c r="W77" s="49">
        <f t="shared" si="22"/>
        <v>4.7700127353534147E-4</v>
      </c>
      <c r="X77" s="44">
        <f t="shared" si="23"/>
        <v>1174.8632283618199</v>
      </c>
      <c r="Y77" s="44">
        <f t="shared" si="24"/>
        <v>0</v>
      </c>
      <c r="Z77" s="44">
        <f t="shared" si="25"/>
        <v>6044.3526903859865</v>
      </c>
      <c r="AA77" s="50">
        <f t="shared" si="26"/>
        <v>4574.8632283618199</v>
      </c>
      <c r="AB77" s="51">
        <f t="shared" si="27"/>
        <v>5650.512003726265</v>
      </c>
      <c r="AC77" s="44">
        <f t="shared" si="28"/>
        <v>4276.7722056294469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1.7512518895483784</v>
      </c>
      <c r="AP77" s="47">
        <f t="shared" si="37"/>
        <v>2.5451476680141587</v>
      </c>
      <c r="AQ77">
        <v>2021</v>
      </c>
    </row>
    <row r="78" spans="2:43">
      <c r="B78" s="97" t="s">
        <v>70</v>
      </c>
      <c r="C78" s="98">
        <v>18231134</v>
      </c>
      <c r="D78" s="61" t="s">
        <v>176</v>
      </c>
      <c r="E78" s="38" t="s">
        <v>1422</v>
      </c>
      <c r="F78" s="39" t="s">
        <v>1421</v>
      </c>
      <c r="G78" s="39">
        <v>12</v>
      </c>
      <c r="H78" s="39"/>
      <c r="I78" s="40" t="s">
        <v>257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7.419767340523678E-2</v>
      </c>
      <c r="V78" s="48">
        <f t="shared" si="21"/>
        <v>0</v>
      </c>
      <c r="W78" s="49">
        <f t="shared" si="22"/>
        <v>6.1831394504363989E-3</v>
      </c>
      <c r="X78" s="44">
        <f t="shared" si="23"/>
        <v>15229.190317062779</v>
      </c>
      <c r="Y78" s="44">
        <f t="shared" si="24"/>
        <v>0</v>
      </c>
      <c r="Z78" s="44">
        <f t="shared" si="25"/>
        <v>78350.054068583049</v>
      </c>
      <c r="AA78" s="50">
        <f t="shared" si="26"/>
        <v>58919.190317062777</v>
      </c>
      <c r="AB78" s="51">
        <f t="shared" si="27"/>
        <v>73244.885546025092</v>
      </c>
      <c r="AC78" s="44">
        <f t="shared" si="28"/>
        <v>55080.106868339506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1.7512518895483786</v>
      </c>
      <c r="AP78" s="47">
        <f t="shared" si="37"/>
        <v>2.5616738357230409</v>
      </c>
      <c r="AQ78">
        <v>2021</v>
      </c>
    </row>
    <row r="79" spans="2:43">
      <c r="B79" s="97" t="s">
        <v>70</v>
      </c>
      <c r="C79" s="98">
        <v>18231134</v>
      </c>
      <c r="D79" s="61" t="s">
        <v>176</v>
      </c>
      <c r="E79" s="38" t="s">
        <v>1423</v>
      </c>
      <c r="F79" s="39" t="s">
        <v>1424</v>
      </c>
      <c r="G79" s="39">
        <v>13</v>
      </c>
      <c r="H79" s="39"/>
      <c r="I79" s="40" t="s">
        <v>257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1.3546669092651148E-3</v>
      </c>
      <c r="V79" s="48">
        <f t="shared" si="21"/>
        <v>0</v>
      </c>
      <c r="W79" s="49">
        <f t="shared" si="22"/>
        <v>1.0420514686654729E-4</v>
      </c>
      <c r="X79" s="44">
        <f t="shared" si="23"/>
        <v>256.6592628824053</v>
      </c>
      <c r="Y79" s="44">
        <f t="shared" si="24"/>
        <v>0</v>
      </c>
      <c r="Z79" s="44">
        <f t="shared" si="25"/>
        <v>1320.442302274515</v>
      </c>
      <c r="AA79" s="50">
        <f t="shared" si="26"/>
        <v>1276.6592628824053</v>
      </c>
      <c r="AB79" s="51">
        <f t="shared" si="27"/>
        <v>1234.4043210942459</v>
      </c>
      <c r="AC79" s="44">
        <f t="shared" si="28"/>
        <v>1193.4741169322288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1.8829053022692317</v>
      </c>
      <c r="AP79" s="47">
        <f t="shared" si="37"/>
        <v>2.1422275097490275</v>
      </c>
      <c r="AQ79">
        <v>2021</v>
      </c>
    </row>
    <row r="80" spans="2:43">
      <c r="B80" s="97" t="s">
        <v>70</v>
      </c>
      <c r="C80" s="98">
        <v>18231134</v>
      </c>
      <c r="D80" s="61" t="s">
        <v>176</v>
      </c>
      <c r="E80" s="38" t="s">
        <v>1425</v>
      </c>
      <c r="F80" s="39" t="s">
        <v>1426</v>
      </c>
      <c r="G80" s="39">
        <v>13</v>
      </c>
      <c r="H80" s="39"/>
      <c r="I80" s="40" t="s">
        <v>257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4.0346789332225061E-4</v>
      </c>
      <c r="V80" s="48">
        <f t="shared" si="21"/>
        <v>0</v>
      </c>
      <c r="W80" s="49">
        <f t="shared" si="22"/>
        <v>3.1035991794019277E-5</v>
      </c>
      <c r="X80" s="44">
        <f t="shared" si="23"/>
        <v>76.44223933467309</v>
      </c>
      <c r="Y80" s="44">
        <f t="shared" si="24"/>
        <v>0</v>
      </c>
      <c r="Z80" s="44">
        <f t="shared" si="25"/>
        <v>393.27459046098107</v>
      </c>
      <c r="AA80" s="50">
        <f t="shared" si="26"/>
        <v>484.4422393346731</v>
      </c>
      <c r="AB80" s="51">
        <f t="shared" si="27"/>
        <v>367.64942550339447</v>
      </c>
      <c r="AC80" s="44">
        <f t="shared" si="28"/>
        <v>452.87673117198568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1.8829053022692317</v>
      </c>
      <c r="AP80" s="47">
        <f t="shared" si="37"/>
        <v>1.6814155056093107</v>
      </c>
      <c r="AQ80">
        <v>2021</v>
      </c>
    </row>
    <row r="81" spans="2:43">
      <c r="B81" s="97" t="s">
        <v>70</v>
      </c>
      <c r="C81" s="98">
        <v>18231134</v>
      </c>
      <c r="D81" s="61" t="s">
        <v>176</v>
      </c>
      <c r="E81" s="38" t="s">
        <v>1427</v>
      </c>
      <c r="F81" s="39" t="s">
        <v>1428</v>
      </c>
      <c r="G81" s="39">
        <v>13</v>
      </c>
      <c r="H81" s="39"/>
      <c r="I81" s="40" t="s">
        <v>257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5.5654286488594704E-3</v>
      </c>
      <c r="V81" s="48">
        <f t="shared" si="21"/>
        <v>0</v>
      </c>
      <c r="W81" s="49">
        <f t="shared" si="22"/>
        <v>4.281098960661131E-4</v>
      </c>
      <c r="X81" s="44">
        <f t="shared" si="23"/>
        <v>1054.4428337854558</v>
      </c>
      <c r="Y81" s="44">
        <f t="shared" si="24"/>
        <v>0</v>
      </c>
      <c r="Z81" s="44">
        <f t="shared" si="25"/>
        <v>5424.8224179559866</v>
      </c>
      <c r="AA81" s="50">
        <f t="shared" si="26"/>
        <v>4488.4428337854561</v>
      </c>
      <c r="AB81" s="51">
        <f t="shared" si="27"/>
        <v>5071.3493670711287</v>
      </c>
      <c r="AC81" s="44">
        <f t="shared" si="28"/>
        <v>4195.9828304996317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1.8829053022692317</v>
      </c>
      <c r="AP81" s="47">
        <f t="shared" si="37"/>
        <v>2.5032890024859831</v>
      </c>
      <c r="AQ81">
        <v>2021</v>
      </c>
    </row>
    <row r="82" spans="2:43">
      <c r="B82" s="97" t="s">
        <v>70</v>
      </c>
      <c r="C82" s="98">
        <v>18231134</v>
      </c>
      <c r="D82" s="61" t="s">
        <v>176</v>
      </c>
      <c r="E82" s="38" t="s">
        <v>1429</v>
      </c>
      <c r="F82" s="39" t="s">
        <v>1430</v>
      </c>
      <c r="G82" s="39">
        <v>7</v>
      </c>
      <c r="H82" s="39"/>
      <c r="I82" s="40" t="s">
        <v>257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1.0385428778618856E-3</v>
      </c>
      <c r="V82" s="48">
        <f t="shared" si="21"/>
        <v>0</v>
      </c>
      <c r="W82" s="49">
        <f t="shared" si="22"/>
        <v>1.4836326826598363E-4</v>
      </c>
      <c r="X82" s="44">
        <f t="shared" si="23"/>
        <v>365.42155754301092</v>
      </c>
      <c r="Y82" s="44">
        <f t="shared" si="24"/>
        <v>0</v>
      </c>
      <c r="Z82" s="44">
        <f t="shared" si="25"/>
        <v>1879.9948122811757</v>
      </c>
      <c r="AA82" s="50">
        <f t="shared" si="26"/>
        <v>1997.421557543011</v>
      </c>
      <c r="AB82" s="51">
        <f t="shared" si="27"/>
        <v>1757.4972536983971</v>
      </c>
      <c r="AC82" s="44">
        <f t="shared" si="28"/>
        <v>1867.2726535879319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1.040275405305384</v>
      </c>
      <c r="AP82" s="47">
        <f t="shared" si="37"/>
        <v>1.0770303312916343</v>
      </c>
      <c r="AQ82">
        <v>2021</v>
      </c>
    </row>
    <row r="83" spans="2:43">
      <c r="B83" s="97" t="s">
        <v>70</v>
      </c>
      <c r="C83" s="98">
        <v>18231134</v>
      </c>
      <c r="D83" s="61" t="s">
        <v>176</v>
      </c>
      <c r="E83" s="38" t="s">
        <v>1431</v>
      </c>
      <c r="F83" s="39" t="s">
        <v>1432</v>
      </c>
      <c r="G83" s="39">
        <v>7</v>
      </c>
      <c r="H83" s="39"/>
      <c r="I83" s="40" t="s">
        <v>257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2.4627079537644602E-2</v>
      </c>
      <c r="V83" s="48">
        <f t="shared" si="21"/>
        <v>0</v>
      </c>
      <c r="W83" s="49">
        <f t="shared" si="22"/>
        <v>3.5181542196635147E-3</v>
      </c>
      <c r="X83" s="44">
        <f t="shared" si="23"/>
        <v>8665.2808990506655</v>
      </c>
      <c r="Y83" s="44">
        <f t="shared" si="24"/>
        <v>0</v>
      </c>
      <c r="Z83" s="44">
        <f t="shared" si="25"/>
        <v>44580.520226305925</v>
      </c>
      <c r="AA83" s="50">
        <f t="shared" si="26"/>
        <v>32278.280899050667</v>
      </c>
      <c r="AB83" s="51">
        <f t="shared" si="27"/>
        <v>41675.722376653197</v>
      </c>
      <c r="AC83" s="44">
        <f t="shared" si="28"/>
        <v>30175.077964897322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1.040275405305384</v>
      </c>
      <c r="AP83" s="47">
        <f t="shared" si="37"/>
        <v>1.5804317702483393</v>
      </c>
      <c r="AQ83">
        <v>2021</v>
      </c>
    </row>
    <row r="84" spans="2:43">
      <c r="B84" s="97" t="s">
        <v>70</v>
      </c>
      <c r="C84" s="98">
        <v>18231134</v>
      </c>
      <c r="D84" s="61" t="s">
        <v>176</v>
      </c>
      <c r="E84" s="38" t="s">
        <v>1433</v>
      </c>
      <c r="F84" s="39" t="s">
        <v>1434</v>
      </c>
      <c r="G84" s="39">
        <v>7</v>
      </c>
      <c r="H84" s="39"/>
      <c r="I84" s="40" t="s">
        <v>257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1.7161394768047118E-3</v>
      </c>
      <c r="V84" s="48">
        <f t="shared" si="21"/>
        <v>0</v>
      </c>
      <c r="W84" s="49">
        <f t="shared" si="22"/>
        <v>2.4516278240067311E-4</v>
      </c>
      <c r="X84" s="44">
        <f t="shared" si="23"/>
        <v>603.84060585549059</v>
      </c>
      <c r="Y84" s="44">
        <f t="shared" si="24"/>
        <v>0</v>
      </c>
      <c r="Z84" s="44">
        <f t="shared" si="25"/>
        <v>3106.5961572872634</v>
      </c>
      <c r="AA84" s="50">
        <f t="shared" si="26"/>
        <v>2813.8406058554906</v>
      </c>
      <c r="AB84" s="51">
        <f t="shared" si="27"/>
        <v>2904.175149375772</v>
      </c>
      <c r="AC84" s="44">
        <f t="shared" si="28"/>
        <v>2630.4950975558477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1.040275405305384</v>
      </c>
      <c r="AP84" s="47">
        <f t="shared" si="37"/>
        <v>1.2633576780819757</v>
      </c>
      <c r="AQ84">
        <v>2021</v>
      </c>
    </row>
    <row r="85" spans="2:43">
      <c r="B85" s="97" t="s">
        <v>70</v>
      </c>
      <c r="C85" s="98">
        <v>18231134</v>
      </c>
      <c r="D85" s="61" t="s">
        <v>176</v>
      </c>
      <c r="E85" s="38" t="s">
        <v>1435</v>
      </c>
      <c r="F85" s="39" t="s">
        <v>1436</v>
      </c>
      <c r="G85" s="39">
        <v>7</v>
      </c>
      <c r="H85" s="39"/>
      <c r="I85" s="40" t="s">
        <v>257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6.3178025069931358E-3</v>
      </c>
      <c r="V85" s="48">
        <f t="shared" si="21"/>
        <v>0</v>
      </c>
      <c r="W85" s="49">
        <f t="shared" si="22"/>
        <v>9.0254321528473373E-4</v>
      </c>
      <c r="X85" s="44">
        <f t="shared" si="23"/>
        <v>2222.981141719983</v>
      </c>
      <c r="Y85" s="44">
        <f t="shared" si="24"/>
        <v>0</v>
      </c>
      <c r="Z85" s="44">
        <f t="shared" si="25"/>
        <v>11436.635108043818</v>
      </c>
      <c r="AA85" s="50">
        <f t="shared" si="26"/>
        <v>7186.9811417199835</v>
      </c>
      <c r="AB85" s="51">
        <f t="shared" si="27"/>
        <v>10691.44162666525</v>
      </c>
      <c r="AC85" s="44">
        <f t="shared" si="28"/>
        <v>6718.6885497989933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1.040275405305384</v>
      </c>
      <c r="AP85" s="47">
        <f t="shared" si="37"/>
        <v>1.8209280067003359</v>
      </c>
      <c r="AQ85">
        <v>2021</v>
      </c>
    </row>
    <row r="86" spans="2:43">
      <c r="B86" s="97" t="s">
        <v>70</v>
      </c>
      <c r="C86" s="98">
        <v>18231134</v>
      </c>
      <c r="D86" s="61" t="s">
        <v>176</v>
      </c>
      <c r="E86" s="38" t="s">
        <v>1437</v>
      </c>
      <c r="F86" s="39" t="s">
        <v>1438</v>
      </c>
      <c r="G86" s="39">
        <v>1</v>
      </c>
      <c r="H86" s="39"/>
      <c r="I86" s="40" t="s">
        <v>257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  <c r="AQ86">
        <v>2021</v>
      </c>
    </row>
    <row r="87" spans="2:43">
      <c r="B87" s="97" t="s">
        <v>70</v>
      </c>
      <c r="C87" s="61">
        <v>18231134</v>
      </c>
      <c r="D87" s="61" t="s">
        <v>176</v>
      </c>
      <c r="E87" s="38" t="s">
        <v>2205</v>
      </c>
      <c r="F87" s="39" t="s">
        <v>2206</v>
      </c>
      <c r="G87" s="39">
        <v>12</v>
      </c>
      <c r="H87" s="39"/>
      <c r="I87" s="40" t="s">
        <v>257</v>
      </c>
      <c r="J87" s="41">
        <v>16</v>
      </c>
      <c r="K87" s="41">
        <v>289</v>
      </c>
      <c r="L87" s="41"/>
      <c r="M87" s="42">
        <v>112</v>
      </c>
      <c r="N87" s="42">
        <v>112</v>
      </c>
      <c r="O87" s="43">
        <v>4624</v>
      </c>
      <c r="P87" s="44">
        <v>1792</v>
      </c>
      <c r="Q87" s="44">
        <v>1792</v>
      </c>
      <c r="R87" s="45">
        <v>0</v>
      </c>
      <c r="S87" s="46">
        <v>0</v>
      </c>
      <c r="T87" s="39">
        <f t="shared" ref="T87:T150" si="38">G87+H87</f>
        <v>12</v>
      </c>
      <c r="U87" s="47">
        <f t="shared" ref="U87:U150" si="39">(O87/$A$10)*T87</f>
        <v>2.3176748393983386E-3</v>
      </c>
      <c r="V87" s="48">
        <f t="shared" ref="V87:V150" si="40">N87-M87</f>
        <v>0</v>
      </c>
      <c r="W87" s="49">
        <f t="shared" ref="W87:W150" si="41">(O87/A$10)</f>
        <v>1.9313956994986155E-4</v>
      </c>
      <c r="X87" s="44">
        <f t="shared" ref="X87:X150" si="42">W87*A$8</f>
        <v>475.70644202671235</v>
      </c>
      <c r="Y87" s="44">
        <f t="shared" ref="Y87:Y150" si="43">Q87-P87</f>
        <v>0</v>
      </c>
      <c r="Z87" s="44">
        <f t="shared" ref="Z87:Z150" si="44">X87+(A$6*W87)</f>
        <v>2447.3806340056744</v>
      </c>
      <c r="AA87" s="50">
        <f t="shared" ref="AA87:AA150" si="45">Q87+X87</f>
        <v>2267.7064420267125</v>
      </c>
      <c r="AB87" s="51">
        <f t="shared" ref="AB87:AB150" si="46">Z87/(1+ElecDiscountRate)^1</f>
        <v>2287.9130915262917</v>
      </c>
      <c r="AC87" s="44">
        <f t="shared" ref="AC87:AC150" si="47">AA87/(1+ElecDiscountRate)^1</f>
        <v>2119.9461924153616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>
        <f>HLOOKUP(I87,ElecAvoidedCostsWOCC!$A$5:$Q$50,G87+1,FALSE)</f>
        <v>0.86650348716649883</v>
      </c>
      <c r="AG87" s="44">
        <f t="shared" ref="AG87:AG150" si="50">AF87*J87*K87</f>
        <v>4006.7121246578904</v>
      </c>
      <c r="AH87" s="52">
        <f>HLOOKUP(I87,ElecAvoidedCostsWOCC!$A$5:$Q$50,T87+1,FALSE)</f>
        <v>0.86650348716649883</v>
      </c>
      <c r="AI87" s="44">
        <f t="shared" ref="AI87:AI150" si="51">AH87*J87*L87</f>
        <v>0</v>
      </c>
      <c r="AJ87" s="44">
        <f t="shared" ref="AJ87:AJ150" si="52">AG87+AI87</f>
        <v>4006.7121246578904</v>
      </c>
      <c r="AK87" s="44">
        <f>HLOOKUP(I87,ElecAvoidedCostsWOCC!$A$5:$Q$50,G87+1,FALSE)*J87*L87</f>
        <v>0</v>
      </c>
      <c r="AL87" s="44">
        <f t="shared" ref="AL87:AL150" si="53">AG87+AI87-AK87</f>
        <v>4006.7121246578904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4006.7121246578904</v>
      </c>
      <c r="AN87" s="48">
        <f t="shared" ref="AN87:AN150" si="54">AM87*1.1+AD87+AE87</f>
        <v>4407.3833371236797</v>
      </c>
      <c r="AO87" s="47">
        <f t="shared" ref="AO87:AO150" si="55">IFERROR(AM87/AB87,0)</f>
        <v>1.7512518895483784</v>
      </c>
      <c r="AP87" s="47">
        <f t="shared" ref="AP87:AP150" si="56">AN87/AC87</f>
        <v>2.079007171451897</v>
      </c>
      <c r="AQ87">
        <v>2020</v>
      </c>
    </row>
    <row r="88" spans="2:43">
      <c r="B88" s="97" t="s">
        <v>70</v>
      </c>
      <c r="C88" s="61">
        <v>18231134</v>
      </c>
      <c r="D88" s="61" t="s">
        <v>176</v>
      </c>
      <c r="E88" s="38" t="s">
        <v>2207</v>
      </c>
      <c r="F88" s="39" t="s">
        <v>2208</v>
      </c>
      <c r="G88" s="39">
        <v>12</v>
      </c>
      <c r="H88" s="39"/>
      <c r="I88" s="40" t="s">
        <v>257</v>
      </c>
      <c r="J88" s="41">
        <v>48</v>
      </c>
      <c r="K88" s="41">
        <v>333</v>
      </c>
      <c r="L88" s="41"/>
      <c r="M88" s="42">
        <v>154</v>
      </c>
      <c r="N88" s="42">
        <v>154</v>
      </c>
      <c r="O88" s="43">
        <v>15984</v>
      </c>
      <c r="P88" s="44">
        <v>7392</v>
      </c>
      <c r="Q88" s="44">
        <v>7392</v>
      </c>
      <c r="R88" s="45">
        <v>0</v>
      </c>
      <c r="S88" s="46">
        <v>0</v>
      </c>
      <c r="T88" s="39">
        <f t="shared" si="38"/>
        <v>12</v>
      </c>
      <c r="U88" s="47">
        <f t="shared" si="39"/>
        <v>8.0116164863631156E-3</v>
      </c>
      <c r="V88" s="48">
        <f t="shared" si="40"/>
        <v>0</v>
      </c>
      <c r="W88" s="49">
        <f t="shared" si="41"/>
        <v>6.676347071969263E-4</v>
      </c>
      <c r="X88" s="44">
        <f t="shared" si="42"/>
        <v>1644.3970089435491</v>
      </c>
      <c r="Y88" s="44">
        <f t="shared" si="43"/>
        <v>0</v>
      </c>
      <c r="Z88" s="44">
        <f t="shared" si="44"/>
        <v>8459.9766552652909</v>
      </c>
      <c r="AA88" s="50">
        <f t="shared" si="45"/>
        <v>9036.3970089435497</v>
      </c>
      <c r="AB88" s="51">
        <f t="shared" si="46"/>
        <v>7908.7376416427878</v>
      </c>
      <c r="AC88" s="44">
        <f t="shared" si="47"/>
        <v>8447.5993352748883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0.86650348716649883</v>
      </c>
      <c r="AG88" s="44">
        <f t="shared" si="50"/>
        <v>13850.191738869316</v>
      </c>
      <c r="AH88" s="52">
        <f>HLOOKUP(I88,ElecAvoidedCostsWOCC!$A$5:$Q$50,T88+1,FALSE)</f>
        <v>0.86650348716649883</v>
      </c>
      <c r="AI88" s="44">
        <f t="shared" si="51"/>
        <v>0</v>
      </c>
      <c r="AJ88" s="44">
        <f t="shared" si="52"/>
        <v>13850.191738869316</v>
      </c>
      <c r="AK88" s="44">
        <f>HLOOKUP(I88,ElecAvoidedCostsWOCC!$A$5:$Q$50,G88+1,FALSE)*J88*L88</f>
        <v>0</v>
      </c>
      <c r="AL88" s="44">
        <f t="shared" si="53"/>
        <v>13850.191738869316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13850.191738869318</v>
      </c>
      <c r="AN88" s="48">
        <f t="shared" si="54"/>
        <v>15235.210912756251</v>
      </c>
      <c r="AO88" s="47">
        <f t="shared" si="55"/>
        <v>1.7512518895483784</v>
      </c>
      <c r="AP88" s="47">
        <f t="shared" si="56"/>
        <v>1.8034959173712386</v>
      </c>
      <c r="AQ88">
        <v>2020</v>
      </c>
    </row>
    <row r="89" spans="2:43">
      <c r="B89" s="97" t="s">
        <v>70</v>
      </c>
      <c r="C89" s="61">
        <v>18231134</v>
      </c>
      <c r="D89" s="61" t="s">
        <v>176</v>
      </c>
      <c r="E89" s="38" t="s">
        <v>2209</v>
      </c>
      <c r="F89" s="39" t="s">
        <v>2210</v>
      </c>
      <c r="G89" s="39">
        <v>12</v>
      </c>
      <c r="H89" s="39"/>
      <c r="I89" s="40" t="s">
        <v>257</v>
      </c>
      <c r="J89" s="41">
        <v>88</v>
      </c>
      <c r="K89" s="41">
        <v>578</v>
      </c>
      <c r="L89" s="41"/>
      <c r="M89" s="42">
        <v>170</v>
      </c>
      <c r="N89" s="42">
        <v>170</v>
      </c>
      <c r="O89" s="43">
        <v>50864</v>
      </c>
      <c r="P89" s="44">
        <v>14960</v>
      </c>
      <c r="Q89" s="44">
        <v>14960</v>
      </c>
      <c r="R89" s="45">
        <v>0</v>
      </c>
      <c r="S89" s="46">
        <v>0</v>
      </c>
      <c r="T89" s="39">
        <f t="shared" si="38"/>
        <v>12</v>
      </c>
      <c r="U89" s="47">
        <f t="shared" si="39"/>
        <v>2.5494423233381726E-2</v>
      </c>
      <c r="V89" s="48">
        <f t="shared" si="40"/>
        <v>0</v>
      </c>
      <c r="W89" s="49">
        <f t="shared" si="41"/>
        <v>2.1245352694484773E-3</v>
      </c>
      <c r="X89" s="44">
        <f t="shared" si="42"/>
        <v>5232.7708622938362</v>
      </c>
      <c r="Y89" s="44">
        <f t="shared" si="43"/>
        <v>0</v>
      </c>
      <c r="Z89" s="44">
        <f t="shared" si="44"/>
        <v>26921.186974062421</v>
      </c>
      <c r="AA89" s="50">
        <f t="shared" si="45"/>
        <v>20192.770862293837</v>
      </c>
      <c r="AB89" s="51">
        <f t="shared" si="46"/>
        <v>25167.044006789209</v>
      </c>
      <c r="AC89" s="44">
        <f t="shared" si="47"/>
        <v>18877.041097778663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0.86650348716649883</v>
      </c>
      <c r="AG89" s="44">
        <f t="shared" si="50"/>
        <v>44073.833371236797</v>
      </c>
      <c r="AH89" s="52">
        <f>HLOOKUP(I89,ElecAvoidedCostsWOCC!$A$5:$Q$50,T89+1,FALSE)</f>
        <v>0.86650348716649883</v>
      </c>
      <c r="AI89" s="44">
        <f t="shared" si="51"/>
        <v>0</v>
      </c>
      <c r="AJ89" s="44">
        <f t="shared" si="52"/>
        <v>44073.833371236797</v>
      </c>
      <c r="AK89" s="44">
        <f>HLOOKUP(I89,ElecAvoidedCostsWOCC!$A$5:$Q$50,G89+1,FALSE)*J89*L89</f>
        <v>0</v>
      </c>
      <c r="AL89" s="44">
        <f t="shared" si="53"/>
        <v>44073.833371236797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44073.833371236797</v>
      </c>
      <c r="AN89" s="48">
        <f t="shared" si="54"/>
        <v>48481.21670836048</v>
      </c>
      <c r="AO89" s="47">
        <f t="shared" si="55"/>
        <v>1.7512518895483784</v>
      </c>
      <c r="AP89" s="47">
        <f t="shared" si="56"/>
        <v>2.5682635566262269</v>
      </c>
      <c r="AQ89">
        <v>2020</v>
      </c>
    </row>
    <row r="90" spans="2:43">
      <c r="B90" s="97" t="s">
        <v>70</v>
      </c>
      <c r="C90" s="61">
        <v>18231134</v>
      </c>
      <c r="D90" s="61" t="s">
        <v>176</v>
      </c>
      <c r="E90" s="38" t="s">
        <v>2211</v>
      </c>
      <c r="F90" s="39" t="s">
        <v>2212</v>
      </c>
      <c r="G90" s="39">
        <v>12</v>
      </c>
      <c r="H90" s="39"/>
      <c r="I90" s="40" t="s">
        <v>257</v>
      </c>
      <c r="J90" s="41">
        <v>15</v>
      </c>
      <c r="K90" s="41">
        <v>401</v>
      </c>
      <c r="L90" s="41"/>
      <c r="M90" s="42">
        <v>116</v>
      </c>
      <c r="N90" s="42">
        <v>116</v>
      </c>
      <c r="O90" s="43">
        <v>6015</v>
      </c>
      <c r="P90" s="44">
        <v>1740</v>
      </c>
      <c r="Q90" s="44">
        <v>1740</v>
      </c>
      <c r="R90" s="45">
        <v>0</v>
      </c>
      <c r="S90" s="46">
        <v>0</v>
      </c>
      <c r="T90" s="39">
        <f t="shared" si="38"/>
        <v>12</v>
      </c>
      <c r="U90" s="47">
        <f t="shared" si="39"/>
        <v>3.0148819547969304E-3</v>
      </c>
      <c r="V90" s="48">
        <f t="shared" si="40"/>
        <v>0</v>
      </c>
      <c r="W90" s="49">
        <f t="shared" si="41"/>
        <v>2.5124016289974422E-4</v>
      </c>
      <c r="X90" s="44">
        <f t="shared" si="42"/>
        <v>618.80930985957502</v>
      </c>
      <c r="Y90" s="44">
        <f t="shared" si="43"/>
        <v>0</v>
      </c>
      <c r="Z90" s="44">
        <f t="shared" si="44"/>
        <v>3183.6060799187135</v>
      </c>
      <c r="AA90" s="50">
        <f t="shared" si="45"/>
        <v>2358.809309859575</v>
      </c>
      <c r="AB90" s="51">
        <f t="shared" si="46"/>
        <v>2976.1672243794646</v>
      </c>
      <c r="AC90" s="44">
        <f t="shared" si="47"/>
        <v>2205.1129380756988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0.86650348716649883</v>
      </c>
      <c r="AG90" s="44">
        <f t="shared" si="50"/>
        <v>5212.0184753064905</v>
      </c>
      <c r="AH90" s="52">
        <f>HLOOKUP(I90,ElecAvoidedCostsWOCC!$A$5:$Q$50,T90+1,FALSE)</f>
        <v>0.86650348716649883</v>
      </c>
      <c r="AI90" s="44">
        <f t="shared" si="51"/>
        <v>0</v>
      </c>
      <c r="AJ90" s="44">
        <f t="shared" si="52"/>
        <v>5212.0184753064905</v>
      </c>
      <c r="AK90" s="44">
        <f>HLOOKUP(I90,ElecAvoidedCostsWOCC!$A$5:$Q$50,G90+1,FALSE)*J90*L90</f>
        <v>0</v>
      </c>
      <c r="AL90" s="44">
        <f t="shared" si="53"/>
        <v>5212.0184753064905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5212.0184753064905</v>
      </c>
      <c r="AN90" s="48">
        <f t="shared" si="54"/>
        <v>5733.22032283714</v>
      </c>
      <c r="AO90" s="47">
        <f t="shared" si="55"/>
        <v>1.7512518895483786</v>
      </c>
      <c r="AP90" s="47">
        <f t="shared" si="56"/>
        <v>2.5999667517439078</v>
      </c>
      <c r="AQ90">
        <v>2020</v>
      </c>
    </row>
    <row r="91" spans="2:43">
      <c r="B91" s="97" t="s">
        <v>70</v>
      </c>
      <c r="C91" s="61">
        <v>18231134</v>
      </c>
      <c r="D91" s="61" t="s">
        <v>176</v>
      </c>
      <c r="E91" s="38" t="s">
        <v>2213</v>
      </c>
      <c r="F91" s="39" t="s">
        <v>2214</v>
      </c>
      <c r="G91" s="39">
        <v>5</v>
      </c>
      <c r="H91" s="39"/>
      <c r="I91" s="40" t="s">
        <v>257</v>
      </c>
      <c r="J91" s="41">
        <v>9</v>
      </c>
      <c r="K91" s="41">
        <v>25</v>
      </c>
      <c r="L91" s="41"/>
      <c r="M91" s="42">
        <v>14.89</v>
      </c>
      <c r="N91" s="42">
        <v>14.89</v>
      </c>
      <c r="O91" s="43">
        <v>225</v>
      </c>
      <c r="P91" s="44">
        <v>134.01</v>
      </c>
      <c r="Q91" s="44">
        <v>134.01</v>
      </c>
      <c r="R91" s="45">
        <v>0</v>
      </c>
      <c r="S91" s="46"/>
      <c r="T91" s="39">
        <f t="shared" si="38"/>
        <v>5</v>
      </c>
      <c r="U91" s="47">
        <f t="shared" si="39"/>
        <v>4.6990055405189072E-5</v>
      </c>
      <c r="V91" s="48">
        <f t="shared" si="40"/>
        <v>0</v>
      </c>
      <c r="W91" s="49">
        <f t="shared" si="41"/>
        <v>9.3980110810378144E-6</v>
      </c>
      <c r="X91" s="44">
        <f t="shared" si="42"/>
        <v>23.147480418687348</v>
      </c>
      <c r="Y91" s="44">
        <f t="shared" si="43"/>
        <v>0</v>
      </c>
      <c r="Z91" s="44">
        <f t="shared" si="44"/>
        <v>119.08750922389204</v>
      </c>
      <c r="AA91" s="50">
        <f t="shared" si="45"/>
        <v>157.15748041868733</v>
      </c>
      <c r="AB91" s="51">
        <f t="shared" si="46"/>
        <v>111.32795103663834</v>
      </c>
      <c r="AC91" s="44">
        <f t="shared" si="47"/>
        <v>146.91734170205413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0.3694540986241362</v>
      </c>
      <c r="AG91" s="44">
        <f t="shared" si="50"/>
        <v>83.127172190430642</v>
      </c>
      <c r="AH91" s="52">
        <f>HLOOKUP(I91,ElecAvoidedCostsWOCC!$A$5:$Q$50,T91+1,FALSE)</f>
        <v>0.3694540986241362</v>
      </c>
      <c r="AI91" s="44">
        <f t="shared" si="51"/>
        <v>0</v>
      </c>
      <c r="AJ91" s="44">
        <f t="shared" si="52"/>
        <v>83.127172190430642</v>
      </c>
      <c r="AK91" s="44">
        <f>HLOOKUP(I91,ElecAvoidedCostsWOCC!$A$5:$Q$50,G91+1,FALSE)*J91*L91</f>
        <v>0</v>
      </c>
      <c r="AL91" s="44">
        <f t="shared" si="53"/>
        <v>83.127172190430642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83.127172190430642</v>
      </c>
      <c r="AN91" s="48">
        <f t="shared" si="54"/>
        <v>91.439889409473707</v>
      </c>
      <c r="AO91" s="47">
        <f t="shared" si="55"/>
        <v>0.74668734505922285</v>
      </c>
      <c r="AP91" s="47">
        <f t="shared" si="56"/>
        <v>0.62239003476466548</v>
      </c>
      <c r="AQ91">
        <v>2020</v>
      </c>
    </row>
    <row r="92" spans="2:43">
      <c r="B92" s="97" t="s">
        <v>70</v>
      </c>
      <c r="C92" s="61">
        <v>18231134</v>
      </c>
      <c r="D92" s="61" t="s">
        <v>176</v>
      </c>
      <c r="E92" s="38" t="s">
        <v>2215</v>
      </c>
      <c r="F92" s="39" t="s">
        <v>2216</v>
      </c>
      <c r="G92" s="39">
        <v>5</v>
      </c>
      <c r="H92" s="39"/>
      <c r="I92" s="40" t="s">
        <v>257</v>
      </c>
      <c r="J92" s="41">
        <v>7</v>
      </c>
      <c r="K92" s="41">
        <v>31</v>
      </c>
      <c r="L92" s="41"/>
      <c r="M92" s="42">
        <v>14.89</v>
      </c>
      <c r="N92" s="42">
        <v>14.89</v>
      </c>
      <c r="O92" s="43">
        <v>217</v>
      </c>
      <c r="P92" s="44">
        <v>104.23</v>
      </c>
      <c r="Q92" s="44">
        <v>104.23</v>
      </c>
      <c r="R92" s="45">
        <v>0</v>
      </c>
      <c r="S92" s="46"/>
      <c r="T92" s="39">
        <f t="shared" si="38"/>
        <v>5</v>
      </c>
      <c r="U92" s="47">
        <f t="shared" si="39"/>
        <v>4.5319297879671238E-5</v>
      </c>
      <c r="V92" s="48">
        <f t="shared" si="40"/>
        <v>0</v>
      </c>
      <c r="W92" s="49">
        <f t="shared" si="41"/>
        <v>9.0638595759342479E-6</v>
      </c>
      <c r="X92" s="44">
        <f t="shared" si="42"/>
        <v>22.324458892689574</v>
      </c>
      <c r="Y92" s="44">
        <f t="shared" si="43"/>
        <v>0</v>
      </c>
      <c r="Z92" s="44">
        <f t="shared" si="44"/>
        <v>114.85328667370922</v>
      </c>
      <c r="AA92" s="50">
        <f t="shared" si="45"/>
        <v>126.55445889268958</v>
      </c>
      <c r="AB92" s="51">
        <f t="shared" si="46"/>
        <v>107.36962388866898</v>
      </c>
      <c r="AC92" s="44">
        <f t="shared" si="47"/>
        <v>118.30836579666222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0.3694540986241362</v>
      </c>
      <c r="AG92" s="44">
        <f t="shared" si="50"/>
        <v>80.171539401437556</v>
      </c>
      <c r="AH92" s="52">
        <f>HLOOKUP(I92,ElecAvoidedCostsWOCC!$A$5:$Q$50,T92+1,FALSE)</f>
        <v>0.3694540986241362</v>
      </c>
      <c r="AI92" s="44">
        <f t="shared" si="51"/>
        <v>0</v>
      </c>
      <c r="AJ92" s="44">
        <f t="shared" si="52"/>
        <v>80.171539401437556</v>
      </c>
      <c r="AK92" s="44">
        <f>HLOOKUP(I92,ElecAvoidedCostsWOCC!$A$5:$Q$50,G92+1,FALSE)*J92*L92</f>
        <v>0</v>
      </c>
      <c r="AL92" s="44">
        <f t="shared" si="53"/>
        <v>80.171539401437556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80.171539401437556</v>
      </c>
      <c r="AN92" s="48">
        <f t="shared" si="54"/>
        <v>88.188693341581313</v>
      </c>
      <c r="AO92" s="47">
        <f t="shared" si="55"/>
        <v>0.74668734505922285</v>
      </c>
      <c r="AP92" s="47">
        <f t="shared" si="56"/>
        <v>0.74541384075198969</v>
      </c>
      <c r="AQ92">
        <v>2020</v>
      </c>
    </row>
    <row r="93" spans="2:43">
      <c r="B93" s="97" t="s">
        <v>70</v>
      </c>
      <c r="C93" s="61">
        <v>18231134</v>
      </c>
      <c r="D93" s="61" t="s">
        <v>176</v>
      </c>
      <c r="E93" s="38" t="s">
        <v>2217</v>
      </c>
      <c r="F93" s="39" t="s">
        <v>2218</v>
      </c>
      <c r="G93" s="39">
        <v>5</v>
      </c>
      <c r="H93" s="39"/>
      <c r="I93" s="40" t="s">
        <v>257</v>
      </c>
      <c r="J93" s="41">
        <v>4</v>
      </c>
      <c r="K93" s="41">
        <v>61</v>
      </c>
      <c r="L93" s="41"/>
      <c r="M93" s="42">
        <v>14.89</v>
      </c>
      <c r="N93" s="42">
        <v>14.89</v>
      </c>
      <c r="O93" s="43">
        <v>244</v>
      </c>
      <c r="P93" s="44">
        <v>59.56</v>
      </c>
      <c r="Q93" s="44">
        <v>59.56</v>
      </c>
      <c r="R93" s="45">
        <v>0</v>
      </c>
      <c r="S93" s="46"/>
      <c r="T93" s="39">
        <f t="shared" si="38"/>
        <v>5</v>
      </c>
      <c r="U93" s="47">
        <f t="shared" si="39"/>
        <v>5.0958104528293921E-5</v>
      </c>
      <c r="V93" s="48">
        <f t="shared" si="40"/>
        <v>0</v>
      </c>
      <c r="W93" s="49">
        <f t="shared" si="41"/>
        <v>1.0191620905658785E-5</v>
      </c>
      <c r="X93" s="44">
        <f t="shared" si="42"/>
        <v>25.102156542932054</v>
      </c>
      <c r="Y93" s="44">
        <f t="shared" si="43"/>
        <v>0</v>
      </c>
      <c r="Z93" s="44">
        <f t="shared" si="44"/>
        <v>129.14378778057625</v>
      </c>
      <c r="AA93" s="50">
        <f t="shared" si="45"/>
        <v>84.662156542932053</v>
      </c>
      <c r="AB93" s="51">
        <f t="shared" si="46"/>
        <v>120.72897801306557</v>
      </c>
      <c r="AC93" s="44">
        <f t="shared" si="47"/>
        <v>79.145701171292927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0.3694540986241362</v>
      </c>
      <c r="AG93" s="44">
        <f t="shared" si="50"/>
        <v>90.146800064289238</v>
      </c>
      <c r="AH93" s="52">
        <f>HLOOKUP(I93,ElecAvoidedCostsWOCC!$A$5:$Q$50,T93+1,FALSE)</f>
        <v>0.3694540986241362</v>
      </c>
      <c r="AI93" s="44">
        <f t="shared" si="51"/>
        <v>0</v>
      </c>
      <c r="AJ93" s="44">
        <f t="shared" si="52"/>
        <v>90.146800064289238</v>
      </c>
      <c r="AK93" s="44">
        <f>HLOOKUP(I93,ElecAvoidedCostsWOCC!$A$5:$Q$50,G93+1,FALSE)*J93*L93</f>
        <v>0</v>
      </c>
      <c r="AL93" s="44">
        <f t="shared" si="53"/>
        <v>90.146800064289238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90.146800064289238</v>
      </c>
      <c r="AN93" s="48">
        <f t="shared" si="54"/>
        <v>99.16148007071817</v>
      </c>
      <c r="AO93" s="47">
        <f t="shared" si="55"/>
        <v>0.74668734505922296</v>
      </c>
      <c r="AP93" s="47">
        <f t="shared" si="56"/>
        <v>1.2528978656226144</v>
      </c>
      <c r="AQ93">
        <v>2020</v>
      </c>
    </row>
    <row r="94" spans="2:43">
      <c r="B94" s="97" t="s">
        <v>70</v>
      </c>
      <c r="C94" s="61">
        <v>18231134</v>
      </c>
      <c r="D94" s="61" t="s">
        <v>176</v>
      </c>
      <c r="E94" s="38" t="s">
        <v>2219</v>
      </c>
      <c r="F94" s="39" t="s">
        <v>2220</v>
      </c>
      <c r="G94" s="39">
        <v>5</v>
      </c>
      <c r="H94" s="39"/>
      <c r="I94" s="40" t="s">
        <v>257</v>
      </c>
      <c r="J94" s="41">
        <v>3</v>
      </c>
      <c r="K94" s="41">
        <v>50</v>
      </c>
      <c r="L94" s="41"/>
      <c r="M94" s="42">
        <v>14.89</v>
      </c>
      <c r="N94" s="42">
        <v>14.89</v>
      </c>
      <c r="O94" s="43">
        <v>150</v>
      </c>
      <c r="P94" s="44">
        <v>44.67</v>
      </c>
      <c r="Q94" s="44">
        <v>44.67</v>
      </c>
      <c r="R94" s="45">
        <v>0</v>
      </c>
      <c r="S94" s="46"/>
      <c r="T94" s="39">
        <f t="shared" si="38"/>
        <v>5</v>
      </c>
      <c r="U94" s="47">
        <f t="shared" si="39"/>
        <v>3.1326703603459381E-5</v>
      </c>
      <c r="V94" s="48">
        <f t="shared" si="40"/>
        <v>0</v>
      </c>
      <c r="W94" s="49">
        <f t="shared" si="41"/>
        <v>6.2653407206918763E-6</v>
      </c>
      <c r="X94" s="44">
        <f t="shared" si="42"/>
        <v>15.431653612458231</v>
      </c>
      <c r="Y94" s="44">
        <f t="shared" si="43"/>
        <v>0</v>
      </c>
      <c r="Z94" s="44">
        <f t="shared" si="44"/>
        <v>79.391672815928018</v>
      </c>
      <c r="AA94" s="50">
        <f t="shared" si="45"/>
        <v>60.101653612458236</v>
      </c>
      <c r="AB94" s="51">
        <f t="shared" si="46"/>
        <v>74.218634024425555</v>
      </c>
      <c r="AC94" s="44">
        <f t="shared" si="47"/>
        <v>56.18552268155392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0.3694540986241362</v>
      </c>
      <c r="AG94" s="44">
        <f t="shared" si="50"/>
        <v>55.418114793620433</v>
      </c>
      <c r="AH94" s="52">
        <f>HLOOKUP(I94,ElecAvoidedCostsWOCC!$A$5:$Q$50,T94+1,FALSE)</f>
        <v>0.3694540986241362</v>
      </c>
      <c r="AI94" s="44">
        <f t="shared" si="51"/>
        <v>0</v>
      </c>
      <c r="AJ94" s="44">
        <f t="shared" si="52"/>
        <v>55.418114793620433</v>
      </c>
      <c r="AK94" s="44">
        <f>HLOOKUP(I94,ElecAvoidedCostsWOCC!$A$5:$Q$50,G94+1,FALSE)*J94*L94</f>
        <v>0</v>
      </c>
      <c r="AL94" s="44">
        <f t="shared" si="53"/>
        <v>55.418114793620433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55.418114793620433</v>
      </c>
      <c r="AN94" s="48">
        <f t="shared" si="54"/>
        <v>60.959926272982479</v>
      </c>
      <c r="AO94" s="47">
        <f t="shared" si="55"/>
        <v>0.74668734505922296</v>
      </c>
      <c r="AP94" s="47">
        <f t="shared" si="56"/>
        <v>1.0849756905971799</v>
      </c>
      <c r="AQ94">
        <v>2020</v>
      </c>
    </row>
    <row r="95" spans="2:43">
      <c r="B95" s="97" t="s">
        <v>70</v>
      </c>
      <c r="C95" s="61">
        <v>18231134</v>
      </c>
      <c r="D95" s="61" t="s">
        <v>176</v>
      </c>
      <c r="E95" s="38" t="s">
        <v>2221</v>
      </c>
      <c r="F95" s="39" t="s">
        <v>2222</v>
      </c>
      <c r="G95" s="39">
        <v>5</v>
      </c>
      <c r="H95" s="39"/>
      <c r="I95" s="40" t="s">
        <v>257</v>
      </c>
      <c r="J95" s="41">
        <v>3</v>
      </c>
      <c r="K95" s="41">
        <v>33</v>
      </c>
      <c r="L95" s="41"/>
      <c r="M95" s="42">
        <v>14.89</v>
      </c>
      <c r="N95" s="42">
        <v>14.89</v>
      </c>
      <c r="O95" s="43">
        <v>99</v>
      </c>
      <c r="P95" s="44">
        <v>44.67</v>
      </c>
      <c r="Q95" s="44">
        <v>44.67</v>
      </c>
      <c r="R95" s="45">
        <v>0</v>
      </c>
      <c r="S95" s="46"/>
      <c r="T95" s="39">
        <f t="shared" si="38"/>
        <v>5</v>
      </c>
      <c r="U95" s="47">
        <f t="shared" si="39"/>
        <v>2.0675624378283188E-5</v>
      </c>
      <c r="V95" s="48">
        <f t="shared" si="40"/>
        <v>0</v>
      </c>
      <c r="W95" s="49">
        <f t="shared" si="41"/>
        <v>4.1351248756566379E-6</v>
      </c>
      <c r="X95" s="44">
        <f t="shared" si="42"/>
        <v>10.184891384222432</v>
      </c>
      <c r="Y95" s="44">
        <f t="shared" si="43"/>
        <v>0</v>
      </c>
      <c r="Z95" s="44">
        <f t="shared" si="44"/>
        <v>52.398504058512493</v>
      </c>
      <c r="AA95" s="50">
        <f t="shared" si="45"/>
        <v>54.854891384222434</v>
      </c>
      <c r="AB95" s="51">
        <f t="shared" si="46"/>
        <v>48.984298456120868</v>
      </c>
      <c r="AC95" s="44">
        <f t="shared" si="47"/>
        <v>51.280631377229533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0.3694540986241362</v>
      </c>
      <c r="AG95" s="44">
        <f t="shared" si="50"/>
        <v>36.575955763789487</v>
      </c>
      <c r="AH95" s="52">
        <f>HLOOKUP(I95,ElecAvoidedCostsWOCC!$A$5:$Q$50,T95+1,FALSE)</f>
        <v>0.3694540986241362</v>
      </c>
      <c r="AI95" s="44">
        <f t="shared" si="51"/>
        <v>0</v>
      </c>
      <c r="AJ95" s="44">
        <f t="shared" si="52"/>
        <v>36.575955763789487</v>
      </c>
      <c r="AK95" s="44">
        <f>HLOOKUP(I95,ElecAvoidedCostsWOCC!$A$5:$Q$50,G95+1,FALSE)*J95*L95</f>
        <v>0</v>
      </c>
      <c r="AL95" s="44">
        <f t="shared" si="53"/>
        <v>36.575955763789487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36.57595576378948</v>
      </c>
      <c r="AN95" s="48">
        <f t="shared" si="54"/>
        <v>40.233551340168432</v>
      </c>
      <c r="AO95" s="47">
        <f t="shared" si="55"/>
        <v>0.74668734505922285</v>
      </c>
      <c r="AP95" s="47">
        <f t="shared" si="56"/>
        <v>0.78457597458586659</v>
      </c>
      <c r="AQ95">
        <v>2020</v>
      </c>
    </row>
    <row r="96" spans="2:43">
      <c r="B96" s="97" t="s">
        <v>70</v>
      </c>
      <c r="C96" s="61">
        <v>18231134</v>
      </c>
      <c r="D96" s="61" t="s">
        <v>176</v>
      </c>
      <c r="E96" s="38" t="s">
        <v>2223</v>
      </c>
      <c r="F96" s="39" t="s">
        <v>2224</v>
      </c>
      <c r="G96" s="39">
        <v>5</v>
      </c>
      <c r="H96" s="39"/>
      <c r="I96" s="40" t="s">
        <v>257</v>
      </c>
      <c r="J96" s="41">
        <v>8</v>
      </c>
      <c r="K96" s="41">
        <v>92</v>
      </c>
      <c r="L96" s="41"/>
      <c r="M96" s="42">
        <v>19</v>
      </c>
      <c r="N96" s="42">
        <v>19</v>
      </c>
      <c r="O96" s="43">
        <v>736</v>
      </c>
      <c r="P96" s="44">
        <v>152</v>
      </c>
      <c r="Q96" s="44">
        <v>152</v>
      </c>
      <c r="R96" s="45">
        <v>0</v>
      </c>
      <c r="S96" s="46"/>
      <c r="T96" s="39">
        <f t="shared" si="38"/>
        <v>5</v>
      </c>
      <c r="U96" s="47">
        <f t="shared" si="39"/>
        <v>1.537096923476407E-4</v>
      </c>
      <c r="V96" s="48">
        <f t="shared" si="40"/>
        <v>0</v>
      </c>
      <c r="W96" s="49">
        <f t="shared" si="41"/>
        <v>3.0741938469528139E-5</v>
      </c>
      <c r="X96" s="44">
        <f t="shared" si="42"/>
        <v>75.717980391795052</v>
      </c>
      <c r="Y96" s="44">
        <f t="shared" si="43"/>
        <v>0</v>
      </c>
      <c r="Z96" s="44">
        <f t="shared" si="44"/>
        <v>389.54847461682016</v>
      </c>
      <c r="AA96" s="50">
        <f t="shared" si="45"/>
        <v>227.71798039179504</v>
      </c>
      <c r="AB96" s="51">
        <f t="shared" si="46"/>
        <v>364.16609761318136</v>
      </c>
      <c r="AC96" s="44">
        <f t="shared" si="47"/>
        <v>212.88022846760308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0.3694540986241362</v>
      </c>
      <c r="AG96" s="44">
        <f t="shared" si="50"/>
        <v>271.91821658736421</v>
      </c>
      <c r="AH96" s="52">
        <f>HLOOKUP(I96,ElecAvoidedCostsWOCC!$A$5:$Q$50,T96+1,FALSE)</f>
        <v>0.3694540986241362</v>
      </c>
      <c r="AI96" s="44">
        <f t="shared" si="51"/>
        <v>0</v>
      </c>
      <c r="AJ96" s="44">
        <f t="shared" si="52"/>
        <v>271.91821658736421</v>
      </c>
      <c r="AK96" s="44">
        <f>HLOOKUP(I96,ElecAvoidedCostsWOCC!$A$5:$Q$50,G96+1,FALSE)*J96*L96</f>
        <v>0</v>
      </c>
      <c r="AL96" s="44">
        <f t="shared" si="53"/>
        <v>271.91821658736421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271.91821658736421</v>
      </c>
      <c r="AN96" s="48">
        <f t="shared" si="54"/>
        <v>299.11003824610066</v>
      </c>
      <c r="AO96" s="47">
        <f t="shared" si="55"/>
        <v>0.74668734505922296</v>
      </c>
      <c r="AP96" s="47">
        <f t="shared" si="56"/>
        <v>1.4050625574728766</v>
      </c>
      <c r="AQ96">
        <v>2020</v>
      </c>
    </row>
    <row r="97" spans="2:43">
      <c r="B97" s="97" t="s">
        <v>70</v>
      </c>
      <c r="C97" s="61">
        <v>18231134</v>
      </c>
      <c r="D97" s="61" t="s">
        <v>176</v>
      </c>
      <c r="E97" s="38" t="s">
        <v>2225</v>
      </c>
      <c r="F97" s="39" t="s">
        <v>2226</v>
      </c>
      <c r="G97" s="39">
        <v>5</v>
      </c>
      <c r="H97" s="39"/>
      <c r="I97" s="40" t="s">
        <v>257</v>
      </c>
      <c r="J97" s="41">
        <v>1</v>
      </c>
      <c r="K97" s="41">
        <v>68</v>
      </c>
      <c r="L97" s="41"/>
      <c r="M97" s="42">
        <v>13.78</v>
      </c>
      <c r="N97" s="42">
        <v>13.78</v>
      </c>
      <c r="O97" s="43">
        <v>68</v>
      </c>
      <c r="P97" s="44">
        <v>13.78</v>
      </c>
      <c r="Q97" s="44">
        <v>13.78</v>
      </c>
      <c r="R97" s="45">
        <v>0</v>
      </c>
      <c r="S97" s="46">
        <v>0</v>
      </c>
      <c r="T97" s="39">
        <f t="shared" si="38"/>
        <v>5</v>
      </c>
      <c r="U97" s="47">
        <f t="shared" si="39"/>
        <v>1.4201438966901585E-5</v>
      </c>
      <c r="V97" s="48">
        <f t="shared" si="40"/>
        <v>0</v>
      </c>
      <c r="W97" s="49">
        <f t="shared" si="41"/>
        <v>2.8402877933803172E-6</v>
      </c>
      <c r="X97" s="44">
        <f t="shared" si="42"/>
        <v>6.9956829709810648</v>
      </c>
      <c r="Y97" s="44">
        <f t="shared" si="43"/>
        <v>0</v>
      </c>
      <c r="Z97" s="44">
        <f t="shared" si="44"/>
        <v>35.990891676554043</v>
      </c>
      <c r="AA97" s="50">
        <f t="shared" si="45"/>
        <v>20.775682970981066</v>
      </c>
      <c r="AB97" s="51">
        <f t="shared" si="46"/>
        <v>33.645780757739587</v>
      </c>
      <c r="AC97" s="44">
        <f t="shared" si="47"/>
        <v>19.421971553688945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0.3694540986241362</v>
      </c>
      <c r="AG97" s="44">
        <f t="shared" si="50"/>
        <v>25.122878706441263</v>
      </c>
      <c r="AH97" s="52">
        <f>HLOOKUP(I97,ElecAvoidedCostsWOCC!$A$5:$Q$50,T97+1,FALSE)</f>
        <v>0.3694540986241362</v>
      </c>
      <c r="AI97" s="44">
        <f t="shared" si="51"/>
        <v>0</v>
      </c>
      <c r="AJ97" s="44">
        <f t="shared" si="52"/>
        <v>25.122878706441263</v>
      </c>
      <c r="AK97" s="44">
        <f>HLOOKUP(I97,ElecAvoidedCostsWOCC!$A$5:$Q$50,G97+1,FALSE)*J97*L97</f>
        <v>0</v>
      </c>
      <c r="AL97" s="44">
        <f t="shared" si="53"/>
        <v>25.122878706441263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25.122878706441263</v>
      </c>
      <c r="AN97" s="48">
        <f t="shared" si="54"/>
        <v>27.635166577085393</v>
      </c>
      <c r="AO97" s="47">
        <f t="shared" si="55"/>
        <v>0.74668734505922296</v>
      </c>
      <c r="AP97" s="47">
        <f t="shared" si="56"/>
        <v>1.4228816317999633</v>
      </c>
      <c r="AQ97">
        <v>2020</v>
      </c>
    </row>
    <row r="98" spans="2:43">
      <c r="B98" s="97" t="s">
        <v>70</v>
      </c>
      <c r="C98" s="61">
        <v>18231134</v>
      </c>
      <c r="D98" s="61" t="s">
        <v>176</v>
      </c>
      <c r="E98" s="38" t="s">
        <v>2227</v>
      </c>
      <c r="F98" s="39" t="s">
        <v>2228</v>
      </c>
      <c r="G98" s="39">
        <v>5</v>
      </c>
      <c r="H98" s="39"/>
      <c r="I98" s="40" t="s">
        <v>257</v>
      </c>
      <c r="J98" s="41">
        <v>19</v>
      </c>
      <c r="K98" s="41">
        <v>150</v>
      </c>
      <c r="L98" s="41"/>
      <c r="M98" s="42">
        <v>13.78</v>
      </c>
      <c r="N98" s="42">
        <v>13.78</v>
      </c>
      <c r="O98" s="43">
        <v>2850</v>
      </c>
      <c r="P98" s="44">
        <v>261.82</v>
      </c>
      <c r="Q98" s="44">
        <v>261.82</v>
      </c>
      <c r="R98" s="45">
        <v>0</v>
      </c>
      <c r="S98" s="46">
        <v>0</v>
      </c>
      <c r="T98" s="39">
        <f t="shared" si="38"/>
        <v>5</v>
      </c>
      <c r="U98" s="47">
        <f t="shared" si="39"/>
        <v>5.9520736846572825E-4</v>
      </c>
      <c r="V98" s="48">
        <f t="shared" si="40"/>
        <v>0</v>
      </c>
      <c r="W98" s="49">
        <f t="shared" si="41"/>
        <v>1.1904147369314565E-4</v>
      </c>
      <c r="X98" s="44">
        <f t="shared" si="42"/>
        <v>293.20141863670636</v>
      </c>
      <c r="Y98" s="44">
        <f t="shared" si="43"/>
        <v>0</v>
      </c>
      <c r="Z98" s="44">
        <f t="shared" si="44"/>
        <v>1508.4417835026325</v>
      </c>
      <c r="AA98" s="50">
        <f t="shared" si="45"/>
        <v>555.02141863670636</v>
      </c>
      <c r="AB98" s="51">
        <f t="shared" si="46"/>
        <v>1410.1540464640855</v>
      </c>
      <c r="AC98" s="44">
        <f t="shared" si="47"/>
        <v>518.85708015023488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0.3694540986241362</v>
      </c>
      <c r="AG98" s="44">
        <f t="shared" si="50"/>
        <v>1052.9441810787882</v>
      </c>
      <c r="AH98" s="52">
        <f>HLOOKUP(I98,ElecAvoidedCostsWOCC!$A$5:$Q$50,T98+1,FALSE)</f>
        <v>0.3694540986241362</v>
      </c>
      <c r="AI98" s="44">
        <f t="shared" si="51"/>
        <v>0</v>
      </c>
      <c r="AJ98" s="44">
        <f t="shared" si="52"/>
        <v>1052.9441810787882</v>
      </c>
      <c r="AK98" s="44">
        <f>HLOOKUP(I98,ElecAvoidedCostsWOCC!$A$5:$Q$50,G98+1,FALSE)*J98*L98</f>
        <v>0</v>
      </c>
      <c r="AL98" s="44">
        <f t="shared" si="53"/>
        <v>1052.9441810787882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1052.9441810787882</v>
      </c>
      <c r="AN98" s="48">
        <f t="shared" si="54"/>
        <v>1158.2385991866672</v>
      </c>
      <c r="AO98" s="47">
        <f t="shared" si="55"/>
        <v>0.74668734505922307</v>
      </c>
      <c r="AP98" s="47">
        <f t="shared" si="56"/>
        <v>2.2322883188782923</v>
      </c>
      <c r="AQ98">
        <v>2020</v>
      </c>
    </row>
    <row r="99" spans="2:43">
      <c r="B99" s="97" t="s">
        <v>70</v>
      </c>
      <c r="C99" s="61">
        <v>18231134</v>
      </c>
      <c r="D99" s="61" t="s">
        <v>176</v>
      </c>
      <c r="E99" s="38" t="s">
        <v>2229</v>
      </c>
      <c r="F99" s="39" t="s">
        <v>2228</v>
      </c>
      <c r="G99" s="39">
        <v>1</v>
      </c>
      <c r="H99" s="39"/>
      <c r="I99" s="40" t="s">
        <v>257</v>
      </c>
      <c r="J99" s="41">
        <v>7</v>
      </c>
      <c r="K99" s="41">
        <v>150</v>
      </c>
      <c r="L99" s="41"/>
      <c r="M99" s="42">
        <v>8.59</v>
      </c>
      <c r="N99" s="42">
        <v>8.59</v>
      </c>
      <c r="O99" s="43">
        <v>1050</v>
      </c>
      <c r="P99" s="44">
        <v>60.13</v>
      </c>
      <c r="Q99" s="44">
        <v>60.13</v>
      </c>
      <c r="R99" s="45">
        <v>0.05</v>
      </c>
      <c r="S99" s="46">
        <v>0</v>
      </c>
      <c r="T99" s="39">
        <f t="shared" si="38"/>
        <v>1</v>
      </c>
      <c r="U99" s="47">
        <f t="shared" si="39"/>
        <v>4.3857385044843134E-5</v>
      </c>
      <c r="V99" s="48">
        <f t="shared" si="40"/>
        <v>0</v>
      </c>
      <c r="W99" s="49">
        <f t="shared" si="41"/>
        <v>4.3857385044843134E-5</v>
      </c>
      <c r="X99" s="44">
        <f t="shared" si="42"/>
        <v>108.02157528720761</v>
      </c>
      <c r="Y99" s="44">
        <f t="shared" si="43"/>
        <v>0</v>
      </c>
      <c r="Z99" s="44">
        <f t="shared" si="44"/>
        <v>555.74170971149624</v>
      </c>
      <c r="AA99" s="50">
        <f t="shared" si="45"/>
        <v>168.15157528720761</v>
      </c>
      <c r="AB99" s="51">
        <f t="shared" si="46"/>
        <v>519.53043817097898</v>
      </c>
      <c r="AC99" s="44">
        <f t="shared" si="47"/>
        <v>157.19507832776253</v>
      </c>
      <c r="AD99" s="44">
        <f t="shared" si="48"/>
        <v>0.32719454052538138</v>
      </c>
      <c r="AE99" s="44">
        <f t="shared" si="49"/>
        <v>0</v>
      </c>
      <c r="AF99" s="52">
        <f>HLOOKUP(I99,ElecAvoidedCostsWOCC!$A$5:$Q$50,G99+1,FALSE)</f>
        <v>8.1625385732676276E-2</v>
      </c>
      <c r="AG99" s="44">
        <f t="shared" si="50"/>
        <v>85.706655019310091</v>
      </c>
      <c r="AH99" s="52">
        <f>HLOOKUP(I99,ElecAvoidedCostsWOCC!$A$5:$Q$50,T99+1,FALSE)</f>
        <v>8.1625385732676276E-2</v>
      </c>
      <c r="AI99" s="44">
        <f t="shared" si="51"/>
        <v>0</v>
      </c>
      <c r="AJ99" s="44">
        <f t="shared" si="52"/>
        <v>85.706655019310091</v>
      </c>
      <c r="AK99" s="44">
        <f>HLOOKUP(I99,ElecAvoidedCostsWOCC!$A$5:$Q$50,G99+1,FALSE)*J99*L99</f>
        <v>0</v>
      </c>
      <c r="AL99" s="44">
        <f t="shared" si="53"/>
        <v>85.706655019310091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85.706655019310091</v>
      </c>
      <c r="AN99" s="48">
        <f t="shared" si="54"/>
        <v>94.604515061766492</v>
      </c>
      <c r="AO99" s="47">
        <f t="shared" si="55"/>
        <v>0.16496945842296112</v>
      </c>
      <c r="AP99" s="47">
        <f t="shared" si="56"/>
        <v>0.60182873451361873</v>
      </c>
      <c r="AQ99">
        <v>2020</v>
      </c>
    </row>
    <row r="100" spans="2:43">
      <c r="B100" s="97" t="s">
        <v>70</v>
      </c>
      <c r="C100" s="61">
        <v>18231134</v>
      </c>
      <c r="D100" s="61" t="s">
        <v>176</v>
      </c>
      <c r="E100" s="38" t="s">
        <v>2230</v>
      </c>
      <c r="F100" s="39" t="s">
        <v>2231</v>
      </c>
      <c r="G100" s="39">
        <v>1</v>
      </c>
      <c r="H100" s="39"/>
      <c r="I100" s="40" t="s">
        <v>257</v>
      </c>
      <c r="J100" s="41">
        <v>2</v>
      </c>
      <c r="K100" s="41">
        <v>195</v>
      </c>
      <c r="L100" s="41"/>
      <c r="M100" s="42">
        <v>8.59</v>
      </c>
      <c r="N100" s="42">
        <v>8.59</v>
      </c>
      <c r="O100" s="43">
        <v>390</v>
      </c>
      <c r="P100" s="44">
        <v>17.18</v>
      </c>
      <c r="Q100" s="44">
        <v>17.18</v>
      </c>
      <c r="R100" s="45">
        <v>0.05</v>
      </c>
      <c r="S100" s="46">
        <v>0</v>
      </c>
      <c r="T100" s="39">
        <f t="shared" si="38"/>
        <v>1</v>
      </c>
      <c r="U100" s="47">
        <f t="shared" si="39"/>
        <v>1.6289885873798877E-5</v>
      </c>
      <c r="V100" s="48">
        <f t="shared" si="40"/>
        <v>0</v>
      </c>
      <c r="W100" s="49">
        <f t="shared" si="41"/>
        <v>1.6289885873798877E-5</v>
      </c>
      <c r="X100" s="44">
        <f t="shared" si="42"/>
        <v>40.122299392391398</v>
      </c>
      <c r="Y100" s="44">
        <f t="shared" si="43"/>
        <v>0</v>
      </c>
      <c r="Z100" s="44">
        <f t="shared" si="44"/>
        <v>206.41834932141285</v>
      </c>
      <c r="AA100" s="50">
        <f t="shared" si="45"/>
        <v>57.302299392391397</v>
      </c>
      <c r="AB100" s="51">
        <f t="shared" si="46"/>
        <v>192.96844846350643</v>
      </c>
      <c r="AC100" s="44">
        <f t="shared" si="47"/>
        <v>53.568570059260907</v>
      </c>
      <c r="AD100" s="44">
        <f t="shared" si="48"/>
        <v>9.3484154435823252E-2</v>
      </c>
      <c r="AE100" s="44">
        <f t="shared" si="49"/>
        <v>0</v>
      </c>
      <c r="AF100" s="52">
        <f>HLOOKUP(I100,ElecAvoidedCostsWOCC!$A$5:$Q$50,G100+1,FALSE)</f>
        <v>8.1625385732676276E-2</v>
      </c>
      <c r="AG100" s="44">
        <f t="shared" si="50"/>
        <v>31.833900435743747</v>
      </c>
      <c r="AH100" s="52">
        <f>HLOOKUP(I100,ElecAvoidedCostsWOCC!$A$5:$Q$50,T100+1,FALSE)</f>
        <v>8.1625385732676276E-2</v>
      </c>
      <c r="AI100" s="44">
        <f t="shared" si="51"/>
        <v>0</v>
      </c>
      <c r="AJ100" s="44">
        <f t="shared" si="52"/>
        <v>31.833900435743747</v>
      </c>
      <c r="AK100" s="44">
        <f>HLOOKUP(I100,ElecAvoidedCostsWOCC!$A$5:$Q$50,G100+1,FALSE)*J100*L100</f>
        <v>0</v>
      </c>
      <c r="AL100" s="44">
        <f t="shared" si="53"/>
        <v>31.833900435743747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31.833900435743747</v>
      </c>
      <c r="AN100" s="48">
        <f t="shared" si="54"/>
        <v>35.110774633753948</v>
      </c>
      <c r="AO100" s="47">
        <f t="shared" si="55"/>
        <v>0.16496945842296115</v>
      </c>
      <c r="AP100" s="47">
        <f t="shared" si="56"/>
        <v>0.65543609984198214</v>
      </c>
      <c r="AQ100">
        <v>2020</v>
      </c>
    </row>
    <row r="101" spans="2:43">
      <c r="B101" s="97" t="s">
        <v>70</v>
      </c>
      <c r="C101" s="61">
        <v>18231134</v>
      </c>
      <c r="D101" s="61" t="s">
        <v>176</v>
      </c>
      <c r="E101" s="38" t="s">
        <v>2232</v>
      </c>
      <c r="F101" s="39" t="s">
        <v>2233</v>
      </c>
      <c r="G101" s="39">
        <v>5</v>
      </c>
      <c r="H101" s="39"/>
      <c r="I101" s="40" t="s">
        <v>257</v>
      </c>
      <c r="J101" s="41">
        <v>19</v>
      </c>
      <c r="K101" s="41">
        <v>111</v>
      </c>
      <c r="L101" s="41"/>
      <c r="M101" s="42">
        <v>13.78</v>
      </c>
      <c r="N101" s="42">
        <v>13.78</v>
      </c>
      <c r="O101" s="43">
        <v>2109</v>
      </c>
      <c r="P101" s="44">
        <v>261.82</v>
      </c>
      <c r="Q101" s="44">
        <v>261.82</v>
      </c>
      <c r="R101" s="45">
        <v>0</v>
      </c>
      <c r="S101" s="46">
        <v>0</v>
      </c>
      <c r="T101" s="39">
        <f t="shared" si="38"/>
        <v>5</v>
      </c>
      <c r="U101" s="47">
        <f t="shared" si="39"/>
        <v>4.4045345266463889E-4</v>
      </c>
      <c r="V101" s="48">
        <f t="shared" si="40"/>
        <v>0</v>
      </c>
      <c r="W101" s="49">
        <f t="shared" si="41"/>
        <v>8.8090690532927773E-5</v>
      </c>
      <c r="X101" s="44">
        <f t="shared" si="42"/>
        <v>216.96904979116272</v>
      </c>
      <c r="Y101" s="44">
        <f t="shared" si="43"/>
        <v>0</v>
      </c>
      <c r="Z101" s="44">
        <f t="shared" si="44"/>
        <v>1116.2469197919479</v>
      </c>
      <c r="AA101" s="50">
        <f t="shared" si="45"/>
        <v>478.78904979116271</v>
      </c>
      <c r="AB101" s="51">
        <f t="shared" si="46"/>
        <v>1043.5139943834231</v>
      </c>
      <c r="AC101" s="44">
        <f t="shared" si="47"/>
        <v>447.5918947285806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0.3694540986241362</v>
      </c>
      <c r="AG101" s="44">
        <f t="shared" si="50"/>
        <v>779.17869399830329</v>
      </c>
      <c r="AH101" s="52">
        <f>HLOOKUP(I101,ElecAvoidedCostsWOCC!$A$5:$Q$50,T101+1,FALSE)</f>
        <v>0.3694540986241362</v>
      </c>
      <c r="AI101" s="44">
        <f t="shared" si="51"/>
        <v>0</v>
      </c>
      <c r="AJ101" s="44">
        <f t="shared" si="52"/>
        <v>779.17869399830329</v>
      </c>
      <c r="AK101" s="44">
        <f>HLOOKUP(I101,ElecAvoidedCostsWOCC!$A$5:$Q$50,G101+1,FALSE)*J101*L101</f>
        <v>0</v>
      </c>
      <c r="AL101" s="44">
        <f t="shared" si="53"/>
        <v>779.17869399830329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779.17869399830317</v>
      </c>
      <c r="AN101" s="48">
        <f t="shared" si="54"/>
        <v>857.09656339813353</v>
      </c>
      <c r="AO101" s="47">
        <f t="shared" si="55"/>
        <v>0.74668734505922307</v>
      </c>
      <c r="AP101" s="47">
        <f t="shared" si="56"/>
        <v>1.9149063544099167</v>
      </c>
      <c r="AQ101">
        <v>2020</v>
      </c>
    </row>
    <row r="102" spans="2:43">
      <c r="B102" s="97" t="s">
        <v>70</v>
      </c>
      <c r="C102" s="61">
        <v>18231134</v>
      </c>
      <c r="D102" s="61" t="s">
        <v>176</v>
      </c>
      <c r="E102" s="38" t="s">
        <v>2234</v>
      </c>
      <c r="F102" s="39" t="s">
        <v>2233</v>
      </c>
      <c r="G102" s="39">
        <v>1</v>
      </c>
      <c r="H102" s="39"/>
      <c r="I102" s="40" t="s">
        <v>257</v>
      </c>
      <c r="J102" s="41">
        <v>2</v>
      </c>
      <c r="K102" s="41">
        <v>111</v>
      </c>
      <c r="L102" s="41"/>
      <c r="M102" s="42">
        <v>8.59</v>
      </c>
      <c r="N102" s="42">
        <v>8.59</v>
      </c>
      <c r="O102" s="43">
        <v>222</v>
      </c>
      <c r="P102" s="44">
        <v>27.56</v>
      </c>
      <c r="Q102" s="44">
        <v>17.18</v>
      </c>
      <c r="R102" s="45">
        <v>0.05</v>
      </c>
      <c r="S102" s="46">
        <v>0</v>
      </c>
      <c r="T102" s="39">
        <f t="shared" si="38"/>
        <v>1</v>
      </c>
      <c r="U102" s="47">
        <f t="shared" si="39"/>
        <v>9.2727042666239772E-6</v>
      </c>
      <c r="V102" s="48">
        <f t="shared" si="40"/>
        <v>0</v>
      </c>
      <c r="W102" s="49">
        <f t="shared" si="41"/>
        <v>9.2727042666239772E-6</v>
      </c>
      <c r="X102" s="44">
        <f t="shared" si="42"/>
        <v>22.838847346438182</v>
      </c>
      <c r="Y102" s="44">
        <f t="shared" si="43"/>
        <v>-10.379999999999999</v>
      </c>
      <c r="Z102" s="44">
        <f t="shared" si="44"/>
        <v>117.49967576757348</v>
      </c>
      <c r="AA102" s="50">
        <f t="shared" si="45"/>
        <v>40.018847346438179</v>
      </c>
      <c r="AB102" s="51">
        <f t="shared" si="46"/>
        <v>109.84357835614982</v>
      </c>
      <c r="AC102" s="44">
        <f t="shared" si="47"/>
        <v>37.411281056780567</v>
      </c>
      <c r="AD102" s="44">
        <f t="shared" si="48"/>
        <v>9.3484154435823252E-2</v>
      </c>
      <c r="AE102" s="44">
        <f t="shared" si="49"/>
        <v>0</v>
      </c>
      <c r="AF102" s="52">
        <f>HLOOKUP(I102,ElecAvoidedCostsWOCC!$A$5:$Q$50,G102+1,FALSE)</f>
        <v>8.1625385732676276E-2</v>
      </c>
      <c r="AG102" s="44">
        <f t="shared" si="50"/>
        <v>18.120835632654135</v>
      </c>
      <c r="AH102" s="52">
        <f>HLOOKUP(I102,ElecAvoidedCostsWOCC!$A$5:$Q$50,T102+1,FALSE)</f>
        <v>8.1625385732676276E-2</v>
      </c>
      <c r="AI102" s="44">
        <f t="shared" si="51"/>
        <v>0</v>
      </c>
      <c r="AJ102" s="44">
        <f t="shared" si="52"/>
        <v>18.120835632654135</v>
      </c>
      <c r="AK102" s="44">
        <f>HLOOKUP(I102,ElecAvoidedCostsWOCC!$A$5:$Q$50,G102+1,FALSE)*J102*L102</f>
        <v>0</v>
      </c>
      <c r="AL102" s="44">
        <f t="shared" si="53"/>
        <v>18.120835632654135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18.120835632654135</v>
      </c>
      <c r="AN102" s="48">
        <f t="shared" si="54"/>
        <v>20.026403350355373</v>
      </c>
      <c r="AO102" s="47">
        <f t="shared" si="55"/>
        <v>0.16496945842296118</v>
      </c>
      <c r="AP102" s="47">
        <f t="shared" si="56"/>
        <v>0.5353038651619686</v>
      </c>
      <c r="AQ102">
        <v>2020</v>
      </c>
    </row>
    <row r="103" spans="2:43">
      <c r="B103" s="97" t="s">
        <v>70</v>
      </c>
      <c r="C103" s="61">
        <v>18231134</v>
      </c>
      <c r="D103" s="61" t="s">
        <v>176</v>
      </c>
      <c r="E103" s="38" t="s">
        <v>2235</v>
      </c>
      <c r="F103" s="39" t="s">
        <v>2236</v>
      </c>
      <c r="G103" s="39">
        <v>5</v>
      </c>
      <c r="H103" s="39"/>
      <c r="I103" s="40" t="s">
        <v>257</v>
      </c>
      <c r="J103" s="41">
        <v>52</v>
      </c>
      <c r="K103" s="41">
        <v>84</v>
      </c>
      <c r="L103" s="41"/>
      <c r="M103" s="42">
        <v>13.78</v>
      </c>
      <c r="N103" s="42">
        <v>13.78</v>
      </c>
      <c r="O103" s="43">
        <v>4368</v>
      </c>
      <c r="P103" s="44">
        <v>716.56</v>
      </c>
      <c r="Q103" s="44">
        <v>716.56</v>
      </c>
      <c r="R103" s="45">
        <v>0</v>
      </c>
      <c r="S103" s="46">
        <v>0</v>
      </c>
      <c r="T103" s="39">
        <f t="shared" si="38"/>
        <v>5</v>
      </c>
      <c r="U103" s="47">
        <f t="shared" si="39"/>
        <v>9.1223360893273706E-4</v>
      </c>
      <c r="V103" s="48">
        <f t="shared" si="40"/>
        <v>0</v>
      </c>
      <c r="W103" s="49">
        <f t="shared" si="41"/>
        <v>1.8244672178654742E-4</v>
      </c>
      <c r="X103" s="44">
        <f t="shared" si="42"/>
        <v>449.36975319478364</v>
      </c>
      <c r="Y103" s="44">
        <f t="shared" si="43"/>
        <v>0</v>
      </c>
      <c r="Z103" s="44">
        <f t="shared" si="44"/>
        <v>2311.8855123998237</v>
      </c>
      <c r="AA103" s="50">
        <f t="shared" si="45"/>
        <v>1165.9297531947836</v>
      </c>
      <c r="AB103" s="51">
        <f t="shared" si="46"/>
        <v>2161.2466227912719</v>
      </c>
      <c r="AC103" s="44">
        <f t="shared" si="47"/>
        <v>1089.9595710898229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0.3694540986241362</v>
      </c>
      <c r="AG103" s="44">
        <f t="shared" si="50"/>
        <v>1613.7755027902267</v>
      </c>
      <c r="AH103" s="52">
        <f>HLOOKUP(I103,ElecAvoidedCostsWOCC!$A$5:$Q$50,T103+1,FALSE)</f>
        <v>0.3694540986241362</v>
      </c>
      <c r="AI103" s="44">
        <f t="shared" si="51"/>
        <v>0</v>
      </c>
      <c r="AJ103" s="44">
        <f t="shared" si="52"/>
        <v>1613.7755027902267</v>
      </c>
      <c r="AK103" s="44">
        <f>HLOOKUP(I103,ElecAvoidedCostsWOCC!$A$5:$Q$50,G103+1,FALSE)*J103*L103</f>
        <v>0</v>
      </c>
      <c r="AL103" s="44">
        <f t="shared" si="53"/>
        <v>1613.7755027902267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1613.7755027902269</v>
      </c>
      <c r="AN103" s="48">
        <f t="shared" si="54"/>
        <v>1775.1530530692498</v>
      </c>
      <c r="AO103" s="47">
        <f t="shared" si="55"/>
        <v>0.74668734505922307</v>
      </c>
      <c r="AP103" s="47">
        <f t="shared" si="56"/>
        <v>1.6286411901446209</v>
      </c>
      <c r="AQ103">
        <v>2020</v>
      </c>
    </row>
    <row r="104" spans="2:43">
      <c r="B104" s="97" t="s">
        <v>70</v>
      </c>
      <c r="C104" s="61">
        <v>18231134</v>
      </c>
      <c r="D104" s="61" t="s">
        <v>176</v>
      </c>
      <c r="E104" s="38" t="s">
        <v>2237</v>
      </c>
      <c r="F104" s="39" t="s">
        <v>2238</v>
      </c>
      <c r="G104" s="39">
        <v>1</v>
      </c>
      <c r="H104" s="39"/>
      <c r="I104" s="40" t="s">
        <v>257</v>
      </c>
      <c r="J104" s="41">
        <v>16</v>
      </c>
      <c r="K104" s="41">
        <v>163</v>
      </c>
      <c r="L104" s="41"/>
      <c r="M104" s="42">
        <v>8.59</v>
      </c>
      <c r="N104" s="42">
        <v>8.59</v>
      </c>
      <c r="O104" s="43">
        <v>2608</v>
      </c>
      <c r="P104" s="44">
        <v>137.44</v>
      </c>
      <c r="Q104" s="44">
        <v>137.44</v>
      </c>
      <c r="R104" s="45">
        <v>0.05</v>
      </c>
      <c r="S104" s="46">
        <v>0</v>
      </c>
      <c r="T104" s="39">
        <f t="shared" si="38"/>
        <v>1</v>
      </c>
      <c r="U104" s="47">
        <f t="shared" si="39"/>
        <v>1.0893339066376275E-4</v>
      </c>
      <c r="V104" s="48">
        <f t="shared" si="40"/>
        <v>0</v>
      </c>
      <c r="W104" s="49">
        <f t="shared" si="41"/>
        <v>1.0893339066376275E-4</v>
      </c>
      <c r="X104" s="44">
        <f t="shared" si="42"/>
        <v>268.30501747527376</v>
      </c>
      <c r="Y104" s="44">
        <f t="shared" si="43"/>
        <v>0</v>
      </c>
      <c r="Z104" s="44">
        <f t="shared" si="44"/>
        <v>1380.3565513596018</v>
      </c>
      <c r="AA104" s="50">
        <f t="shared" si="45"/>
        <v>405.74501747527376</v>
      </c>
      <c r="AB104" s="51">
        <f t="shared" si="46"/>
        <v>1290.4146502380122</v>
      </c>
      <c r="AC104" s="44">
        <f t="shared" si="47"/>
        <v>379.30729875224245</v>
      </c>
      <c r="AD104" s="44">
        <f t="shared" si="48"/>
        <v>0.74787323548658602</v>
      </c>
      <c r="AE104" s="44">
        <f t="shared" si="49"/>
        <v>0</v>
      </c>
      <c r="AF104" s="52">
        <f>HLOOKUP(I104,ElecAvoidedCostsWOCC!$A$5:$Q$50,G104+1,FALSE)</f>
        <v>8.1625385732676276E-2</v>
      </c>
      <c r="AG104" s="44">
        <f t="shared" si="50"/>
        <v>212.87900599081973</v>
      </c>
      <c r="AH104" s="52">
        <f>HLOOKUP(I104,ElecAvoidedCostsWOCC!$A$5:$Q$50,T104+1,FALSE)</f>
        <v>8.1625385732676276E-2</v>
      </c>
      <c r="AI104" s="44">
        <f t="shared" si="51"/>
        <v>0</v>
      </c>
      <c r="AJ104" s="44">
        <f t="shared" si="52"/>
        <v>212.87900599081973</v>
      </c>
      <c r="AK104" s="44">
        <f>HLOOKUP(I104,ElecAvoidedCostsWOCC!$A$5:$Q$50,G104+1,FALSE)*J104*L104</f>
        <v>0</v>
      </c>
      <c r="AL104" s="44">
        <f t="shared" si="53"/>
        <v>212.87900599081973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212.87900599081973</v>
      </c>
      <c r="AN104" s="48">
        <f t="shared" si="54"/>
        <v>234.91477982538831</v>
      </c>
      <c r="AO104" s="47">
        <f t="shared" si="55"/>
        <v>0.16496945842296118</v>
      </c>
      <c r="AP104" s="47">
        <f t="shared" si="56"/>
        <v>0.61932575671007839</v>
      </c>
      <c r="AQ104">
        <v>2020</v>
      </c>
    </row>
    <row r="105" spans="2:43">
      <c r="B105" s="97" t="s">
        <v>70</v>
      </c>
      <c r="C105" s="61">
        <v>18231134</v>
      </c>
      <c r="D105" s="61" t="s">
        <v>176</v>
      </c>
      <c r="E105" s="38" t="s">
        <v>2239</v>
      </c>
      <c r="F105" s="39" t="s">
        <v>2240</v>
      </c>
      <c r="G105" s="39">
        <v>5</v>
      </c>
      <c r="H105" s="39"/>
      <c r="I105" s="40" t="s">
        <v>257</v>
      </c>
      <c r="J105" s="41">
        <v>19</v>
      </c>
      <c r="K105" s="41">
        <v>134</v>
      </c>
      <c r="L105" s="41"/>
      <c r="M105" s="42">
        <v>13.78</v>
      </c>
      <c r="N105" s="42">
        <v>13.78</v>
      </c>
      <c r="O105" s="43">
        <v>2546</v>
      </c>
      <c r="P105" s="44">
        <v>261.82</v>
      </c>
      <c r="Q105" s="44">
        <v>261.82</v>
      </c>
      <c r="R105" s="45">
        <v>0</v>
      </c>
      <c r="S105" s="46">
        <v>0</v>
      </c>
      <c r="T105" s="39">
        <f t="shared" si="38"/>
        <v>5</v>
      </c>
      <c r="U105" s="47">
        <f t="shared" si="39"/>
        <v>5.3171858249605056E-4</v>
      </c>
      <c r="V105" s="48">
        <f t="shared" si="40"/>
        <v>0</v>
      </c>
      <c r="W105" s="49">
        <f t="shared" si="41"/>
        <v>1.0634371649921011E-4</v>
      </c>
      <c r="X105" s="44">
        <f t="shared" si="42"/>
        <v>261.92660064879101</v>
      </c>
      <c r="Y105" s="44">
        <f t="shared" si="43"/>
        <v>0</v>
      </c>
      <c r="Z105" s="44">
        <f t="shared" si="44"/>
        <v>1347.541326595685</v>
      </c>
      <c r="AA105" s="50">
        <f t="shared" si="45"/>
        <v>523.74660064879095</v>
      </c>
      <c r="AB105" s="51">
        <f t="shared" si="46"/>
        <v>1259.7376148412498</v>
      </c>
      <c r="AC105" s="44">
        <f t="shared" si="47"/>
        <v>489.62008100288949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0.3694540986241362</v>
      </c>
      <c r="AG105" s="44">
        <f t="shared" si="50"/>
        <v>940.63013509705081</v>
      </c>
      <c r="AH105" s="52">
        <f>HLOOKUP(I105,ElecAvoidedCostsWOCC!$A$5:$Q$50,T105+1,FALSE)</f>
        <v>0.3694540986241362</v>
      </c>
      <c r="AI105" s="44">
        <f t="shared" si="51"/>
        <v>0</v>
      </c>
      <c r="AJ105" s="44">
        <f t="shared" si="52"/>
        <v>940.63013509705081</v>
      </c>
      <c r="AK105" s="44">
        <f>HLOOKUP(I105,ElecAvoidedCostsWOCC!$A$5:$Q$50,G105+1,FALSE)*J105*L105</f>
        <v>0</v>
      </c>
      <c r="AL105" s="44">
        <f t="shared" si="53"/>
        <v>940.63013509705081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940.6301350970507</v>
      </c>
      <c r="AN105" s="48">
        <f t="shared" si="54"/>
        <v>1034.6931486067558</v>
      </c>
      <c r="AO105" s="47">
        <f t="shared" si="55"/>
        <v>0.74668734505922296</v>
      </c>
      <c r="AP105" s="47">
        <f t="shared" si="56"/>
        <v>2.1132571737813377</v>
      </c>
      <c r="AQ105">
        <v>2020</v>
      </c>
    </row>
    <row r="106" spans="2:43">
      <c r="B106" s="97" t="s">
        <v>70</v>
      </c>
      <c r="C106" s="61">
        <v>18231134</v>
      </c>
      <c r="D106" s="61" t="s">
        <v>176</v>
      </c>
      <c r="E106" s="38" t="s">
        <v>2241</v>
      </c>
      <c r="F106" s="39" t="s">
        <v>2240</v>
      </c>
      <c r="G106" s="39">
        <v>1</v>
      </c>
      <c r="H106" s="39"/>
      <c r="I106" s="40" t="s">
        <v>257</v>
      </c>
      <c r="J106" s="41">
        <v>29</v>
      </c>
      <c r="K106" s="41">
        <v>134</v>
      </c>
      <c r="L106" s="41"/>
      <c r="M106" s="42">
        <v>8.59</v>
      </c>
      <c r="N106" s="42">
        <v>8.59</v>
      </c>
      <c r="O106" s="43">
        <v>3886</v>
      </c>
      <c r="P106" s="44">
        <v>249.11</v>
      </c>
      <c r="Q106" s="44">
        <v>249.11</v>
      </c>
      <c r="R106" s="45">
        <v>0.05</v>
      </c>
      <c r="S106" s="46">
        <v>0</v>
      </c>
      <c r="T106" s="39">
        <f t="shared" si="38"/>
        <v>1</v>
      </c>
      <c r="U106" s="47">
        <f t="shared" si="39"/>
        <v>1.6231409360405755E-4</v>
      </c>
      <c r="V106" s="48">
        <f t="shared" si="40"/>
        <v>0</v>
      </c>
      <c r="W106" s="49">
        <f t="shared" si="41"/>
        <v>1.6231409360405755E-4</v>
      </c>
      <c r="X106" s="44">
        <f t="shared" si="42"/>
        <v>399.78270625341793</v>
      </c>
      <c r="Y106" s="44">
        <f t="shared" si="43"/>
        <v>0</v>
      </c>
      <c r="Z106" s="44">
        <f t="shared" si="44"/>
        <v>2056.7736037513087</v>
      </c>
      <c r="AA106" s="50">
        <f t="shared" si="45"/>
        <v>648.89270625341794</v>
      </c>
      <c r="AB106" s="51">
        <f t="shared" si="46"/>
        <v>1922.757412126118</v>
      </c>
      <c r="AC106" s="44">
        <f t="shared" si="47"/>
        <v>606.61185963673734</v>
      </c>
      <c r="AD106" s="44">
        <f t="shared" si="48"/>
        <v>1.3555202393194372</v>
      </c>
      <c r="AE106" s="44">
        <f t="shared" si="49"/>
        <v>0</v>
      </c>
      <c r="AF106" s="52">
        <f>HLOOKUP(I106,ElecAvoidedCostsWOCC!$A$5:$Q$50,G106+1,FALSE)</f>
        <v>8.1625385732676276E-2</v>
      </c>
      <c r="AG106" s="44">
        <f t="shared" si="50"/>
        <v>317.19624895717999</v>
      </c>
      <c r="AH106" s="52">
        <f>HLOOKUP(I106,ElecAvoidedCostsWOCC!$A$5:$Q$50,T106+1,FALSE)</f>
        <v>8.1625385732676276E-2</v>
      </c>
      <c r="AI106" s="44">
        <f t="shared" si="51"/>
        <v>0</v>
      </c>
      <c r="AJ106" s="44">
        <f t="shared" si="52"/>
        <v>317.19624895717999</v>
      </c>
      <c r="AK106" s="44">
        <f>HLOOKUP(I106,ElecAvoidedCostsWOCC!$A$5:$Q$50,G106+1,FALSE)*J106*L106</f>
        <v>0</v>
      </c>
      <c r="AL106" s="44">
        <f t="shared" si="53"/>
        <v>317.19624895717999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317.19624895717999</v>
      </c>
      <c r="AN106" s="48">
        <f t="shared" si="54"/>
        <v>350.27139409221746</v>
      </c>
      <c r="AO106" s="47">
        <f t="shared" si="55"/>
        <v>0.16496945842296115</v>
      </c>
      <c r="AP106" s="47">
        <f t="shared" si="56"/>
        <v>0.57742259490603021</v>
      </c>
      <c r="AQ106">
        <v>2020</v>
      </c>
    </row>
    <row r="107" spans="2:43">
      <c r="B107" s="97" t="s">
        <v>70</v>
      </c>
      <c r="C107" s="61">
        <v>18231134</v>
      </c>
      <c r="D107" s="61" t="s">
        <v>176</v>
      </c>
      <c r="E107" s="38" t="s">
        <v>2242</v>
      </c>
      <c r="F107" s="39" t="s">
        <v>2243</v>
      </c>
      <c r="G107" s="39">
        <v>5</v>
      </c>
      <c r="H107" s="39"/>
      <c r="I107" s="40" t="s">
        <v>257</v>
      </c>
      <c r="J107" s="41">
        <v>14</v>
      </c>
      <c r="K107" s="41">
        <v>123</v>
      </c>
      <c r="L107" s="41"/>
      <c r="M107" s="42">
        <v>13.78</v>
      </c>
      <c r="N107" s="42">
        <v>13.78</v>
      </c>
      <c r="O107" s="43">
        <v>1722</v>
      </c>
      <c r="P107" s="44">
        <v>192.92</v>
      </c>
      <c r="Q107" s="44">
        <v>192.92</v>
      </c>
      <c r="R107" s="45">
        <v>0</v>
      </c>
      <c r="S107" s="46">
        <v>0</v>
      </c>
      <c r="T107" s="39">
        <f t="shared" si="38"/>
        <v>5</v>
      </c>
      <c r="U107" s="47">
        <f t="shared" si="39"/>
        <v>3.5963055736771367E-4</v>
      </c>
      <c r="V107" s="48">
        <f t="shared" si="40"/>
        <v>0</v>
      </c>
      <c r="W107" s="49">
        <f t="shared" si="41"/>
        <v>7.1926111473542733E-5</v>
      </c>
      <c r="X107" s="44">
        <f t="shared" si="42"/>
        <v>177.15538347102049</v>
      </c>
      <c r="Y107" s="44">
        <f t="shared" si="43"/>
        <v>0</v>
      </c>
      <c r="Z107" s="44">
        <f t="shared" si="44"/>
        <v>911.41640392685372</v>
      </c>
      <c r="AA107" s="50">
        <f t="shared" si="45"/>
        <v>370.07538347102047</v>
      </c>
      <c r="AB107" s="51">
        <f t="shared" si="46"/>
        <v>852.02991860040538</v>
      </c>
      <c r="AC107" s="44">
        <f t="shared" si="47"/>
        <v>345.96184301301338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0.3694540986241362</v>
      </c>
      <c r="AG107" s="44">
        <f t="shared" si="50"/>
        <v>636.19995783076251</v>
      </c>
      <c r="AH107" s="52">
        <f>HLOOKUP(I107,ElecAvoidedCostsWOCC!$A$5:$Q$50,T107+1,FALSE)</f>
        <v>0.3694540986241362</v>
      </c>
      <c r="AI107" s="44">
        <f t="shared" si="51"/>
        <v>0</v>
      </c>
      <c r="AJ107" s="44">
        <f t="shared" si="52"/>
        <v>636.19995783076251</v>
      </c>
      <c r="AK107" s="44">
        <f>HLOOKUP(I107,ElecAvoidedCostsWOCC!$A$5:$Q$50,G107+1,FALSE)*J107*L107</f>
        <v>0</v>
      </c>
      <c r="AL107" s="44">
        <f t="shared" si="53"/>
        <v>636.19995783076251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636.19995783076251</v>
      </c>
      <c r="AN107" s="48">
        <f t="shared" si="54"/>
        <v>699.81995361383883</v>
      </c>
      <c r="AO107" s="47">
        <f t="shared" si="55"/>
        <v>0.74668734505922296</v>
      </c>
      <c r="AP107" s="47">
        <f t="shared" si="56"/>
        <v>2.0228240996725035</v>
      </c>
      <c r="AQ107">
        <v>2020</v>
      </c>
    </row>
    <row r="108" spans="2:43">
      <c r="B108" s="97" t="s">
        <v>70</v>
      </c>
      <c r="C108" s="61">
        <v>18231134</v>
      </c>
      <c r="D108" s="61" t="s">
        <v>176</v>
      </c>
      <c r="E108" s="38" t="s">
        <v>2244</v>
      </c>
      <c r="F108" s="39" t="s">
        <v>2243</v>
      </c>
      <c r="G108" s="39">
        <v>1</v>
      </c>
      <c r="H108" s="39"/>
      <c r="I108" s="40" t="s">
        <v>257</v>
      </c>
      <c r="J108" s="41">
        <v>8</v>
      </c>
      <c r="K108" s="41">
        <v>123</v>
      </c>
      <c r="L108" s="41"/>
      <c r="M108" s="42">
        <v>8.59</v>
      </c>
      <c r="N108" s="42">
        <v>8.59</v>
      </c>
      <c r="O108" s="43">
        <v>984</v>
      </c>
      <c r="P108" s="44">
        <v>68.72</v>
      </c>
      <c r="Q108" s="44">
        <v>68.72</v>
      </c>
      <c r="R108" s="45">
        <v>0.05</v>
      </c>
      <c r="S108" s="46">
        <v>0</v>
      </c>
      <c r="T108" s="39">
        <f t="shared" si="38"/>
        <v>1</v>
      </c>
      <c r="U108" s="47">
        <f t="shared" si="39"/>
        <v>4.1100635127738708E-5</v>
      </c>
      <c r="V108" s="48">
        <f t="shared" si="40"/>
        <v>0</v>
      </c>
      <c r="W108" s="49">
        <f t="shared" si="41"/>
        <v>4.1100635127738708E-5</v>
      </c>
      <c r="X108" s="44">
        <f t="shared" si="42"/>
        <v>101.23164769772599</v>
      </c>
      <c r="Y108" s="44">
        <f t="shared" si="43"/>
        <v>0</v>
      </c>
      <c r="Z108" s="44">
        <f t="shared" si="44"/>
        <v>520.80937367248782</v>
      </c>
      <c r="AA108" s="50">
        <f t="shared" si="45"/>
        <v>169.951647697726</v>
      </c>
      <c r="AB108" s="51">
        <f t="shared" si="46"/>
        <v>486.87423920023161</v>
      </c>
      <c r="AC108" s="44">
        <f t="shared" si="47"/>
        <v>158.8778607999682</v>
      </c>
      <c r="AD108" s="44">
        <f t="shared" si="48"/>
        <v>0.37393661774329301</v>
      </c>
      <c r="AE108" s="44">
        <f t="shared" si="49"/>
        <v>0</v>
      </c>
      <c r="AF108" s="52">
        <f>HLOOKUP(I108,ElecAvoidedCostsWOCC!$A$5:$Q$50,G108+1,FALSE)</f>
        <v>8.1625385732676276E-2</v>
      </c>
      <c r="AG108" s="44">
        <f t="shared" si="50"/>
        <v>80.31937956095345</v>
      </c>
      <c r="AH108" s="52">
        <f>HLOOKUP(I108,ElecAvoidedCostsWOCC!$A$5:$Q$50,T108+1,FALSE)</f>
        <v>8.1625385732676276E-2</v>
      </c>
      <c r="AI108" s="44">
        <f t="shared" si="51"/>
        <v>0</v>
      </c>
      <c r="AJ108" s="44">
        <f t="shared" si="52"/>
        <v>80.31937956095345</v>
      </c>
      <c r="AK108" s="44">
        <f>HLOOKUP(I108,ElecAvoidedCostsWOCC!$A$5:$Q$50,G108+1,FALSE)*J108*L108</f>
        <v>0</v>
      </c>
      <c r="AL108" s="44">
        <f t="shared" si="53"/>
        <v>80.31937956095345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80.31937956095345</v>
      </c>
      <c r="AN108" s="48">
        <f t="shared" si="54"/>
        <v>88.725254134792095</v>
      </c>
      <c r="AO108" s="47">
        <f t="shared" si="55"/>
        <v>0.16496945842296115</v>
      </c>
      <c r="AP108" s="47">
        <f t="shared" si="56"/>
        <v>0.55844945096850052</v>
      </c>
      <c r="AQ108">
        <v>2020</v>
      </c>
    </row>
    <row r="109" spans="2:43">
      <c r="B109" s="97" t="s">
        <v>70</v>
      </c>
      <c r="C109" s="61">
        <v>18231134</v>
      </c>
      <c r="D109" s="61" t="s">
        <v>176</v>
      </c>
      <c r="E109" s="38" t="s">
        <v>2245</v>
      </c>
      <c r="F109" s="39" t="s">
        <v>2246</v>
      </c>
      <c r="G109" s="39">
        <v>5</v>
      </c>
      <c r="H109" s="39"/>
      <c r="I109" s="40" t="s">
        <v>257</v>
      </c>
      <c r="J109" s="41">
        <v>10</v>
      </c>
      <c r="K109" s="41">
        <v>88</v>
      </c>
      <c r="L109" s="41"/>
      <c r="M109" s="42">
        <v>13.78</v>
      </c>
      <c r="N109" s="42">
        <v>13.78</v>
      </c>
      <c r="O109" s="43">
        <v>880</v>
      </c>
      <c r="P109" s="44">
        <v>137.80000000000001</v>
      </c>
      <c r="Q109" s="44">
        <v>137.80000000000001</v>
      </c>
      <c r="R109" s="45">
        <v>0</v>
      </c>
      <c r="S109" s="46">
        <v>0</v>
      </c>
      <c r="T109" s="39">
        <f t="shared" si="38"/>
        <v>5</v>
      </c>
      <c r="U109" s="47">
        <f t="shared" si="39"/>
        <v>1.837833278069617E-4</v>
      </c>
      <c r="V109" s="48">
        <f t="shared" si="40"/>
        <v>0</v>
      </c>
      <c r="W109" s="49">
        <f t="shared" si="41"/>
        <v>3.675666556139234E-5</v>
      </c>
      <c r="X109" s="44">
        <f t="shared" si="42"/>
        <v>90.532367859754956</v>
      </c>
      <c r="Y109" s="44">
        <f t="shared" si="43"/>
        <v>0</v>
      </c>
      <c r="Z109" s="44">
        <f t="shared" si="44"/>
        <v>465.76448052011108</v>
      </c>
      <c r="AA109" s="50">
        <f t="shared" si="45"/>
        <v>228.33236785975498</v>
      </c>
      <c r="AB109" s="51">
        <f t="shared" si="46"/>
        <v>435.41598627662995</v>
      </c>
      <c r="AC109" s="44">
        <f t="shared" si="47"/>
        <v>213.4545833969851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0.3694540986241362</v>
      </c>
      <c r="AG109" s="44">
        <f t="shared" si="50"/>
        <v>325.11960678923987</v>
      </c>
      <c r="AH109" s="52">
        <f>HLOOKUP(I109,ElecAvoidedCostsWOCC!$A$5:$Q$50,T109+1,FALSE)</f>
        <v>0.3694540986241362</v>
      </c>
      <c r="AI109" s="44">
        <f t="shared" si="51"/>
        <v>0</v>
      </c>
      <c r="AJ109" s="44">
        <f t="shared" si="52"/>
        <v>325.11960678923987</v>
      </c>
      <c r="AK109" s="44">
        <f>HLOOKUP(I109,ElecAvoidedCostsWOCC!$A$5:$Q$50,G109+1,FALSE)*J109*L109</f>
        <v>0</v>
      </c>
      <c r="AL109" s="44">
        <f t="shared" si="53"/>
        <v>325.11960678923987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325.11960678923981</v>
      </c>
      <c r="AN109" s="48">
        <f t="shared" si="54"/>
        <v>357.63156746816384</v>
      </c>
      <c r="AO109" s="47">
        <f t="shared" si="55"/>
        <v>0.74668734505922285</v>
      </c>
      <c r="AP109" s="47">
        <f t="shared" si="56"/>
        <v>1.6754457167267141</v>
      </c>
      <c r="AQ109">
        <v>2020</v>
      </c>
    </row>
    <row r="110" spans="2:43">
      <c r="B110" s="97" t="s">
        <v>70</v>
      </c>
      <c r="C110" s="61">
        <v>18231134</v>
      </c>
      <c r="D110" s="61" t="s">
        <v>176</v>
      </c>
      <c r="E110" s="38" t="s">
        <v>2247</v>
      </c>
      <c r="F110" s="39" t="s">
        <v>2248</v>
      </c>
      <c r="G110" s="39">
        <v>5</v>
      </c>
      <c r="H110" s="39"/>
      <c r="I110" s="40" t="s">
        <v>257</v>
      </c>
      <c r="J110" s="41">
        <v>22</v>
      </c>
      <c r="K110" s="41">
        <v>48</v>
      </c>
      <c r="L110" s="41"/>
      <c r="M110" s="42">
        <v>13.78</v>
      </c>
      <c r="N110" s="42">
        <v>13.78</v>
      </c>
      <c r="O110" s="43">
        <v>1056</v>
      </c>
      <c r="P110" s="44">
        <v>303.16000000000003</v>
      </c>
      <c r="Q110" s="44">
        <v>303.16000000000003</v>
      </c>
      <c r="R110" s="45">
        <v>0</v>
      </c>
      <c r="S110" s="46">
        <v>0</v>
      </c>
      <c r="T110" s="39">
        <f t="shared" si="38"/>
        <v>5</v>
      </c>
      <c r="U110" s="47">
        <f t="shared" si="39"/>
        <v>2.2053999336835406E-4</v>
      </c>
      <c r="V110" s="48">
        <f t="shared" si="40"/>
        <v>0</v>
      </c>
      <c r="W110" s="49">
        <f t="shared" si="41"/>
        <v>4.4107998673670809E-5</v>
      </c>
      <c r="X110" s="44">
        <f t="shared" si="42"/>
        <v>108.63884143170594</v>
      </c>
      <c r="Y110" s="44">
        <f t="shared" si="43"/>
        <v>0</v>
      </c>
      <c r="Z110" s="44">
        <f t="shared" si="44"/>
        <v>558.91737662413334</v>
      </c>
      <c r="AA110" s="50">
        <f t="shared" si="45"/>
        <v>411.79884143170597</v>
      </c>
      <c r="AB110" s="51">
        <f t="shared" si="46"/>
        <v>522.49918353195596</v>
      </c>
      <c r="AC110" s="44">
        <f t="shared" si="47"/>
        <v>384.96666488894635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0.3694540986241362</v>
      </c>
      <c r="AG110" s="44">
        <f t="shared" si="50"/>
        <v>390.14352814708781</v>
      </c>
      <c r="AH110" s="52">
        <f>HLOOKUP(I110,ElecAvoidedCostsWOCC!$A$5:$Q$50,T110+1,FALSE)</f>
        <v>0.3694540986241362</v>
      </c>
      <c r="AI110" s="44">
        <f t="shared" si="51"/>
        <v>0</v>
      </c>
      <c r="AJ110" s="44">
        <f t="shared" si="52"/>
        <v>390.14352814708781</v>
      </c>
      <c r="AK110" s="44">
        <f>HLOOKUP(I110,ElecAvoidedCostsWOCC!$A$5:$Q$50,G110+1,FALSE)*J110*L110</f>
        <v>0</v>
      </c>
      <c r="AL110" s="44">
        <f t="shared" si="53"/>
        <v>390.14352814708781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390.14352814708786</v>
      </c>
      <c r="AN110" s="48">
        <f t="shared" si="54"/>
        <v>429.15788096179671</v>
      </c>
      <c r="AO110" s="47">
        <f t="shared" si="55"/>
        <v>0.74668734505922296</v>
      </c>
      <c r="AP110" s="47">
        <f t="shared" si="56"/>
        <v>1.1147923186689384</v>
      </c>
      <c r="AQ110">
        <v>2020</v>
      </c>
    </row>
    <row r="111" spans="2:43">
      <c r="B111" s="97" t="s">
        <v>70</v>
      </c>
      <c r="C111" s="61">
        <v>18231134</v>
      </c>
      <c r="D111" s="61" t="s">
        <v>176</v>
      </c>
      <c r="E111" s="38" t="s">
        <v>2249</v>
      </c>
      <c r="F111" s="39" t="s">
        <v>2250</v>
      </c>
      <c r="G111" s="39">
        <v>5</v>
      </c>
      <c r="H111" s="39"/>
      <c r="I111" s="40" t="s">
        <v>257</v>
      </c>
      <c r="J111" s="41">
        <v>2</v>
      </c>
      <c r="K111" s="41">
        <v>107</v>
      </c>
      <c r="L111" s="41"/>
      <c r="M111" s="42">
        <v>13.78</v>
      </c>
      <c r="N111" s="42">
        <v>13.78</v>
      </c>
      <c r="O111" s="43">
        <v>214</v>
      </c>
      <c r="P111" s="44">
        <v>27.56</v>
      </c>
      <c r="Q111" s="44">
        <v>27.56</v>
      </c>
      <c r="R111" s="45">
        <v>0</v>
      </c>
      <c r="S111" s="46">
        <v>0</v>
      </c>
      <c r="T111" s="39">
        <f t="shared" si="38"/>
        <v>5</v>
      </c>
      <c r="U111" s="47">
        <f t="shared" si="39"/>
        <v>4.4692763807602051E-5</v>
      </c>
      <c r="V111" s="48">
        <f t="shared" si="40"/>
        <v>0</v>
      </c>
      <c r="W111" s="49">
        <f t="shared" si="41"/>
        <v>8.9385527615204106E-6</v>
      </c>
      <c r="X111" s="44">
        <f t="shared" si="42"/>
        <v>22.015825820440412</v>
      </c>
      <c r="Y111" s="44">
        <f t="shared" si="43"/>
        <v>0</v>
      </c>
      <c r="Z111" s="44">
        <f t="shared" si="44"/>
        <v>113.26545321739066</v>
      </c>
      <c r="AA111" s="50">
        <f t="shared" si="45"/>
        <v>49.575825820440414</v>
      </c>
      <c r="AB111" s="51">
        <f t="shared" si="46"/>
        <v>105.88525120818046</v>
      </c>
      <c r="AC111" s="44">
        <f t="shared" si="47"/>
        <v>46.345541572815193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0.3694540986241362</v>
      </c>
      <c r="AG111" s="44">
        <f t="shared" si="50"/>
        <v>79.063177105565146</v>
      </c>
      <c r="AH111" s="52">
        <f>HLOOKUP(I111,ElecAvoidedCostsWOCC!$A$5:$Q$50,T111+1,FALSE)</f>
        <v>0.3694540986241362</v>
      </c>
      <c r="AI111" s="44">
        <f t="shared" si="51"/>
        <v>0</v>
      </c>
      <c r="AJ111" s="44">
        <f t="shared" si="52"/>
        <v>79.063177105565146</v>
      </c>
      <c r="AK111" s="44">
        <f>HLOOKUP(I111,ElecAvoidedCostsWOCC!$A$5:$Q$50,G111+1,FALSE)*J111*L111</f>
        <v>0</v>
      </c>
      <c r="AL111" s="44">
        <f t="shared" si="53"/>
        <v>79.063177105565146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79.063177105565146</v>
      </c>
      <c r="AN111" s="48">
        <f t="shared" si="54"/>
        <v>86.969494816121667</v>
      </c>
      <c r="AO111" s="47">
        <f t="shared" si="55"/>
        <v>0.74668734505922296</v>
      </c>
      <c r="AP111" s="47">
        <f t="shared" si="56"/>
        <v>1.8765450109042459</v>
      </c>
      <c r="AQ111">
        <v>2020</v>
      </c>
    </row>
    <row r="112" spans="2:43">
      <c r="B112" s="97" t="s">
        <v>70</v>
      </c>
      <c r="C112" s="61">
        <v>18231134</v>
      </c>
      <c r="D112" s="61" t="s">
        <v>176</v>
      </c>
      <c r="E112" s="38" t="s">
        <v>2251</v>
      </c>
      <c r="F112" s="39" t="s">
        <v>2250</v>
      </c>
      <c r="G112" s="39">
        <v>1</v>
      </c>
      <c r="H112" s="39"/>
      <c r="I112" s="40" t="s">
        <v>257</v>
      </c>
      <c r="J112" s="41">
        <v>8</v>
      </c>
      <c r="K112" s="41">
        <v>107</v>
      </c>
      <c r="L112" s="41"/>
      <c r="M112" s="42">
        <v>8.59</v>
      </c>
      <c r="N112" s="42">
        <v>8.59</v>
      </c>
      <c r="O112" s="43">
        <v>856</v>
      </c>
      <c r="P112" s="44">
        <v>68.72</v>
      </c>
      <c r="Q112" s="44">
        <v>68.72</v>
      </c>
      <c r="R112" s="45">
        <v>0.11</v>
      </c>
      <c r="S112" s="46">
        <v>0</v>
      </c>
      <c r="T112" s="39">
        <f t="shared" si="38"/>
        <v>1</v>
      </c>
      <c r="U112" s="47">
        <f t="shared" si="39"/>
        <v>3.5754211046081642E-5</v>
      </c>
      <c r="V112" s="48">
        <f t="shared" si="40"/>
        <v>0</v>
      </c>
      <c r="W112" s="49">
        <f t="shared" si="41"/>
        <v>3.5754211046081642E-5</v>
      </c>
      <c r="X112" s="44">
        <f t="shared" si="42"/>
        <v>88.063303281761648</v>
      </c>
      <c r="Y112" s="44">
        <f t="shared" si="43"/>
        <v>0</v>
      </c>
      <c r="Z112" s="44">
        <f t="shared" si="44"/>
        <v>453.06181286956263</v>
      </c>
      <c r="AA112" s="50">
        <f t="shared" si="45"/>
        <v>156.78330328176165</v>
      </c>
      <c r="AB112" s="51">
        <f t="shared" si="46"/>
        <v>423.54100483272185</v>
      </c>
      <c r="AC112" s="44">
        <f t="shared" si="47"/>
        <v>146.567545369507</v>
      </c>
      <c r="AD112" s="44">
        <f t="shared" si="48"/>
        <v>0.8226605590352446</v>
      </c>
      <c r="AE112" s="44">
        <f t="shared" si="49"/>
        <v>0</v>
      </c>
      <c r="AF112" s="52">
        <f>HLOOKUP(I112,ElecAvoidedCostsWOCC!$A$5:$Q$50,G112+1,FALSE)</f>
        <v>8.1625385732676276E-2</v>
      </c>
      <c r="AG112" s="44">
        <f t="shared" si="50"/>
        <v>69.871330187170898</v>
      </c>
      <c r="AH112" s="52">
        <f>HLOOKUP(I112,ElecAvoidedCostsWOCC!$A$5:$Q$50,T112+1,FALSE)</f>
        <v>8.1625385732676276E-2</v>
      </c>
      <c r="AI112" s="44">
        <f t="shared" si="51"/>
        <v>0</v>
      </c>
      <c r="AJ112" s="44">
        <f t="shared" si="52"/>
        <v>69.871330187170898</v>
      </c>
      <c r="AK112" s="44">
        <f>HLOOKUP(I112,ElecAvoidedCostsWOCC!$A$5:$Q$50,G112+1,FALSE)*J112*L112</f>
        <v>0</v>
      </c>
      <c r="AL112" s="44">
        <f t="shared" si="53"/>
        <v>69.871330187170898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69.871330187170898</v>
      </c>
      <c r="AN112" s="48">
        <f t="shared" si="54"/>
        <v>77.681123764923242</v>
      </c>
      <c r="AO112" s="47">
        <f t="shared" si="55"/>
        <v>0.16496945842296115</v>
      </c>
      <c r="AP112" s="47">
        <f t="shared" si="56"/>
        <v>0.53000221549104687</v>
      </c>
      <c r="AQ112">
        <v>2020</v>
      </c>
    </row>
    <row r="113" spans="2:43">
      <c r="B113" s="97" t="s">
        <v>70</v>
      </c>
      <c r="C113" s="61">
        <v>18231134</v>
      </c>
      <c r="D113" s="61" t="s">
        <v>176</v>
      </c>
      <c r="E113" s="38" t="s">
        <v>2252</v>
      </c>
      <c r="F113" s="39" t="s">
        <v>2253</v>
      </c>
      <c r="G113" s="39">
        <v>5</v>
      </c>
      <c r="H113" s="39"/>
      <c r="I113" s="40" t="s">
        <v>257</v>
      </c>
      <c r="J113" s="41">
        <v>5</v>
      </c>
      <c r="K113" s="41">
        <v>80</v>
      </c>
      <c r="L113" s="41"/>
      <c r="M113" s="42">
        <v>13.78</v>
      </c>
      <c r="N113" s="42">
        <v>13.78</v>
      </c>
      <c r="O113" s="43">
        <v>400</v>
      </c>
      <c r="P113" s="44">
        <v>68.900000000000006</v>
      </c>
      <c r="Q113" s="44">
        <v>68.900000000000006</v>
      </c>
      <c r="R113" s="45">
        <v>0</v>
      </c>
      <c r="S113" s="46">
        <v>0</v>
      </c>
      <c r="T113" s="39">
        <f t="shared" si="38"/>
        <v>5</v>
      </c>
      <c r="U113" s="47">
        <f t="shared" si="39"/>
        <v>8.3537876275891675E-5</v>
      </c>
      <c r="V113" s="48">
        <f t="shared" si="40"/>
        <v>0</v>
      </c>
      <c r="W113" s="49">
        <f t="shared" si="41"/>
        <v>1.6707575255178336E-5</v>
      </c>
      <c r="X113" s="44">
        <f t="shared" si="42"/>
        <v>41.151076299888615</v>
      </c>
      <c r="Y113" s="44">
        <f t="shared" si="43"/>
        <v>0</v>
      </c>
      <c r="Z113" s="44">
        <f t="shared" si="44"/>
        <v>211.71112750914139</v>
      </c>
      <c r="AA113" s="50">
        <f t="shared" si="45"/>
        <v>110.05107629988862</v>
      </c>
      <c r="AB113" s="51">
        <f t="shared" si="46"/>
        <v>197.91635739846814</v>
      </c>
      <c r="AC113" s="44">
        <f t="shared" si="47"/>
        <v>102.88031812647341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0.3694540986241362</v>
      </c>
      <c r="AG113" s="44">
        <f t="shared" si="50"/>
        <v>147.78163944965448</v>
      </c>
      <c r="AH113" s="52">
        <f>HLOOKUP(I113,ElecAvoidedCostsWOCC!$A$5:$Q$50,T113+1,FALSE)</f>
        <v>0.3694540986241362</v>
      </c>
      <c r="AI113" s="44">
        <f t="shared" si="51"/>
        <v>0</v>
      </c>
      <c r="AJ113" s="44">
        <f t="shared" si="52"/>
        <v>147.78163944965448</v>
      </c>
      <c r="AK113" s="44">
        <f>HLOOKUP(I113,ElecAvoidedCostsWOCC!$A$5:$Q$50,G113+1,FALSE)*J113*L113</f>
        <v>0</v>
      </c>
      <c r="AL113" s="44">
        <f t="shared" si="53"/>
        <v>147.78163944965448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147.78163944965448</v>
      </c>
      <c r="AN113" s="48">
        <f t="shared" si="54"/>
        <v>162.55980339461993</v>
      </c>
      <c r="AO113" s="47">
        <f t="shared" si="55"/>
        <v>0.74668734505922296</v>
      </c>
      <c r="AP113" s="47">
        <f t="shared" si="56"/>
        <v>1.580086515622755</v>
      </c>
      <c r="AQ113">
        <v>2020</v>
      </c>
    </row>
    <row r="114" spans="2:43">
      <c r="B114" s="97" t="s">
        <v>70</v>
      </c>
      <c r="C114" s="61">
        <v>18231134</v>
      </c>
      <c r="D114" s="61" t="s">
        <v>176</v>
      </c>
      <c r="E114" s="38" t="s">
        <v>2254</v>
      </c>
      <c r="F114" s="39" t="s">
        <v>2255</v>
      </c>
      <c r="G114" s="39">
        <v>5</v>
      </c>
      <c r="H114" s="39"/>
      <c r="I114" s="40" t="s">
        <v>257</v>
      </c>
      <c r="J114" s="41">
        <v>1</v>
      </c>
      <c r="K114" s="41">
        <v>60</v>
      </c>
      <c r="L114" s="41"/>
      <c r="M114" s="42">
        <v>13.78</v>
      </c>
      <c r="N114" s="42">
        <v>13.78</v>
      </c>
      <c r="O114" s="43">
        <v>60</v>
      </c>
      <c r="P114" s="44">
        <v>13.78</v>
      </c>
      <c r="Q114" s="44">
        <v>13.78</v>
      </c>
      <c r="R114" s="45">
        <v>0</v>
      </c>
      <c r="S114" s="46">
        <v>0</v>
      </c>
      <c r="T114" s="39">
        <f t="shared" si="38"/>
        <v>5</v>
      </c>
      <c r="U114" s="47">
        <f t="shared" si="39"/>
        <v>1.2530681441383753E-5</v>
      </c>
      <c r="V114" s="48">
        <f t="shared" si="40"/>
        <v>0</v>
      </c>
      <c r="W114" s="49">
        <f t="shared" si="41"/>
        <v>2.5061362882767506E-6</v>
      </c>
      <c r="X114" s="44">
        <f t="shared" si="42"/>
        <v>6.1726614449832926</v>
      </c>
      <c r="Y114" s="44">
        <f t="shared" si="43"/>
        <v>0</v>
      </c>
      <c r="Z114" s="44">
        <f t="shared" si="44"/>
        <v>31.756669126371214</v>
      </c>
      <c r="AA114" s="50">
        <f t="shared" si="45"/>
        <v>19.952661444983292</v>
      </c>
      <c r="AB114" s="51">
        <f t="shared" si="46"/>
        <v>29.687453609770227</v>
      </c>
      <c r="AC114" s="44">
        <f t="shared" si="47"/>
        <v>18.652576839285118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0.3694540986241362</v>
      </c>
      <c r="AG114" s="44">
        <f t="shared" si="50"/>
        <v>22.16724591744817</v>
      </c>
      <c r="AH114" s="52">
        <f>HLOOKUP(I114,ElecAvoidedCostsWOCC!$A$5:$Q$50,T114+1,FALSE)</f>
        <v>0.3694540986241362</v>
      </c>
      <c r="AI114" s="44">
        <f t="shared" si="51"/>
        <v>0</v>
      </c>
      <c r="AJ114" s="44">
        <f t="shared" si="52"/>
        <v>22.16724591744817</v>
      </c>
      <c r="AK114" s="44">
        <f>HLOOKUP(I114,ElecAvoidedCostsWOCC!$A$5:$Q$50,G114+1,FALSE)*J114*L114</f>
        <v>0</v>
      </c>
      <c r="AL114" s="44">
        <f t="shared" si="53"/>
        <v>22.16724591744817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22.16724591744817</v>
      </c>
      <c r="AN114" s="48">
        <f t="shared" si="54"/>
        <v>24.383970509192988</v>
      </c>
      <c r="AO114" s="47">
        <f t="shared" si="55"/>
        <v>0.74668734505922274</v>
      </c>
      <c r="AP114" s="47">
        <f t="shared" si="56"/>
        <v>1.3072708784041407</v>
      </c>
      <c r="AQ114">
        <v>2020</v>
      </c>
    </row>
    <row r="115" spans="2:43">
      <c r="B115" s="97" t="s">
        <v>70</v>
      </c>
      <c r="C115" s="61">
        <v>18231134</v>
      </c>
      <c r="D115" s="61" t="s">
        <v>176</v>
      </c>
      <c r="E115" s="38" t="s">
        <v>2256</v>
      </c>
      <c r="F115" s="39" t="s">
        <v>2257</v>
      </c>
      <c r="G115" s="39">
        <v>5</v>
      </c>
      <c r="H115" s="39"/>
      <c r="I115" s="40" t="s">
        <v>257</v>
      </c>
      <c r="J115" s="41">
        <v>10</v>
      </c>
      <c r="K115" s="41">
        <v>110</v>
      </c>
      <c r="L115" s="41"/>
      <c r="M115" s="42">
        <v>20.07</v>
      </c>
      <c r="N115" s="42">
        <v>20.07</v>
      </c>
      <c r="O115" s="43">
        <v>1100</v>
      </c>
      <c r="P115" s="44">
        <v>200.7</v>
      </c>
      <c r="Q115" s="44">
        <v>200.7</v>
      </c>
      <c r="R115" s="45">
        <v>0</v>
      </c>
      <c r="S115" s="46"/>
      <c r="T115" s="39">
        <f t="shared" si="38"/>
        <v>5</v>
      </c>
      <c r="U115" s="47">
        <f t="shared" si="39"/>
        <v>2.2972915975870211E-4</v>
      </c>
      <c r="V115" s="48">
        <f t="shared" si="40"/>
        <v>0</v>
      </c>
      <c r="W115" s="49">
        <f t="shared" si="41"/>
        <v>4.5945831951740424E-5</v>
      </c>
      <c r="X115" s="44">
        <f t="shared" si="42"/>
        <v>113.16545982469368</v>
      </c>
      <c r="Y115" s="44">
        <f t="shared" si="43"/>
        <v>0</v>
      </c>
      <c r="Z115" s="44">
        <f t="shared" si="44"/>
        <v>582.20560065013876</v>
      </c>
      <c r="AA115" s="50">
        <f t="shared" si="45"/>
        <v>313.86545982469369</v>
      </c>
      <c r="AB115" s="51">
        <f t="shared" si="46"/>
        <v>544.26998284578735</v>
      </c>
      <c r="AC115" s="44">
        <f t="shared" si="47"/>
        <v>293.41447118322304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0.3694540986241362</v>
      </c>
      <c r="AG115" s="44">
        <f t="shared" si="50"/>
        <v>406.39950848654979</v>
      </c>
      <c r="AH115" s="52">
        <f>HLOOKUP(I115,ElecAvoidedCostsWOCC!$A$5:$Q$50,T115+1,FALSE)</f>
        <v>0.3694540986241362</v>
      </c>
      <c r="AI115" s="44">
        <f t="shared" si="51"/>
        <v>0</v>
      </c>
      <c r="AJ115" s="44">
        <f t="shared" si="52"/>
        <v>406.39950848654979</v>
      </c>
      <c r="AK115" s="44">
        <f>HLOOKUP(I115,ElecAvoidedCostsWOCC!$A$5:$Q$50,G115+1,FALSE)*J115*L115</f>
        <v>0</v>
      </c>
      <c r="AL115" s="44">
        <f t="shared" si="53"/>
        <v>406.39950848654979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406.39950848654985</v>
      </c>
      <c r="AN115" s="48">
        <f t="shared" si="54"/>
        <v>447.03945933520487</v>
      </c>
      <c r="AO115" s="47">
        <f t="shared" si="55"/>
        <v>0.74668734505922307</v>
      </c>
      <c r="AP115" s="47">
        <f t="shared" si="56"/>
        <v>1.5235767258938313</v>
      </c>
      <c r="AQ115">
        <v>2020</v>
      </c>
    </row>
    <row r="116" spans="2:43">
      <c r="B116" s="97" t="s">
        <v>70</v>
      </c>
      <c r="C116" s="61">
        <v>18231134</v>
      </c>
      <c r="D116" s="61" t="s">
        <v>176</v>
      </c>
      <c r="E116" s="38" t="s">
        <v>2258</v>
      </c>
      <c r="F116" s="39" t="s">
        <v>2259</v>
      </c>
      <c r="G116" s="39">
        <v>5</v>
      </c>
      <c r="H116" s="39"/>
      <c r="I116" s="40" t="s">
        <v>257</v>
      </c>
      <c r="J116" s="41">
        <v>37</v>
      </c>
      <c r="K116" s="41">
        <v>57</v>
      </c>
      <c r="L116" s="41"/>
      <c r="M116" s="42">
        <v>22.41</v>
      </c>
      <c r="N116" s="42">
        <v>22.41</v>
      </c>
      <c r="O116" s="43">
        <v>2109</v>
      </c>
      <c r="P116" s="44">
        <v>829.17</v>
      </c>
      <c r="Q116" s="44">
        <v>829.17</v>
      </c>
      <c r="R116" s="45">
        <v>0</v>
      </c>
      <c r="S116" s="46"/>
      <c r="T116" s="39">
        <f t="shared" si="38"/>
        <v>5</v>
      </c>
      <c r="U116" s="47">
        <f t="shared" si="39"/>
        <v>4.4045345266463889E-4</v>
      </c>
      <c r="V116" s="48">
        <f t="shared" si="40"/>
        <v>0</v>
      </c>
      <c r="W116" s="49">
        <f t="shared" si="41"/>
        <v>8.8090690532927773E-5</v>
      </c>
      <c r="X116" s="44">
        <f t="shared" si="42"/>
        <v>216.96904979116272</v>
      </c>
      <c r="Y116" s="44">
        <f t="shared" si="43"/>
        <v>0</v>
      </c>
      <c r="Z116" s="44">
        <f t="shared" si="44"/>
        <v>1116.2469197919479</v>
      </c>
      <c r="AA116" s="50">
        <f t="shared" si="45"/>
        <v>1046.1390497911627</v>
      </c>
      <c r="AB116" s="51">
        <f t="shared" si="46"/>
        <v>1043.5139943834231</v>
      </c>
      <c r="AC116" s="44">
        <f t="shared" si="47"/>
        <v>977.9742449202231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0.3694540986241362</v>
      </c>
      <c r="AG116" s="44">
        <f t="shared" si="50"/>
        <v>779.17869399830317</v>
      </c>
      <c r="AH116" s="52">
        <f>HLOOKUP(I116,ElecAvoidedCostsWOCC!$A$5:$Q$50,T116+1,FALSE)</f>
        <v>0.3694540986241362</v>
      </c>
      <c r="AI116" s="44">
        <f t="shared" si="51"/>
        <v>0</v>
      </c>
      <c r="AJ116" s="44">
        <f t="shared" si="52"/>
        <v>779.17869399830317</v>
      </c>
      <c r="AK116" s="44">
        <f>HLOOKUP(I116,ElecAvoidedCostsWOCC!$A$5:$Q$50,G116+1,FALSE)*J116*L116</f>
        <v>0</v>
      </c>
      <c r="AL116" s="44">
        <f t="shared" si="53"/>
        <v>779.17869399830317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779.17869399830329</v>
      </c>
      <c r="AN116" s="48">
        <f t="shared" si="54"/>
        <v>857.09656339813364</v>
      </c>
      <c r="AO116" s="47">
        <f t="shared" si="55"/>
        <v>0.74668734505922318</v>
      </c>
      <c r="AP116" s="47">
        <f t="shared" si="56"/>
        <v>0.87639993368951152</v>
      </c>
      <c r="AQ116">
        <v>2020</v>
      </c>
    </row>
    <row r="117" spans="2:43">
      <c r="B117" s="97" t="s">
        <v>70</v>
      </c>
      <c r="C117" s="61">
        <v>18231134</v>
      </c>
      <c r="D117" s="61" t="s">
        <v>176</v>
      </c>
      <c r="E117" s="38" t="s">
        <v>2260</v>
      </c>
      <c r="F117" s="39" t="s">
        <v>2261</v>
      </c>
      <c r="G117" s="39">
        <v>5</v>
      </c>
      <c r="H117" s="39"/>
      <c r="I117" s="40" t="s">
        <v>257</v>
      </c>
      <c r="J117" s="41">
        <v>16</v>
      </c>
      <c r="K117" s="41">
        <v>126</v>
      </c>
      <c r="L117" s="41"/>
      <c r="M117" s="42">
        <v>22.41</v>
      </c>
      <c r="N117" s="42">
        <v>22.41</v>
      </c>
      <c r="O117" s="43">
        <v>2016</v>
      </c>
      <c r="P117" s="44">
        <v>358.56</v>
      </c>
      <c r="Q117" s="44">
        <v>358.56</v>
      </c>
      <c r="R117" s="45">
        <v>0</v>
      </c>
      <c r="S117" s="46"/>
      <c r="T117" s="39">
        <f t="shared" si="38"/>
        <v>5</v>
      </c>
      <c r="U117" s="47">
        <f t="shared" si="39"/>
        <v>4.2103089643049404E-4</v>
      </c>
      <c r="V117" s="48">
        <f t="shared" si="40"/>
        <v>0</v>
      </c>
      <c r="W117" s="49">
        <f t="shared" si="41"/>
        <v>8.4206179286098811E-5</v>
      </c>
      <c r="X117" s="44">
        <f t="shared" si="42"/>
        <v>207.40142455143862</v>
      </c>
      <c r="Y117" s="44">
        <f t="shared" si="43"/>
        <v>0</v>
      </c>
      <c r="Z117" s="44">
        <f t="shared" si="44"/>
        <v>1067.0240826460727</v>
      </c>
      <c r="AA117" s="50">
        <f t="shared" si="45"/>
        <v>565.96142455143865</v>
      </c>
      <c r="AB117" s="51">
        <f t="shared" si="46"/>
        <v>997.49844128827954</v>
      </c>
      <c r="AC117" s="44">
        <f t="shared" si="47"/>
        <v>529.08425217485149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0.3694540986241362</v>
      </c>
      <c r="AG117" s="44">
        <f t="shared" si="50"/>
        <v>744.81946282625859</v>
      </c>
      <c r="AH117" s="52">
        <f>HLOOKUP(I117,ElecAvoidedCostsWOCC!$A$5:$Q$50,T117+1,FALSE)</f>
        <v>0.3694540986241362</v>
      </c>
      <c r="AI117" s="44">
        <f t="shared" si="51"/>
        <v>0</v>
      </c>
      <c r="AJ117" s="44">
        <f t="shared" si="52"/>
        <v>744.81946282625859</v>
      </c>
      <c r="AK117" s="44">
        <f>HLOOKUP(I117,ElecAvoidedCostsWOCC!$A$5:$Q$50,G117+1,FALSE)*J117*L117</f>
        <v>0</v>
      </c>
      <c r="AL117" s="44">
        <f t="shared" si="53"/>
        <v>744.81946282625859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744.81946282625859</v>
      </c>
      <c r="AN117" s="48">
        <f t="shared" si="54"/>
        <v>819.30140910888451</v>
      </c>
      <c r="AO117" s="47">
        <f t="shared" si="55"/>
        <v>0.74668734505922296</v>
      </c>
      <c r="AP117" s="47">
        <f t="shared" si="56"/>
        <v>1.5485273011643563</v>
      </c>
      <c r="AQ117">
        <v>2020</v>
      </c>
    </row>
    <row r="118" spans="2:43">
      <c r="B118" s="97" t="s">
        <v>70</v>
      </c>
      <c r="C118" s="61">
        <v>18231134</v>
      </c>
      <c r="D118" s="61" t="s">
        <v>176</v>
      </c>
      <c r="E118" s="38" t="s">
        <v>2262</v>
      </c>
      <c r="F118" s="39" t="s">
        <v>2263</v>
      </c>
      <c r="G118" s="39">
        <v>5</v>
      </c>
      <c r="H118" s="39"/>
      <c r="I118" s="40" t="s">
        <v>257</v>
      </c>
      <c r="J118" s="41">
        <v>4</v>
      </c>
      <c r="K118" s="41">
        <v>163</v>
      </c>
      <c r="L118" s="41"/>
      <c r="M118" s="42">
        <v>22.41</v>
      </c>
      <c r="N118" s="42">
        <v>22.41</v>
      </c>
      <c r="O118" s="43">
        <v>652</v>
      </c>
      <c r="P118" s="44">
        <v>89.64</v>
      </c>
      <c r="Q118" s="44">
        <v>89.64</v>
      </c>
      <c r="R118" s="45">
        <v>0</v>
      </c>
      <c r="S118" s="46"/>
      <c r="T118" s="39">
        <f t="shared" si="38"/>
        <v>5</v>
      </c>
      <c r="U118" s="47">
        <f t="shared" si="39"/>
        <v>1.3616673832970343E-4</v>
      </c>
      <c r="V118" s="48">
        <f t="shared" si="40"/>
        <v>0</v>
      </c>
      <c r="W118" s="49">
        <f t="shared" si="41"/>
        <v>2.7233347665940689E-5</v>
      </c>
      <c r="X118" s="44">
        <f t="shared" si="42"/>
        <v>67.076254368818439</v>
      </c>
      <c r="Y118" s="44">
        <f t="shared" si="43"/>
        <v>0</v>
      </c>
      <c r="Z118" s="44">
        <f t="shared" si="44"/>
        <v>345.08913783990045</v>
      </c>
      <c r="AA118" s="50">
        <f t="shared" si="45"/>
        <v>156.71625436881845</v>
      </c>
      <c r="AB118" s="51">
        <f t="shared" si="46"/>
        <v>322.60366255950305</v>
      </c>
      <c r="AC118" s="44">
        <f t="shared" si="47"/>
        <v>146.50486526018364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0.3694540986241362</v>
      </c>
      <c r="AG118" s="44">
        <f t="shared" si="50"/>
        <v>240.8840723029368</v>
      </c>
      <c r="AH118" s="52">
        <f>HLOOKUP(I118,ElecAvoidedCostsWOCC!$A$5:$Q$50,T118+1,FALSE)</f>
        <v>0.3694540986241362</v>
      </c>
      <c r="AI118" s="44">
        <f t="shared" si="51"/>
        <v>0</v>
      </c>
      <c r="AJ118" s="44">
        <f t="shared" si="52"/>
        <v>240.8840723029368</v>
      </c>
      <c r="AK118" s="44">
        <f>HLOOKUP(I118,ElecAvoidedCostsWOCC!$A$5:$Q$50,G118+1,FALSE)*J118*L118</f>
        <v>0</v>
      </c>
      <c r="AL118" s="44">
        <f t="shared" si="53"/>
        <v>240.8840723029368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240.8840723029368</v>
      </c>
      <c r="AN118" s="48">
        <f t="shared" si="54"/>
        <v>264.97247953323051</v>
      </c>
      <c r="AO118" s="47">
        <f t="shared" si="55"/>
        <v>0.74668734505922307</v>
      </c>
      <c r="AP118" s="47">
        <f t="shared" si="56"/>
        <v>1.8086258027175799</v>
      </c>
      <c r="AQ118">
        <v>2020</v>
      </c>
    </row>
    <row r="119" spans="2:43">
      <c r="B119" s="97" t="s">
        <v>70</v>
      </c>
      <c r="C119" s="61">
        <v>18231134</v>
      </c>
      <c r="D119" s="61" t="s">
        <v>176</v>
      </c>
      <c r="E119" s="38" t="s">
        <v>2264</v>
      </c>
      <c r="F119" s="39" t="s">
        <v>2263</v>
      </c>
      <c r="G119" s="39">
        <v>1</v>
      </c>
      <c r="H119" s="39"/>
      <c r="I119" s="40" t="s">
        <v>257</v>
      </c>
      <c r="J119" s="41">
        <v>19</v>
      </c>
      <c r="K119" s="41">
        <v>163</v>
      </c>
      <c r="L119" s="41"/>
      <c r="M119" s="42">
        <v>11.55</v>
      </c>
      <c r="N119" s="42">
        <v>11.55</v>
      </c>
      <c r="O119" s="43">
        <v>3097</v>
      </c>
      <c r="P119" s="44">
        <v>219.45</v>
      </c>
      <c r="Q119" s="44">
        <v>219.45</v>
      </c>
      <c r="R119" s="45">
        <v>0.09</v>
      </c>
      <c r="S119" s="46">
        <v>0</v>
      </c>
      <c r="T119" s="39">
        <f t="shared" si="38"/>
        <v>1</v>
      </c>
      <c r="U119" s="47">
        <f t="shared" si="39"/>
        <v>1.2935840141321827E-4</v>
      </c>
      <c r="V119" s="48">
        <f t="shared" si="40"/>
        <v>0</v>
      </c>
      <c r="W119" s="49">
        <f t="shared" si="41"/>
        <v>1.2935840141321827E-4</v>
      </c>
      <c r="X119" s="44">
        <f t="shared" si="42"/>
        <v>318.61220825188764</v>
      </c>
      <c r="Y119" s="44">
        <f t="shared" si="43"/>
        <v>0</v>
      </c>
      <c r="Z119" s="44">
        <f t="shared" si="44"/>
        <v>1639.1734047395275</v>
      </c>
      <c r="AA119" s="50">
        <f t="shared" si="45"/>
        <v>538.06220825188757</v>
      </c>
      <c r="AB119" s="51">
        <f t="shared" si="46"/>
        <v>1532.36739715764</v>
      </c>
      <c r="AC119" s="44">
        <f t="shared" si="47"/>
        <v>503.0029057229948</v>
      </c>
      <c r="AD119" s="44">
        <f t="shared" si="48"/>
        <v>1.5985790408525773</v>
      </c>
      <c r="AE119" s="44">
        <f t="shared" si="49"/>
        <v>0</v>
      </c>
      <c r="AF119" s="52">
        <f>HLOOKUP(I119,ElecAvoidedCostsWOCC!$A$5:$Q$50,G119+1,FALSE)</f>
        <v>8.1625385732676276E-2</v>
      </c>
      <c r="AG119" s="44">
        <f t="shared" si="50"/>
        <v>252.79381961409842</v>
      </c>
      <c r="AH119" s="52">
        <f>HLOOKUP(I119,ElecAvoidedCostsWOCC!$A$5:$Q$50,T119+1,FALSE)</f>
        <v>8.1625385732676276E-2</v>
      </c>
      <c r="AI119" s="44">
        <f t="shared" si="51"/>
        <v>0</v>
      </c>
      <c r="AJ119" s="44">
        <f t="shared" si="52"/>
        <v>252.79381961409842</v>
      </c>
      <c r="AK119" s="44">
        <f>HLOOKUP(I119,ElecAvoidedCostsWOCC!$A$5:$Q$50,G119+1,FALSE)*J119*L119</f>
        <v>0</v>
      </c>
      <c r="AL119" s="44">
        <f t="shared" si="53"/>
        <v>252.79381961409842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252.79381961409842</v>
      </c>
      <c r="AN119" s="48">
        <f t="shared" si="54"/>
        <v>279.67178061636088</v>
      </c>
      <c r="AO119" s="47">
        <f t="shared" si="55"/>
        <v>0.16496945842296112</v>
      </c>
      <c r="AP119" s="47">
        <f t="shared" si="56"/>
        <v>0.55600430421842728</v>
      </c>
      <c r="AQ119">
        <v>2020</v>
      </c>
    </row>
    <row r="120" spans="2:43">
      <c r="B120" s="97" t="s">
        <v>70</v>
      </c>
      <c r="C120" s="61">
        <v>18231134</v>
      </c>
      <c r="D120" s="61" t="s">
        <v>176</v>
      </c>
      <c r="E120" s="38" t="s">
        <v>2265</v>
      </c>
      <c r="F120" s="39" t="s">
        <v>2266</v>
      </c>
      <c r="G120" s="39">
        <v>5</v>
      </c>
      <c r="H120" s="39"/>
      <c r="I120" s="40" t="s">
        <v>257</v>
      </c>
      <c r="J120" s="41">
        <v>2</v>
      </c>
      <c r="K120" s="41">
        <v>93</v>
      </c>
      <c r="L120" s="41"/>
      <c r="M120" s="42">
        <v>22.41</v>
      </c>
      <c r="N120" s="42">
        <v>22.41</v>
      </c>
      <c r="O120" s="43">
        <v>186</v>
      </c>
      <c r="P120" s="44">
        <v>44.82</v>
      </c>
      <c r="Q120" s="44">
        <v>44.82</v>
      </c>
      <c r="R120" s="45">
        <v>0</v>
      </c>
      <c r="S120" s="46"/>
      <c r="T120" s="39">
        <f t="shared" si="38"/>
        <v>5</v>
      </c>
      <c r="U120" s="47">
        <f t="shared" si="39"/>
        <v>3.884511246828963E-5</v>
      </c>
      <c r="V120" s="48">
        <f t="shared" si="40"/>
        <v>0</v>
      </c>
      <c r="W120" s="49">
        <f t="shared" si="41"/>
        <v>7.7690224936579267E-6</v>
      </c>
      <c r="X120" s="44">
        <f t="shared" si="42"/>
        <v>19.135250479448207</v>
      </c>
      <c r="Y120" s="44">
        <f t="shared" si="43"/>
        <v>0</v>
      </c>
      <c r="Z120" s="44">
        <f t="shared" si="44"/>
        <v>98.445674291750748</v>
      </c>
      <c r="AA120" s="50">
        <f t="shared" si="45"/>
        <v>63.95525047944821</v>
      </c>
      <c r="AB120" s="51">
        <f t="shared" si="46"/>
        <v>92.031106190287687</v>
      </c>
      <c r="AC120" s="44">
        <f t="shared" si="47"/>
        <v>59.78802512802487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0.3694540986241362</v>
      </c>
      <c r="AG120" s="44">
        <f t="shared" si="50"/>
        <v>68.718462344089332</v>
      </c>
      <c r="AH120" s="52">
        <f>HLOOKUP(I120,ElecAvoidedCostsWOCC!$A$5:$Q$50,T120+1,FALSE)</f>
        <v>0.3694540986241362</v>
      </c>
      <c r="AI120" s="44">
        <f t="shared" si="51"/>
        <v>0</v>
      </c>
      <c r="AJ120" s="44">
        <f t="shared" si="52"/>
        <v>68.718462344089332</v>
      </c>
      <c r="AK120" s="44">
        <f>HLOOKUP(I120,ElecAvoidedCostsWOCC!$A$5:$Q$50,G120+1,FALSE)*J120*L120</f>
        <v>0</v>
      </c>
      <c r="AL120" s="44">
        <f t="shared" si="53"/>
        <v>68.718462344089332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68.718462344089332</v>
      </c>
      <c r="AN120" s="48">
        <f t="shared" si="54"/>
        <v>75.590308578498266</v>
      </c>
      <c r="AO120" s="47">
        <f t="shared" si="55"/>
        <v>0.74668734505922296</v>
      </c>
      <c r="AP120" s="47">
        <f t="shared" si="56"/>
        <v>1.2643051583763767</v>
      </c>
      <c r="AQ120">
        <v>2020</v>
      </c>
    </row>
    <row r="121" spans="2:43">
      <c r="B121" s="97" t="s">
        <v>70</v>
      </c>
      <c r="C121" s="61">
        <v>18231134</v>
      </c>
      <c r="D121" s="61" t="s">
        <v>176</v>
      </c>
      <c r="E121" s="38" t="s">
        <v>2267</v>
      </c>
      <c r="F121" s="39" t="s">
        <v>2268</v>
      </c>
      <c r="G121" s="39">
        <v>5</v>
      </c>
      <c r="H121" s="39"/>
      <c r="I121" s="40" t="s">
        <v>257</v>
      </c>
      <c r="J121" s="41">
        <v>17</v>
      </c>
      <c r="K121" s="41">
        <v>70</v>
      </c>
      <c r="L121" s="41"/>
      <c r="M121" s="42">
        <v>22.41</v>
      </c>
      <c r="N121" s="42">
        <v>22.41</v>
      </c>
      <c r="O121" s="43">
        <v>1190</v>
      </c>
      <c r="P121" s="44">
        <v>380.97</v>
      </c>
      <c r="Q121" s="44">
        <v>380.97</v>
      </c>
      <c r="R121" s="45">
        <v>0</v>
      </c>
      <c r="S121" s="46"/>
      <c r="T121" s="39">
        <f t="shared" si="38"/>
        <v>5</v>
      </c>
      <c r="U121" s="47">
        <f t="shared" si="39"/>
        <v>2.4852518192077774E-4</v>
      </c>
      <c r="V121" s="48">
        <f t="shared" si="40"/>
        <v>0</v>
      </c>
      <c r="W121" s="49">
        <f t="shared" si="41"/>
        <v>4.9705036384155548E-5</v>
      </c>
      <c r="X121" s="44">
        <f t="shared" si="42"/>
        <v>122.42445199216863</v>
      </c>
      <c r="Y121" s="44">
        <f t="shared" si="43"/>
        <v>0</v>
      </c>
      <c r="Z121" s="44">
        <f t="shared" si="44"/>
        <v>629.84060433969557</v>
      </c>
      <c r="AA121" s="50">
        <f t="shared" si="45"/>
        <v>503.39445199216868</v>
      </c>
      <c r="AB121" s="51">
        <f t="shared" si="46"/>
        <v>588.80116326044265</v>
      </c>
      <c r="AC121" s="44">
        <f t="shared" si="47"/>
        <v>470.59404692172444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0.3694540986241362</v>
      </c>
      <c r="AG121" s="44">
        <f t="shared" si="50"/>
        <v>439.65037736272211</v>
      </c>
      <c r="AH121" s="52">
        <f>HLOOKUP(I121,ElecAvoidedCostsWOCC!$A$5:$Q$50,T121+1,FALSE)</f>
        <v>0.3694540986241362</v>
      </c>
      <c r="AI121" s="44">
        <f t="shared" si="51"/>
        <v>0</v>
      </c>
      <c r="AJ121" s="44">
        <f t="shared" si="52"/>
        <v>439.65037736272211</v>
      </c>
      <c r="AK121" s="44">
        <f>HLOOKUP(I121,ElecAvoidedCostsWOCC!$A$5:$Q$50,G121+1,FALSE)*J121*L121</f>
        <v>0</v>
      </c>
      <c r="AL121" s="44">
        <f t="shared" si="53"/>
        <v>439.65037736272211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439.65037736272211</v>
      </c>
      <c r="AN121" s="48">
        <f t="shared" si="54"/>
        <v>483.61541509899433</v>
      </c>
      <c r="AO121" s="47">
        <f t="shared" si="55"/>
        <v>0.74668734505922307</v>
      </c>
      <c r="AP121" s="47">
        <f t="shared" si="56"/>
        <v>1.0276700656594489</v>
      </c>
      <c r="AQ121">
        <v>2020</v>
      </c>
    </row>
    <row r="122" spans="2:43">
      <c r="B122" s="97" t="s">
        <v>70</v>
      </c>
      <c r="C122" s="61">
        <v>18231134</v>
      </c>
      <c r="D122" s="61" t="s">
        <v>176</v>
      </c>
      <c r="E122" s="38" t="s">
        <v>2269</v>
      </c>
      <c r="F122" s="39" t="s">
        <v>2270</v>
      </c>
      <c r="G122" s="39">
        <v>5</v>
      </c>
      <c r="H122" s="39"/>
      <c r="I122" s="40" t="s">
        <v>257</v>
      </c>
      <c r="J122" s="41">
        <v>54</v>
      </c>
      <c r="K122" s="41">
        <v>112</v>
      </c>
      <c r="L122" s="41"/>
      <c r="M122" s="42">
        <v>22.41</v>
      </c>
      <c r="N122" s="42">
        <v>22.41</v>
      </c>
      <c r="O122" s="43">
        <v>6048</v>
      </c>
      <c r="P122" s="44">
        <v>1210.1400000000001</v>
      </c>
      <c r="Q122" s="44">
        <v>1210.1400000000001</v>
      </c>
      <c r="R122" s="45">
        <v>0</v>
      </c>
      <c r="S122" s="46"/>
      <c r="T122" s="39">
        <f t="shared" si="38"/>
        <v>5</v>
      </c>
      <c r="U122" s="47">
        <f t="shared" si="39"/>
        <v>1.2630926892914823E-3</v>
      </c>
      <c r="V122" s="48">
        <f t="shared" si="40"/>
        <v>0</v>
      </c>
      <c r="W122" s="49">
        <f t="shared" si="41"/>
        <v>2.5261853785829645E-4</v>
      </c>
      <c r="X122" s="44">
        <f t="shared" si="42"/>
        <v>622.2042736543159</v>
      </c>
      <c r="Y122" s="44">
        <f t="shared" si="43"/>
        <v>0</v>
      </c>
      <c r="Z122" s="44">
        <f t="shared" si="44"/>
        <v>3201.072247938218</v>
      </c>
      <c r="AA122" s="50">
        <f t="shared" si="45"/>
        <v>1832.3442736543161</v>
      </c>
      <c r="AB122" s="51">
        <f t="shared" si="46"/>
        <v>2992.4953238648386</v>
      </c>
      <c r="AC122" s="44">
        <f t="shared" si="47"/>
        <v>1712.9515505789623</v>
      </c>
      <c r="AD122" s="44">
        <f t="shared" si="48"/>
        <v>0</v>
      </c>
      <c r="AE122" s="44">
        <f t="shared" si="49"/>
        <v>0</v>
      </c>
      <c r="AF122" s="52">
        <f>HLOOKUP(I122,ElecAvoidedCostsWOCC!$A$5:$Q$50,G122+1,FALSE)</f>
        <v>0.3694540986241362</v>
      </c>
      <c r="AG122" s="44">
        <f t="shared" si="50"/>
        <v>2234.4583884787758</v>
      </c>
      <c r="AH122" s="52">
        <f>HLOOKUP(I122,ElecAvoidedCostsWOCC!$A$5:$Q$50,T122+1,FALSE)</f>
        <v>0.3694540986241362</v>
      </c>
      <c r="AI122" s="44">
        <f t="shared" si="51"/>
        <v>0</v>
      </c>
      <c r="AJ122" s="44">
        <f t="shared" si="52"/>
        <v>2234.4583884787758</v>
      </c>
      <c r="AK122" s="44">
        <f>HLOOKUP(I122,ElecAvoidedCostsWOCC!$A$5:$Q$50,G122+1,FALSE)*J122*L122</f>
        <v>0</v>
      </c>
      <c r="AL122" s="44">
        <f t="shared" si="53"/>
        <v>2234.4583884787758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2234.4583884787758</v>
      </c>
      <c r="AN122" s="48">
        <f t="shared" si="54"/>
        <v>2457.9042273266537</v>
      </c>
      <c r="AO122" s="47">
        <f t="shared" si="55"/>
        <v>0.74668734505922296</v>
      </c>
      <c r="AP122" s="47">
        <f t="shared" si="56"/>
        <v>1.4348941897953296</v>
      </c>
      <c r="AQ122">
        <v>2020</v>
      </c>
    </row>
    <row r="123" spans="2:43">
      <c r="B123" s="97" t="s">
        <v>70</v>
      </c>
      <c r="C123" s="61">
        <v>18231134</v>
      </c>
      <c r="D123" s="61" t="s">
        <v>176</v>
      </c>
      <c r="E123" s="38" t="s">
        <v>2271</v>
      </c>
      <c r="F123" s="39" t="s">
        <v>2272</v>
      </c>
      <c r="G123" s="39">
        <v>1</v>
      </c>
      <c r="H123" s="39"/>
      <c r="I123" s="40" t="s">
        <v>257</v>
      </c>
      <c r="J123" s="41">
        <v>54</v>
      </c>
      <c r="K123" s="41">
        <v>170</v>
      </c>
      <c r="L123" s="41"/>
      <c r="M123" s="42">
        <v>11.55</v>
      </c>
      <c r="N123" s="42">
        <v>11.55</v>
      </c>
      <c r="O123" s="43">
        <v>9180</v>
      </c>
      <c r="P123" s="44">
        <v>623.70000000000005</v>
      </c>
      <c r="Q123" s="44">
        <v>623.70000000000005</v>
      </c>
      <c r="R123" s="45">
        <v>0.1</v>
      </c>
      <c r="S123" s="46">
        <v>0</v>
      </c>
      <c r="T123" s="39">
        <f t="shared" si="38"/>
        <v>1</v>
      </c>
      <c r="U123" s="47">
        <f t="shared" si="39"/>
        <v>3.8343885210634284E-4</v>
      </c>
      <c r="V123" s="48">
        <f t="shared" si="40"/>
        <v>0</v>
      </c>
      <c r="W123" s="49">
        <f t="shared" si="41"/>
        <v>3.8343885210634284E-4</v>
      </c>
      <c r="X123" s="44">
        <f t="shared" si="42"/>
        <v>944.41720108244374</v>
      </c>
      <c r="Y123" s="44">
        <f t="shared" si="43"/>
        <v>0</v>
      </c>
      <c r="Z123" s="44">
        <f t="shared" si="44"/>
        <v>4858.7703763347954</v>
      </c>
      <c r="AA123" s="50">
        <f t="shared" si="45"/>
        <v>1568.1172010824439</v>
      </c>
      <c r="AB123" s="51">
        <f t="shared" si="46"/>
        <v>4542.1804022948445</v>
      </c>
      <c r="AC123" s="44">
        <f t="shared" si="47"/>
        <v>1465.9411059946187</v>
      </c>
      <c r="AD123" s="44">
        <f t="shared" si="48"/>
        <v>5.0481443395344554</v>
      </c>
      <c r="AE123" s="44">
        <f t="shared" si="49"/>
        <v>0</v>
      </c>
      <c r="AF123" s="52">
        <f>HLOOKUP(I123,ElecAvoidedCostsWOCC!$A$5:$Q$50,G123+1,FALSE)</f>
        <v>8.1625385732676276E-2</v>
      </c>
      <c r="AG123" s="44">
        <f t="shared" si="50"/>
        <v>749.32104102596816</v>
      </c>
      <c r="AH123" s="52">
        <f>HLOOKUP(I123,ElecAvoidedCostsWOCC!$A$5:$Q$50,T123+1,FALSE)</f>
        <v>8.1625385732676276E-2</v>
      </c>
      <c r="AI123" s="44">
        <f t="shared" si="51"/>
        <v>0</v>
      </c>
      <c r="AJ123" s="44">
        <f t="shared" si="52"/>
        <v>749.32104102596816</v>
      </c>
      <c r="AK123" s="44">
        <f>HLOOKUP(I123,ElecAvoidedCostsWOCC!$A$5:$Q$50,G123+1,FALSE)*J123*L123</f>
        <v>0</v>
      </c>
      <c r="AL123" s="44">
        <f t="shared" si="53"/>
        <v>749.32104102596816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749.32104102596827</v>
      </c>
      <c r="AN123" s="48">
        <f t="shared" si="54"/>
        <v>829.30128946809964</v>
      </c>
      <c r="AO123" s="47">
        <f t="shared" si="55"/>
        <v>0.16496945842296115</v>
      </c>
      <c r="AP123" s="47">
        <f t="shared" si="56"/>
        <v>0.56571255562509881</v>
      </c>
      <c r="AQ123">
        <v>2020</v>
      </c>
    </row>
    <row r="124" spans="2:43">
      <c r="B124" s="97" t="s">
        <v>70</v>
      </c>
      <c r="C124" s="61">
        <v>18231134</v>
      </c>
      <c r="D124" s="61" t="s">
        <v>176</v>
      </c>
      <c r="E124" s="38" t="s">
        <v>2273</v>
      </c>
      <c r="F124" s="39" t="s">
        <v>1307</v>
      </c>
      <c r="G124" s="39">
        <v>12</v>
      </c>
      <c r="H124" s="39"/>
      <c r="I124" s="40" t="s">
        <v>257</v>
      </c>
      <c r="J124" s="41">
        <v>2</v>
      </c>
      <c r="K124" s="41">
        <v>54</v>
      </c>
      <c r="L124" s="41"/>
      <c r="M124" s="42">
        <v>37</v>
      </c>
      <c r="N124" s="42">
        <v>37</v>
      </c>
      <c r="O124" s="43">
        <v>108</v>
      </c>
      <c r="P124" s="44">
        <v>74</v>
      </c>
      <c r="Q124" s="44">
        <v>74</v>
      </c>
      <c r="R124" s="45">
        <v>0</v>
      </c>
      <c r="S124" s="46">
        <v>0</v>
      </c>
      <c r="T124" s="39">
        <f t="shared" si="38"/>
        <v>12</v>
      </c>
      <c r="U124" s="47">
        <f t="shared" si="39"/>
        <v>5.4132543826777802E-5</v>
      </c>
      <c r="V124" s="48">
        <f t="shared" si="40"/>
        <v>0</v>
      </c>
      <c r="W124" s="49">
        <f t="shared" si="41"/>
        <v>4.5110453188981505E-6</v>
      </c>
      <c r="X124" s="44">
        <f t="shared" si="42"/>
        <v>11.110790600969926</v>
      </c>
      <c r="Y124" s="44">
        <f t="shared" si="43"/>
        <v>0</v>
      </c>
      <c r="Z124" s="44">
        <f t="shared" si="44"/>
        <v>57.162004427468176</v>
      </c>
      <c r="AA124" s="50">
        <f t="shared" si="45"/>
        <v>85.110790600969921</v>
      </c>
      <c r="AB124" s="51">
        <f t="shared" si="46"/>
        <v>53.437416497586398</v>
      </c>
      <c r="AC124" s="44">
        <f t="shared" si="47"/>
        <v>79.565102926960748</v>
      </c>
      <c r="AD124" s="44">
        <f t="shared" si="48"/>
        <v>0</v>
      </c>
      <c r="AE124" s="44">
        <f t="shared" si="49"/>
        <v>0</v>
      </c>
      <c r="AF124" s="52">
        <f>HLOOKUP(I124,ElecAvoidedCostsWOCC!$A$5:$Q$50,G124+1,FALSE)</f>
        <v>0.86650348716649883</v>
      </c>
      <c r="AG124" s="44">
        <f t="shared" si="50"/>
        <v>93.582376613981879</v>
      </c>
      <c r="AH124" s="52">
        <f>HLOOKUP(I124,ElecAvoidedCostsWOCC!$A$5:$Q$50,T124+1,FALSE)</f>
        <v>0.86650348716649883</v>
      </c>
      <c r="AI124" s="44">
        <f t="shared" si="51"/>
        <v>0</v>
      </c>
      <c r="AJ124" s="44">
        <f t="shared" si="52"/>
        <v>93.582376613981879</v>
      </c>
      <c r="AK124" s="44">
        <f>HLOOKUP(I124,ElecAvoidedCostsWOCC!$A$5:$Q$50,G124+1,FALSE)*J124*L124</f>
        <v>0</v>
      </c>
      <c r="AL124" s="44">
        <f t="shared" si="53"/>
        <v>93.582376613981879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93.582376613981879</v>
      </c>
      <c r="AN124" s="48">
        <f t="shared" si="54"/>
        <v>102.94061427538007</v>
      </c>
      <c r="AO124" s="47">
        <f t="shared" si="55"/>
        <v>1.7512518895483786</v>
      </c>
      <c r="AP124" s="47">
        <f t="shared" si="56"/>
        <v>1.2937910024433399</v>
      </c>
      <c r="AQ124">
        <v>2020</v>
      </c>
    </row>
    <row r="125" spans="2:43">
      <c r="B125" s="97" t="s">
        <v>70</v>
      </c>
      <c r="C125" s="61">
        <v>18231134</v>
      </c>
      <c r="D125" s="61" t="s">
        <v>176</v>
      </c>
      <c r="E125" s="38" t="s">
        <v>2274</v>
      </c>
      <c r="F125" s="39" t="s">
        <v>1307</v>
      </c>
      <c r="G125" s="39">
        <v>12</v>
      </c>
      <c r="H125" s="39"/>
      <c r="I125" s="40" t="s">
        <v>257</v>
      </c>
      <c r="J125" s="41">
        <v>24</v>
      </c>
      <c r="K125" s="41">
        <v>54</v>
      </c>
      <c r="L125" s="41"/>
      <c r="M125" s="42">
        <v>37</v>
      </c>
      <c r="N125" s="42">
        <v>37</v>
      </c>
      <c r="O125" s="43">
        <v>1296</v>
      </c>
      <c r="P125" s="44">
        <v>888</v>
      </c>
      <c r="Q125" s="44">
        <v>888</v>
      </c>
      <c r="R125" s="45">
        <v>0</v>
      </c>
      <c r="S125" s="46">
        <v>0</v>
      </c>
      <c r="T125" s="39">
        <f t="shared" si="38"/>
        <v>12</v>
      </c>
      <c r="U125" s="47">
        <f t="shared" si="39"/>
        <v>6.4959052592133374E-4</v>
      </c>
      <c r="V125" s="48">
        <f t="shared" si="40"/>
        <v>0</v>
      </c>
      <c r="W125" s="49">
        <f t="shared" si="41"/>
        <v>5.4132543826777809E-5</v>
      </c>
      <c r="X125" s="44">
        <f t="shared" si="42"/>
        <v>133.3294872116391</v>
      </c>
      <c r="Y125" s="44">
        <f t="shared" si="43"/>
        <v>0</v>
      </c>
      <c r="Z125" s="44">
        <f t="shared" si="44"/>
        <v>685.94405312961817</v>
      </c>
      <c r="AA125" s="50">
        <f t="shared" si="45"/>
        <v>1021.3294872116392</v>
      </c>
      <c r="AB125" s="51">
        <f t="shared" si="46"/>
        <v>641.24899797103683</v>
      </c>
      <c r="AC125" s="44">
        <f t="shared" si="47"/>
        <v>954.78123512352909</v>
      </c>
      <c r="AD125" s="44">
        <f t="shared" si="48"/>
        <v>0</v>
      </c>
      <c r="AE125" s="44">
        <f t="shared" si="49"/>
        <v>0</v>
      </c>
      <c r="AF125" s="52">
        <f>HLOOKUP(I125,ElecAvoidedCostsWOCC!$A$5:$Q$50,G125+1,FALSE)</f>
        <v>0.86650348716649883</v>
      </c>
      <c r="AG125" s="44">
        <f t="shared" si="50"/>
        <v>1122.9885193677824</v>
      </c>
      <c r="AH125" s="52">
        <f>HLOOKUP(I125,ElecAvoidedCostsWOCC!$A$5:$Q$50,T125+1,FALSE)</f>
        <v>0.86650348716649883</v>
      </c>
      <c r="AI125" s="44">
        <f t="shared" si="51"/>
        <v>0</v>
      </c>
      <c r="AJ125" s="44">
        <f t="shared" si="52"/>
        <v>1122.9885193677824</v>
      </c>
      <c r="AK125" s="44">
        <f>HLOOKUP(I125,ElecAvoidedCostsWOCC!$A$5:$Q$50,G125+1,FALSE)*J125*L125</f>
        <v>0</v>
      </c>
      <c r="AL125" s="44">
        <f t="shared" si="53"/>
        <v>1122.9885193677824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1122.9885193677826</v>
      </c>
      <c r="AN125" s="48">
        <f t="shared" si="54"/>
        <v>1235.287371304561</v>
      </c>
      <c r="AO125" s="47">
        <f t="shared" si="55"/>
        <v>1.7512518895483786</v>
      </c>
      <c r="AP125" s="47">
        <f t="shared" si="56"/>
        <v>1.2937910024433401</v>
      </c>
      <c r="AQ125">
        <v>2020</v>
      </c>
    </row>
    <row r="126" spans="2:43">
      <c r="B126" s="97" t="s">
        <v>70</v>
      </c>
      <c r="C126" s="61">
        <v>18231134</v>
      </c>
      <c r="D126" s="61" t="s">
        <v>176</v>
      </c>
      <c r="E126" s="38" t="s">
        <v>2275</v>
      </c>
      <c r="F126" s="39" t="s">
        <v>1311</v>
      </c>
      <c r="G126" s="39">
        <v>12</v>
      </c>
      <c r="H126" s="39"/>
      <c r="I126" s="40" t="s">
        <v>257</v>
      </c>
      <c r="J126" s="41">
        <v>35</v>
      </c>
      <c r="K126" s="41">
        <v>92</v>
      </c>
      <c r="L126" s="41"/>
      <c r="M126" s="42">
        <v>37</v>
      </c>
      <c r="N126" s="42">
        <v>37</v>
      </c>
      <c r="O126" s="43">
        <v>3220</v>
      </c>
      <c r="P126" s="44">
        <v>1295</v>
      </c>
      <c r="Q126" s="44">
        <v>1295</v>
      </c>
      <c r="R126" s="45">
        <v>0</v>
      </c>
      <c r="S126" s="46">
        <v>0</v>
      </c>
      <c r="T126" s="39">
        <f t="shared" si="38"/>
        <v>12</v>
      </c>
      <c r="U126" s="47">
        <f t="shared" si="39"/>
        <v>1.6139517696502274E-3</v>
      </c>
      <c r="V126" s="48">
        <f t="shared" si="40"/>
        <v>0</v>
      </c>
      <c r="W126" s="49">
        <f t="shared" si="41"/>
        <v>1.3449598080418561E-4</v>
      </c>
      <c r="X126" s="44">
        <f t="shared" si="42"/>
        <v>331.26616421410336</v>
      </c>
      <c r="Y126" s="44">
        <f t="shared" si="43"/>
        <v>0</v>
      </c>
      <c r="Z126" s="44">
        <f t="shared" si="44"/>
        <v>1704.2745764485883</v>
      </c>
      <c r="AA126" s="50">
        <f t="shared" si="45"/>
        <v>1626.2661642141034</v>
      </c>
      <c r="AB126" s="51">
        <f t="shared" si="46"/>
        <v>1593.2266770576687</v>
      </c>
      <c r="AC126" s="44">
        <f t="shared" si="47"/>
        <v>1520.3011724914493</v>
      </c>
      <c r="AD126" s="44">
        <f t="shared" si="48"/>
        <v>0</v>
      </c>
      <c r="AE126" s="44">
        <f t="shared" si="49"/>
        <v>0</v>
      </c>
      <c r="AF126" s="52">
        <f>HLOOKUP(I126,ElecAvoidedCostsWOCC!$A$5:$Q$50,G126+1,FALSE)</f>
        <v>0.86650348716649883</v>
      </c>
      <c r="AG126" s="44">
        <f t="shared" si="50"/>
        <v>2790.141228676126</v>
      </c>
      <c r="AH126" s="52">
        <f>HLOOKUP(I126,ElecAvoidedCostsWOCC!$A$5:$Q$50,T126+1,FALSE)</f>
        <v>0.86650348716649883</v>
      </c>
      <c r="AI126" s="44">
        <f t="shared" si="51"/>
        <v>0</v>
      </c>
      <c r="AJ126" s="44">
        <f t="shared" si="52"/>
        <v>2790.141228676126</v>
      </c>
      <c r="AK126" s="44">
        <f>HLOOKUP(I126,ElecAvoidedCostsWOCC!$A$5:$Q$50,G126+1,FALSE)*J126*L126</f>
        <v>0</v>
      </c>
      <c r="AL126" s="44">
        <f t="shared" si="53"/>
        <v>2790.141228676126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2790.1412286761265</v>
      </c>
      <c r="AN126" s="48">
        <f t="shared" si="54"/>
        <v>3069.1553515437395</v>
      </c>
      <c r="AO126" s="47">
        <f t="shared" si="55"/>
        <v>1.7512518895483786</v>
      </c>
      <c r="AP126" s="47">
        <f t="shared" si="56"/>
        <v>2.0187811514438607</v>
      </c>
      <c r="AQ126">
        <v>2020</v>
      </c>
    </row>
    <row r="127" spans="2:43">
      <c r="B127" s="97" t="s">
        <v>70</v>
      </c>
      <c r="C127" s="61">
        <v>18231134</v>
      </c>
      <c r="D127" s="61" t="s">
        <v>176</v>
      </c>
      <c r="E127" s="38" t="s">
        <v>1310</v>
      </c>
      <c r="F127" s="39" t="s">
        <v>1311</v>
      </c>
      <c r="G127" s="39">
        <v>12</v>
      </c>
      <c r="H127" s="39"/>
      <c r="I127" s="40" t="s">
        <v>257</v>
      </c>
      <c r="J127" s="41">
        <v>120</v>
      </c>
      <c r="K127" s="41">
        <v>91</v>
      </c>
      <c r="L127" s="41"/>
      <c r="M127" s="42">
        <v>37</v>
      </c>
      <c r="N127" s="42">
        <v>37</v>
      </c>
      <c r="O127" s="43">
        <v>10920</v>
      </c>
      <c r="P127" s="44">
        <v>4440</v>
      </c>
      <c r="Q127" s="44">
        <v>4440</v>
      </c>
      <c r="R127" s="45">
        <v>0</v>
      </c>
      <c r="S127" s="46">
        <v>0</v>
      </c>
      <c r="T127" s="39">
        <f t="shared" si="38"/>
        <v>12</v>
      </c>
      <c r="U127" s="47">
        <f t="shared" si="39"/>
        <v>5.4734016535964228E-3</v>
      </c>
      <c r="V127" s="48">
        <f t="shared" si="40"/>
        <v>0</v>
      </c>
      <c r="W127" s="49">
        <f t="shared" si="41"/>
        <v>4.5611680446636858E-4</v>
      </c>
      <c r="X127" s="44">
        <f t="shared" si="42"/>
        <v>1123.4243829869592</v>
      </c>
      <c r="Y127" s="44">
        <f t="shared" si="43"/>
        <v>0</v>
      </c>
      <c r="Z127" s="44">
        <f t="shared" si="44"/>
        <v>5779.7137809995602</v>
      </c>
      <c r="AA127" s="50">
        <f t="shared" si="45"/>
        <v>5563.4243829869592</v>
      </c>
      <c r="AB127" s="51">
        <f t="shared" si="46"/>
        <v>5403.1165569781806</v>
      </c>
      <c r="AC127" s="44">
        <f t="shared" si="47"/>
        <v>5200.9202421117689</v>
      </c>
      <c r="AD127" s="44">
        <f t="shared" si="48"/>
        <v>0</v>
      </c>
      <c r="AE127" s="44">
        <f t="shared" si="49"/>
        <v>0</v>
      </c>
      <c r="AF127" s="52">
        <f>HLOOKUP(I127,ElecAvoidedCostsWOCC!$A$5:$Q$50,G127+1,FALSE)</f>
        <v>0.86650348716649883</v>
      </c>
      <c r="AG127" s="44">
        <f t="shared" si="50"/>
        <v>9462.2180798581667</v>
      </c>
      <c r="AH127" s="52">
        <f>HLOOKUP(I127,ElecAvoidedCostsWOCC!$A$5:$Q$50,T127+1,FALSE)</f>
        <v>0.86650348716649883</v>
      </c>
      <c r="AI127" s="44">
        <f t="shared" si="51"/>
        <v>0</v>
      </c>
      <c r="AJ127" s="44">
        <f t="shared" si="52"/>
        <v>9462.2180798581667</v>
      </c>
      <c r="AK127" s="44">
        <f>HLOOKUP(I127,ElecAvoidedCostsWOCC!$A$5:$Q$50,G127+1,FALSE)*J127*L127</f>
        <v>0</v>
      </c>
      <c r="AL127" s="44">
        <f t="shared" si="53"/>
        <v>9462.2180798581667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9462.2180798581685</v>
      </c>
      <c r="AN127" s="48">
        <f t="shared" si="54"/>
        <v>10408.439887843986</v>
      </c>
      <c r="AO127" s="47">
        <f t="shared" si="55"/>
        <v>1.7512518895483786</v>
      </c>
      <c r="AP127" s="47">
        <f t="shared" si="56"/>
        <v>2.0012688915255827</v>
      </c>
      <c r="AQ127">
        <v>2020</v>
      </c>
    </row>
    <row r="128" spans="2:43">
      <c r="B128" s="97" t="s">
        <v>70</v>
      </c>
      <c r="C128" s="61">
        <v>18231134</v>
      </c>
      <c r="D128" s="61" t="s">
        <v>176</v>
      </c>
      <c r="E128" s="38" t="s">
        <v>2276</v>
      </c>
      <c r="F128" s="39" t="s">
        <v>1314</v>
      </c>
      <c r="G128" s="39">
        <v>12</v>
      </c>
      <c r="H128" s="39"/>
      <c r="I128" s="40" t="s">
        <v>257</v>
      </c>
      <c r="J128" s="41">
        <v>176</v>
      </c>
      <c r="K128" s="41">
        <v>183</v>
      </c>
      <c r="L128" s="41"/>
      <c r="M128" s="42">
        <v>65</v>
      </c>
      <c r="N128" s="42">
        <v>65</v>
      </c>
      <c r="O128" s="43">
        <v>32208</v>
      </c>
      <c r="P128" s="44">
        <v>11440</v>
      </c>
      <c r="Q128" s="44">
        <v>11440</v>
      </c>
      <c r="R128" s="45">
        <v>0</v>
      </c>
      <c r="S128" s="46">
        <v>0</v>
      </c>
      <c r="T128" s="39">
        <f t="shared" si="38"/>
        <v>12</v>
      </c>
      <c r="U128" s="47">
        <f t="shared" si="39"/>
        <v>1.6143527514563515E-2</v>
      </c>
      <c r="V128" s="48">
        <f t="shared" si="40"/>
        <v>0</v>
      </c>
      <c r="W128" s="49">
        <f t="shared" si="41"/>
        <v>1.3452939595469597E-3</v>
      </c>
      <c r="X128" s="44">
        <f t="shared" si="42"/>
        <v>3313.4846636670313</v>
      </c>
      <c r="Y128" s="44">
        <f t="shared" si="43"/>
        <v>0</v>
      </c>
      <c r="Z128" s="44">
        <f t="shared" si="44"/>
        <v>17046.979987036066</v>
      </c>
      <c r="AA128" s="50">
        <f t="shared" si="45"/>
        <v>14753.484663667032</v>
      </c>
      <c r="AB128" s="51">
        <f t="shared" si="46"/>
        <v>15936.225097724655</v>
      </c>
      <c r="AC128" s="44">
        <f t="shared" si="47"/>
        <v>13792.170387647968</v>
      </c>
      <c r="AD128" s="44">
        <f t="shared" si="48"/>
        <v>0</v>
      </c>
      <c r="AE128" s="44">
        <f t="shared" si="49"/>
        <v>0</v>
      </c>
      <c r="AF128" s="52">
        <f>HLOOKUP(I128,ElecAvoidedCostsWOCC!$A$5:$Q$50,G128+1,FALSE)</f>
        <v>0.86650348716649883</v>
      </c>
      <c r="AG128" s="44">
        <f t="shared" si="50"/>
        <v>27908.344314658592</v>
      </c>
      <c r="AH128" s="52">
        <f>HLOOKUP(I128,ElecAvoidedCostsWOCC!$A$5:$Q$50,T128+1,FALSE)</f>
        <v>0.86650348716649883</v>
      </c>
      <c r="AI128" s="44">
        <f t="shared" si="51"/>
        <v>0</v>
      </c>
      <c r="AJ128" s="44">
        <f t="shared" si="52"/>
        <v>27908.344314658592</v>
      </c>
      <c r="AK128" s="44">
        <f>HLOOKUP(I128,ElecAvoidedCostsWOCC!$A$5:$Q$50,G128+1,FALSE)*J128*L128</f>
        <v>0</v>
      </c>
      <c r="AL128" s="44">
        <f t="shared" si="53"/>
        <v>27908.344314658592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27908.344314658592</v>
      </c>
      <c r="AN128" s="48">
        <f t="shared" si="54"/>
        <v>30699.178746124453</v>
      </c>
      <c r="AO128" s="47">
        <f t="shared" si="55"/>
        <v>1.7512518895483784</v>
      </c>
      <c r="AP128" s="47">
        <f t="shared" si="56"/>
        <v>2.2258410303296507</v>
      </c>
      <c r="AQ128">
        <v>2020</v>
      </c>
    </row>
    <row r="129" spans="2:43">
      <c r="B129" s="97" t="s">
        <v>70</v>
      </c>
      <c r="C129" s="61">
        <v>18231134</v>
      </c>
      <c r="D129" s="61" t="s">
        <v>176</v>
      </c>
      <c r="E129" s="38" t="s">
        <v>1313</v>
      </c>
      <c r="F129" s="39" t="s">
        <v>1314</v>
      </c>
      <c r="G129" s="39">
        <v>12</v>
      </c>
      <c r="H129" s="39"/>
      <c r="I129" s="40" t="s">
        <v>257</v>
      </c>
      <c r="J129" s="41">
        <v>808</v>
      </c>
      <c r="K129" s="41">
        <v>181</v>
      </c>
      <c r="L129" s="41"/>
      <c r="M129" s="42">
        <v>65</v>
      </c>
      <c r="N129" s="42">
        <v>65</v>
      </c>
      <c r="O129" s="43">
        <v>146248</v>
      </c>
      <c r="P129" s="44">
        <v>52520</v>
      </c>
      <c r="Q129" s="44">
        <v>52520</v>
      </c>
      <c r="R129" s="45">
        <v>0</v>
      </c>
      <c r="S129" s="46">
        <v>0</v>
      </c>
      <c r="T129" s="39">
        <f t="shared" si="38"/>
        <v>12</v>
      </c>
      <c r="U129" s="47">
        <f t="shared" si="39"/>
        <v>7.3303483977579631E-2</v>
      </c>
      <c r="V129" s="48">
        <f t="shared" si="40"/>
        <v>0</v>
      </c>
      <c r="W129" s="49">
        <f t="shared" si="41"/>
        <v>6.1086236647983029E-3</v>
      </c>
      <c r="X129" s="44">
        <f t="shared" si="42"/>
        <v>15045.656516765273</v>
      </c>
      <c r="Y129" s="44">
        <f t="shared" si="43"/>
        <v>0</v>
      </c>
      <c r="Z129" s="44">
        <f t="shared" si="44"/>
        <v>77405.822439892276</v>
      </c>
      <c r="AA129" s="50">
        <f t="shared" si="45"/>
        <v>67565.656516765273</v>
      </c>
      <c r="AB129" s="51">
        <f t="shared" si="46"/>
        <v>72362.178592027922</v>
      </c>
      <c r="AC129" s="44">
        <f t="shared" si="47"/>
        <v>63163.182683710635</v>
      </c>
      <c r="AD129" s="44">
        <f t="shared" si="48"/>
        <v>0</v>
      </c>
      <c r="AE129" s="44">
        <f t="shared" si="49"/>
        <v>0</v>
      </c>
      <c r="AF129" s="52">
        <f>HLOOKUP(I129,ElecAvoidedCostsWOCC!$A$5:$Q$50,G129+1,FALSE)</f>
        <v>0.86650348716649883</v>
      </c>
      <c r="AG129" s="44">
        <f t="shared" si="50"/>
        <v>126724.40199112613</v>
      </c>
      <c r="AH129" s="52">
        <f>HLOOKUP(I129,ElecAvoidedCostsWOCC!$A$5:$Q$50,T129+1,FALSE)</f>
        <v>0.86650348716649883</v>
      </c>
      <c r="AI129" s="44">
        <f t="shared" si="51"/>
        <v>0</v>
      </c>
      <c r="AJ129" s="44">
        <f t="shared" si="52"/>
        <v>126724.40199112613</v>
      </c>
      <c r="AK129" s="44">
        <f>HLOOKUP(I129,ElecAvoidedCostsWOCC!$A$5:$Q$50,G129+1,FALSE)*J129*L129</f>
        <v>0</v>
      </c>
      <c r="AL129" s="44">
        <f t="shared" si="53"/>
        <v>126724.40199112613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126724.40199112611</v>
      </c>
      <c r="AN129" s="48">
        <f t="shared" si="54"/>
        <v>139396.84219023873</v>
      </c>
      <c r="AO129" s="47">
        <f t="shared" si="55"/>
        <v>1.7512518895483784</v>
      </c>
      <c r="AP129" s="47">
        <f t="shared" si="56"/>
        <v>2.2069318908179123</v>
      </c>
      <c r="AQ129">
        <v>2020</v>
      </c>
    </row>
    <row r="130" spans="2:43">
      <c r="B130" s="97" t="s">
        <v>70</v>
      </c>
      <c r="C130" s="61">
        <v>18231134</v>
      </c>
      <c r="D130" s="61" t="s">
        <v>176</v>
      </c>
      <c r="E130" s="38" t="s">
        <v>1316</v>
      </c>
      <c r="F130" s="39" t="s">
        <v>1317</v>
      </c>
      <c r="G130" s="39">
        <v>12</v>
      </c>
      <c r="H130" s="39"/>
      <c r="I130" s="40" t="s">
        <v>257</v>
      </c>
      <c r="J130" s="41">
        <v>2</v>
      </c>
      <c r="K130" s="41">
        <v>417</v>
      </c>
      <c r="L130" s="41"/>
      <c r="M130" s="42">
        <v>65</v>
      </c>
      <c r="N130" s="42">
        <v>65</v>
      </c>
      <c r="O130" s="43">
        <v>834</v>
      </c>
      <c r="P130" s="44">
        <v>130</v>
      </c>
      <c r="Q130" s="44">
        <v>130</v>
      </c>
      <c r="R130" s="45">
        <v>0</v>
      </c>
      <c r="S130" s="46">
        <v>0</v>
      </c>
      <c r="T130" s="39">
        <f t="shared" si="38"/>
        <v>12</v>
      </c>
      <c r="U130" s="47">
        <f t="shared" si="39"/>
        <v>4.18023532884562E-4</v>
      </c>
      <c r="V130" s="48">
        <f t="shared" si="40"/>
        <v>0</v>
      </c>
      <c r="W130" s="49">
        <f t="shared" si="41"/>
        <v>3.4835294407046831E-5</v>
      </c>
      <c r="X130" s="44">
        <f t="shared" si="42"/>
        <v>85.799994085267755</v>
      </c>
      <c r="Y130" s="44">
        <f t="shared" si="43"/>
        <v>0</v>
      </c>
      <c r="Z130" s="44">
        <f t="shared" si="44"/>
        <v>441.4177008565598</v>
      </c>
      <c r="AA130" s="50">
        <f t="shared" si="45"/>
        <v>215.79999408526777</v>
      </c>
      <c r="AB130" s="51">
        <f t="shared" si="46"/>
        <v>412.6556051758061</v>
      </c>
      <c r="AC130" s="44">
        <f t="shared" si="47"/>
        <v>201.73879974316887</v>
      </c>
      <c r="AD130" s="44">
        <f t="shared" si="48"/>
        <v>0</v>
      </c>
      <c r="AE130" s="44">
        <f t="shared" si="49"/>
        <v>0</v>
      </c>
      <c r="AF130" s="52">
        <f>HLOOKUP(I130,ElecAvoidedCostsWOCC!$A$5:$Q$50,G130+1,FALSE)</f>
        <v>0.86650348716649883</v>
      </c>
      <c r="AG130" s="44">
        <f t="shared" si="50"/>
        <v>722.66390829685997</v>
      </c>
      <c r="AH130" s="52">
        <f>HLOOKUP(I130,ElecAvoidedCostsWOCC!$A$5:$Q$50,T130+1,FALSE)</f>
        <v>0.86650348716649883</v>
      </c>
      <c r="AI130" s="44">
        <f t="shared" si="51"/>
        <v>0</v>
      </c>
      <c r="AJ130" s="44">
        <f t="shared" si="52"/>
        <v>722.66390829685997</v>
      </c>
      <c r="AK130" s="44">
        <f>HLOOKUP(I130,ElecAvoidedCostsWOCC!$A$5:$Q$50,G130+1,FALSE)*J130*L130</f>
        <v>0</v>
      </c>
      <c r="AL130" s="44">
        <f t="shared" si="53"/>
        <v>722.66390829685997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722.66390829685997</v>
      </c>
      <c r="AN130" s="48">
        <f t="shared" si="54"/>
        <v>794.93029912654606</v>
      </c>
      <c r="AO130" s="47">
        <f t="shared" si="55"/>
        <v>1.7512518895483782</v>
      </c>
      <c r="AP130" s="47">
        <f t="shared" si="56"/>
        <v>3.9403937177110295</v>
      </c>
      <c r="AQ130">
        <v>2020</v>
      </c>
    </row>
    <row r="131" spans="2:43">
      <c r="B131" s="97" t="s">
        <v>70</v>
      </c>
      <c r="C131" s="61">
        <v>18231134</v>
      </c>
      <c r="D131" s="61" t="s">
        <v>176</v>
      </c>
      <c r="E131" s="38" t="s">
        <v>1319</v>
      </c>
      <c r="F131" s="39" t="s">
        <v>1320</v>
      </c>
      <c r="G131" s="39">
        <v>12</v>
      </c>
      <c r="H131" s="39"/>
      <c r="I131" s="40" t="s">
        <v>257</v>
      </c>
      <c r="J131" s="41">
        <v>283</v>
      </c>
      <c r="K131" s="41">
        <v>272</v>
      </c>
      <c r="L131" s="41"/>
      <c r="M131" s="42">
        <v>100</v>
      </c>
      <c r="N131" s="42">
        <v>100</v>
      </c>
      <c r="O131" s="43">
        <v>76976</v>
      </c>
      <c r="P131" s="44">
        <v>28300</v>
      </c>
      <c r="Q131" s="44">
        <v>28300</v>
      </c>
      <c r="R131" s="45">
        <v>0</v>
      </c>
      <c r="S131" s="46">
        <v>0</v>
      </c>
      <c r="T131" s="39">
        <f t="shared" si="38"/>
        <v>12</v>
      </c>
      <c r="U131" s="47">
        <f t="shared" si="39"/>
        <v>3.8582469385278227E-2</v>
      </c>
      <c r="V131" s="48">
        <f t="shared" si="40"/>
        <v>0</v>
      </c>
      <c r="W131" s="49">
        <f t="shared" si="41"/>
        <v>3.2152057821065189E-3</v>
      </c>
      <c r="X131" s="44">
        <f t="shared" si="42"/>
        <v>7919.1131231505651</v>
      </c>
      <c r="Y131" s="44">
        <f t="shared" si="43"/>
        <v>0</v>
      </c>
      <c r="Z131" s="44">
        <f t="shared" si="44"/>
        <v>40741.689377859169</v>
      </c>
      <c r="AA131" s="50">
        <f t="shared" si="45"/>
        <v>36219.113123150564</v>
      </c>
      <c r="AB131" s="51">
        <f t="shared" si="46"/>
        <v>38087.023817761212</v>
      </c>
      <c r="AC131" s="44">
        <f t="shared" si="47"/>
        <v>33859.131647331553</v>
      </c>
      <c r="AD131" s="44">
        <f t="shared" si="48"/>
        <v>0</v>
      </c>
      <c r="AE131" s="44">
        <f t="shared" si="49"/>
        <v>0</v>
      </c>
      <c r="AF131" s="52">
        <f>HLOOKUP(I131,ElecAvoidedCostsWOCC!$A$5:$Q$50,G131+1,FALSE)</f>
        <v>0.86650348716649883</v>
      </c>
      <c r="AG131" s="44">
        <f t="shared" si="50"/>
        <v>66699.972428128414</v>
      </c>
      <c r="AH131" s="52">
        <f>HLOOKUP(I131,ElecAvoidedCostsWOCC!$A$5:$Q$50,T131+1,FALSE)</f>
        <v>0.86650348716649883</v>
      </c>
      <c r="AI131" s="44">
        <f t="shared" si="51"/>
        <v>0</v>
      </c>
      <c r="AJ131" s="44">
        <f t="shared" si="52"/>
        <v>66699.972428128414</v>
      </c>
      <c r="AK131" s="44">
        <f>HLOOKUP(I131,ElecAvoidedCostsWOCC!$A$5:$Q$50,G131+1,FALSE)*J131*L131</f>
        <v>0</v>
      </c>
      <c r="AL131" s="44">
        <f t="shared" si="53"/>
        <v>66699.972428128414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66699.972428128414</v>
      </c>
      <c r="AN131" s="48">
        <f t="shared" si="54"/>
        <v>73369.969670941267</v>
      </c>
      <c r="AO131" s="47">
        <f t="shared" si="55"/>
        <v>1.7512518895483784</v>
      </c>
      <c r="AP131" s="47">
        <f t="shared" si="56"/>
        <v>2.1669182315466609</v>
      </c>
      <c r="AQ131">
        <v>2020</v>
      </c>
    </row>
    <row r="132" spans="2:43">
      <c r="B132" s="97" t="s">
        <v>70</v>
      </c>
      <c r="C132" s="61">
        <v>18231134</v>
      </c>
      <c r="D132" s="61" t="s">
        <v>176</v>
      </c>
      <c r="E132" s="38" t="s">
        <v>2277</v>
      </c>
      <c r="F132" s="39" t="s">
        <v>1323</v>
      </c>
      <c r="G132" s="39">
        <v>12</v>
      </c>
      <c r="H132" s="39"/>
      <c r="I132" s="40" t="s">
        <v>257</v>
      </c>
      <c r="J132" s="41">
        <v>22</v>
      </c>
      <c r="K132" s="41">
        <v>367</v>
      </c>
      <c r="L132" s="41"/>
      <c r="M132" s="42">
        <v>127</v>
      </c>
      <c r="N132" s="42">
        <v>127</v>
      </c>
      <c r="O132" s="43">
        <v>8074</v>
      </c>
      <c r="P132" s="44">
        <v>2794</v>
      </c>
      <c r="Q132" s="44">
        <v>2794</v>
      </c>
      <c r="R132" s="45">
        <v>0</v>
      </c>
      <c r="S132" s="46">
        <v>0</v>
      </c>
      <c r="T132" s="39">
        <f t="shared" si="38"/>
        <v>12</v>
      </c>
      <c r="U132" s="47">
        <f t="shared" si="39"/>
        <v>4.0469088783092969E-3</v>
      </c>
      <c r="V132" s="48">
        <f t="shared" si="40"/>
        <v>0</v>
      </c>
      <c r="W132" s="49">
        <f t="shared" si="41"/>
        <v>3.3724240652577471E-4</v>
      </c>
      <c r="X132" s="44">
        <f t="shared" si="42"/>
        <v>830.63447511325171</v>
      </c>
      <c r="Y132" s="44">
        <f t="shared" si="43"/>
        <v>0</v>
      </c>
      <c r="Z132" s="44">
        <f t="shared" si="44"/>
        <v>4273.3891087720185</v>
      </c>
      <c r="AA132" s="50">
        <f t="shared" si="45"/>
        <v>3624.6344751132519</v>
      </c>
      <c r="AB132" s="51">
        <f t="shared" si="46"/>
        <v>3994.9416740880793</v>
      </c>
      <c r="AC132" s="44">
        <f t="shared" si="47"/>
        <v>3388.4588904489592</v>
      </c>
      <c r="AD132" s="44">
        <f t="shared" si="48"/>
        <v>0</v>
      </c>
      <c r="AE132" s="44">
        <f t="shared" si="49"/>
        <v>0</v>
      </c>
      <c r="AF132" s="52">
        <f>HLOOKUP(I132,ElecAvoidedCostsWOCC!$A$5:$Q$50,G132+1,FALSE)</f>
        <v>0.86650348716649883</v>
      </c>
      <c r="AG132" s="44">
        <f t="shared" si="50"/>
        <v>6996.1491553823107</v>
      </c>
      <c r="AH132" s="52">
        <f>HLOOKUP(I132,ElecAvoidedCostsWOCC!$A$5:$Q$50,T132+1,FALSE)</f>
        <v>0.86650348716649883</v>
      </c>
      <c r="AI132" s="44">
        <f t="shared" si="51"/>
        <v>0</v>
      </c>
      <c r="AJ132" s="44">
        <f t="shared" si="52"/>
        <v>6996.1491553823107</v>
      </c>
      <c r="AK132" s="44">
        <f>HLOOKUP(I132,ElecAvoidedCostsWOCC!$A$5:$Q$50,G132+1,FALSE)*J132*L132</f>
        <v>0</v>
      </c>
      <c r="AL132" s="44">
        <f t="shared" si="53"/>
        <v>6996.1491553823107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6996.1491553823125</v>
      </c>
      <c r="AN132" s="48">
        <f t="shared" si="54"/>
        <v>7695.7640709205443</v>
      </c>
      <c r="AO132" s="47">
        <f t="shared" si="55"/>
        <v>1.7512518895483788</v>
      </c>
      <c r="AP132" s="47">
        <f t="shared" si="56"/>
        <v>2.2711693780947368</v>
      </c>
      <c r="AQ132">
        <v>2020</v>
      </c>
    </row>
    <row r="133" spans="2:43">
      <c r="B133" s="97" t="s">
        <v>70</v>
      </c>
      <c r="C133" s="61">
        <v>18231134</v>
      </c>
      <c r="D133" s="61" t="s">
        <v>176</v>
      </c>
      <c r="E133" s="38" t="s">
        <v>1322</v>
      </c>
      <c r="F133" s="39" t="s">
        <v>1323</v>
      </c>
      <c r="G133" s="39">
        <v>12</v>
      </c>
      <c r="H133" s="39"/>
      <c r="I133" s="40" t="s">
        <v>257</v>
      </c>
      <c r="J133" s="41">
        <v>445</v>
      </c>
      <c r="K133" s="41">
        <v>363</v>
      </c>
      <c r="L133" s="41"/>
      <c r="M133" s="42">
        <v>127</v>
      </c>
      <c r="N133" s="42">
        <v>127</v>
      </c>
      <c r="O133" s="43">
        <v>161535</v>
      </c>
      <c r="P133" s="44">
        <v>56515</v>
      </c>
      <c r="Q133" s="44">
        <v>56515</v>
      </c>
      <c r="R133" s="45">
        <v>0</v>
      </c>
      <c r="S133" s="46">
        <v>0</v>
      </c>
      <c r="T133" s="39">
        <f t="shared" si="38"/>
        <v>12</v>
      </c>
      <c r="U133" s="47">
        <f t="shared" si="39"/>
        <v>8.0965745065356975E-2</v>
      </c>
      <c r="V133" s="48">
        <f t="shared" si="40"/>
        <v>0</v>
      </c>
      <c r="W133" s="49">
        <f t="shared" si="41"/>
        <v>6.747145422113081E-3</v>
      </c>
      <c r="X133" s="44">
        <f t="shared" si="42"/>
        <v>16618.347775256269</v>
      </c>
      <c r="Y133" s="44">
        <f t="shared" si="43"/>
        <v>0</v>
      </c>
      <c r="Z133" s="44">
        <f t="shared" si="44"/>
        <v>85496.892455472873</v>
      </c>
      <c r="AA133" s="50">
        <f t="shared" si="45"/>
        <v>73133.347775256261</v>
      </c>
      <c r="AB133" s="51">
        <f t="shared" si="46"/>
        <v>79926.046980903862</v>
      </c>
      <c r="AC133" s="44">
        <f t="shared" si="47"/>
        <v>68368.091778308168</v>
      </c>
      <c r="AD133" s="44">
        <f t="shared" si="48"/>
        <v>0</v>
      </c>
      <c r="AE133" s="44">
        <f t="shared" si="49"/>
        <v>0</v>
      </c>
      <c r="AF133" s="52">
        <f>HLOOKUP(I133,ElecAvoidedCostsWOCC!$A$5:$Q$50,G133+1,FALSE)</f>
        <v>0.86650348716649883</v>
      </c>
      <c r="AG133" s="44">
        <f t="shared" si="50"/>
        <v>139970.64079944039</v>
      </c>
      <c r="AH133" s="52">
        <f>HLOOKUP(I133,ElecAvoidedCostsWOCC!$A$5:$Q$50,T133+1,FALSE)</f>
        <v>0.86650348716649883</v>
      </c>
      <c r="AI133" s="44">
        <f t="shared" si="51"/>
        <v>0</v>
      </c>
      <c r="AJ133" s="44">
        <f t="shared" si="52"/>
        <v>139970.64079944039</v>
      </c>
      <c r="AK133" s="44">
        <f>HLOOKUP(I133,ElecAvoidedCostsWOCC!$A$5:$Q$50,G133+1,FALSE)*J133*L133</f>
        <v>0</v>
      </c>
      <c r="AL133" s="44">
        <f t="shared" si="53"/>
        <v>139970.64079944039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139970.64079944039</v>
      </c>
      <c r="AN133" s="48">
        <f t="shared" si="54"/>
        <v>153967.70487938443</v>
      </c>
      <c r="AO133" s="47">
        <f t="shared" si="55"/>
        <v>1.7512518895483788</v>
      </c>
      <c r="AP133" s="47">
        <f t="shared" si="56"/>
        <v>2.2520404018097127</v>
      </c>
      <c r="AQ133">
        <v>2020</v>
      </c>
    </row>
    <row r="134" spans="2:43">
      <c r="B134" s="97" t="s">
        <v>70</v>
      </c>
      <c r="C134" s="61">
        <v>18231134</v>
      </c>
      <c r="D134" s="61" t="s">
        <v>176</v>
      </c>
      <c r="E134" s="38" t="s">
        <v>2278</v>
      </c>
      <c r="F134" s="39" t="s">
        <v>1326</v>
      </c>
      <c r="G134" s="39">
        <v>12</v>
      </c>
      <c r="H134" s="39"/>
      <c r="I134" s="40" t="s">
        <v>257</v>
      </c>
      <c r="J134" s="41">
        <v>46</v>
      </c>
      <c r="K134" s="41">
        <v>834</v>
      </c>
      <c r="L134" s="41"/>
      <c r="M134" s="42">
        <v>127</v>
      </c>
      <c r="N134" s="42">
        <v>127</v>
      </c>
      <c r="O134" s="43">
        <v>38364</v>
      </c>
      <c r="P134" s="44">
        <v>5842</v>
      </c>
      <c r="Q134" s="44">
        <v>5842</v>
      </c>
      <c r="R134" s="45">
        <v>0</v>
      </c>
      <c r="S134" s="46">
        <v>0</v>
      </c>
      <c r="T134" s="39">
        <f t="shared" si="38"/>
        <v>12</v>
      </c>
      <c r="U134" s="47">
        <f t="shared" si="39"/>
        <v>1.922908251268985E-2</v>
      </c>
      <c r="V134" s="48">
        <f t="shared" si="40"/>
        <v>0</v>
      </c>
      <c r="W134" s="49">
        <f t="shared" si="41"/>
        <v>1.6024235427241542E-3</v>
      </c>
      <c r="X134" s="44">
        <f t="shared" si="42"/>
        <v>3946.7997279223168</v>
      </c>
      <c r="Y134" s="44">
        <f t="shared" si="43"/>
        <v>0</v>
      </c>
      <c r="Z134" s="44">
        <f t="shared" si="44"/>
        <v>20305.21423940175</v>
      </c>
      <c r="AA134" s="50">
        <f t="shared" si="45"/>
        <v>9788.7997279223164</v>
      </c>
      <c r="AB134" s="51">
        <f t="shared" si="46"/>
        <v>18982.157838087078</v>
      </c>
      <c r="AC134" s="44">
        <f t="shared" si="47"/>
        <v>9150.9766550643308</v>
      </c>
      <c r="AD134" s="44">
        <f t="shared" si="48"/>
        <v>0</v>
      </c>
      <c r="AE134" s="44">
        <f t="shared" si="49"/>
        <v>0</v>
      </c>
      <c r="AF134" s="52">
        <f>HLOOKUP(I134,ElecAvoidedCostsWOCC!$A$5:$Q$50,G134+1,FALSE)</f>
        <v>0.86650348716649883</v>
      </c>
      <c r="AG134" s="44">
        <f t="shared" si="50"/>
        <v>33242.539781655563</v>
      </c>
      <c r="AH134" s="52">
        <f>HLOOKUP(I134,ElecAvoidedCostsWOCC!$A$5:$Q$50,T134+1,FALSE)</f>
        <v>0.86650348716649883</v>
      </c>
      <c r="AI134" s="44">
        <f t="shared" si="51"/>
        <v>0</v>
      </c>
      <c r="AJ134" s="44">
        <f t="shared" si="52"/>
        <v>33242.539781655563</v>
      </c>
      <c r="AK134" s="44">
        <f>HLOOKUP(I134,ElecAvoidedCostsWOCC!$A$5:$Q$50,G134+1,FALSE)*J134*L134</f>
        <v>0</v>
      </c>
      <c r="AL134" s="44">
        <f t="shared" si="53"/>
        <v>33242.539781655563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33242.539781655556</v>
      </c>
      <c r="AN134" s="48">
        <f t="shared" si="54"/>
        <v>36566.793759821114</v>
      </c>
      <c r="AO134" s="47">
        <f t="shared" si="55"/>
        <v>1.7512518895483784</v>
      </c>
      <c r="AP134" s="47">
        <f t="shared" si="56"/>
        <v>3.995944382568644</v>
      </c>
      <c r="AQ134">
        <v>2020</v>
      </c>
    </row>
    <row r="135" spans="2:43">
      <c r="B135" s="97" t="s">
        <v>70</v>
      </c>
      <c r="C135" s="61">
        <v>18231134</v>
      </c>
      <c r="D135" s="61" t="s">
        <v>176</v>
      </c>
      <c r="E135" s="38" t="s">
        <v>1327</v>
      </c>
      <c r="F135" s="39" t="s">
        <v>1328</v>
      </c>
      <c r="G135" s="39">
        <v>9</v>
      </c>
      <c r="H135" s="39"/>
      <c r="I135" s="40" t="s">
        <v>256</v>
      </c>
      <c r="J135" s="41">
        <v>48</v>
      </c>
      <c r="K135" s="41">
        <v>153.30000000000001</v>
      </c>
      <c r="L135" s="41"/>
      <c r="M135" s="42">
        <v>60</v>
      </c>
      <c r="N135" s="42">
        <v>60</v>
      </c>
      <c r="O135" s="43">
        <v>7358.4</v>
      </c>
      <c r="P135" s="44">
        <v>2880</v>
      </c>
      <c r="Q135" s="44">
        <v>2880</v>
      </c>
      <c r="R135" s="45"/>
      <c r="S135" s="46"/>
      <c r="T135" s="39">
        <f t="shared" si="38"/>
        <v>9</v>
      </c>
      <c r="U135" s="47">
        <f t="shared" si="39"/>
        <v>2.7661729895483459E-3</v>
      </c>
      <c r="V135" s="48">
        <f t="shared" si="40"/>
        <v>0</v>
      </c>
      <c r="W135" s="49">
        <f t="shared" si="41"/>
        <v>3.0735255439426064E-4</v>
      </c>
      <c r="X135" s="44">
        <f t="shared" si="42"/>
        <v>757.01519961275085</v>
      </c>
      <c r="Y135" s="44">
        <f t="shared" si="43"/>
        <v>0</v>
      </c>
      <c r="Z135" s="44">
        <f t="shared" si="44"/>
        <v>3894.637901658165</v>
      </c>
      <c r="AA135" s="50">
        <f t="shared" si="45"/>
        <v>3637.0151996127506</v>
      </c>
      <c r="AB135" s="51">
        <f t="shared" si="46"/>
        <v>3640.86931070222</v>
      </c>
      <c r="AC135" s="44">
        <f t="shared" si="47"/>
        <v>3400.0329060603444</v>
      </c>
      <c r="AD135" s="44">
        <f t="shared" si="48"/>
        <v>0</v>
      </c>
      <c r="AE135" s="44">
        <f t="shared" si="49"/>
        <v>0</v>
      </c>
      <c r="AF135" s="52">
        <f>HLOOKUP(I135,ElecAvoidedCostsWOCC!$A$5:$Q$50,G135+1,FALSE)</f>
        <v>0.63677272899882087</v>
      </c>
      <c r="AG135" s="44">
        <f t="shared" si="50"/>
        <v>4685.6284490649232</v>
      </c>
      <c r="AH135" s="52">
        <f>HLOOKUP(I135,ElecAvoidedCostsWOCC!$A$5:$Q$50,T135+1,FALSE)</f>
        <v>0.63677272899882087</v>
      </c>
      <c r="AI135" s="44">
        <f t="shared" si="51"/>
        <v>0</v>
      </c>
      <c r="AJ135" s="44">
        <f t="shared" si="52"/>
        <v>4685.6284490649232</v>
      </c>
      <c r="AK135" s="44">
        <f>HLOOKUP(I135,ElecAvoidedCostsWOCC!$A$5:$Q$50,G135+1,FALSE)*J135*L135</f>
        <v>0</v>
      </c>
      <c r="AL135" s="44">
        <f t="shared" si="53"/>
        <v>4685.6284490649232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4685.6284490649241</v>
      </c>
      <c r="AN135" s="48">
        <f t="shared" si="54"/>
        <v>5154.1912939714166</v>
      </c>
      <c r="AO135" s="47">
        <f t="shared" si="55"/>
        <v>1.2869532106773698</v>
      </c>
      <c r="AP135" s="47">
        <f t="shared" si="56"/>
        <v>1.5159239443784192</v>
      </c>
      <c r="AQ135">
        <v>2020</v>
      </c>
    </row>
    <row r="136" spans="2:43">
      <c r="B136" s="97" t="s">
        <v>70</v>
      </c>
      <c r="C136" s="61">
        <v>18231134</v>
      </c>
      <c r="D136" s="61" t="s">
        <v>176</v>
      </c>
      <c r="E136" s="38" t="s">
        <v>2279</v>
      </c>
      <c r="F136" s="39" t="s">
        <v>1331</v>
      </c>
      <c r="G136" s="39">
        <v>16</v>
      </c>
      <c r="H136" s="39"/>
      <c r="I136" s="40" t="s">
        <v>257</v>
      </c>
      <c r="J136" s="41">
        <v>1</v>
      </c>
      <c r="K136" s="41">
        <v>408</v>
      </c>
      <c r="L136" s="41"/>
      <c r="M136" s="42">
        <v>130.65</v>
      </c>
      <c r="N136" s="42">
        <v>130.65</v>
      </c>
      <c r="O136" s="43">
        <v>408</v>
      </c>
      <c r="P136" s="44">
        <v>130.65</v>
      </c>
      <c r="Q136" s="44">
        <v>130.65</v>
      </c>
      <c r="R136" s="45">
        <v>0</v>
      </c>
      <c r="S136" s="46">
        <v>0</v>
      </c>
      <c r="T136" s="39">
        <f t="shared" si="38"/>
        <v>16</v>
      </c>
      <c r="U136" s="47">
        <f t="shared" si="39"/>
        <v>2.7266762816451046E-4</v>
      </c>
      <c r="V136" s="48">
        <f t="shared" si="40"/>
        <v>0</v>
      </c>
      <c r="W136" s="49">
        <f t="shared" si="41"/>
        <v>1.7041726760281904E-5</v>
      </c>
      <c r="X136" s="44">
        <f t="shared" si="42"/>
        <v>41.974097825886389</v>
      </c>
      <c r="Y136" s="44">
        <f t="shared" si="43"/>
        <v>0</v>
      </c>
      <c r="Z136" s="44">
        <f t="shared" si="44"/>
        <v>215.94535005932423</v>
      </c>
      <c r="AA136" s="50">
        <f t="shared" si="45"/>
        <v>172.62409782588639</v>
      </c>
      <c r="AB136" s="51">
        <f t="shared" si="46"/>
        <v>201.87468454643752</v>
      </c>
      <c r="AC136" s="44">
        <f t="shared" si="47"/>
        <v>161.37617820499801</v>
      </c>
      <c r="AD136" s="44">
        <f t="shared" si="48"/>
        <v>0</v>
      </c>
      <c r="AE136" s="44">
        <f t="shared" si="49"/>
        <v>0</v>
      </c>
      <c r="AF136" s="52">
        <f>HLOOKUP(I136,ElecAvoidedCostsWOCC!$A$5:$Q$50,G136+1,FALSE)</f>
        <v>1.1126010938169359</v>
      </c>
      <c r="AG136" s="44">
        <f t="shared" si="50"/>
        <v>453.94124627730986</v>
      </c>
      <c r="AH136" s="52">
        <f>HLOOKUP(I136,ElecAvoidedCostsWOCC!$A$5:$Q$50,T136+1,FALSE)</f>
        <v>1.1126010938169359</v>
      </c>
      <c r="AI136" s="44">
        <f t="shared" si="51"/>
        <v>0</v>
      </c>
      <c r="AJ136" s="44">
        <f t="shared" si="52"/>
        <v>453.94124627730986</v>
      </c>
      <c r="AK136" s="44">
        <f>HLOOKUP(I136,ElecAvoidedCostsWOCC!$A$5:$Q$50,G136+1,FALSE)*J136*L136</f>
        <v>0</v>
      </c>
      <c r="AL136" s="44">
        <f t="shared" si="53"/>
        <v>453.94124627730986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453.94124627730986</v>
      </c>
      <c r="AN136" s="48">
        <f t="shared" si="54"/>
        <v>499.33537090504086</v>
      </c>
      <c r="AO136" s="47">
        <f t="shared" si="55"/>
        <v>2.248628882304899</v>
      </c>
      <c r="AP136" s="47">
        <f t="shared" si="56"/>
        <v>3.0942322247260647</v>
      </c>
      <c r="AQ136">
        <v>2020</v>
      </c>
    </row>
    <row r="137" spans="2:43">
      <c r="B137" s="97" t="s">
        <v>70</v>
      </c>
      <c r="C137" s="61">
        <v>18231134</v>
      </c>
      <c r="D137" s="61" t="s">
        <v>176</v>
      </c>
      <c r="E137" s="38" t="s">
        <v>2280</v>
      </c>
      <c r="F137" s="39" t="s">
        <v>1331</v>
      </c>
      <c r="G137" s="39">
        <v>16</v>
      </c>
      <c r="H137" s="39"/>
      <c r="I137" s="40" t="s">
        <v>257</v>
      </c>
      <c r="J137" s="41">
        <v>1</v>
      </c>
      <c r="K137" s="41">
        <v>92</v>
      </c>
      <c r="L137" s="41"/>
      <c r="M137" s="42">
        <v>130.65</v>
      </c>
      <c r="N137" s="42">
        <v>130.65</v>
      </c>
      <c r="O137" s="43">
        <v>92</v>
      </c>
      <c r="P137" s="44">
        <v>130.65</v>
      </c>
      <c r="Q137" s="44">
        <v>130.65</v>
      </c>
      <c r="R137" s="45">
        <v>0</v>
      </c>
      <c r="S137" s="46">
        <v>0</v>
      </c>
      <c r="T137" s="39">
        <f t="shared" si="38"/>
        <v>16</v>
      </c>
      <c r="U137" s="47">
        <f t="shared" si="39"/>
        <v>6.1483876939056277E-5</v>
      </c>
      <c r="V137" s="48">
        <f t="shared" si="40"/>
        <v>0</v>
      </c>
      <c r="W137" s="49">
        <f t="shared" si="41"/>
        <v>3.8427423086910173E-6</v>
      </c>
      <c r="X137" s="44">
        <f t="shared" si="42"/>
        <v>9.4647475489743815</v>
      </c>
      <c r="Y137" s="44">
        <f t="shared" si="43"/>
        <v>0</v>
      </c>
      <c r="Z137" s="44">
        <f t="shared" si="44"/>
        <v>48.69355932710252</v>
      </c>
      <c r="AA137" s="50">
        <f t="shared" si="45"/>
        <v>140.11474754897438</v>
      </c>
      <c r="AB137" s="51">
        <f t="shared" si="46"/>
        <v>45.520762201647671</v>
      </c>
      <c r="AC137" s="44">
        <f t="shared" si="47"/>
        <v>130.98508698604689</v>
      </c>
      <c r="AD137" s="44">
        <f t="shared" si="48"/>
        <v>0</v>
      </c>
      <c r="AE137" s="44">
        <f t="shared" si="49"/>
        <v>0</v>
      </c>
      <c r="AF137" s="52">
        <f>HLOOKUP(I137,ElecAvoidedCostsWOCC!$A$5:$Q$50,G137+1,FALSE)</f>
        <v>1.1126010938169359</v>
      </c>
      <c r="AG137" s="44">
        <f t="shared" si="50"/>
        <v>102.35930063115811</v>
      </c>
      <c r="AH137" s="52">
        <f>HLOOKUP(I137,ElecAvoidedCostsWOCC!$A$5:$Q$50,T137+1,FALSE)</f>
        <v>1.1126010938169359</v>
      </c>
      <c r="AI137" s="44">
        <f t="shared" si="51"/>
        <v>0</v>
      </c>
      <c r="AJ137" s="44">
        <f t="shared" si="52"/>
        <v>102.35930063115811</v>
      </c>
      <c r="AK137" s="44">
        <f>HLOOKUP(I137,ElecAvoidedCostsWOCC!$A$5:$Q$50,G137+1,FALSE)*J137*L137</f>
        <v>0</v>
      </c>
      <c r="AL137" s="44">
        <f t="shared" si="53"/>
        <v>102.35930063115811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102.35930063115811</v>
      </c>
      <c r="AN137" s="48">
        <f t="shared" si="54"/>
        <v>112.59523069427392</v>
      </c>
      <c r="AO137" s="47">
        <f t="shared" si="55"/>
        <v>2.2486288823048994</v>
      </c>
      <c r="AP137" s="47">
        <f t="shared" si="56"/>
        <v>0.85960343490299829</v>
      </c>
      <c r="AQ137">
        <v>2020</v>
      </c>
    </row>
    <row r="138" spans="2:43">
      <c r="B138" s="97" t="s">
        <v>70</v>
      </c>
      <c r="C138" s="61">
        <v>18231134</v>
      </c>
      <c r="D138" s="61" t="s">
        <v>176</v>
      </c>
      <c r="E138" s="38" t="s">
        <v>2281</v>
      </c>
      <c r="F138" s="39" t="s">
        <v>2282</v>
      </c>
      <c r="G138" s="39">
        <v>10</v>
      </c>
      <c r="H138" s="39"/>
      <c r="I138" s="40" t="s">
        <v>257</v>
      </c>
      <c r="J138" s="41">
        <v>2</v>
      </c>
      <c r="K138" s="41">
        <v>231</v>
      </c>
      <c r="L138" s="41"/>
      <c r="M138" s="42">
        <v>68</v>
      </c>
      <c r="N138" s="42">
        <v>68</v>
      </c>
      <c r="O138" s="43">
        <v>462</v>
      </c>
      <c r="P138" s="44">
        <v>136</v>
      </c>
      <c r="Q138" s="44">
        <v>136</v>
      </c>
      <c r="R138" s="45">
        <v>0</v>
      </c>
      <c r="S138" s="46">
        <v>0</v>
      </c>
      <c r="T138" s="39">
        <f t="shared" si="38"/>
        <v>10</v>
      </c>
      <c r="U138" s="47">
        <f t="shared" si="39"/>
        <v>1.9297249419730978E-4</v>
      </c>
      <c r="V138" s="48">
        <f t="shared" si="40"/>
        <v>0</v>
      </c>
      <c r="W138" s="49">
        <f t="shared" si="41"/>
        <v>1.9297249419730978E-5</v>
      </c>
      <c r="X138" s="44">
        <f t="shared" si="42"/>
        <v>47.529493126371349</v>
      </c>
      <c r="Y138" s="44">
        <f t="shared" si="43"/>
        <v>0</v>
      </c>
      <c r="Z138" s="44">
        <f t="shared" si="44"/>
        <v>244.52635227305831</v>
      </c>
      <c r="AA138" s="50">
        <f t="shared" si="45"/>
        <v>183.52949312637134</v>
      </c>
      <c r="AB138" s="51">
        <f t="shared" si="46"/>
        <v>228.5933927952307</v>
      </c>
      <c r="AC138" s="44">
        <f t="shared" si="47"/>
        <v>171.57099478954035</v>
      </c>
      <c r="AD138" s="44">
        <f t="shared" si="48"/>
        <v>0</v>
      </c>
      <c r="AE138" s="44">
        <f t="shared" si="49"/>
        <v>0</v>
      </c>
      <c r="AF138" s="52">
        <f>HLOOKUP(I138,ElecAvoidedCostsWOCC!$A$5:$Q$50,G138+1,FALSE)</f>
        <v>0.7278724357900942</v>
      </c>
      <c r="AG138" s="44">
        <f t="shared" si="50"/>
        <v>336.27706533502351</v>
      </c>
      <c r="AH138" s="52">
        <f>HLOOKUP(I138,ElecAvoidedCostsWOCC!$A$5:$Q$50,T138+1,FALSE)</f>
        <v>0.7278724357900942</v>
      </c>
      <c r="AI138" s="44">
        <f t="shared" si="51"/>
        <v>0</v>
      </c>
      <c r="AJ138" s="44">
        <f t="shared" si="52"/>
        <v>336.27706533502351</v>
      </c>
      <c r="AK138" s="44">
        <f>HLOOKUP(I138,ElecAvoidedCostsWOCC!$A$5:$Q$50,G138+1,FALSE)*J138*L138</f>
        <v>0</v>
      </c>
      <c r="AL138" s="44">
        <f t="shared" si="53"/>
        <v>336.27706533502351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336.27706533502351</v>
      </c>
      <c r="AN138" s="48">
        <f t="shared" si="54"/>
        <v>369.90477186852587</v>
      </c>
      <c r="AO138" s="47">
        <f t="shared" si="55"/>
        <v>1.4710708005294522</v>
      </c>
      <c r="AP138" s="47">
        <f t="shared" si="56"/>
        <v>2.1559866358662432</v>
      </c>
      <c r="AQ138">
        <v>2020</v>
      </c>
    </row>
    <row r="139" spans="2:43">
      <c r="B139" s="97" t="s">
        <v>70</v>
      </c>
      <c r="C139" s="61">
        <v>18231134</v>
      </c>
      <c r="D139" s="61" t="s">
        <v>176</v>
      </c>
      <c r="E139" s="38" t="s">
        <v>2283</v>
      </c>
      <c r="F139" s="39" t="s">
        <v>2284</v>
      </c>
      <c r="G139" s="39">
        <v>10</v>
      </c>
      <c r="H139" s="39"/>
      <c r="I139" s="40" t="s">
        <v>257</v>
      </c>
      <c r="J139" s="41">
        <v>24</v>
      </c>
      <c r="K139" s="41">
        <v>36</v>
      </c>
      <c r="L139" s="41"/>
      <c r="M139" s="42">
        <v>68</v>
      </c>
      <c r="N139" s="42">
        <v>68</v>
      </c>
      <c r="O139" s="43">
        <v>864</v>
      </c>
      <c r="P139" s="44">
        <v>1632</v>
      </c>
      <c r="Q139" s="44">
        <v>1632</v>
      </c>
      <c r="R139" s="45">
        <v>0</v>
      </c>
      <c r="S139" s="46">
        <v>0</v>
      </c>
      <c r="T139" s="39">
        <f t="shared" si="38"/>
        <v>10</v>
      </c>
      <c r="U139" s="47">
        <f t="shared" si="39"/>
        <v>3.6088362551185205E-4</v>
      </c>
      <c r="V139" s="48">
        <f t="shared" si="40"/>
        <v>0</v>
      </c>
      <c r="W139" s="49">
        <f t="shared" si="41"/>
        <v>3.6088362551185204E-5</v>
      </c>
      <c r="X139" s="44">
        <f t="shared" si="42"/>
        <v>88.886324807759408</v>
      </c>
      <c r="Y139" s="44">
        <f t="shared" si="43"/>
        <v>0</v>
      </c>
      <c r="Z139" s="44">
        <f t="shared" si="44"/>
        <v>457.29603541974541</v>
      </c>
      <c r="AA139" s="50">
        <f t="shared" si="45"/>
        <v>1720.8863248077594</v>
      </c>
      <c r="AB139" s="51">
        <f t="shared" si="46"/>
        <v>427.49933198069118</v>
      </c>
      <c r="AC139" s="44">
        <f t="shared" si="47"/>
        <v>1608.7560295482465</v>
      </c>
      <c r="AD139" s="44">
        <f t="shared" si="48"/>
        <v>0</v>
      </c>
      <c r="AE139" s="44">
        <f t="shared" si="49"/>
        <v>0</v>
      </c>
      <c r="AF139" s="52">
        <f>HLOOKUP(I139,ElecAvoidedCostsWOCC!$A$5:$Q$50,G139+1,FALSE)</f>
        <v>0.7278724357900942</v>
      </c>
      <c r="AG139" s="44">
        <f t="shared" si="50"/>
        <v>628.8817845226414</v>
      </c>
      <c r="AH139" s="52">
        <f>HLOOKUP(I139,ElecAvoidedCostsWOCC!$A$5:$Q$50,T139+1,FALSE)</f>
        <v>0.7278724357900942</v>
      </c>
      <c r="AI139" s="44">
        <f t="shared" si="51"/>
        <v>0</v>
      </c>
      <c r="AJ139" s="44">
        <f t="shared" si="52"/>
        <v>628.8817845226414</v>
      </c>
      <c r="AK139" s="44">
        <f>HLOOKUP(I139,ElecAvoidedCostsWOCC!$A$5:$Q$50,G139+1,FALSE)*J139*L139</f>
        <v>0</v>
      </c>
      <c r="AL139" s="44">
        <f t="shared" si="53"/>
        <v>628.8817845226414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628.8817845226414</v>
      </c>
      <c r="AN139" s="48">
        <f t="shared" si="54"/>
        <v>691.76996297490564</v>
      </c>
      <c r="AO139" s="47">
        <f t="shared" si="55"/>
        <v>1.4710708005294522</v>
      </c>
      <c r="AP139" s="47">
        <f t="shared" si="56"/>
        <v>0.43000302735099055</v>
      </c>
      <c r="AQ139">
        <v>2020</v>
      </c>
    </row>
    <row r="140" spans="2:43">
      <c r="B140" s="97" t="s">
        <v>70</v>
      </c>
      <c r="C140" s="61">
        <v>18231134</v>
      </c>
      <c r="D140" s="61" t="s">
        <v>176</v>
      </c>
      <c r="E140" s="38" t="s">
        <v>2287</v>
      </c>
      <c r="F140" s="39" t="s">
        <v>2288</v>
      </c>
      <c r="G140" s="39">
        <v>4</v>
      </c>
      <c r="H140" s="39"/>
      <c r="I140" s="40" t="s">
        <v>255</v>
      </c>
      <c r="J140" s="41">
        <v>1</v>
      </c>
      <c r="K140" s="41">
        <v>34</v>
      </c>
      <c r="L140" s="41"/>
      <c r="M140" s="42">
        <v>0</v>
      </c>
      <c r="N140" s="42">
        <v>0</v>
      </c>
      <c r="O140" s="43">
        <v>34</v>
      </c>
      <c r="P140" s="44">
        <v>0</v>
      </c>
      <c r="Q140" s="44">
        <v>0</v>
      </c>
      <c r="R140" s="45">
        <v>0</v>
      </c>
      <c r="S140" s="46">
        <v>0</v>
      </c>
      <c r="T140" s="39">
        <f t="shared" si="38"/>
        <v>4</v>
      </c>
      <c r="U140" s="47">
        <f t="shared" si="39"/>
        <v>5.6805755867606344E-6</v>
      </c>
      <c r="V140" s="48">
        <f t="shared" si="40"/>
        <v>0</v>
      </c>
      <c r="W140" s="49">
        <f t="shared" si="41"/>
        <v>1.4201438966901586E-6</v>
      </c>
      <c r="X140" s="44">
        <f t="shared" si="42"/>
        <v>3.4978414854905324</v>
      </c>
      <c r="Y140" s="44">
        <f t="shared" si="43"/>
        <v>0</v>
      </c>
      <c r="Z140" s="44">
        <f t="shared" si="44"/>
        <v>17.995445838277021</v>
      </c>
      <c r="AA140" s="50">
        <f t="shared" si="45"/>
        <v>3.4978414854905324</v>
      </c>
      <c r="AB140" s="51">
        <f t="shared" si="46"/>
        <v>16.822890378869793</v>
      </c>
      <c r="AC140" s="44">
        <f t="shared" si="47"/>
        <v>3.269927536216259</v>
      </c>
      <c r="AD140" s="44">
        <f t="shared" si="48"/>
        <v>0</v>
      </c>
      <c r="AE140" s="44">
        <f t="shared" si="49"/>
        <v>0</v>
      </c>
      <c r="AF140" s="52">
        <f>HLOOKUP(I140,ElecAvoidedCostsWOCC!$A$5:$Q$50,G140+1,FALSE)</f>
        <v>0.28227359464993806</v>
      </c>
      <c r="AG140" s="44">
        <f t="shared" si="50"/>
        <v>9.5973022180978944</v>
      </c>
      <c r="AH140" s="52">
        <f>HLOOKUP(I140,ElecAvoidedCostsWOCC!$A$5:$Q$50,T140+1,FALSE)</f>
        <v>0.28227359464993806</v>
      </c>
      <c r="AI140" s="44">
        <f t="shared" si="51"/>
        <v>0</v>
      </c>
      <c r="AJ140" s="44">
        <f t="shared" si="52"/>
        <v>9.5973022180978944</v>
      </c>
      <c r="AK140" s="44">
        <f>HLOOKUP(I140,ElecAvoidedCostsWOCC!$A$5:$Q$50,G140+1,FALSE)*J140*L140</f>
        <v>0</v>
      </c>
      <c r="AL140" s="44">
        <f t="shared" si="53"/>
        <v>9.5973022180978944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9.5973022180978944</v>
      </c>
      <c r="AN140" s="48">
        <f t="shared" si="54"/>
        <v>10.557032439907685</v>
      </c>
      <c r="AO140" s="47">
        <f t="shared" si="55"/>
        <v>0.57049068275166792</v>
      </c>
      <c r="AP140" s="47">
        <f t="shared" si="56"/>
        <v>3.2285218320536777</v>
      </c>
      <c r="AQ140">
        <v>2020</v>
      </c>
    </row>
    <row r="141" spans="2:43">
      <c r="B141" s="97" t="s">
        <v>70</v>
      </c>
      <c r="C141" s="61">
        <v>18231134</v>
      </c>
      <c r="D141" s="61" t="s">
        <v>176</v>
      </c>
      <c r="E141" s="38" t="s">
        <v>2289</v>
      </c>
      <c r="F141" s="39" t="s">
        <v>1343</v>
      </c>
      <c r="G141" s="39">
        <v>15</v>
      </c>
      <c r="H141" s="39"/>
      <c r="I141" s="40" t="s">
        <v>257</v>
      </c>
      <c r="J141" s="41">
        <v>9</v>
      </c>
      <c r="K141" s="41">
        <v>1216</v>
      </c>
      <c r="L141" s="41"/>
      <c r="M141" s="42">
        <v>239.32</v>
      </c>
      <c r="N141" s="42">
        <v>239.32</v>
      </c>
      <c r="O141" s="43">
        <v>10944</v>
      </c>
      <c r="P141" s="44">
        <v>2153.88</v>
      </c>
      <c r="Q141" s="44">
        <v>2153.88</v>
      </c>
      <c r="R141" s="45">
        <v>0</v>
      </c>
      <c r="S141" s="46">
        <v>0</v>
      </c>
      <c r="T141" s="39">
        <f t="shared" si="38"/>
        <v>15</v>
      </c>
      <c r="U141" s="47">
        <f t="shared" si="39"/>
        <v>6.8567888847251889E-3</v>
      </c>
      <c r="V141" s="48">
        <f t="shared" si="40"/>
        <v>0</v>
      </c>
      <c r="W141" s="49">
        <f t="shared" si="41"/>
        <v>4.5711925898167928E-4</v>
      </c>
      <c r="X141" s="44">
        <f t="shared" si="42"/>
        <v>1125.8934475649526</v>
      </c>
      <c r="Y141" s="44">
        <f t="shared" si="43"/>
        <v>0</v>
      </c>
      <c r="Z141" s="44">
        <f t="shared" si="44"/>
        <v>5792.4164486501086</v>
      </c>
      <c r="AA141" s="50">
        <f t="shared" si="45"/>
        <v>3279.7734475649527</v>
      </c>
      <c r="AB141" s="51">
        <f t="shared" si="46"/>
        <v>5414.9915384220885</v>
      </c>
      <c r="AC141" s="44">
        <f t="shared" si="47"/>
        <v>3066.0684748667404</v>
      </c>
      <c r="AD141" s="44">
        <f t="shared" si="48"/>
        <v>0</v>
      </c>
      <c r="AE141" s="44">
        <f t="shared" si="49"/>
        <v>0</v>
      </c>
      <c r="AF141" s="52">
        <f>HLOOKUP(I141,ElecAvoidedCostsWOCC!$A$5:$Q$50,G141+1,FALSE)</f>
        <v>1.0545904948077327</v>
      </c>
      <c r="AG141" s="44">
        <f t="shared" si="50"/>
        <v>11541.438375175829</v>
      </c>
      <c r="AH141" s="52">
        <f>HLOOKUP(I141,ElecAvoidedCostsWOCC!$A$5:$Q$50,T141+1,FALSE)</f>
        <v>1.0545904948077327</v>
      </c>
      <c r="AI141" s="44">
        <f t="shared" si="51"/>
        <v>0</v>
      </c>
      <c r="AJ141" s="44">
        <f t="shared" si="52"/>
        <v>11541.438375175829</v>
      </c>
      <c r="AK141" s="44">
        <f>HLOOKUP(I141,ElecAvoidedCostsWOCC!$A$5:$Q$50,G141+1,FALSE)*J141*L141</f>
        <v>0</v>
      </c>
      <c r="AL141" s="44">
        <f t="shared" si="53"/>
        <v>11541.438375175829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11541.438375175827</v>
      </c>
      <c r="AN141" s="48">
        <f t="shared" si="54"/>
        <v>12695.582212693411</v>
      </c>
      <c r="AO141" s="47">
        <f t="shared" si="55"/>
        <v>2.1313862253123603</v>
      </c>
      <c r="AP141" s="47">
        <f t="shared" si="56"/>
        <v>4.1406714549143251</v>
      </c>
      <c r="AQ141">
        <v>2020</v>
      </c>
    </row>
    <row r="142" spans="2:43">
      <c r="B142" s="97" t="s">
        <v>70</v>
      </c>
      <c r="C142" s="61">
        <v>18231134</v>
      </c>
      <c r="D142" s="61" t="s">
        <v>176</v>
      </c>
      <c r="E142" s="38" t="s">
        <v>1342</v>
      </c>
      <c r="F142" s="39" t="s">
        <v>1343</v>
      </c>
      <c r="G142" s="39">
        <v>15</v>
      </c>
      <c r="H142" s="39"/>
      <c r="I142" s="40" t="s">
        <v>257</v>
      </c>
      <c r="J142" s="41">
        <v>816</v>
      </c>
      <c r="K142" s="41">
        <v>1206</v>
      </c>
      <c r="L142" s="41"/>
      <c r="M142" s="42">
        <v>239.32</v>
      </c>
      <c r="N142" s="42">
        <v>239.32</v>
      </c>
      <c r="O142" s="43">
        <v>984096</v>
      </c>
      <c r="P142" s="44">
        <v>195285.12</v>
      </c>
      <c r="Q142" s="44">
        <v>195285.12</v>
      </c>
      <c r="R142" s="45">
        <v>0</v>
      </c>
      <c r="S142" s="46">
        <v>0</v>
      </c>
      <c r="T142" s="39">
        <f t="shared" si="38"/>
        <v>15</v>
      </c>
      <c r="U142" s="47">
        <f t="shared" si="39"/>
        <v>0.61656967418699926</v>
      </c>
      <c r="V142" s="48">
        <f t="shared" si="40"/>
        <v>0</v>
      </c>
      <c r="W142" s="49">
        <f t="shared" si="41"/>
        <v>4.1104644945799948E-2</v>
      </c>
      <c r="X142" s="44">
        <f t="shared" si="42"/>
        <v>101241.52395603796</v>
      </c>
      <c r="Y142" s="44">
        <f t="shared" si="43"/>
        <v>0</v>
      </c>
      <c r="Z142" s="44">
        <f t="shared" si="44"/>
        <v>520860.18434308999</v>
      </c>
      <c r="AA142" s="50">
        <f t="shared" si="45"/>
        <v>296526.64395603794</v>
      </c>
      <c r="AB142" s="51">
        <f t="shared" si="46"/>
        <v>486921.73912600725</v>
      </c>
      <c r="AC142" s="44">
        <f t="shared" si="47"/>
        <v>277205.42577922589</v>
      </c>
      <c r="AD142" s="44">
        <f t="shared" si="48"/>
        <v>0</v>
      </c>
      <c r="AE142" s="44">
        <f t="shared" si="49"/>
        <v>0</v>
      </c>
      <c r="AF142" s="52">
        <f>HLOOKUP(I142,ElecAvoidedCostsWOCC!$A$5:$Q$50,G142+1,FALSE)</f>
        <v>1.0545904948077327</v>
      </c>
      <c r="AG142" s="44">
        <f t="shared" si="50"/>
        <v>1037818.2875783106</v>
      </c>
      <c r="AH142" s="52">
        <f>HLOOKUP(I142,ElecAvoidedCostsWOCC!$A$5:$Q$50,T142+1,FALSE)</f>
        <v>1.0545904948077327</v>
      </c>
      <c r="AI142" s="44">
        <f t="shared" si="51"/>
        <v>0</v>
      </c>
      <c r="AJ142" s="44">
        <f t="shared" si="52"/>
        <v>1037818.2875783106</v>
      </c>
      <c r="AK142" s="44">
        <f>HLOOKUP(I142,ElecAvoidedCostsWOCC!$A$5:$Q$50,G142+1,FALSE)*J142*L142</f>
        <v>0</v>
      </c>
      <c r="AL142" s="44">
        <f t="shared" si="53"/>
        <v>1037818.2875783106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1037818.2875783105</v>
      </c>
      <c r="AN142" s="48">
        <f t="shared" si="54"/>
        <v>1141600.1163361417</v>
      </c>
      <c r="AO142" s="47">
        <f t="shared" si="55"/>
        <v>2.1313862253123603</v>
      </c>
      <c r="AP142" s="47">
        <f t="shared" si="56"/>
        <v>4.1182459294478013</v>
      </c>
      <c r="AQ142">
        <v>2020</v>
      </c>
    </row>
    <row r="143" spans="2:43">
      <c r="B143" s="97" t="s">
        <v>70</v>
      </c>
      <c r="C143" s="61">
        <v>18231134</v>
      </c>
      <c r="D143" s="61" t="s">
        <v>176</v>
      </c>
      <c r="E143" s="38" t="s">
        <v>2290</v>
      </c>
      <c r="F143" s="39" t="s">
        <v>2291</v>
      </c>
      <c r="G143" s="39">
        <v>12</v>
      </c>
      <c r="H143" s="39"/>
      <c r="I143" s="40" t="s">
        <v>257</v>
      </c>
      <c r="J143" s="41">
        <v>22</v>
      </c>
      <c r="K143" s="41">
        <v>326</v>
      </c>
      <c r="L143" s="41"/>
      <c r="M143" s="42">
        <v>135</v>
      </c>
      <c r="N143" s="42">
        <v>135</v>
      </c>
      <c r="O143" s="43">
        <v>7172</v>
      </c>
      <c r="P143" s="44">
        <v>2970</v>
      </c>
      <c r="Q143" s="44">
        <v>2970</v>
      </c>
      <c r="R143" s="45">
        <v>0</v>
      </c>
      <c r="S143" s="46">
        <v>0</v>
      </c>
      <c r="T143" s="39">
        <f t="shared" si="38"/>
        <v>12</v>
      </c>
      <c r="U143" s="47">
        <f t="shared" si="39"/>
        <v>3.5948018919041711E-3</v>
      </c>
      <c r="V143" s="48">
        <f t="shared" si="40"/>
        <v>0</v>
      </c>
      <c r="W143" s="49">
        <f t="shared" si="41"/>
        <v>2.9956682432534759E-4</v>
      </c>
      <c r="X143" s="44">
        <f t="shared" si="42"/>
        <v>737.83879805700292</v>
      </c>
      <c r="Y143" s="44">
        <f t="shared" si="43"/>
        <v>0</v>
      </c>
      <c r="Z143" s="44">
        <f t="shared" si="44"/>
        <v>3795.9805162389052</v>
      </c>
      <c r="AA143" s="50">
        <f t="shared" si="45"/>
        <v>3707.8387980570028</v>
      </c>
      <c r="AB143" s="51">
        <f t="shared" si="46"/>
        <v>3548.6402881545337</v>
      </c>
      <c r="AC143" s="44">
        <f t="shared" si="47"/>
        <v>3466.2417482069764</v>
      </c>
      <c r="AD143" s="44">
        <f t="shared" si="48"/>
        <v>0</v>
      </c>
      <c r="AE143" s="44">
        <f t="shared" si="49"/>
        <v>0</v>
      </c>
      <c r="AF143" s="52">
        <f>HLOOKUP(I143,ElecAvoidedCostsWOCC!$A$5:$Q$50,G143+1,FALSE)</f>
        <v>0.86650348716649883</v>
      </c>
      <c r="AG143" s="44">
        <f t="shared" si="50"/>
        <v>6214.5630099581294</v>
      </c>
      <c r="AH143" s="52">
        <f>HLOOKUP(I143,ElecAvoidedCostsWOCC!$A$5:$Q$50,T143+1,FALSE)</f>
        <v>0.86650348716649883</v>
      </c>
      <c r="AI143" s="44">
        <f t="shared" si="51"/>
        <v>0</v>
      </c>
      <c r="AJ143" s="44">
        <f t="shared" si="52"/>
        <v>6214.5630099581294</v>
      </c>
      <c r="AK143" s="44">
        <f>HLOOKUP(I143,ElecAvoidedCostsWOCC!$A$5:$Q$50,G143+1,FALSE)*J143*L143</f>
        <v>0</v>
      </c>
      <c r="AL143" s="44">
        <f t="shared" si="53"/>
        <v>6214.5630099581294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6214.5630099581294</v>
      </c>
      <c r="AN143" s="48">
        <f t="shared" si="54"/>
        <v>6836.0193109539432</v>
      </c>
      <c r="AO143" s="47">
        <f t="shared" si="55"/>
        <v>1.7512518895483784</v>
      </c>
      <c r="AP143" s="47">
        <f t="shared" si="56"/>
        <v>1.9721703815061633</v>
      </c>
      <c r="AQ143">
        <v>2020</v>
      </c>
    </row>
    <row r="144" spans="2:43">
      <c r="B144" s="97" t="s">
        <v>70</v>
      </c>
      <c r="C144" s="61">
        <v>18231134</v>
      </c>
      <c r="D144" s="61" t="s">
        <v>176</v>
      </c>
      <c r="E144" s="38" t="s">
        <v>1345</v>
      </c>
      <c r="F144" s="39" t="s">
        <v>1346</v>
      </c>
      <c r="G144" s="39">
        <v>15</v>
      </c>
      <c r="H144" s="39"/>
      <c r="I144" s="40" t="s">
        <v>257</v>
      </c>
      <c r="J144" s="41">
        <v>74</v>
      </c>
      <c r="K144" s="41">
        <v>457.8</v>
      </c>
      <c r="L144" s="41"/>
      <c r="M144" s="42">
        <v>123.77</v>
      </c>
      <c r="N144" s="42">
        <v>176.82</v>
      </c>
      <c r="O144" s="43">
        <v>33877.199999999997</v>
      </c>
      <c r="P144" s="44">
        <v>12023.68</v>
      </c>
      <c r="Q144" s="44">
        <v>13084.68</v>
      </c>
      <c r="R144" s="45">
        <v>0</v>
      </c>
      <c r="S144" s="46">
        <v>0</v>
      </c>
      <c r="T144" s="39">
        <f t="shared" si="38"/>
        <v>15</v>
      </c>
      <c r="U144" s="47">
        <f t="shared" si="39"/>
        <v>2.1225220066302283E-2</v>
      </c>
      <c r="V144" s="48">
        <f t="shared" si="40"/>
        <v>53.05</v>
      </c>
      <c r="W144" s="49">
        <f t="shared" si="41"/>
        <v>1.4150146710868187E-3</v>
      </c>
      <c r="X144" s="44">
        <f t="shared" si="42"/>
        <v>3485.208105066466</v>
      </c>
      <c r="Y144" s="44">
        <f t="shared" si="43"/>
        <v>1061</v>
      </c>
      <c r="Z144" s="44">
        <f t="shared" si="44"/>
        <v>17930.450522131712</v>
      </c>
      <c r="AA144" s="50">
        <f t="shared" si="45"/>
        <v>16569.888105066468</v>
      </c>
      <c r="AB144" s="51">
        <f t="shared" si="46"/>
        <v>16762.130057148464</v>
      </c>
      <c r="AC144" s="44">
        <f t="shared" si="47"/>
        <v>15490.219785983421</v>
      </c>
      <c r="AD144" s="44">
        <f t="shared" si="48"/>
        <v>0</v>
      </c>
      <c r="AE144" s="44">
        <f t="shared" si="49"/>
        <v>0</v>
      </c>
      <c r="AF144" s="52">
        <f>HLOOKUP(I144,ElecAvoidedCostsWOCC!$A$5:$Q$50,G144+1,FALSE)</f>
        <v>1.0545904948077327</v>
      </c>
      <c r="AG144" s="44">
        <f t="shared" si="50"/>
        <v>35726.573110700519</v>
      </c>
      <c r="AH144" s="52">
        <f>HLOOKUP(I144,ElecAvoidedCostsWOCC!$A$5:$Q$50,T144+1,FALSE)</f>
        <v>1.0545904948077327</v>
      </c>
      <c r="AI144" s="44">
        <f t="shared" si="51"/>
        <v>0</v>
      </c>
      <c r="AJ144" s="44">
        <f t="shared" si="52"/>
        <v>35726.573110700519</v>
      </c>
      <c r="AK144" s="44">
        <f>HLOOKUP(I144,ElecAvoidedCostsWOCC!$A$5:$Q$50,G144+1,FALSE)*J144*L144</f>
        <v>0</v>
      </c>
      <c r="AL144" s="44">
        <f t="shared" si="53"/>
        <v>35726.573110700519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35726.573110700527</v>
      </c>
      <c r="AN144" s="48">
        <f t="shared" si="54"/>
        <v>39299.230421770582</v>
      </c>
      <c r="AO144" s="47">
        <f t="shared" si="55"/>
        <v>2.1313862253123603</v>
      </c>
      <c r="AP144" s="47">
        <f t="shared" si="56"/>
        <v>2.5370350430618895</v>
      </c>
      <c r="AQ144">
        <v>2020</v>
      </c>
    </row>
    <row r="145" spans="2:43">
      <c r="B145" s="97" t="s">
        <v>70</v>
      </c>
      <c r="C145" s="61">
        <v>18231134</v>
      </c>
      <c r="D145" s="61" t="s">
        <v>176</v>
      </c>
      <c r="E145" s="38" t="s">
        <v>2292</v>
      </c>
      <c r="F145" s="39" t="s">
        <v>1348</v>
      </c>
      <c r="G145" s="39">
        <v>12</v>
      </c>
      <c r="H145" s="39"/>
      <c r="I145" s="40" t="s">
        <v>257</v>
      </c>
      <c r="J145" s="41">
        <v>9</v>
      </c>
      <c r="K145" s="41">
        <v>42</v>
      </c>
      <c r="L145" s="41"/>
      <c r="M145" s="42">
        <v>37</v>
      </c>
      <c r="N145" s="42">
        <v>37</v>
      </c>
      <c r="O145" s="43">
        <v>378</v>
      </c>
      <c r="P145" s="44">
        <v>333</v>
      </c>
      <c r="Q145" s="44">
        <v>333</v>
      </c>
      <c r="R145" s="45">
        <v>0</v>
      </c>
      <c r="S145" s="46">
        <v>0</v>
      </c>
      <c r="T145" s="39">
        <f t="shared" si="38"/>
        <v>12</v>
      </c>
      <c r="U145" s="47">
        <f t="shared" si="39"/>
        <v>1.8946390339372234E-4</v>
      </c>
      <c r="V145" s="48">
        <f t="shared" si="40"/>
        <v>0</v>
      </c>
      <c r="W145" s="49">
        <f t="shared" si="41"/>
        <v>1.5788658616143528E-5</v>
      </c>
      <c r="X145" s="44">
        <f t="shared" si="42"/>
        <v>38.887767103394744</v>
      </c>
      <c r="Y145" s="44">
        <f t="shared" si="43"/>
        <v>0</v>
      </c>
      <c r="Z145" s="44">
        <f t="shared" si="44"/>
        <v>200.06701549613862</v>
      </c>
      <c r="AA145" s="50">
        <f t="shared" si="45"/>
        <v>371.88776710339476</v>
      </c>
      <c r="AB145" s="51">
        <f t="shared" si="46"/>
        <v>187.03095774155241</v>
      </c>
      <c r="AC145" s="44">
        <f t="shared" si="47"/>
        <v>347.65613452687177</v>
      </c>
      <c r="AD145" s="44">
        <f t="shared" si="48"/>
        <v>0</v>
      </c>
      <c r="AE145" s="44">
        <f t="shared" si="49"/>
        <v>0</v>
      </c>
      <c r="AF145" s="52">
        <f>HLOOKUP(I145,ElecAvoidedCostsWOCC!$A$5:$Q$50,G145+1,FALSE)</f>
        <v>0.86650348716649883</v>
      </c>
      <c r="AG145" s="44">
        <f t="shared" si="50"/>
        <v>327.53831814893658</v>
      </c>
      <c r="AH145" s="52">
        <f>HLOOKUP(I145,ElecAvoidedCostsWOCC!$A$5:$Q$50,T145+1,FALSE)</f>
        <v>0.86650348716649883</v>
      </c>
      <c r="AI145" s="44">
        <f t="shared" si="51"/>
        <v>0</v>
      </c>
      <c r="AJ145" s="44">
        <f t="shared" si="52"/>
        <v>327.53831814893658</v>
      </c>
      <c r="AK145" s="44">
        <f>HLOOKUP(I145,ElecAvoidedCostsWOCC!$A$5:$Q$50,G145+1,FALSE)*J145*L145</f>
        <v>0</v>
      </c>
      <c r="AL145" s="44">
        <f t="shared" si="53"/>
        <v>327.53831814893658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327.53831814893658</v>
      </c>
      <c r="AN145" s="48">
        <f t="shared" si="54"/>
        <v>360.2921499638303</v>
      </c>
      <c r="AO145" s="47">
        <f t="shared" si="55"/>
        <v>1.7512518895483784</v>
      </c>
      <c r="AP145" s="47">
        <f t="shared" si="56"/>
        <v>1.0363463036662792</v>
      </c>
      <c r="AQ145">
        <v>2020</v>
      </c>
    </row>
    <row r="146" spans="2:43">
      <c r="B146" s="97" t="s">
        <v>70</v>
      </c>
      <c r="C146" s="61">
        <v>18231134</v>
      </c>
      <c r="D146" s="61" t="s">
        <v>176</v>
      </c>
      <c r="E146" s="38" t="s">
        <v>2293</v>
      </c>
      <c r="F146" s="39" t="s">
        <v>1350</v>
      </c>
      <c r="G146" s="39">
        <v>12</v>
      </c>
      <c r="H146" s="39"/>
      <c r="I146" s="40" t="s">
        <v>257</v>
      </c>
      <c r="J146" s="41">
        <v>50</v>
      </c>
      <c r="K146" s="41">
        <v>65</v>
      </c>
      <c r="L146" s="41"/>
      <c r="M146" s="42">
        <v>37</v>
      </c>
      <c r="N146" s="42">
        <v>37</v>
      </c>
      <c r="O146" s="43">
        <v>3250</v>
      </c>
      <c r="P146" s="44">
        <v>1850</v>
      </c>
      <c r="Q146" s="44">
        <v>1850</v>
      </c>
      <c r="R146" s="45">
        <v>0</v>
      </c>
      <c r="S146" s="46">
        <v>0</v>
      </c>
      <c r="T146" s="39">
        <f t="shared" si="38"/>
        <v>12</v>
      </c>
      <c r="U146" s="47">
        <f t="shared" si="39"/>
        <v>1.6289885873798876E-3</v>
      </c>
      <c r="V146" s="48">
        <f t="shared" si="40"/>
        <v>0</v>
      </c>
      <c r="W146" s="49">
        <f t="shared" si="41"/>
        <v>1.3574904894832397E-4</v>
      </c>
      <c r="X146" s="44">
        <f t="shared" si="42"/>
        <v>334.35249493659495</v>
      </c>
      <c r="Y146" s="44">
        <f t="shared" si="43"/>
        <v>0</v>
      </c>
      <c r="Z146" s="44">
        <f t="shared" si="44"/>
        <v>1720.1529110117735</v>
      </c>
      <c r="AA146" s="50">
        <f t="shared" si="45"/>
        <v>2184.3524949365951</v>
      </c>
      <c r="AB146" s="51">
        <f t="shared" si="46"/>
        <v>1608.0704038625533</v>
      </c>
      <c r="AC146" s="44">
        <f t="shared" si="47"/>
        <v>2042.023459789282</v>
      </c>
      <c r="AD146" s="44">
        <f t="shared" si="48"/>
        <v>0</v>
      </c>
      <c r="AE146" s="44">
        <f t="shared" si="49"/>
        <v>0</v>
      </c>
      <c r="AF146" s="52">
        <f>HLOOKUP(I146,ElecAvoidedCostsWOCC!$A$5:$Q$50,G146+1,FALSE)</f>
        <v>0.86650348716649883</v>
      </c>
      <c r="AG146" s="44">
        <f t="shared" si="50"/>
        <v>2816.1363332911214</v>
      </c>
      <c r="AH146" s="52">
        <f>HLOOKUP(I146,ElecAvoidedCostsWOCC!$A$5:$Q$50,T146+1,FALSE)</f>
        <v>0.86650348716649883</v>
      </c>
      <c r="AI146" s="44">
        <f t="shared" si="51"/>
        <v>0</v>
      </c>
      <c r="AJ146" s="44">
        <f t="shared" si="52"/>
        <v>2816.1363332911214</v>
      </c>
      <c r="AK146" s="44">
        <f>HLOOKUP(I146,ElecAvoidedCostsWOCC!$A$5:$Q$50,G146+1,FALSE)*J146*L146</f>
        <v>0</v>
      </c>
      <c r="AL146" s="44">
        <f t="shared" si="53"/>
        <v>2816.1363332911214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2816.136333291121</v>
      </c>
      <c r="AN146" s="48">
        <f t="shared" si="54"/>
        <v>3097.7499666202334</v>
      </c>
      <c r="AO146" s="47">
        <f t="shared" si="55"/>
        <v>1.7512518895483786</v>
      </c>
      <c r="AP146" s="47">
        <f t="shared" si="56"/>
        <v>1.5170001851692207</v>
      </c>
      <c r="AQ146">
        <v>2020</v>
      </c>
    </row>
    <row r="147" spans="2:43">
      <c r="B147" s="97" t="s">
        <v>70</v>
      </c>
      <c r="C147" s="61">
        <v>18231134</v>
      </c>
      <c r="D147" s="61" t="s">
        <v>176</v>
      </c>
      <c r="E147" s="38" t="s">
        <v>1349</v>
      </c>
      <c r="F147" s="39" t="s">
        <v>1350</v>
      </c>
      <c r="G147" s="39">
        <v>12</v>
      </c>
      <c r="H147" s="39"/>
      <c r="I147" s="40" t="s">
        <v>257</v>
      </c>
      <c r="J147" s="41">
        <v>678</v>
      </c>
      <c r="K147" s="41">
        <v>64</v>
      </c>
      <c r="L147" s="41"/>
      <c r="M147" s="42">
        <v>37</v>
      </c>
      <c r="N147" s="42">
        <v>37</v>
      </c>
      <c r="O147" s="43">
        <v>43392</v>
      </c>
      <c r="P147" s="44">
        <v>25086</v>
      </c>
      <c r="Q147" s="44">
        <v>25086</v>
      </c>
      <c r="R147" s="45">
        <v>0</v>
      </c>
      <c r="S147" s="46">
        <v>0</v>
      </c>
      <c r="T147" s="39">
        <f t="shared" si="38"/>
        <v>12</v>
      </c>
      <c r="U147" s="47">
        <f t="shared" si="39"/>
        <v>2.174925316418095E-2</v>
      </c>
      <c r="V147" s="48">
        <f t="shared" si="40"/>
        <v>0</v>
      </c>
      <c r="W147" s="49">
        <f t="shared" si="41"/>
        <v>1.812437763681746E-3</v>
      </c>
      <c r="X147" s="44">
        <f t="shared" si="42"/>
        <v>4464.0687570119171</v>
      </c>
      <c r="Y147" s="44">
        <f t="shared" si="43"/>
        <v>0</v>
      </c>
      <c r="Z147" s="44">
        <f t="shared" si="44"/>
        <v>22966.42311219166</v>
      </c>
      <c r="AA147" s="50">
        <f t="shared" si="45"/>
        <v>29550.068757011919</v>
      </c>
      <c r="AB147" s="51">
        <f t="shared" si="46"/>
        <v>21469.966450585827</v>
      </c>
      <c r="AC147" s="44">
        <f t="shared" si="47"/>
        <v>27624.631912696939</v>
      </c>
      <c r="AD147" s="44">
        <f t="shared" si="48"/>
        <v>0</v>
      </c>
      <c r="AE147" s="44">
        <f t="shared" si="49"/>
        <v>0</v>
      </c>
      <c r="AF147" s="52">
        <f>HLOOKUP(I147,ElecAvoidedCostsWOCC!$A$5:$Q$50,G147+1,FALSE)</f>
        <v>0.86650348716649883</v>
      </c>
      <c r="AG147" s="44">
        <f t="shared" si="50"/>
        <v>37599.31931512872</v>
      </c>
      <c r="AH147" s="52">
        <f>HLOOKUP(I147,ElecAvoidedCostsWOCC!$A$5:$Q$50,T147+1,FALSE)</f>
        <v>0.86650348716649883</v>
      </c>
      <c r="AI147" s="44">
        <f t="shared" si="51"/>
        <v>0</v>
      </c>
      <c r="AJ147" s="44">
        <f t="shared" si="52"/>
        <v>37599.31931512872</v>
      </c>
      <c r="AK147" s="44">
        <f>HLOOKUP(I147,ElecAvoidedCostsWOCC!$A$5:$Q$50,G147+1,FALSE)*J147*L147</f>
        <v>0</v>
      </c>
      <c r="AL147" s="44">
        <f t="shared" si="53"/>
        <v>37599.31931512872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37599.31931512872</v>
      </c>
      <c r="AN147" s="48">
        <f t="shared" si="54"/>
        <v>41359.251246641594</v>
      </c>
      <c r="AO147" s="47">
        <f t="shared" si="55"/>
        <v>1.7512518895483784</v>
      </c>
      <c r="AP147" s="47">
        <f t="shared" si="56"/>
        <v>1.4971874151065845</v>
      </c>
      <c r="AQ147">
        <v>2020</v>
      </c>
    </row>
    <row r="148" spans="2:43">
      <c r="B148" s="97" t="s">
        <v>70</v>
      </c>
      <c r="C148" s="61">
        <v>18231134</v>
      </c>
      <c r="D148" s="61" t="s">
        <v>176</v>
      </c>
      <c r="E148" s="38" t="s">
        <v>2294</v>
      </c>
      <c r="F148" s="39" t="s">
        <v>1353</v>
      </c>
      <c r="G148" s="39">
        <v>12</v>
      </c>
      <c r="H148" s="39"/>
      <c r="I148" s="40" t="s">
        <v>257</v>
      </c>
      <c r="J148" s="41">
        <v>81</v>
      </c>
      <c r="K148" s="41">
        <v>84</v>
      </c>
      <c r="L148" s="41"/>
      <c r="M148" s="42">
        <v>65</v>
      </c>
      <c r="N148" s="42">
        <v>65</v>
      </c>
      <c r="O148" s="43">
        <v>6804</v>
      </c>
      <c r="P148" s="44">
        <v>5265</v>
      </c>
      <c r="Q148" s="44">
        <v>5265</v>
      </c>
      <c r="R148" s="45">
        <v>0</v>
      </c>
      <c r="S148" s="46">
        <v>0</v>
      </c>
      <c r="T148" s="39">
        <f t="shared" si="38"/>
        <v>12</v>
      </c>
      <c r="U148" s="47">
        <f t="shared" si="39"/>
        <v>3.4103502610870022E-3</v>
      </c>
      <c r="V148" s="48">
        <f t="shared" si="40"/>
        <v>0</v>
      </c>
      <c r="W148" s="49">
        <f t="shared" si="41"/>
        <v>2.8419585509058352E-4</v>
      </c>
      <c r="X148" s="44">
        <f t="shared" si="42"/>
        <v>699.97980786110543</v>
      </c>
      <c r="Y148" s="44">
        <f t="shared" si="43"/>
        <v>0</v>
      </c>
      <c r="Z148" s="44">
        <f t="shared" si="44"/>
        <v>3601.2062789304955</v>
      </c>
      <c r="AA148" s="50">
        <f t="shared" si="45"/>
        <v>5964.9798078611057</v>
      </c>
      <c r="AB148" s="51">
        <f t="shared" si="46"/>
        <v>3366.5572393479433</v>
      </c>
      <c r="AC148" s="44">
        <f t="shared" si="47"/>
        <v>5576.3109356465411</v>
      </c>
      <c r="AD148" s="44">
        <f t="shared" si="48"/>
        <v>0</v>
      </c>
      <c r="AE148" s="44">
        <f t="shared" si="49"/>
        <v>0</v>
      </c>
      <c r="AF148" s="52">
        <f>HLOOKUP(I148,ElecAvoidedCostsWOCC!$A$5:$Q$50,G148+1,FALSE)</f>
        <v>0.86650348716649883</v>
      </c>
      <c r="AG148" s="44">
        <f t="shared" si="50"/>
        <v>5895.6897266808573</v>
      </c>
      <c r="AH148" s="52">
        <f>HLOOKUP(I148,ElecAvoidedCostsWOCC!$A$5:$Q$50,T148+1,FALSE)</f>
        <v>0.86650348716649883</v>
      </c>
      <c r="AI148" s="44">
        <f t="shared" si="51"/>
        <v>0</v>
      </c>
      <c r="AJ148" s="44">
        <f t="shared" si="52"/>
        <v>5895.6897266808573</v>
      </c>
      <c r="AK148" s="44">
        <f>HLOOKUP(I148,ElecAvoidedCostsWOCC!$A$5:$Q$50,G148+1,FALSE)*J148*L148</f>
        <v>0</v>
      </c>
      <c r="AL148" s="44">
        <f t="shared" si="53"/>
        <v>5895.6897266808573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5895.6897266808583</v>
      </c>
      <c r="AN148" s="48">
        <f t="shared" si="54"/>
        <v>6485.2586993489449</v>
      </c>
      <c r="AO148" s="47">
        <f t="shared" si="55"/>
        <v>1.7512518895483784</v>
      </c>
      <c r="AP148" s="47">
        <f t="shared" si="56"/>
        <v>1.163001628530425</v>
      </c>
      <c r="AQ148">
        <v>2020</v>
      </c>
    </row>
    <row r="149" spans="2:43">
      <c r="B149" s="97" t="s">
        <v>70</v>
      </c>
      <c r="C149" s="61">
        <v>18231134</v>
      </c>
      <c r="D149" s="61" t="s">
        <v>176</v>
      </c>
      <c r="E149" s="38" t="s">
        <v>2295</v>
      </c>
      <c r="F149" s="39" t="s">
        <v>1355</v>
      </c>
      <c r="G149" s="39">
        <v>12</v>
      </c>
      <c r="H149" s="39"/>
      <c r="I149" s="40" t="s">
        <v>257</v>
      </c>
      <c r="J149" s="41">
        <v>141</v>
      </c>
      <c r="K149" s="41">
        <v>129</v>
      </c>
      <c r="L149" s="41"/>
      <c r="M149" s="42">
        <v>65</v>
      </c>
      <c r="N149" s="42">
        <v>65</v>
      </c>
      <c r="O149" s="43">
        <v>18189</v>
      </c>
      <c r="P149" s="44">
        <v>9165</v>
      </c>
      <c r="Q149" s="44">
        <v>9165</v>
      </c>
      <c r="R149" s="45">
        <v>0</v>
      </c>
      <c r="S149" s="46">
        <v>0</v>
      </c>
      <c r="T149" s="39">
        <f t="shared" si="38"/>
        <v>12</v>
      </c>
      <c r="U149" s="47">
        <f t="shared" si="39"/>
        <v>9.1168225894931627E-3</v>
      </c>
      <c r="V149" s="48">
        <f t="shared" si="40"/>
        <v>0</v>
      </c>
      <c r="W149" s="49">
        <f t="shared" si="41"/>
        <v>7.5973521579109689E-4</v>
      </c>
      <c r="X149" s="44">
        <f t="shared" si="42"/>
        <v>1871.242317046685</v>
      </c>
      <c r="Y149" s="44">
        <f t="shared" si="43"/>
        <v>0</v>
      </c>
      <c r="Z149" s="44">
        <f t="shared" si="44"/>
        <v>9627.0342456594317</v>
      </c>
      <c r="AA149" s="50">
        <f t="shared" si="45"/>
        <v>11036.242317046685</v>
      </c>
      <c r="AB149" s="51">
        <f t="shared" si="46"/>
        <v>8999.7515618018424</v>
      </c>
      <c r="AC149" s="44">
        <f t="shared" si="47"/>
        <v>10317.137811579587</v>
      </c>
      <c r="AD149" s="44">
        <f t="shared" si="48"/>
        <v>0</v>
      </c>
      <c r="AE149" s="44">
        <f t="shared" si="49"/>
        <v>0</v>
      </c>
      <c r="AF149" s="52">
        <f>HLOOKUP(I149,ElecAvoidedCostsWOCC!$A$5:$Q$50,G149+1,FALSE)</f>
        <v>0.86650348716649883</v>
      </c>
      <c r="AG149" s="44">
        <f t="shared" si="50"/>
        <v>15760.831928071448</v>
      </c>
      <c r="AH149" s="52">
        <f>HLOOKUP(I149,ElecAvoidedCostsWOCC!$A$5:$Q$50,T149+1,FALSE)</f>
        <v>0.86650348716649883</v>
      </c>
      <c r="AI149" s="44">
        <f t="shared" si="51"/>
        <v>0</v>
      </c>
      <c r="AJ149" s="44">
        <f t="shared" si="52"/>
        <v>15760.831928071448</v>
      </c>
      <c r="AK149" s="44">
        <f>HLOOKUP(I149,ElecAvoidedCostsWOCC!$A$5:$Q$50,G149+1,FALSE)*J149*L149</f>
        <v>0</v>
      </c>
      <c r="AL149" s="44">
        <f t="shared" si="53"/>
        <v>15760.831928071448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15760.831928071448</v>
      </c>
      <c r="AN149" s="48">
        <f t="shared" si="54"/>
        <v>17336.915120878595</v>
      </c>
      <c r="AO149" s="47">
        <f t="shared" si="55"/>
        <v>1.7512518895483786</v>
      </c>
      <c r="AP149" s="47">
        <f t="shared" si="56"/>
        <v>1.6803996842438473</v>
      </c>
      <c r="AQ149">
        <v>2020</v>
      </c>
    </row>
    <row r="150" spans="2:43">
      <c r="B150" s="97" t="s">
        <v>70</v>
      </c>
      <c r="C150" s="61">
        <v>18231134</v>
      </c>
      <c r="D150" s="61" t="s">
        <v>176</v>
      </c>
      <c r="E150" s="38" t="s">
        <v>1354</v>
      </c>
      <c r="F150" s="39" t="s">
        <v>1355</v>
      </c>
      <c r="G150" s="39">
        <v>12</v>
      </c>
      <c r="H150" s="39"/>
      <c r="I150" s="40" t="s">
        <v>257</v>
      </c>
      <c r="J150" s="41">
        <v>9063</v>
      </c>
      <c r="K150" s="41">
        <v>128</v>
      </c>
      <c r="L150" s="41"/>
      <c r="M150" s="42">
        <v>65</v>
      </c>
      <c r="N150" s="42">
        <v>65</v>
      </c>
      <c r="O150" s="43">
        <v>1160064</v>
      </c>
      <c r="P150" s="44">
        <v>589095</v>
      </c>
      <c r="Q150" s="44">
        <v>589095</v>
      </c>
      <c r="R150" s="45">
        <v>0</v>
      </c>
      <c r="S150" s="46">
        <v>0</v>
      </c>
      <c r="T150" s="39">
        <f t="shared" si="38"/>
        <v>12</v>
      </c>
      <c r="U150" s="47">
        <f t="shared" si="39"/>
        <v>0.58145569742469605</v>
      </c>
      <c r="V150" s="48">
        <f t="shared" si="40"/>
        <v>0</v>
      </c>
      <c r="W150" s="49">
        <f t="shared" si="41"/>
        <v>4.8454641452058002E-2</v>
      </c>
      <c r="X150" s="44">
        <f t="shared" si="42"/>
        <v>119344.70544188496</v>
      </c>
      <c r="Y150" s="44">
        <f t="shared" si="43"/>
        <v>0</v>
      </c>
      <c r="Z150" s="44">
        <f t="shared" si="44"/>
        <v>613996.1435569115</v>
      </c>
      <c r="AA150" s="50">
        <f t="shared" si="45"/>
        <v>708439.70544188493</v>
      </c>
      <c r="AB150" s="51">
        <f t="shared" si="46"/>
        <v>573989.10307274142</v>
      </c>
      <c r="AC150" s="44">
        <f t="shared" si="47"/>
        <v>662278.86831998208</v>
      </c>
      <c r="AD150" s="44">
        <f t="shared" si="48"/>
        <v>0</v>
      </c>
      <c r="AE150" s="44">
        <f t="shared" si="49"/>
        <v>0</v>
      </c>
      <c r="AF150" s="52">
        <f>HLOOKUP(I150,ElecAvoidedCostsWOCC!$A$5:$Q$50,G150+1,FALSE)</f>
        <v>0.86650348716649883</v>
      </c>
      <c r="AG150" s="44">
        <f t="shared" si="50"/>
        <v>1005199.5013363173</v>
      </c>
      <c r="AH150" s="52">
        <f>HLOOKUP(I150,ElecAvoidedCostsWOCC!$A$5:$Q$50,T150+1,FALSE)</f>
        <v>0.86650348716649883</v>
      </c>
      <c r="AI150" s="44">
        <f t="shared" si="51"/>
        <v>0</v>
      </c>
      <c r="AJ150" s="44">
        <f t="shared" si="52"/>
        <v>1005199.5013363173</v>
      </c>
      <c r="AK150" s="44">
        <f>HLOOKUP(I150,ElecAvoidedCostsWOCC!$A$5:$Q$50,G150+1,FALSE)*J150*L150</f>
        <v>0</v>
      </c>
      <c r="AL150" s="44">
        <f t="shared" si="53"/>
        <v>1005199.5013363173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1005199.5013363173</v>
      </c>
      <c r="AN150" s="48">
        <f t="shared" si="54"/>
        <v>1105719.451469949</v>
      </c>
      <c r="AO150" s="47">
        <f t="shared" si="55"/>
        <v>1.7512518895483782</v>
      </c>
      <c r="AP150" s="47">
        <f t="shared" si="56"/>
        <v>1.6695677672380711</v>
      </c>
      <c r="AQ150">
        <v>2020</v>
      </c>
    </row>
    <row r="151" spans="2:43">
      <c r="B151" s="97" t="s">
        <v>70</v>
      </c>
      <c r="C151" s="61">
        <v>18231134</v>
      </c>
      <c r="D151" s="61" t="s">
        <v>176</v>
      </c>
      <c r="E151" s="38" t="s">
        <v>2296</v>
      </c>
      <c r="F151" s="39" t="s">
        <v>1358</v>
      </c>
      <c r="G151" s="39">
        <v>12</v>
      </c>
      <c r="H151" s="39"/>
      <c r="I151" s="40" t="s">
        <v>257</v>
      </c>
      <c r="J151" s="41">
        <v>354</v>
      </c>
      <c r="K151" s="41">
        <v>126</v>
      </c>
      <c r="L151" s="41"/>
      <c r="M151" s="42">
        <v>78</v>
      </c>
      <c r="N151" s="42">
        <v>78</v>
      </c>
      <c r="O151" s="43">
        <v>44604</v>
      </c>
      <c r="P151" s="44">
        <v>27612</v>
      </c>
      <c r="Q151" s="44">
        <v>27612</v>
      </c>
      <c r="R151" s="45">
        <v>0</v>
      </c>
      <c r="S151" s="46">
        <v>0</v>
      </c>
      <c r="T151" s="39">
        <f t="shared" ref="T151:T172" si="57">G151+H151</f>
        <v>12</v>
      </c>
      <c r="U151" s="47">
        <f t="shared" ref="U151:U172" si="58">(O151/$A$10)*T151</f>
        <v>2.2356740600459238E-2</v>
      </c>
      <c r="V151" s="48">
        <f t="shared" ref="V151:V172" si="59">N151-M151</f>
        <v>0</v>
      </c>
      <c r="W151" s="49">
        <f t="shared" ref="W151:W172" si="60">(O151/A$10)</f>
        <v>1.8630617167049363E-3</v>
      </c>
      <c r="X151" s="44">
        <f t="shared" ref="X151:X172" si="61">W151*A$8</f>
        <v>4588.7565182005792</v>
      </c>
      <c r="Y151" s="44">
        <f t="shared" ref="Y151:Y172" si="62">Q151-P151</f>
        <v>0</v>
      </c>
      <c r="Z151" s="44">
        <f t="shared" ref="Z151:Z172" si="63">X151+(A$6*W151)</f>
        <v>23607.907828544357</v>
      </c>
      <c r="AA151" s="50">
        <f t="shared" ref="AA151:AA172" si="64">Q151+X151</f>
        <v>32200.756518200578</v>
      </c>
      <c r="AB151" s="51">
        <f t="shared" ref="AB151:AB172" si="65">Z151/(1+ElecDiscountRate)^1</f>
        <v>22069.653013503183</v>
      </c>
      <c r="AC151" s="44">
        <f t="shared" ref="AC151:AC172" si="66">AA151/(1+ElecDiscountRate)^1</f>
        <v>30102.604952978007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>
        <f>HLOOKUP(I151,ElecAvoidedCostsWOCC!$A$5:$Q$50,G151+1,FALSE)</f>
        <v>0.86650348716649883</v>
      </c>
      <c r="AG151" s="44">
        <f t="shared" ref="AG151:AG172" si="69">AF151*J151*K151</f>
        <v>38649.521541574512</v>
      </c>
      <c r="AH151" s="52">
        <f>HLOOKUP(I151,ElecAvoidedCostsWOCC!$A$5:$Q$50,T151+1,FALSE)</f>
        <v>0.86650348716649883</v>
      </c>
      <c r="AI151" s="44">
        <f t="shared" ref="AI151:AI172" si="70">AH151*J151*L151</f>
        <v>0</v>
      </c>
      <c r="AJ151" s="44">
        <f t="shared" ref="AJ151:AJ172" si="71">AG151+AI151</f>
        <v>38649.521541574512</v>
      </c>
      <c r="AK151" s="44">
        <f>HLOOKUP(I151,ElecAvoidedCostsWOCC!$A$5:$Q$50,G151+1,FALSE)*J151*L151</f>
        <v>0</v>
      </c>
      <c r="AL151" s="44">
        <f t="shared" ref="AL151:AL172" si="72">AG151+AI151-AK151</f>
        <v>38649.521541574512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38649.521541574512</v>
      </c>
      <c r="AN151" s="48">
        <f t="shared" ref="AN151:AN172" si="73">AM151*1.1+AD151+AE151</f>
        <v>42514.473695731969</v>
      </c>
      <c r="AO151" s="47">
        <f t="shared" ref="AO151:AO172" si="74">IFERROR(AM151/AB151,0)</f>
        <v>1.7512518895483784</v>
      </c>
      <c r="AP151" s="47">
        <f t="shared" ref="AP151:AP172" si="75">AN151/AC151</f>
        <v>1.4123187598595541</v>
      </c>
      <c r="AQ151">
        <v>2020</v>
      </c>
    </row>
    <row r="152" spans="2:43">
      <c r="B152" s="97" t="s">
        <v>70</v>
      </c>
      <c r="C152" s="61">
        <v>18231134</v>
      </c>
      <c r="D152" s="61" t="s">
        <v>176</v>
      </c>
      <c r="E152" s="38" t="s">
        <v>2297</v>
      </c>
      <c r="F152" s="39" t="s">
        <v>1360</v>
      </c>
      <c r="G152" s="39">
        <v>12</v>
      </c>
      <c r="H152" s="39"/>
      <c r="I152" s="40" t="s">
        <v>257</v>
      </c>
      <c r="J152" s="41">
        <v>94</v>
      </c>
      <c r="K152" s="41">
        <v>194</v>
      </c>
      <c r="L152" s="41"/>
      <c r="M152" s="42">
        <v>78</v>
      </c>
      <c r="N152" s="42">
        <v>78</v>
      </c>
      <c r="O152" s="43">
        <v>18236</v>
      </c>
      <c r="P152" s="44">
        <v>7332</v>
      </c>
      <c r="Q152" s="44">
        <v>7332</v>
      </c>
      <c r="R152" s="45">
        <v>0</v>
      </c>
      <c r="S152" s="46">
        <v>0</v>
      </c>
      <c r="T152" s="39">
        <f t="shared" si="57"/>
        <v>12</v>
      </c>
      <c r="U152" s="47">
        <f t="shared" si="58"/>
        <v>9.1403802706029637E-3</v>
      </c>
      <c r="V152" s="48">
        <f t="shared" si="59"/>
        <v>0</v>
      </c>
      <c r="W152" s="49">
        <f t="shared" si="60"/>
        <v>7.6169835588358031E-4</v>
      </c>
      <c r="X152" s="44">
        <f t="shared" si="61"/>
        <v>1876.0775685119218</v>
      </c>
      <c r="Y152" s="44">
        <f t="shared" si="62"/>
        <v>0</v>
      </c>
      <c r="Z152" s="44">
        <f t="shared" si="63"/>
        <v>9651.9103031417562</v>
      </c>
      <c r="AA152" s="50">
        <f t="shared" si="64"/>
        <v>9208.0775685119224</v>
      </c>
      <c r="AB152" s="51">
        <f t="shared" si="65"/>
        <v>9023.0067337961627</v>
      </c>
      <c r="AC152" s="44">
        <f t="shared" si="66"/>
        <v>8608.0934547180714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0.86650348716649883</v>
      </c>
      <c r="AG152" s="44">
        <f t="shared" si="69"/>
        <v>15801.557591968272</v>
      </c>
      <c r="AH152" s="52">
        <f>HLOOKUP(I152,ElecAvoidedCostsWOCC!$A$5:$Q$50,T152+1,FALSE)</f>
        <v>0.86650348716649883</v>
      </c>
      <c r="AI152" s="44">
        <f t="shared" si="70"/>
        <v>0</v>
      </c>
      <c r="AJ152" s="44">
        <f t="shared" si="71"/>
        <v>15801.557591968272</v>
      </c>
      <c r="AK152" s="44">
        <f>HLOOKUP(I152,ElecAvoidedCostsWOCC!$A$5:$Q$50,G152+1,FALSE)*J152*L152</f>
        <v>0</v>
      </c>
      <c r="AL152" s="44">
        <f t="shared" si="72"/>
        <v>15801.557591968272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15801.557591968272</v>
      </c>
      <c r="AN152" s="48">
        <f t="shared" si="73"/>
        <v>17381.713351165101</v>
      </c>
      <c r="AO152" s="47">
        <f t="shared" si="74"/>
        <v>1.7512518895483784</v>
      </c>
      <c r="AP152" s="47">
        <f t="shared" si="75"/>
        <v>2.0192291641116227</v>
      </c>
      <c r="AQ152">
        <v>2020</v>
      </c>
    </row>
    <row r="153" spans="2:43">
      <c r="B153" s="97" t="s">
        <v>70</v>
      </c>
      <c r="C153" s="61">
        <v>18231134</v>
      </c>
      <c r="D153" s="61" t="s">
        <v>176</v>
      </c>
      <c r="E153" s="38" t="s">
        <v>1359</v>
      </c>
      <c r="F153" s="39" t="s">
        <v>1360</v>
      </c>
      <c r="G153" s="39">
        <v>12</v>
      </c>
      <c r="H153" s="39"/>
      <c r="I153" s="40" t="s">
        <v>257</v>
      </c>
      <c r="J153" s="41">
        <v>1771</v>
      </c>
      <c r="K153" s="41">
        <v>192</v>
      </c>
      <c r="L153" s="41"/>
      <c r="M153" s="42">
        <v>78</v>
      </c>
      <c r="N153" s="42">
        <v>78</v>
      </c>
      <c r="O153" s="43">
        <v>340032</v>
      </c>
      <c r="P153" s="44">
        <v>138138</v>
      </c>
      <c r="Q153" s="44">
        <v>138138</v>
      </c>
      <c r="R153" s="45">
        <v>0</v>
      </c>
      <c r="S153" s="46">
        <v>0</v>
      </c>
      <c r="T153" s="39">
        <f t="shared" si="57"/>
        <v>12</v>
      </c>
      <c r="U153" s="47">
        <f t="shared" si="58"/>
        <v>0.170433306875064</v>
      </c>
      <c r="V153" s="48">
        <f t="shared" si="59"/>
        <v>0</v>
      </c>
      <c r="W153" s="49">
        <f t="shared" si="60"/>
        <v>1.4202775572922001E-2</v>
      </c>
      <c r="X153" s="44">
        <f t="shared" si="61"/>
        <v>34981.706941009317</v>
      </c>
      <c r="Y153" s="44">
        <f t="shared" si="62"/>
        <v>0</v>
      </c>
      <c r="Z153" s="44">
        <f t="shared" si="63"/>
        <v>179971.39527297093</v>
      </c>
      <c r="AA153" s="50">
        <f t="shared" si="64"/>
        <v>173119.70694100932</v>
      </c>
      <c r="AB153" s="51">
        <f t="shared" si="65"/>
        <v>168244.73709728982</v>
      </c>
      <c r="AC153" s="44">
        <f t="shared" si="66"/>
        <v>161839.49419557754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0.86650348716649883</v>
      </c>
      <c r="AG153" s="44">
        <f t="shared" si="69"/>
        <v>294638.91374819895</v>
      </c>
      <c r="AH153" s="52">
        <f>HLOOKUP(I153,ElecAvoidedCostsWOCC!$A$5:$Q$50,T153+1,FALSE)</f>
        <v>0.86650348716649883</v>
      </c>
      <c r="AI153" s="44">
        <f t="shared" si="70"/>
        <v>0</v>
      </c>
      <c r="AJ153" s="44">
        <f t="shared" si="71"/>
        <v>294638.91374819895</v>
      </c>
      <c r="AK153" s="44">
        <f>HLOOKUP(I153,ElecAvoidedCostsWOCC!$A$5:$Q$50,G153+1,FALSE)*J153*L153</f>
        <v>0</v>
      </c>
      <c r="AL153" s="44">
        <f t="shared" si="72"/>
        <v>294638.91374819895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294638.91374819895</v>
      </c>
      <c r="AN153" s="48">
        <f t="shared" si="73"/>
        <v>324102.80512301886</v>
      </c>
      <c r="AO153" s="47">
        <f t="shared" si="74"/>
        <v>1.7512518895483784</v>
      </c>
      <c r="AP153" s="47">
        <f t="shared" si="75"/>
        <v>2.0026187472592545</v>
      </c>
      <c r="AQ153">
        <v>2020</v>
      </c>
    </row>
    <row r="154" spans="2:43">
      <c r="B154" s="97" t="s">
        <v>70</v>
      </c>
      <c r="C154" s="61">
        <v>18231134</v>
      </c>
      <c r="D154" s="61" t="s">
        <v>176</v>
      </c>
      <c r="E154" s="38" t="s">
        <v>2298</v>
      </c>
      <c r="F154" s="39" t="s">
        <v>2299</v>
      </c>
      <c r="G154" s="39">
        <v>12</v>
      </c>
      <c r="H154" s="39"/>
      <c r="I154" s="40" t="s">
        <v>257</v>
      </c>
      <c r="J154" s="41">
        <v>2</v>
      </c>
      <c r="K154" s="41">
        <v>228</v>
      </c>
      <c r="L154" s="41"/>
      <c r="M154" s="42">
        <v>109</v>
      </c>
      <c r="N154" s="42">
        <v>109</v>
      </c>
      <c r="O154" s="43">
        <v>456</v>
      </c>
      <c r="P154" s="44">
        <v>218</v>
      </c>
      <c r="Q154" s="44">
        <v>218</v>
      </c>
      <c r="R154" s="45">
        <v>0</v>
      </c>
      <c r="S154" s="46">
        <v>0</v>
      </c>
      <c r="T154" s="39">
        <f t="shared" si="57"/>
        <v>12</v>
      </c>
      <c r="U154" s="47">
        <f t="shared" si="58"/>
        <v>2.2855962949083964E-4</v>
      </c>
      <c r="V154" s="48">
        <f t="shared" si="59"/>
        <v>0</v>
      </c>
      <c r="W154" s="49">
        <f t="shared" si="60"/>
        <v>1.9046635790903303E-5</v>
      </c>
      <c r="X154" s="44">
        <f t="shared" si="61"/>
        <v>46.912226981873019</v>
      </c>
      <c r="Y154" s="44">
        <f t="shared" si="62"/>
        <v>0</v>
      </c>
      <c r="Z154" s="44">
        <f t="shared" si="63"/>
        <v>241.35068536042121</v>
      </c>
      <c r="AA154" s="50">
        <f t="shared" si="64"/>
        <v>264.912226981873</v>
      </c>
      <c r="AB154" s="51">
        <f t="shared" si="65"/>
        <v>225.62464743425372</v>
      </c>
      <c r="AC154" s="44">
        <f t="shared" si="66"/>
        <v>247.65095539111243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0.86650348716649883</v>
      </c>
      <c r="AG154" s="44">
        <f t="shared" si="69"/>
        <v>395.12559014792345</v>
      </c>
      <c r="AH154" s="52">
        <f>HLOOKUP(I154,ElecAvoidedCostsWOCC!$A$5:$Q$50,T154+1,FALSE)</f>
        <v>0.86650348716649883</v>
      </c>
      <c r="AI154" s="44">
        <f t="shared" si="70"/>
        <v>0</v>
      </c>
      <c r="AJ154" s="44">
        <f t="shared" si="71"/>
        <v>395.12559014792345</v>
      </c>
      <c r="AK154" s="44">
        <f>HLOOKUP(I154,ElecAvoidedCostsWOCC!$A$5:$Q$50,G154+1,FALSE)*J154*L154</f>
        <v>0</v>
      </c>
      <c r="AL154" s="44">
        <f t="shared" si="72"/>
        <v>395.12559014792345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395.12559014792345</v>
      </c>
      <c r="AN154" s="48">
        <f t="shared" si="73"/>
        <v>434.63814916271582</v>
      </c>
      <c r="AO154" s="47">
        <f t="shared" si="74"/>
        <v>1.7512518895483782</v>
      </c>
      <c r="AP154" s="47">
        <f t="shared" si="75"/>
        <v>1.7550432966280973</v>
      </c>
      <c r="AQ154">
        <v>2020</v>
      </c>
    </row>
    <row r="155" spans="2:43">
      <c r="B155" s="97" t="s">
        <v>70</v>
      </c>
      <c r="C155" s="61">
        <v>18231134</v>
      </c>
      <c r="D155" s="61" t="s">
        <v>176</v>
      </c>
      <c r="E155" s="38" t="s">
        <v>1362</v>
      </c>
      <c r="F155" s="39" t="s">
        <v>1363</v>
      </c>
      <c r="G155" s="39">
        <v>12</v>
      </c>
      <c r="H155" s="39"/>
      <c r="I155" s="40" t="s">
        <v>257</v>
      </c>
      <c r="J155" s="41">
        <v>12</v>
      </c>
      <c r="K155" s="41">
        <v>225</v>
      </c>
      <c r="L155" s="41"/>
      <c r="M155" s="42">
        <v>100</v>
      </c>
      <c r="N155" s="42">
        <v>100</v>
      </c>
      <c r="O155" s="43">
        <v>2700</v>
      </c>
      <c r="P155" s="44">
        <v>1200</v>
      </c>
      <c r="Q155" s="44">
        <v>1200</v>
      </c>
      <c r="R155" s="45">
        <v>0</v>
      </c>
      <c r="S155" s="46">
        <v>0</v>
      </c>
      <c r="T155" s="39">
        <f t="shared" si="57"/>
        <v>12</v>
      </c>
      <c r="U155" s="47">
        <f t="shared" si="58"/>
        <v>1.3533135956694453E-3</v>
      </c>
      <c r="V155" s="48">
        <f t="shared" si="59"/>
        <v>0</v>
      </c>
      <c r="W155" s="49">
        <f t="shared" si="60"/>
        <v>1.1277613297245377E-4</v>
      </c>
      <c r="X155" s="44">
        <f t="shared" si="61"/>
        <v>277.76976502424816</v>
      </c>
      <c r="Y155" s="44">
        <f t="shared" si="62"/>
        <v>0</v>
      </c>
      <c r="Z155" s="44">
        <f t="shared" si="63"/>
        <v>1429.0501106867046</v>
      </c>
      <c r="AA155" s="50">
        <f t="shared" si="64"/>
        <v>1477.769765024248</v>
      </c>
      <c r="AB155" s="51">
        <f t="shared" si="65"/>
        <v>1335.93541243966</v>
      </c>
      <c r="AC155" s="44">
        <f t="shared" si="66"/>
        <v>1381.4805693411686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0.86650348716649883</v>
      </c>
      <c r="AG155" s="44">
        <f t="shared" si="69"/>
        <v>2339.5594153495467</v>
      </c>
      <c r="AH155" s="52">
        <f>HLOOKUP(I155,ElecAvoidedCostsWOCC!$A$5:$Q$50,T155+1,FALSE)</f>
        <v>0.86650348716649883</v>
      </c>
      <c r="AI155" s="44">
        <f t="shared" si="70"/>
        <v>0</v>
      </c>
      <c r="AJ155" s="44">
        <f t="shared" si="71"/>
        <v>2339.5594153495467</v>
      </c>
      <c r="AK155" s="44">
        <f>HLOOKUP(I155,ElecAvoidedCostsWOCC!$A$5:$Q$50,G155+1,FALSE)*J155*L155</f>
        <v>0</v>
      </c>
      <c r="AL155" s="44">
        <f t="shared" si="72"/>
        <v>2339.5594153495467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2339.5594153495467</v>
      </c>
      <c r="AN155" s="48">
        <f t="shared" si="73"/>
        <v>2573.5153568845017</v>
      </c>
      <c r="AO155" s="47">
        <f t="shared" si="74"/>
        <v>1.7512518895483784</v>
      </c>
      <c r="AP155" s="47">
        <f t="shared" si="75"/>
        <v>1.8628675741069722</v>
      </c>
      <c r="AQ155">
        <v>2020</v>
      </c>
    </row>
    <row r="156" spans="2:43">
      <c r="B156" s="97" t="s">
        <v>70</v>
      </c>
      <c r="C156" s="61">
        <v>18231134</v>
      </c>
      <c r="D156" s="61" t="s">
        <v>176</v>
      </c>
      <c r="E156" s="38" t="s">
        <v>2300</v>
      </c>
      <c r="F156" s="39" t="s">
        <v>1366</v>
      </c>
      <c r="G156" s="39">
        <v>12</v>
      </c>
      <c r="H156" s="39"/>
      <c r="I156" s="40" t="s">
        <v>257</v>
      </c>
      <c r="J156" s="41">
        <v>318</v>
      </c>
      <c r="K156" s="41">
        <v>258</v>
      </c>
      <c r="L156" s="41"/>
      <c r="M156" s="42">
        <v>100</v>
      </c>
      <c r="N156" s="42">
        <v>100</v>
      </c>
      <c r="O156" s="43">
        <v>82044</v>
      </c>
      <c r="P156" s="44">
        <v>31800</v>
      </c>
      <c r="Q156" s="44">
        <v>31800</v>
      </c>
      <c r="R156" s="45">
        <v>0</v>
      </c>
      <c r="S156" s="46">
        <v>0</v>
      </c>
      <c r="T156" s="39">
        <f t="shared" si="57"/>
        <v>12</v>
      </c>
      <c r="U156" s="47">
        <f t="shared" si="58"/>
        <v>4.1122689127075542E-2</v>
      </c>
      <c r="V156" s="48">
        <f t="shared" si="59"/>
        <v>0</v>
      </c>
      <c r="W156" s="49">
        <f t="shared" si="60"/>
        <v>3.4268907605896283E-3</v>
      </c>
      <c r="X156" s="44">
        <f t="shared" si="61"/>
        <v>8440.4972598701534</v>
      </c>
      <c r="Y156" s="44">
        <f t="shared" si="62"/>
        <v>0</v>
      </c>
      <c r="Z156" s="44">
        <f t="shared" si="63"/>
        <v>43424.069363399991</v>
      </c>
      <c r="AA156" s="50">
        <f t="shared" si="64"/>
        <v>40240.497259870157</v>
      </c>
      <c r="AB156" s="51">
        <f t="shared" si="65"/>
        <v>40594.6240659998</v>
      </c>
      <c r="AC156" s="44">
        <f t="shared" si="66"/>
        <v>37618.488604160186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0.86650348716649883</v>
      </c>
      <c r="AG156" s="44">
        <f t="shared" si="69"/>
        <v>71091.412101088237</v>
      </c>
      <c r="AH156" s="52">
        <f>HLOOKUP(I156,ElecAvoidedCostsWOCC!$A$5:$Q$50,T156+1,FALSE)</f>
        <v>0.86650348716649883</v>
      </c>
      <c r="AI156" s="44">
        <f t="shared" si="70"/>
        <v>0</v>
      </c>
      <c r="AJ156" s="44">
        <f t="shared" si="71"/>
        <v>71091.412101088237</v>
      </c>
      <c r="AK156" s="44">
        <f>HLOOKUP(I156,ElecAvoidedCostsWOCC!$A$5:$Q$50,G156+1,FALSE)*J156*L156</f>
        <v>0</v>
      </c>
      <c r="AL156" s="44">
        <f t="shared" si="72"/>
        <v>71091.412101088237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71091.412101088223</v>
      </c>
      <c r="AN156" s="48">
        <f t="shared" si="73"/>
        <v>78200.553311197058</v>
      </c>
      <c r="AO156" s="47">
        <f t="shared" si="74"/>
        <v>1.7512518895483784</v>
      </c>
      <c r="AP156" s="47">
        <f t="shared" si="75"/>
        <v>2.0787797759251005</v>
      </c>
      <c r="AQ156">
        <v>2020</v>
      </c>
    </row>
    <row r="157" spans="2:43">
      <c r="B157" s="97" t="s">
        <v>70</v>
      </c>
      <c r="C157" s="61">
        <v>18231134</v>
      </c>
      <c r="D157" s="61" t="s">
        <v>176</v>
      </c>
      <c r="E157" s="38" t="s">
        <v>1365</v>
      </c>
      <c r="F157" s="39" t="s">
        <v>1366</v>
      </c>
      <c r="G157" s="39">
        <v>12</v>
      </c>
      <c r="H157" s="39"/>
      <c r="I157" s="40" t="s">
        <v>257</v>
      </c>
      <c r="J157" s="41">
        <v>5391</v>
      </c>
      <c r="K157" s="41">
        <v>255</v>
      </c>
      <c r="L157" s="41"/>
      <c r="M157" s="42">
        <v>100</v>
      </c>
      <c r="N157" s="42">
        <v>100</v>
      </c>
      <c r="O157" s="43">
        <v>1374705</v>
      </c>
      <c r="P157" s="44">
        <v>539100</v>
      </c>
      <c r="Q157" s="44">
        <v>539100</v>
      </c>
      <c r="R157" s="45">
        <v>0</v>
      </c>
      <c r="S157" s="46">
        <v>0</v>
      </c>
      <c r="T157" s="39">
        <f t="shared" si="57"/>
        <v>12</v>
      </c>
      <c r="U157" s="47">
        <f t="shared" si="58"/>
        <v>0.6890396172350981</v>
      </c>
      <c r="V157" s="48">
        <f t="shared" si="59"/>
        <v>0</v>
      </c>
      <c r="W157" s="49">
        <f t="shared" si="60"/>
        <v>5.7419968102924837E-2</v>
      </c>
      <c r="X157" s="44">
        <f t="shared" si="61"/>
        <v>141426.47586209595</v>
      </c>
      <c r="Y157" s="44">
        <f t="shared" si="62"/>
        <v>0</v>
      </c>
      <c r="Z157" s="44">
        <f t="shared" si="63"/>
        <v>727600.86385613552</v>
      </c>
      <c r="AA157" s="50">
        <f t="shared" si="64"/>
        <v>680526.47586209595</v>
      </c>
      <c r="AB157" s="51">
        <f t="shared" si="65"/>
        <v>680191.51524365286</v>
      </c>
      <c r="AC157" s="44">
        <f t="shared" si="66"/>
        <v>636184.42167158634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0.86650348716649883</v>
      </c>
      <c r="AG157" s="44">
        <f t="shared" si="69"/>
        <v>1191186.6763252218</v>
      </c>
      <c r="AH157" s="52">
        <f>HLOOKUP(I157,ElecAvoidedCostsWOCC!$A$5:$Q$50,T157+1,FALSE)</f>
        <v>0.86650348716649883</v>
      </c>
      <c r="AI157" s="44">
        <f t="shared" si="70"/>
        <v>0</v>
      </c>
      <c r="AJ157" s="44">
        <f t="shared" si="71"/>
        <v>1191186.6763252218</v>
      </c>
      <c r="AK157" s="44">
        <f>HLOOKUP(I157,ElecAvoidedCostsWOCC!$A$5:$Q$50,G157+1,FALSE)*J157*L157</f>
        <v>0</v>
      </c>
      <c r="AL157" s="44">
        <f t="shared" si="72"/>
        <v>1191186.6763252218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1191186.6763252218</v>
      </c>
      <c r="AN157" s="48">
        <f t="shared" si="73"/>
        <v>1310305.3439577441</v>
      </c>
      <c r="AO157" s="47">
        <f t="shared" si="74"/>
        <v>1.7512518895483786</v>
      </c>
      <c r="AP157" s="47">
        <f t="shared" si="75"/>
        <v>2.0596312945150284</v>
      </c>
      <c r="AQ157">
        <v>2020</v>
      </c>
    </row>
    <row r="158" spans="2:43">
      <c r="B158" s="97" t="s">
        <v>70</v>
      </c>
      <c r="C158" s="61">
        <v>18231134</v>
      </c>
      <c r="D158" s="61" t="s">
        <v>176</v>
      </c>
      <c r="E158" s="38" t="s">
        <v>1368</v>
      </c>
      <c r="F158" s="39" t="s">
        <v>1369</v>
      </c>
      <c r="G158" s="39">
        <v>15</v>
      </c>
      <c r="H158" s="39"/>
      <c r="I158" s="40" t="s">
        <v>257</v>
      </c>
      <c r="J158" s="41">
        <v>742</v>
      </c>
      <c r="K158" s="41">
        <v>424</v>
      </c>
      <c r="L158" s="41"/>
      <c r="M158" s="42">
        <v>119.1</v>
      </c>
      <c r="N158" s="42">
        <v>185</v>
      </c>
      <c r="O158" s="43">
        <v>314608</v>
      </c>
      <c r="P158" s="44">
        <v>133447.79999999999</v>
      </c>
      <c r="Q158" s="44">
        <v>137270</v>
      </c>
      <c r="R158" s="45">
        <v>0</v>
      </c>
      <c r="S158" s="46">
        <v>0</v>
      </c>
      <c r="T158" s="39">
        <f t="shared" si="57"/>
        <v>15</v>
      </c>
      <c r="U158" s="47">
        <f t="shared" si="58"/>
        <v>0.19711263134554297</v>
      </c>
      <c r="V158" s="48">
        <f t="shared" si="59"/>
        <v>65.900000000000006</v>
      </c>
      <c r="W158" s="49">
        <f t="shared" si="60"/>
        <v>1.3140842089702865E-2</v>
      </c>
      <c r="X158" s="44">
        <f t="shared" si="61"/>
        <v>32366.144531388392</v>
      </c>
      <c r="Y158" s="44">
        <f t="shared" si="62"/>
        <v>3822.2000000000116</v>
      </c>
      <c r="Z158" s="44">
        <f t="shared" si="63"/>
        <v>166515.03600848987</v>
      </c>
      <c r="AA158" s="50">
        <f t="shared" si="64"/>
        <v>169636.14453138839</v>
      </c>
      <c r="AB158" s="51">
        <f t="shared" si="65"/>
        <v>155665.17342104315</v>
      </c>
      <c r="AC158" s="44">
        <f t="shared" si="66"/>
        <v>158582.91533269922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1.0545904948077327</v>
      </c>
      <c r="AG158" s="44">
        <f t="shared" si="69"/>
        <v>331782.60639047116</v>
      </c>
      <c r="AH158" s="52">
        <f>HLOOKUP(I158,ElecAvoidedCostsWOCC!$A$5:$Q$50,T158+1,FALSE)</f>
        <v>1.0545904948077327</v>
      </c>
      <c r="AI158" s="44">
        <f t="shared" si="70"/>
        <v>0</v>
      </c>
      <c r="AJ158" s="44">
        <f t="shared" si="71"/>
        <v>331782.60639047116</v>
      </c>
      <c r="AK158" s="44">
        <f>HLOOKUP(I158,ElecAvoidedCostsWOCC!$A$5:$Q$50,G158+1,FALSE)*J158*L158</f>
        <v>0</v>
      </c>
      <c r="AL158" s="44">
        <f t="shared" si="72"/>
        <v>331782.60639047116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331782.60639047116</v>
      </c>
      <c r="AN158" s="48">
        <f t="shared" si="73"/>
        <v>364960.8670295183</v>
      </c>
      <c r="AO158" s="47">
        <f t="shared" si="74"/>
        <v>2.1313862253123608</v>
      </c>
      <c r="AP158" s="47">
        <f t="shared" si="75"/>
        <v>2.3013883069550602</v>
      </c>
      <c r="AQ158">
        <v>2020</v>
      </c>
    </row>
    <row r="159" spans="2:43">
      <c r="B159" s="97" t="s">
        <v>70</v>
      </c>
      <c r="C159" s="61">
        <v>18231134</v>
      </c>
      <c r="D159" s="61" t="s">
        <v>176</v>
      </c>
      <c r="E159" s="38" t="s">
        <v>2301</v>
      </c>
      <c r="F159" s="39" t="s">
        <v>1372</v>
      </c>
      <c r="G159" s="39">
        <v>15</v>
      </c>
      <c r="H159" s="39"/>
      <c r="I159" s="40" t="s">
        <v>257</v>
      </c>
      <c r="J159" s="41">
        <v>1042</v>
      </c>
      <c r="K159" s="41">
        <v>315</v>
      </c>
      <c r="L159" s="41"/>
      <c r="M159" s="42">
        <v>80.7</v>
      </c>
      <c r="N159" s="42">
        <v>185</v>
      </c>
      <c r="O159" s="43">
        <v>328230</v>
      </c>
      <c r="P159" s="44">
        <v>192770</v>
      </c>
      <c r="Q159" s="44">
        <v>192770</v>
      </c>
      <c r="R159" s="45">
        <v>0</v>
      </c>
      <c r="S159" s="46">
        <v>0</v>
      </c>
      <c r="T159" s="39">
        <f t="shared" si="57"/>
        <v>15</v>
      </c>
      <c r="U159" s="47">
        <f t="shared" si="58"/>
        <v>0.20564727847526945</v>
      </c>
      <c r="V159" s="48">
        <f t="shared" si="59"/>
        <v>104.3</v>
      </c>
      <c r="W159" s="49">
        <f t="shared" si="60"/>
        <v>1.3709818565017963E-2</v>
      </c>
      <c r="X159" s="44">
        <f t="shared" si="61"/>
        <v>33767.544434781099</v>
      </c>
      <c r="Y159" s="44">
        <f t="shared" si="62"/>
        <v>0</v>
      </c>
      <c r="Z159" s="44">
        <f t="shared" si="63"/>
        <v>173724.85845581369</v>
      </c>
      <c r="AA159" s="50">
        <f t="shared" si="64"/>
        <v>226537.5444347811</v>
      </c>
      <c r="AB159" s="51">
        <f t="shared" si="65"/>
        <v>162405.21497224798</v>
      </c>
      <c r="AC159" s="44">
        <f t="shared" si="66"/>
        <v>211776.70789453218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1.0545904948077327</v>
      </c>
      <c r="AG159" s="44">
        <f t="shared" si="69"/>
        <v>346148.23811074212</v>
      </c>
      <c r="AH159" s="52">
        <f>HLOOKUP(I159,ElecAvoidedCostsWOCC!$A$5:$Q$50,T159+1,FALSE)</f>
        <v>1.0545904948077327</v>
      </c>
      <c r="AI159" s="44">
        <f t="shared" si="70"/>
        <v>0</v>
      </c>
      <c r="AJ159" s="44">
        <f t="shared" si="71"/>
        <v>346148.23811074212</v>
      </c>
      <c r="AK159" s="44">
        <f>HLOOKUP(I159,ElecAvoidedCostsWOCC!$A$5:$Q$50,G159+1,FALSE)*J159*L159</f>
        <v>0</v>
      </c>
      <c r="AL159" s="44">
        <f t="shared" si="72"/>
        <v>346148.23811074212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346148.23811074207</v>
      </c>
      <c r="AN159" s="48">
        <f t="shared" si="73"/>
        <v>380763.06192181632</v>
      </c>
      <c r="AO159" s="47">
        <f t="shared" si="74"/>
        <v>2.1313862253123603</v>
      </c>
      <c r="AP159" s="47">
        <f t="shared" si="75"/>
        <v>1.7979458917240405</v>
      </c>
      <c r="AQ159">
        <v>2020</v>
      </c>
    </row>
    <row r="160" spans="2:43">
      <c r="B160" s="97" t="s">
        <v>70</v>
      </c>
      <c r="C160" s="61">
        <v>18231134</v>
      </c>
      <c r="D160" s="61" t="s">
        <v>176</v>
      </c>
      <c r="E160" s="38" t="s">
        <v>2302</v>
      </c>
      <c r="F160" s="39" t="s">
        <v>1374</v>
      </c>
      <c r="G160" s="39">
        <v>15</v>
      </c>
      <c r="H160" s="39"/>
      <c r="I160" s="40" t="s">
        <v>257</v>
      </c>
      <c r="J160" s="41">
        <v>135</v>
      </c>
      <c r="K160" s="41">
        <v>216</v>
      </c>
      <c r="L160" s="41"/>
      <c r="M160" s="42">
        <v>54.6</v>
      </c>
      <c r="N160" s="42">
        <v>185</v>
      </c>
      <c r="O160" s="43">
        <v>29160</v>
      </c>
      <c r="P160" s="44">
        <v>11152.6</v>
      </c>
      <c r="Q160" s="44">
        <v>24975</v>
      </c>
      <c r="R160" s="45">
        <v>0</v>
      </c>
      <c r="S160" s="46">
        <v>0</v>
      </c>
      <c r="T160" s="39">
        <f t="shared" si="57"/>
        <v>15</v>
      </c>
      <c r="U160" s="47">
        <f t="shared" si="58"/>
        <v>1.8269733541537509E-2</v>
      </c>
      <c r="V160" s="48">
        <f t="shared" si="59"/>
        <v>130.4</v>
      </c>
      <c r="W160" s="49">
        <f t="shared" si="60"/>
        <v>1.2179822361025007E-3</v>
      </c>
      <c r="X160" s="44">
        <f t="shared" si="61"/>
        <v>2999.9134622618799</v>
      </c>
      <c r="Y160" s="44">
        <f t="shared" si="62"/>
        <v>13822.4</v>
      </c>
      <c r="Z160" s="44">
        <f t="shared" si="63"/>
        <v>15433.741195416407</v>
      </c>
      <c r="AA160" s="50">
        <f t="shared" si="64"/>
        <v>27974.91346226188</v>
      </c>
      <c r="AB160" s="51">
        <f t="shared" si="65"/>
        <v>14428.102454348327</v>
      </c>
      <c r="AC160" s="44">
        <f t="shared" si="66"/>
        <v>26152.111304348768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1.0545904948077327</v>
      </c>
      <c r="AG160" s="44">
        <f t="shared" si="69"/>
        <v>30751.858828593486</v>
      </c>
      <c r="AH160" s="52">
        <f>HLOOKUP(I160,ElecAvoidedCostsWOCC!$A$5:$Q$50,T160+1,FALSE)</f>
        <v>1.0545904948077327</v>
      </c>
      <c r="AI160" s="44">
        <f t="shared" si="70"/>
        <v>0</v>
      </c>
      <c r="AJ160" s="44">
        <f t="shared" si="71"/>
        <v>30751.858828593486</v>
      </c>
      <c r="AK160" s="44">
        <f>HLOOKUP(I160,ElecAvoidedCostsWOCC!$A$5:$Q$50,G160+1,FALSE)*J160*L160</f>
        <v>0</v>
      </c>
      <c r="AL160" s="44">
        <f t="shared" si="72"/>
        <v>30751.858828593486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30751.858828593486</v>
      </c>
      <c r="AN160" s="48">
        <f t="shared" si="73"/>
        <v>33827.044711452836</v>
      </c>
      <c r="AO160" s="47">
        <f t="shared" si="74"/>
        <v>2.1313862253123603</v>
      </c>
      <c r="AP160" s="47">
        <f t="shared" si="75"/>
        <v>1.2934728029330398</v>
      </c>
      <c r="AQ160">
        <v>2020</v>
      </c>
    </row>
    <row r="161" spans="2:43">
      <c r="B161" s="97" t="s">
        <v>70</v>
      </c>
      <c r="C161" s="61">
        <v>18231134</v>
      </c>
      <c r="D161" s="61" t="s">
        <v>176</v>
      </c>
      <c r="E161" s="38" t="s">
        <v>1375</v>
      </c>
      <c r="F161" s="39" t="s">
        <v>1376</v>
      </c>
      <c r="G161" s="39">
        <v>15</v>
      </c>
      <c r="H161" s="39"/>
      <c r="I161" s="40" t="s">
        <v>257</v>
      </c>
      <c r="J161" s="41">
        <v>143</v>
      </c>
      <c r="K161" s="41">
        <v>735</v>
      </c>
      <c r="L161" s="41"/>
      <c r="M161" s="42">
        <v>153.16999999999999</v>
      </c>
      <c r="N161" s="42">
        <v>218.82</v>
      </c>
      <c r="O161" s="43">
        <v>105105</v>
      </c>
      <c r="P161" s="44">
        <v>28271.360000000001</v>
      </c>
      <c r="Q161" s="44">
        <v>31291.26</v>
      </c>
      <c r="R161" s="45">
        <v>0</v>
      </c>
      <c r="S161" s="46">
        <v>0</v>
      </c>
      <c r="T161" s="39">
        <f t="shared" si="57"/>
        <v>15</v>
      </c>
      <c r="U161" s="47">
        <f t="shared" si="58"/>
        <v>6.5851863644831976E-2</v>
      </c>
      <c r="V161" s="48">
        <f t="shared" si="59"/>
        <v>65.650000000000006</v>
      </c>
      <c r="W161" s="49">
        <f t="shared" si="60"/>
        <v>4.3901242429887979E-3</v>
      </c>
      <c r="X161" s="44">
        <f t="shared" si="61"/>
        <v>10812.959686249484</v>
      </c>
      <c r="Y161" s="44">
        <f t="shared" si="62"/>
        <v>3019.8999999999978</v>
      </c>
      <c r="Z161" s="44">
        <f t="shared" si="63"/>
        <v>55629.745142120766</v>
      </c>
      <c r="AA161" s="50">
        <f t="shared" si="64"/>
        <v>42104.219686249482</v>
      </c>
      <c r="AB161" s="51">
        <f t="shared" si="65"/>
        <v>52004.996860914987</v>
      </c>
      <c r="AC161" s="44">
        <f t="shared" si="66"/>
        <v>39360.773755491704</v>
      </c>
      <c r="AD161" s="44">
        <f t="shared" si="67"/>
        <v>0</v>
      </c>
      <c r="AE161" s="44">
        <f t="shared" si="68"/>
        <v>0</v>
      </c>
      <c r="AF161" s="52">
        <f>HLOOKUP(I161,ElecAvoidedCostsWOCC!$A$5:$Q$50,G161+1,FALSE)</f>
        <v>1.0545904948077327</v>
      </c>
      <c r="AG161" s="44">
        <f t="shared" si="69"/>
        <v>110842.73395676675</v>
      </c>
      <c r="AH161" s="52">
        <f>HLOOKUP(I161,ElecAvoidedCostsWOCC!$A$5:$Q$50,T161+1,FALSE)</f>
        <v>1.0545904948077327</v>
      </c>
      <c r="AI161" s="44">
        <f t="shared" si="70"/>
        <v>0</v>
      </c>
      <c r="AJ161" s="44">
        <f t="shared" si="71"/>
        <v>110842.73395676675</v>
      </c>
      <c r="AK161" s="44">
        <f>HLOOKUP(I161,ElecAvoidedCostsWOCC!$A$5:$Q$50,G161+1,FALSE)*J161*L161</f>
        <v>0</v>
      </c>
      <c r="AL161" s="44">
        <f t="shared" si="72"/>
        <v>110842.73395676675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110842.73395676675</v>
      </c>
      <c r="AN161" s="48">
        <f t="shared" si="73"/>
        <v>121927.00735244344</v>
      </c>
      <c r="AO161" s="47">
        <f t="shared" si="74"/>
        <v>2.1313862253123603</v>
      </c>
      <c r="AP161" s="47">
        <f t="shared" si="75"/>
        <v>3.0976781124744002</v>
      </c>
      <c r="AQ161">
        <v>2020</v>
      </c>
    </row>
    <row r="162" spans="2:43">
      <c r="B162" s="97" t="s">
        <v>70</v>
      </c>
      <c r="C162" s="61">
        <v>18231134</v>
      </c>
      <c r="D162" s="61" t="s">
        <v>176</v>
      </c>
      <c r="E162" s="38" t="s">
        <v>2303</v>
      </c>
      <c r="F162" s="39" t="s">
        <v>2304</v>
      </c>
      <c r="G162" s="39">
        <v>5</v>
      </c>
      <c r="H162" s="39"/>
      <c r="I162" s="40" t="s">
        <v>257</v>
      </c>
      <c r="J162" s="41">
        <v>18</v>
      </c>
      <c r="K162" s="41">
        <v>304</v>
      </c>
      <c r="L162" s="41"/>
      <c r="M162" s="42">
        <v>13.78</v>
      </c>
      <c r="N162" s="42">
        <v>13.78</v>
      </c>
      <c r="O162" s="43">
        <v>5472</v>
      </c>
      <c r="P162" s="44">
        <v>248.04</v>
      </c>
      <c r="Q162" s="44">
        <v>248.04</v>
      </c>
      <c r="R162" s="45">
        <v>0</v>
      </c>
      <c r="S162" s="46">
        <v>0</v>
      </c>
      <c r="T162" s="39">
        <f t="shared" si="57"/>
        <v>5</v>
      </c>
      <c r="U162" s="47">
        <f t="shared" si="58"/>
        <v>1.1427981474541981E-3</v>
      </c>
      <c r="V162" s="48">
        <f t="shared" si="59"/>
        <v>0</v>
      </c>
      <c r="W162" s="49">
        <f t="shared" si="60"/>
        <v>2.2855962949083964E-4</v>
      </c>
      <c r="X162" s="44">
        <f t="shared" si="61"/>
        <v>562.94672378247628</v>
      </c>
      <c r="Y162" s="44">
        <f t="shared" si="62"/>
        <v>0</v>
      </c>
      <c r="Z162" s="44">
        <f t="shared" si="63"/>
        <v>2896.2082243250543</v>
      </c>
      <c r="AA162" s="50">
        <f t="shared" si="64"/>
        <v>810.98672378247625</v>
      </c>
      <c r="AB162" s="51">
        <f t="shared" si="65"/>
        <v>2707.4957692110443</v>
      </c>
      <c r="AC162" s="44">
        <f t="shared" si="66"/>
        <v>758.14408131483231</v>
      </c>
      <c r="AD162" s="44">
        <f t="shared" si="67"/>
        <v>0</v>
      </c>
      <c r="AE162" s="44">
        <f t="shared" si="68"/>
        <v>0</v>
      </c>
      <c r="AF162" s="52">
        <f>HLOOKUP(I162,ElecAvoidedCostsWOCC!$A$5:$Q$50,G162+1,FALSE)</f>
        <v>0.3694540986241362</v>
      </c>
      <c r="AG162" s="44">
        <f t="shared" si="69"/>
        <v>2021.6528276712731</v>
      </c>
      <c r="AH162" s="52">
        <f>HLOOKUP(I162,ElecAvoidedCostsWOCC!$A$5:$Q$50,T162+1,FALSE)</f>
        <v>0.3694540986241362</v>
      </c>
      <c r="AI162" s="44">
        <f t="shared" si="70"/>
        <v>0</v>
      </c>
      <c r="AJ162" s="44">
        <f t="shared" si="71"/>
        <v>2021.6528276712731</v>
      </c>
      <c r="AK162" s="44">
        <f>HLOOKUP(I162,ElecAvoidedCostsWOCC!$A$5:$Q$50,G162+1,FALSE)*J162*L162</f>
        <v>0</v>
      </c>
      <c r="AL162" s="44">
        <f t="shared" si="72"/>
        <v>2021.6528276712731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2021.6528276712734</v>
      </c>
      <c r="AN162" s="48">
        <f t="shared" si="73"/>
        <v>2223.8181104384007</v>
      </c>
      <c r="AO162" s="47">
        <f t="shared" si="74"/>
        <v>0.74668734505922296</v>
      </c>
      <c r="AP162" s="47">
        <f t="shared" si="75"/>
        <v>2.9332394267085524</v>
      </c>
      <c r="AQ162">
        <v>2020</v>
      </c>
    </row>
    <row r="163" spans="2:43">
      <c r="B163" s="97" t="s">
        <v>70</v>
      </c>
      <c r="C163" s="61">
        <v>18231134</v>
      </c>
      <c r="D163" s="61" t="s">
        <v>176</v>
      </c>
      <c r="E163" s="38" t="s">
        <v>2305</v>
      </c>
      <c r="F163" s="39" t="s">
        <v>2306</v>
      </c>
      <c r="G163" s="39">
        <v>5</v>
      </c>
      <c r="H163" s="39"/>
      <c r="I163" s="40" t="s">
        <v>257</v>
      </c>
      <c r="J163" s="41">
        <v>29</v>
      </c>
      <c r="K163" s="41">
        <v>255</v>
      </c>
      <c r="L163" s="41"/>
      <c r="M163" s="42">
        <v>22.41</v>
      </c>
      <c r="N163" s="42">
        <v>22.41</v>
      </c>
      <c r="O163" s="43">
        <v>7395</v>
      </c>
      <c r="P163" s="44">
        <v>649.89</v>
      </c>
      <c r="Q163" s="44">
        <v>649.89</v>
      </c>
      <c r="R163" s="45">
        <v>0</v>
      </c>
      <c r="S163" s="46">
        <v>0</v>
      </c>
      <c r="T163" s="39">
        <f t="shared" si="57"/>
        <v>5</v>
      </c>
      <c r="U163" s="47">
        <f t="shared" si="58"/>
        <v>1.5444064876505475E-3</v>
      </c>
      <c r="V163" s="48">
        <f t="shared" si="59"/>
        <v>0</v>
      </c>
      <c r="W163" s="49">
        <f t="shared" si="60"/>
        <v>3.0888129753010949E-4</v>
      </c>
      <c r="X163" s="44">
        <f t="shared" si="61"/>
        <v>760.78052309419081</v>
      </c>
      <c r="Y163" s="44">
        <f t="shared" si="62"/>
        <v>0</v>
      </c>
      <c r="Z163" s="44">
        <f t="shared" si="63"/>
        <v>3914.0094698252515</v>
      </c>
      <c r="AA163" s="50">
        <f t="shared" si="64"/>
        <v>1410.6705230941907</v>
      </c>
      <c r="AB163" s="51">
        <f t="shared" si="65"/>
        <v>3658.97865740418</v>
      </c>
      <c r="AC163" s="44">
        <f t="shared" si="66"/>
        <v>1318.753410390007</v>
      </c>
      <c r="AD163" s="44">
        <f t="shared" si="67"/>
        <v>0</v>
      </c>
      <c r="AE163" s="44">
        <f t="shared" si="68"/>
        <v>0</v>
      </c>
      <c r="AF163" s="52">
        <f>HLOOKUP(I163,ElecAvoidedCostsWOCC!$A$5:$Q$50,G163+1,FALSE)</f>
        <v>0.3694540986241362</v>
      </c>
      <c r="AG163" s="44">
        <f t="shared" si="69"/>
        <v>2732.113059325487</v>
      </c>
      <c r="AH163" s="52">
        <f>HLOOKUP(I163,ElecAvoidedCostsWOCC!$A$5:$Q$50,T163+1,FALSE)</f>
        <v>0.3694540986241362</v>
      </c>
      <c r="AI163" s="44">
        <f t="shared" si="70"/>
        <v>0</v>
      </c>
      <c r="AJ163" s="44">
        <f t="shared" si="71"/>
        <v>2732.113059325487</v>
      </c>
      <c r="AK163" s="44">
        <f>HLOOKUP(I163,ElecAvoidedCostsWOCC!$A$5:$Q$50,G163+1,FALSE)*J163*L163</f>
        <v>0</v>
      </c>
      <c r="AL163" s="44">
        <f t="shared" si="72"/>
        <v>2732.113059325487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2732.1130593254875</v>
      </c>
      <c r="AN163" s="48">
        <f t="shared" si="73"/>
        <v>3005.3243652580363</v>
      </c>
      <c r="AO163" s="47">
        <f t="shared" si="74"/>
        <v>0.74668734505922296</v>
      </c>
      <c r="AP163" s="47">
        <f t="shared" si="75"/>
        <v>2.2789130565123954</v>
      </c>
      <c r="AQ163">
        <v>2020</v>
      </c>
    </row>
    <row r="164" spans="2:43">
      <c r="B164" s="97" t="s">
        <v>70</v>
      </c>
      <c r="C164" s="61">
        <v>18231134</v>
      </c>
      <c r="D164" s="61" t="s">
        <v>176</v>
      </c>
      <c r="E164" s="38" t="s">
        <v>2307</v>
      </c>
      <c r="F164" s="39" t="s">
        <v>2308</v>
      </c>
      <c r="G164" s="39">
        <v>12</v>
      </c>
      <c r="H164" s="39"/>
      <c r="I164" s="40" t="s">
        <v>257</v>
      </c>
      <c r="J164" s="41">
        <v>13</v>
      </c>
      <c r="K164" s="41">
        <v>230</v>
      </c>
      <c r="L164" s="41"/>
      <c r="M164" s="42">
        <v>37</v>
      </c>
      <c r="N164" s="42">
        <v>37</v>
      </c>
      <c r="O164" s="43">
        <v>2990</v>
      </c>
      <c r="P164" s="44">
        <v>481</v>
      </c>
      <c r="Q164" s="44">
        <v>481</v>
      </c>
      <c r="R164" s="45">
        <v>0</v>
      </c>
      <c r="S164" s="46">
        <v>0</v>
      </c>
      <c r="T164" s="39">
        <f t="shared" si="57"/>
        <v>12</v>
      </c>
      <c r="U164" s="47">
        <f t="shared" si="58"/>
        <v>1.4986695003894968E-3</v>
      </c>
      <c r="V164" s="48">
        <f t="shared" si="59"/>
        <v>0</v>
      </c>
      <c r="W164" s="49">
        <f t="shared" si="60"/>
        <v>1.2488912503245806E-4</v>
      </c>
      <c r="X164" s="44">
        <f t="shared" si="61"/>
        <v>307.60429534166741</v>
      </c>
      <c r="Y164" s="44">
        <f t="shared" si="62"/>
        <v>0</v>
      </c>
      <c r="Z164" s="44">
        <f t="shared" si="63"/>
        <v>1582.540678130832</v>
      </c>
      <c r="AA164" s="50">
        <f t="shared" si="64"/>
        <v>788.60429534166747</v>
      </c>
      <c r="AB164" s="51">
        <f t="shared" si="65"/>
        <v>1479.4247715535496</v>
      </c>
      <c r="AC164" s="44">
        <f t="shared" si="66"/>
        <v>737.22005734473908</v>
      </c>
      <c r="AD164" s="44">
        <f t="shared" si="67"/>
        <v>0</v>
      </c>
      <c r="AE164" s="44">
        <f t="shared" si="68"/>
        <v>0</v>
      </c>
      <c r="AF164" s="52">
        <f>HLOOKUP(I164,ElecAvoidedCostsWOCC!$A$5:$Q$50,G164+1,FALSE)</f>
        <v>0.86650348716649883</v>
      </c>
      <c r="AG164" s="44">
        <f t="shared" si="69"/>
        <v>2590.8454266278313</v>
      </c>
      <c r="AH164" s="52">
        <f>HLOOKUP(I164,ElecAvoidedCostsWOCC!$A$5:$Q$50,T164+1,FALSE)</f>
        <v>0.86650348716649883</v>
      </c>
      <c r="AI164" s="44">
        <f t="shared" si="70"/>
        <v>0</v>
      </c>
      <c r="AJ164" s="44">
        <f t="shared" si="71"/>
        <v>2590.8454266278313</v>
      </c>
      <c r="AK164" s="44">
        <f>HLOOKUP(I164,ElecAvoidedCostsWOCC!$A$5:$Q$50,G164+1,FALSE)*J164*L164</f>
        <v>0</v>
      </c>
      <c r="AL164" s="44">
        <f t="shared" si="72"/>
        <v>2590.8454266278313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2590.8454266278313</v>
      </c>
      <c r="AN164" s="48">
        <f t="shared" si="73"/>
        <v>2849.9299692906147</v>
      </c>
      <c r="AO164" s="47">
        <f t="shared" si="74"/>
        <v>1.7512518895483782</v>
      </c>
      <c r="AP164" s="47">
        <f t="shared" si="75"/>
        <v>3.8657792078463888</v>
      </c>
      <c r="AQ164">
        <v>2020</v>
      </c>
    </row>
    <row r="165" spans="2:43">
      <c r="B165" s="97" t="s">
        <v>70</v>
      </c>
      <c r="C165" s="61">
        <v>18231134</v>
      </c>
      <c r="D165" s="61" t="s">
        <v>176</v>
      </c>
      <c r="E165" s="38" t="s">
        <v>2309</v>
      </c>
      <c r="F165" s="39" t="s">
        <v>2310</v>
      </c>
      <c r="G165" s="39">
        <v>12</v>
      </c>
      <c r="H165" s="39"/>
      <c r="I165" s="40" t="s">
        <v>257</v>
      </c>
      <c r="J165" s="41">
        <v>14</v>
      </c>
      <c r="K165" s="41">
        <v>460</v>
      </c>
      <c r="L165" s="41"/>
      <c r="M165" s="42">
        <v>65</v>
      </c>
      <c r="N165" s="42">
        <v>65</v>
      </c>
      <c r="O165" s="43">
        <v>6440</v>
      </c>
      <c r="P165" s="44">
        <v>910</v>
      </c>
      <c r="Q165" s="44">
        <v>910</v>
      </c>
      <c r="R165" s="45">
        <v>0</v>
      </c>
      <c r="S165" s="46">
        <v>0</v>
      </c>
      <c r="T165" s="39">
        <f t="shared" si="57"/>
        <v>12</v>
      </c>
      <c r="U165" s="47">
        <f t="shared" si="58"/>
        <v>3.2279035393004548E-3</v>
      </c>
      <c r="V165" s="48">
        <f t="shared" si="59"/>
        <v>0</v>
      </c>
      <c r="W165" s="49">
        <f t="shared" si="60"/>
        <v>2.6899196160837122E-4</v>
      </c>
      <c r="X165" s="44">
        <f t="shared" si="61"/>
        <v>662.53232842820671</v>
      </c>
      <c r="Y165" s="44">
        <f t="shared" si="62"/>
        <v>0</v>
      </c>
      <c r="Z165" s="44">
        <f t="shared" si="63"/>
        <v>3408.5491528971766</v>
      </c>
      <c r="AA165" s="50">
        <f t="shared" si="64"/>
        <v>1572.5323284282067</v>
      </c>
      <c r="AB165" s="51">
        <f t="shared" si="65"/>
        <v>3186.4533541153373</v>
      </c>
      <c r="AC165" s="44">
        <f t="shared" si="66"/>
        <v>1470.0685504610699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0.86650348716649883</v>
      </c>
      <c r="AG165" s="44">
        <f t="shared" si="69"/>
        <v>5580.2824573522521</v>
      </c>
      <c r="AH165" s="52">
        <f>HLOOKUP(I165,ElecAvoidedCostsWOCC!$A$5:$Q$50,T165+1,FALSE)</f>
        <v>0.86650348716649883</v>
      </c>
      <c r="AI165" s="44">
        <f t="shared" si="70"/>
        <v>0</v>
      </c>
      <c r="AJ165" s="44">
        <f t="shared" si="71"/>
        <v>5580.2824573522521</v>
      </c>
      <c r="AK165" s="44">
        <f>HLOOKUP(I165,ElecAvoidedCostsWOCC!$A$5:$Q$50,G165+1,FALSE)*J165*L165</f>
        <v>0</v>
      </c>
      <c r="AL165" s="44">
        <f t="shared" si="72"/>
        <v>5580.2824573522521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5580.2824573522521</v>
      </c>
      <c r="AN165" s="48">
        <f t="shared" si="73"/>
        <v>6138.310703087478</v>
      </c>
      <c r="AO165" s="47">
        <f t="shared" si="74"/>
        <v>1.7512518895483782</v>
      </c>
      <c r="AP165" s="47">
        <f t="shared" si="75"/>
        <v>4.1755268495215878</v>
      </c>
      <c r="AQ165">
        <v>2020</v>
      </c>
    </row>
    <row r="166" spans="2:43">
      <c r="B166" s="97" t="s">
        <v>70</v>
      </c>
      <c r="C166" s="61">
        <v>18231134</v>
      </c>
      <c r="D166" s="61" t="s">
        <v>176</v>
      </c>
      <c r="E166" s="38" t="s">
        <v>2311</v>
      </c>
      <c r="F166" s="39" t="s">
        <v>2312</v>
      </c>
      <c r="G166" s="39">
        <v>12</v>
      </c>
      <c r="H166" s="39"/>
      <c r="I166" s="40" t="s">
        <v>257</v>
      </c>
      <c r="J166" s="41">
        <v>2</v>
      </c>
      <c r="K166" s="41">
        <v>920</v>
      </c>
      <c r="L166" s="41"/>
      <c r="M166" s="42">
        <v>127</v>
      </c>
      <c r="N166" s="42">
        <v>127</v>
      </c>
      <c r="O166" s="43">
        <v>1840</v>
      </c>
      <c r="P166" s="44">
        <v>254</v>
      </c>
      <c r="Q166" s="44">
        <v>254</v>
      </c>
      <c r="R166" s="45">
        <v>0</v>
      </c>
      <c r="S166" s="46">
        <v>0</v>
      </c>
      <c r="T166" s="39">
        <f t="shared" si="57"/>
        <v>12</v>
      </c>
      <c r="U166" s="47">
        <f t="shared" si="58"/>
        <v>9.2225815408584415E-4</v>
      </c>
      <c r="V166" s="48">
        <f t="shared" si="59"/>
        <v>0</v>
      </c>
      <c r="W166" s="49">
        <f t="shared" si="60"/>
        <v>7.685484617382035E-5</v>
      </c>
      <c r="X166" s="44">
        <f t="shared" si="61"/>
        <v>189.29495097948762</v>
      </c>
      <c r="Y166" s="44">
        <f t="shared" si="62"/>
        <v>0</v>
      </c>
      <c r="Z166" s="44">
        <f t="shared" si="63"/>
        <v>973.87118654205051</v>
      </c>
      <c r="AA166" s="50">
        <f t="shared" si="64"/>
        <v>443.29495097948762</v>
      </c>
      <c r="AB166" s="51">
        <f t="shared" si="65"/>
        <v>910.41524403295352</v>
      </c>
      <c r="AC166" s="44">
        <f t="shared" si="66"/>
        <v>414.41053657987061</v>
      </c>
      <c r="AD166" s="44">
        <f t="shared" si="67"/>
        <v>0</v>
      </c>
      <c r="AE166" s="44">
        <f t="shared" si="68"/>
        <v>0</v>
      </c>
      <c r="AF166" s="52">
        <f>HLOOKUP(I166,ElecAvoidedCostsWOCC!$A$5:$Q$50,G166+1,FALSE)</f>
        <v>0.86650348716649883</v>
      </c>
      <c r="AG166" s="44">
        <f t="shared" si="69"/>
        <v>1594.3664163863577</v>
      </c>
      <c r="AH166" s="52">
        <f>HLOOKUP(I166,ElecAvoidedCostsWOCC!$A$5:$Q$50,T166+1,FALSE)</f>
        <v>0.86650348716649883</v>
      </c>
      <c r="AI166" s="44">
        <f t="shared" si="70"/>
        <v>0</v>
      </c>
      <c r="AJ166" s="44">
        <f t="shared" si="71"/>
        <v>1594.3664163863577</v>
      </c>
      <c r="AK166" s="44">
        <f>HLOOKUP(I166,ElecAvoidedCostsWOCC!$A$5:$Q$50,G166+1,FALSE)*J166*L166</f>
        <v>0</v>
      </c>
      <c r="AL166" s="44">
        <f t="shared" si="72"/>
        <v>1594.3664163863577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1594.3664163863577</v>
      </c>
      <c r="AN166" s="48">
        <f t="shared" si="73"/>
        <v>1753.8030580249936</v>
      </c>
      <c r="AO166" s="47">
        <f t="shared" si="74"/>
        <v>1.7512518895483782</v>
      </c>
      <c r="AP166" s="47">
        <f t="shared" si="75"/>
        <v>4.2320426321664666</v>
      </c>
      <c r="AQ166">
        <v>2020</v>
      </c>
    </row>
    <row r="167" spans="2:43">
      <c r="B167" s="97" t="s">
        <v>70</v>
      </c>
      <c r="C167" s="61">
        <v>18231134</v>
      </c>
      <c r="D167" s="61" t="s">
        <v>176</v>
      </c>
      <c r="E167" s="38" t="s">
        <v>2313</v>
      </c>
      <c r="F167" s="39" t="s">
        <v>2314</v>
      </c>
      <c r="G167" s="39">
        <v>12</v>
      </c>
      <c r="H167" s="39"/>
      <c r="I167" s="40" t="s">
        <v>257</v>
      </c>
      <c r="J167" s="41">
        <v>1</v>
      </c>
      <c r="K167" s="41">
        <v>145</v>
      </c>
      <c r="L167" s="41"/>
      <c r="M167" s="42">
        <v>37</v>
      </c>
      <c r="N167" s="42">
        <v>37</v>
      </c>
      <c r="O167" s="43">
        <v>145</v>
      </c>
      <c r="P167" s="44">
        <v>37</v>
      </c>
      <c r="Q167" s="44">
        <v>37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7.267795236002577E-5</v>
      </c>
      <c r="V167" s="48">
        <f t="shared" si="59"/>
        <v>0</v>
      </c>
      <c r="W167" s="49">
        <f t="shared" si="60"/>
        <v>6.056496030002147E-6</v>
      </c>
      <c r="X167" s="44">
        <f t="shared" si="61"/>
        <v>14.917265158709624</v>
      </c>
      <c r="Y167" s="44">
        <f t="shared" si="62"/>
        <v>0</v>
      </c>
      <c r="Z167" s="44">
        <f t="shared" si="63"/>
        <v>76.74528372206376</v>
      </c>
      <c r="AA167" s="50">
        <f t="shared" si="64"/>
        <v>51.917265158709625</v>
      </c>
      <c r="AB167" s="51">
        <f t="shared" si="65"/>
        <v>71.744679556944703</v>
      </c>
      <c r="AC167" s="44">
        <f t="shared" si="66"/>
        <v>48.534416339823892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0.86650348716649883</v>
      </c>
      <c r="AG167" s="44">
        <f t="shared" si="69"/>
        <v>125.64300563914233</v>
      </c>
      <c r="AH167" s="52">
        <f>HLOOKUP(I167,ElecAvoidedCostsWOCC!$A$5:$Q$50,T167+1,FALSE)</f>
        <v>0.86650348716649883</v>
      </c>
      <c r="AI167" s="44">
        <f t="shared" si="70"/>
        <v>0</v>
      </c>
      <c r="AJ167" s="44">
        <f t="shared" si="71"/>
        <v>125.64300563914233</v>
      </c>
      <c r="AK167" s="44">
        <f>HLOOKUP(I167,ElecAvoidedCostsWOCC!$A$5:$Q$50,G167+1,FALSE)*J167*L167</f>
        <v>0</v>
      </c>
      <c r="AL167" s="44">
        <f t="shared" si="72"/>
        <v>125.64300563914233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125.64300563914233</v>
      </c>
      <c r="AN167" s="48">
        <f t="shared" si="73"/>
        <v>138.20730620305656</v>
      </c>
      <c r="AO167" s="47">
        <f t="shared" si="74"/>
        <v>1.7512518895483784</v>
      </c>
      <c r="AP167" s="47">
        <f t="shared" si="75"/>
        <v>2.847614468779621</v>
      </c>
      <c r="AQ167">
        <v>2020</v>
      </c>
    </row>
    <row r="168" spans="2:43">
      <c r="B168" s="97" t="s">
        <v>70</v>
      </c>
      <c r="C168" s="61">
        <v>18231134</v>
      </c>
      <c r="D168" s="61" t="s">
        <v>176</v>
      </c>
      <c r="E168" s="38" t="s">
        <v>1377</v>
      </c>
      <c r="F168" s="39" t="s">
        <v>1378</v>
      </c>
      <c r="G168" s="39">
        <v>12</v>
      </c>
      <c r="H168" s="39"/>
      <c r="I168" s="40" t="s">
        <v>257</v>
      </c>
      <c r="J168" s="41">
        <v>37</v>
      </c>
      <c r="K168" s="41">
        <v>290</v>
      </c>
      <c r="L168" s="41"/>
      <c r="M168" s="42">
        <v>65</v>
      </c>
      <c r="N168" s="42">
        <v>65</v>
      </c>
      <c r="O168" s="43">
        <v>10730</v>
      </c>
      <c r="P168" s="44">
        <v>2405</v>
      </c>
      <c r="Q168" s="44">
        <v>2405</v>
      </c>
      <c r="R168" s="45">
        <v>0</v>
      </c>
      <c r="S168" s="46">
        <v>0</v>
      </c>
      <c r="T168" s="39">
        <f t="shared" si="57"/>
        <v>12</v>
      </c>
      <c r="U168" s="47">
        <f t="shared" si="58"/>
        <v>5.3781684746419065E-3</v>
      </c>
      <c r="V168" s="48">
        <f t="shared" si="59"/>
        <v>0</v>
      </c>
      <c r="W168" s="49">
        <f t="shared" si="60"/>
        <v>4.4818070622015886E-4</v>
      </c>
      <c r="X168" s="44">
        <f t="shared" si="61"/>
        <v>1103.877621744512</v>
      </c>
      <c r="Y168" s="44">
        <f t="shared" si="62"/>
        <v>0</v>
      </c>
      <c r="Z168" s="44">
        <f t="shared" si="63"/>
        <v>5679.1509954327175</v>
      </c>
      <c r="AA168" s="50">
        <f t="shared" si="64"/>
        <v>3508.877621744512</v>
      </c>
      <c r="AB168" s="51">
        <f t="shared" si="65"/>
        <v>5309.1062872139073</v>
      </c>
      <c r="AC168" s="44">
        <f t="shared" si="66"/>
        <v>3280.2445748756768</v>
      </c>
      <c r="AD168" s="44">
        <f t="shared" si="67"/>
        <v>0</v>
      </c>
      <c r="AE168" s="44">
        <f t="shared" si="68"/>
        <v>0</v>
      </c>
      <c r="AF168" s="52">
        <f>HLOOKUP(I168,ElecAvoidedCostsWOCC!$A$5:$Q$50,G168+1,FALSE)</f>
        <v>0.86650348716649883</v>
      </c>
      <c r="AG168" s="44">
        <f t="shared" si="69"/>
        <v>9297.5824172965331</v>
      </c>
      <c r="AH168" s="52">
        <f>HLOOKUP(I168,ElecAvoidedCostsWOCC!$A$5:$Q$50,T168+1,FALSE)</f>
        <v>0.86650348716649883</v>
      </c>
      <c r="AI168" s="44">
        <f t="shared" si="70"/>
        <v>0</v>
      </c>
      <c r="AJ168" s="44">
        <f t="shared" si="71"/>
        <v>9297.5824172965331</v>
      </c>
      <c r="AK168" s="44">
        <f>HLOOKUP(I168,ElecAvoidedCostsWOCC!$A$5:$Q$50,G168+1,FALSE)*J168*L168</f>
        <v>0</v>
      </c>
      <c r="AL168" s="44">
        <f t="shared" si="72"/>
        <v>9297.5824172965331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9297.5824172965331</v>
      </c>
      <c r="AN168" s="48">
        <f t="shared" si="73"/>
        <v>10227.340659026187</v>
      </c>
      <c r="AO168" s="47">
        <f t="shared" si="74"/>
        <v>1.7512518895483788</v>
      </c>
      <c r="AP168" s="47">
        <f t="shared" si="75"/>
        <v>3.1178591795746846</v>
      </c>
      <c r="AQ168">
        <v>2020</v>
      </c>
    </row>
    <row r="169" spans="2:43">
      <c r="B169" s="97" t="s">
        <v>70</v>
      </c>
      <c r="C169" s="61">
        <v>18231134</v>
      </c>
      <c r="D169" s="61" t="s">
        <v>176</v>
      </c>
      <c r="E169" s="38" t="s">
        <v>1379</v>
      </c>
      <c r="F169" s="39" t="s">
        <v>1380</v>
      </c>
      <c r="G169" s="39">
        <v>12</v>
      </c>
      <c r="H169" s="39"/>
      <c r="I169" s="40" t="s">
        <v>257</v>
      </c>
      <c r="J169" s="41">
        <v>2</v>
      </c>
      <c r="K169" s="41">
        <v>886</v>
      </c>
      <c r="L169" s="41"/>
      <c r="M169" s="42">
        <v>100</v>
      </c>
      <c r="N169" s="42">
        <v>100</v>
      </c>
      <c r="O169" s="43">
        <v>1772</v>
      </c>
      <c r="P169" s="44">
        <v>200</v>
      </c>
      <c r="Q169" s="44">
        <v>200</v>
      </c>
      <c r="R169" s="45">
        <v>0</v>
      </c>
      <c r="S169" s="46">
        <v>0</v>
      </c>
      <c r="T169" s="39">
        <f t="shared" si="57"/>
        <v>12</v>
      </c>
      <c r="U169" s="47">
        <f t="shared" si="58"/>
        <v>8.881747005652803E-4</v>
      </c>
      <c r="V169" s="48">
        <f t="shared" si="59"/>
        <v>0</v>
      </c>
      <c r="W169" s="49">
        <f t="shared" si="60"/>
        <v>7.401455838044003E-5</v>
      </c>
      <c r="X169" s="44">
        <f t="shared" si="61"/>
        <v>182.29926800850657</v>
      </c>
      <c r="Y169" s="44">
        <f t="shared" si="62"/>
        <v>0</v>
      </c>
      <c r="Z169" s="44">
        <f t="shared" si="63"/>
        <v>937.88029486549647</v>
      </c>
      <c r="AA169" s="50">
        <f t="shared" si="64"/>
        <v>382.2992680085066</v>
      </c>
      <c r="AB169" s="51">
        <f t="shared" si="65"/>
        <v>876.76946327521398</v>
      </c>
      <c r="AC169" s="44">
        <f t="shared" si="66"/>
        <v>357.38923811209366</v>
      </c>
      <c r="AD169" s="44">
        <f t="shared" si="67"/>
        <v>0</v>
      </c>
      <c r="AE169" s="44">
        <f t="shared" si="68"/>
        <v>0</v>
      </c>
      <c r="AF169" s="52">
        <f>HLOOKUP(I169,ElecAvoidedCostsWOCC!$A$5:$Q$50,G169+1,FALSE)</f>
        <v>0.86650348716649883</v>
      </c>
      <c r="AG169" s="44">
        <f t="shared" si="69"/>
        <v>1535.444179259036</v>
      </c>
      <c r="AH169" s="52">
        <f>HLOOKUP(I169,ElecAvoidedCostsWOCC!$A$5:$Q$50,T169+1,FALSE)</f>
        <v>0.86650348716649883</v>
      </c>
      <c r="AI169" s="44">
        <f t="shared" si="70"/>
        <v>0</v>
      </c>
      <c r="AJ169" s="44">
        <f t="shared" si="71"/>
        <v>1535.444179259036</v>
      </c>
      <c r="AK169" s="44">
        <f>HLOOKUP(I169,ElecAvoidedCostsWOCC!$A$5:$Q$50,G169+1,FALSE)*J169*L169</f>
        <v>0</v>
      </c>
      <c r="AL169" s="44">
        <f t="shared" si="72"/>
        <v>1535.444179259036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1535.444179259036</v>
      </c>
      <c r="AN169" s="48">
        <f t="shared" si="73"/>
        <v>1688.9885971849396</v>
      </c>
      <c r="AO169" s="47">
        <f t="shared" si="74"/>
        <v>1.7512518895483784</v>
      </c>
      <c r="AP169" s="47">
        <f t="shared" si="75"/>
        <v>4.7259078256161571</v>
      </c>
      <c r="AQ169">
        <v>2020</v>
      </c>
    </row>
    <row r="170" spans="2:43">
      <c r="B170" s="97" t="s">
        <v>70</v>
      </c>
      <c r="C170" s="61">
        <v>18231134</v>
      </c>
      <c r="D170" s="61" t="s">
        <v>176</v>
      </c>
      <c r="E170" s="38" t="s">
        <v>1381</v>
      </c>
      <c r="F170" s="39" t="s">
        <v>1382</v>
      </c>
      <c r="G170" s="39">
        <v>15</v>
      </c>
      <c r="H170" s="39"/>
      <c r="I170" s="40" t="s">
        <v>257</v>
      </c>
      <c r="J170" s="41">
        <v>105</v>
      </c>
      <c r="K170" s="41">
        <v>1075</v>
      </c>
      <c r="L170" s="41"/>
      <c r="M170" s="42">
        <v>153.16999999999999</v>
      </c>
      <c r="N170" s="42">
        <v>218.82</v>
      </c>
      <c r="O170" s="43">
        <v>112875</v>
      </c>
      <c r="P170" s="44">
        <v>19560.2</v>
      </c>
      <c r="Q170" s="44">
        <v>22976.1</v>
      </c>
      <c r="R170" s="45">
        <v>0</v>
      </c>
      <c r="S170" s="46">
        <v>0</v>
      </c>
      <c r="T170" s="39">
        <f t="shared" si="57"/>
        <v>15</v>
      </c>
      <c r="U170" s="47">
        <f t="shared" si="58"/>
        <v>7.0720033384809547E-2</v>
      </c>
      <c r="V170" s="48">
        <f t="shared" si="59"/>
        <v>65.650000000000006</v>
      </c>
      <c r="W170" s="49">
        <f t="shared" si="60"/>
        <v>4.7146688923206366E-3</v>
      </c>
      <c r="X170" s="44">
        <f t="shared" si="61"/>
        <v>11612.319343374818</v>
      </c>
      <c r="Y170" s="44">
        <f t="shared" si="62"/>
        <v>3415.8999999999978</v>
      </c>
      <c r="Z170" s="44">
        <f t="shared" si="63"/>
        <v>59742.233793985833</v>
      </c>
      <c r="AA170" s="50">
        <f t="shared" si="64"/>
        <v>34588.419343374815</v>
      </c>
      <c r="AB170" s="51">
        <f t="shared" si="65"/>
        <v>55849.52210338023</v>
      </c>
      <c r="AC170" s="44">
        <f t="shared" si="66"/>
        <v>32334.691355870629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1.0545904948077327</v>
      </c>
      <c r="AG170" s="44">
        <f t="shared" si="69"/>
        <v>119036.90210142283</v>
      </c>
      <c r="AH170" s="52">
        <f>HLOOKUP(I170,ElecAvoidedCostsWOCC!$A$5:$Q$50,T170+1,FALSE)</f>
        <v>1.0545904948077327</v>
      </c>
      <c r="AI170" s="44">
        <f t="shared" si="70"/>
        <v>0</v>
      </c>
      <c r="AJ170" s="44">
        <f t="shared" si="71"/>
        <v>119036.90210142283</v>
      </c>
      <c r="AK170" s="44">
        <f>HLOOKUP(I170,ElecAvoidedCostsWOCC!$A$5:$Q$50,G170+1,FALSE)*J170*L170</f>
        <v>0</v>
      </c>
      <c r="AL170" s="44">
        <f t="shared" si="72"/>
        <v>119036.90210142283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119036.90210142282</v>
      </c>
      <c r="AN170" s="48">
        <f t="shared" si="73"/>
        <v>130940.59231156511</v>
      </c>
      <c r="AO170" s="47">
        <f t="shared" si="74"/>
        <v>2.1313862253123603</v>
      </c>
      <c r="AP170" s="47">
        <f t="shared" si="75"/>
        <v>4.049538957105022</v>
      </c>
      <c r="AQ170">
        <v>2020</v>
      </c>
    </row>
    <row r="171" spans="2:43">
      <c r="B171" s="97" t="s">
        <v>70</v>
      </c>
      <c r="C171" s="61">
        <v>18231134</v>
      </c>
      <c r="D171" s="61" t="s">
        <v>176</v>
      </c>
      <c r="E171" s="38" t="s">
        <v>2315</v>
      </c>
      <c r="F171" s="39" t="s">
        <v>1384</v>
      </c>
      <c r="G171" s="39">
        <v>15</v>
      </c>
      <c r="H171" s="39"/>
      <c r="I171" s="40" t="s">
        <v>257</v>
      </c>
      <c r="J171" s="41">
        <v>8</v>
      </c>
      <c r="K171" s="41">
        <v>970</v>
      </c>
      <c r="L171" s="41"/>
      <c r="M171" s="42">
        <v>194.04</v>
      </c>
      <c r="N171" s="42">
        <v>298.62</v>
      </c>
      <c r="O171" s="43">
        <v>7760</v>
      </c>
      <c r="P171" s="44">
        <v>1552.32</v>
      </c>
      <c r="Q171" s="44">
        <v>2388.96</v>
      </c>
      <c r="R171" s="45">
        <v>0</v>
      </c>
      <c r="S171" s="46">
        <v>0</v>
      </c>
      <c r="T171" s="39">
        <f t="shared" si="57"/>
        <v>15</v>
      </c>
      <c r="U171" s="47">
        <f t="shared" si="58"/>
        <v>4.861904399256896E-3</v>
      </c>
      <c r="V171" s="48">
        <f t="shared" si="59"/>
        <v>104.58000000000001</v>
      </c>
      <c r="W171" s="49">
        <f t="shared" si="60"/>
        <v>3.2412695995045972E-4</v>
      </c>
      <c r="X171" s="44">
        <f t="shared" si="61"/>
        <v>798.33088021783908</v>
      </c>
      <c r="Y171" s="44">
        <f t="shared" si="62"/>
        <v>836.6400000000001</v>
      </c>
      <c r="Z171" s="44">
        <f t="shared" si="63"/>
        <v>4107.1958736773431</v>
      </c>
      <c r="AA171" s="50">
        <f t="shared" si="64"/>
        <v>3187.290880217839</v>
      </c>
      <c r="AB171" s="51">
        <f t="shared" si="65"/>
        <v>3839.577333530282</v>
      </c>
      <c r="AC171" s="44">
        <f t="shared" si="66"/>
        <v>2979.6119287817505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1.0545904948077327</v>
      </c>
      <c r="AG171" s="44">
        <f t="shared" si="69"/>
        <v>8183.6222397080055</v>
      </c>
      <c r="AH171" s="52">
        <f>HLOOKUP(I171,ElecAvoidedCostsWOCC!$A$5:$Q$50,T171+1,FALSE)</f>
        <v>1.0545904948077327</v>
      </c>
      <c r="AI171" s="44">
        <f t="shared" si="70"/>
        <v>0</v>
      </c>
      <c r="AJ171" s="44">
        <f t="shared" si="71"/>
        <v>8183.6222397080055</v>
      </c>
      <c r="AK171" s="44">
        <f>HLOOKUP(I171,ElecAvoidedCostsWOCC!$A$5:$Q$50,G171+1,FALSE)*J171*L171</f>
        <v>0</v>
      </c>
      <c r="AL171" s="44">
        <f t="shared" si="72"/>
        <v>8183.6222397080055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8183.6222397080055</v>
      </c>
      <c r="AN171" s="48">
        <f t="shared" si="73"/>
        <v>9001.9844636788075</v>
      </c>
      <c r="AO171" s="47">
        <f t="shared" si="74"/>
        <v>2.1313862253123603</v>
      </c>
      <c r="AP171" s="47">
        <f t="shared" si="75"/>
        <v>3.0211935912605155</v>
      </c>
      <c r="AQ171">
        <v>2020</v>
      </c>
    </row>
    <row r="172" spans="2:43">
      <c r="B172" s="97" t="s">
        <v>70</v>
      </c>
      <c r="C172" s="61">
        <v>18231134</v>
      </c>
      <c r="D172" s="61" t="s">
        <v>176</v>
      </c>
      <c r="E172" s="38" t="s">
        <v>1383</v>
      </c>
      <c r="F172" s="39" t="s">
        <v>1384</v>
      </c>
      <c r="G172" s="39">
        <v>15</v>
      </c>
      <c r="H172" s="39"/>
      <c r="I172" s="40" t="s">
        <v>257</v>
      </c>
      <c r="J172" s="41">
        <v>494</v>
      </c>
      <c r="K172" s="41">
        <v>970.2</v>
      </c>
      <c r="L172" s="41"/>
      <c r="M172" s="42">
        <v>209.03</v>
      </c>
      <c r="N172" s="42">
        <v>298.62</v>
      </c>
      <c r="O172" s="43">
        <v>479278.8</v>
      </c>
      <c r="P172" s="44">
        <v>134527.73000000001</v>
      </c>
      <c r="Q172" s="44">
        <v>147518.28</v>
      </c>
      <c r="R172" s="45">
        <v>0</v>
      </c>
      <c r="S172" s="46">
        <v>0</v>
      </c>
      <c r="T172" s="39">
        <f t="shared" si="57"/>
        <v>15</v>
      </c>
      <c r="U172" s="47">
        <f t="shared" si="58"/>
        <v>0.30028449822043374</v>
      </c>
      <c r="V172" s="48">
        <f t="shared" si="59"/>
        <v>89.59</v>
      </c>
      <c r="W172" s="49">
        <f t="shared" si="60"/>
        <v>2.0018966548028917E-2</v>
      </c>
      <c r="X172" s="44">
        <f t="shared" si="61"/>
        <v>49307.096169297634</v>
      </c>
      <c r="Y172" s="44">
        <f t="shared" si="62"/>
        <v>12990.549999999988</v>
      </c>
      <c r="Z172" s="44">
        <f t="shared" si="63"/>
        <v>253671.63784807068</v>
      </c>
      <c r="AA172" s="50">
        <f t="shared" si="64"/>
        <v>196825.37616929764</v>
      </c>
      <c r="AB172" s="51">
        <f t="shared" si="65"/>
        <v>237142.78568577231</v>
      </c>
      <c r="AC172" s="44">
        <f t="shared" si="66"/>
        <v>184000.53862699601</v>
      </c>
      <c r="AD172" s="44">
        <f t="shared" si="67"/>
        <v>0</v>
      </c>
      <c r="AE172" s="44">
        <f t="shared" si="68"/>
        <v>0</v>
      </c>
      <c r="AF172" s="52">
        <f>HLOOKUP(I172,ElecAvoidedCostsWOCC!$A$5:$Q$50,G172+1,FALSE)</f>
        <v>1.0545904948077327</v>
      </c>
      <c r="AG172" s="44">
        <f t="shared" si="69"/>
        <v>505442.8668428564</v>
      </c>
      <c r="AH172" s="52">
        <f>HLOOKUP(I172,ElecAvoidedCostsWOCC!$A$5:$Q$50,T172+1,FALSE)</f>
        <v>1.0545904948077327</v>
      </c>
      <c r="AI172" s="44">
        <f t="shared" si="70"/>
        <v>0</v>
      </c>
      <c r="AJ172" s="44">
        <f t="shared" si="71"/>
        <v>505442.8668428564</v>
      </c>
      <c r="AK172" s="44">
        <f>HLOOKUP(I172,ElecAvoidedCostsWOCC!$A$5:$Q$50,G172+1,FALSE)*J172*L172</f>
        <v>0</v>
      </c>
      <c r="AL172" s="44">
        <f t="shared" si="72"/>
        <v>505442.8668428564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505442.8668428564</v>
      </c>
      <c r="AN172" s="48">
        <f t="shared" si="73"/>
        <v>555987.15352714213</v>
      </c>
      <c r="AO172" s="47">
        <f t="shared" si="74"/>
        <v>2.1313862253123608</v>
      </c>
      <c r="AP172" s="47">
        <f t="shared" si="75"/>
        <v>3.0216604672784872</v>
      </c>
      <c r="AQ172">
        <v>2020</v>
      </c>
    </row>
    <row r="173" spans="2:43">
      <c r="B173" s="97" t="s">
        <v>70</v>
      </c>
      <c r="C173" s="61">
        <v>18231134</v>
      </c>
      <c r="D173" s="61" t="s">
        <v>176</v>
      </c>
      <c r="E173" s="38" t="s">
        <v>1385</v>
      </c>
      <c r="F173" s="39" t="s">
        <v>1386</v>
      </c>
      <c r="G173" s="39">
        <v>15</v>
      </c>
      <c r="H173" s="39"/>
      <c r="I173" s="40" t="s">
        <v>257</v>
      </c>
      <c r="J173" s="41">
        <v>45</v>
      </c>
      <c r="K173" s="41">
        <v>1672</v>
      </c>
      <c r="L173" s="41"/>
      <c r="M173" s="42">
        <v>329.75</v>
      </c>
      <c r="N173" s="42">
        <v>471.07</v>
      </c>
      <c r="O173" s="43">
        <v>75240</v>
      </c>
      <c r="P173" s="44">
        <v>20350.23</v>
      </c>
      <c r="Q173" s="44">
        <v>21198.15</v>
      </c>
      <c r="R173" s="45">
        <v>0</v>
      </c>
      <c r="S173" s="46">
        <v>0</v>
      </c>
      <c r="T173" s="39">
        <f t="shared" ref="T173:T212" si="76">G173+H173</f>
        <v>15</v>
      </c>
      <c r="U173" s="47">
        <f t="shared" ref="U173:U212" si="77">(O173/$A$10)*T173</f>
        <v>4.7140423582485672E-2</v>
      </c>
      <c r="V173" s="48">
        <f t="shared" ref="V173:V212" si="78">N173-M173</f>
        <v>141.32</v>
      </c>
      <c r="W173" s="49">
        <f t="shared" ref="W173:W212" si="79">(O173/A$10)</f>
        <v>3.1426949054990448E-3</v>
      </c>
      <c r="X173" s="44">
        <f t="shared" ref="X173:X212" si="80">W173*A$8</f>
        <v>7740.5174520090477</v>
      </c>
      <c r="Y173" s="44">
        <f t="shared" ref="Y173:Y212" si="81">Q173-P173</f>
        <v>847.92000000000189</v>
      </c>
      <c r="Z173" s="44">
        <f t="shared" ref="Z173:Z212" si="82">X173+(A$6*W173)</f>
        <v>39822.863084469493</v>
      </c>
      <c r="AA173" s="50">
        <f t="shared" ref="AA173:AA212" si="83">Q173+X173</f>
        <v>28938.667452009049</v>
      </c>
      <c r="AB173" s="51">
        <f t="shared" ref="AB173:AB212" si="84">Z173/(1+ElecDiscountRate)^1</f>
        <v>37228.066826651855</v>
      </c>
      <c r="AC173" s="44">
        <f t="shared" ref="AC173:AC212" si="85">AA173/(1+ElecDiscountRate)^1</f>
        <v>27053.068572505417</v>
      </c>
      <c r="AD173" s="44">
        <f t="shared" ref="AD173:AD212" si="86">-PV(ElecDiscountRate,T173,R173)*J173</f>
        <v>0</v>
      </c>
      <c r="AE173" s="44">
        <f t="shared" ref="AE173:AE212" si="87">-PV(ElecDiscountRate,T173,S173)*J173</f>
        <v>0</v>
      </c>
      <c r="AF173" s="52">
        <f>HLOOKUP(I173,ElecAvoidedCostsWOCC!$A$5:$Q$50,G173+1,FALSE)</f>
        <v>1.0545904948077327</v>
      </c>
      <c r="AG173" s="44">
        <f t="shared" ref="AG173:AG212" si="88">AF173*J173*K173</f>
        <v>79347.38882933381</v>
      </c>
      <c r="AH173" s="52">
        <f>HLOOKUP(I173,ElecAvoidedCostsWOCC!$A$5:$Q$50,T173+1,FALSE)</f>
        <v>1.0545904948077327</v>
      </c>
      <c r="AI173" s="44">
        <f t="shared" ref="AI173:AI212" si="89">AH173*J173*L173</f>
        <v>0</v>
      </c>
      <c r="AJ173" s="44">
        <f t="shared" ref="AJ173:AJ212" si="90">AG173+AI173</f>
        <v>79347.38882933381</v>
      </c>
      <c r="AK173" s="44">
        <f>HLOOKUP(I173,ElecAvoidedCostsWOCC!$A$5:$Q$50,G173+1,FALSE)*J173*L173</f>
        <v>0</v>
      </c>
      <c r="AL173" s="44">
        <f t="shared" ref="AL173:AL212" si="91">AG173+AI173-AK173</f>
        <v>79347.38882933381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79347.38882933381</v>
      </c>
      <c r="AN173" s="48">
        <f t="shared" ref="AN173:AN212" si="92">AM173*1.1+AD173+AE173</f>
        <v>87282.127712267204</v>
      </c>
      <c r="AO173" s="47">
        <f t="shared" ref="AO173:AO212" si="93">IFERROR(AM173/AB173,0)</f>
        <v>2.1313862253123608</v>
      </c>
      <c r="AP173" s="47">
        <f t="shared" ref="AP173:AP212" si="94">AN173/AC173</f>
        <v>3.2263300364001517</v>
      </c>
      <c r="AQ173">
        <v>2020</v>
      </c>
    </row>
    <row r="174" spans="2:43">
      <c r="B174" s="97" t="s">
        <v>70</v>
      </c>
      <c r="C174" s="61">
        <v>18231134</v>
      </c>
      <c r="D174" s="61" t="s">
        <v>176</v>
      </c>
      <c r="E174" s="38" t="s">
        <v>2316</v>
      </c>
      <c r="F174" s="39" t="s">
        <v>1388</v>
      </c>
      <c r="G174" s="39">
        <v>15</v>
      </c>
      <c r="H174" s="39"/>
      <c r="I174" s="40" t="s">
        <v>257</v>
      </c>
      <c r="J174" s="41">
        <v>4</v>
      </c>
      <c r="K174" s="41">
        <v>1588</v>
      </c>
      <c r="L174" s="41"/>
      <c r="M174" s="42">
        <v>317.52</v>
      </c>
      <c r="N174" s="42">
        <v>471.07</v>
      </c>
      <c r="O174" s="43">
        <v>6352</v>
      </c>
      <c r="P174" s="44">
        <v>1270.08</v>
      </c>
      <c r="Q174" s="44">
        <v>1884.28</v>
      </c>
      <c r="R174" s="45">
        <v>0</v>
      </c>
      <c r="S174" s="46">
        <v>0</v>
      </c>
      <c r="T174" s="39">
        <f t="shared" si="76"/>
        <v>15</v>
      </c>
      <c r="U174" s="47">
        <f t="shared" si="77"/>
        <v>3.97974442578348E-3</v>
      </c>
      <c r="V174" s="48">
        <f t="shared" si="78"/>
        <v>153.55000000000001</v>
      </c>
      <c r="W174" s="49">
        <f t="shared" si="79"/>
        <v>2.6531629505223197E-4</v>
      </c>
      <c r="X174" s="44">
        <f t="shared" si="80"/>
        <v>653.4790916422312</v>
      </c>
      <c r="Y174" s="44">
        <f t="shared" si="81"/>
        <v>614.20000000000005</v>
      </c>
      <c r="Z174" s="44">
        <f t="shared" si="82"/>
        <v>3361.9727048451655</v>
      </c>
      <c r="AA174" s="50">
        <f t="shared" si="83"/>
        <v>2537.7590916422314</v>
      </c>
      <c r="AB174" s="51">
        <f t="shared" si="84"/>
        <v>3142.9117554876743</v>
      </c>
      <c r="AC174" s="44">
        <f t="shared" si="85"/>
        <v>2372.4026284399656</v>
      </c>
      <c r="AD174" s="44">
        <f t="shared" si="86"/>
        <v>0</v>
      </c>
      <c r="AE174" s="44">
        <f t="shared" si="87"/>
        <v>0</v>
      </c>
      <c r="AF174" s="52">
        <f>HLOOKUP(I174,ElecAvoidedCostsWOCC!$A$5:$Q$50,G174+1,FALSE)</f>
        <v>1.0545904948077327</v>
      </c>
      <c r="AG174" s="44">
        <f t="shared" si="88"/>
        <v>6698.7588230187184</v>
      </c>
      <c r="AH174" s="52">
        <f>HLOOKUP(I174,ElecAvoidedCostsWOCC!$A$5:$Q$50,T174+1,FALSE)</f>
        <v>1.0545904948077327</v>
      </c>
      <c r="AI174" s="44">
        <f t="shared" si="89"/>
        <v>0</v>
      </c>
      <c r="AJ174" s="44">
        <f t="shared" si="90"/>
        <v>6698.7588230187184</v>
      </c>
      <c r="AK174" s="44">
        <f>HLOOKUP(I174,ElecAvoidedCostsWOCC!$A$5:$Q$50,G174+1,FALSE)*J174*L174</f>
        <v>0</v>
      </c>
      <c r="AL174" s="44">
        <f t="shared" si="91"/>
        <v>6698.7588230187184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6698.7588230187184</v>
      </c>
      <c r="AN174" s="48">
        <f t="shared" si="92"/>
        <v>7368.6347053205909</v>
      </c>
      <c r="AO174" s="47">
        <f t="shared" si="93"/>
        <v>2.1313862253123603</v>
      </c>
      <c r="AP174" s="47">
        <f t="shared" si="94"/>
        <v>3.1059798269427925</v>
      </c>
      <c r="AQ174">
        <v>2020</v>
      </c>
    </row>
    <row r="175" spans="2:43">
      <c r="B175" s="97" t="s">
        <v>70</v>
      </c>
      <c r="C175" s="61">
        <v>18231134</v>
      </c>
      <c r="D175" s="61" t="s">
        <v>176</v>
      </c>
      <c r="E175" s="38" t="s">
        <v>1387</v>
      </c>
      <c r="F175" s="39" t="s">
        <v>1388</v>
      </c>
      <c r="G175" s="39">
        <v>15</v>
      </c>
      <c r="H175" s="39"/>
      <c r="I175" s="40" t="s">
        <v>257</v>
      </c>
      <c r="J175" s="41">
        <v>239</v>
      </c>
      <c r="K175" s="41">
        <v>1587.6</v>
      </c>
      <c r="L175" s="41"/>
      <c r="M175" s="42">
        <v>329.75</v>
      </c>
      <c r="N175" s="42">
        <v>471.07</v>
      </c>
      <c r="O175" s="43">
        <v>379436.4</v>
      </c>
      <c r="P175" s="44">
        <v>96899.21</v>
      </c>
      <c r="Q175" s="44">
        <v>112585.73</v>
      </c>
      <c r="R175" s="45">
        <v>0</v>
      </c>
      <c r="S175" s="46">
        <v>0</v>
      </c>
      <c r="T175" s="39">
        <f t="shared" si="76"/>
        <v>15</v>
      </c>
      <c r="U175" s="47">
        <f t="shared" si="77"/>
        <v>0.23772983278327309</v>
      </c>
      <c r="V175" s="48">
        <f t="shared" si="78"/>
        <v>141.32</v>
      </c>
      <c r="W175" s="49">
        <f t="shared" si="79"/>
        <v>1.5848655518884872E-2</v>
      </c>
      <c r="X175" s="44">
        <f t="shared" si="80"/>
        <v>39035.54061838764</v>
      </c>
      <c r="Y175" s="44">
        <f t="shared" si="81"/>
        <v>15686.51999999999</v>
      </c>
      <c r="Z175" s="44">
        <f t="shared" si="82"/>
        <v>200827.27015502393</v>
      </c>
      <c r="AA175" s="50">
        <f t="shared" si="83"/>
        <v>151621.27061838764</v>
      </c>
      <c r="AB175" s="51">
        <f t="shared" si="84"/>
        <v>187741.67538097029</v>
      </c>
      <c r="AC175" s="44">
        <f t="shared" si="85"/>
        <v>141741.8627824508</v>
      </c>
      <c r="AD175" s="44">
        <f t="shared" si="86"/>
        <v>0</v>
      </c>
      <c r="AE175" s="44">
        <f t="shared" si="87"/>
        <v>0</v>
      </c>
      <c r="AF175" s="52">
        <f>HLOOKUP(I175,ElecAvoidedCostsWOCC!$A$5:$Q$50,G175+1,FALSE)</f>
        <v>1.0545904948077327</v>
      </c>
      <c r="AG175" s="44">
        <f t="shared" si="88"/>
        <v>400150.02082406479</v>
      </c>
      <c r="AH175" s="52">
        <f>HLOOKUP(I175,ElecAvoidedCostsWOCC!$A$5:$Q$50,T175+1,FALSE)</f>
        <v>1.0545904948077327</v>
      </c>
      <c r="AI175" s="44">
        <f t="shared" si="89"/>
        <v>0</v>
      </c>
      <c r="AJ175" s="44">
        <f t="shared" si="90"/>
        <v>400150.02082406479</v>
      </c>
      <c r="AK175" s="44">
        <f>HLOOKUP(I175,ElecAvoidedCostsWOCC!$A$5:$Q$50,G175+1,FALSE)*J175*L175</f>
        <v>0</v>
      </c>
      <c r="AL175" s="44">
        <f t="shared" si="91"/>
        <v>400150.02082406479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400150.02082406473</v>
      </c>
      <c r="AN175" s="48">
        <f t="shared" si="92"/>
        <v>440165.02290647122</v>
      </c>
      <c r="AO175" s="47">
        <f t="shared" si="93"/>
        <v>2.1313862253123603</v>
      </c>
      <c r="AP175" s="47">
        <f t="shared" si="94"/>
        <v>3.1053988868627207</v>
      </c>
      <c r="AQ175">
        <v>2020</v>
      </c>
    </row>
    <row r="176" spans="2:43">
      <c r="B176" s="97" t="s">
        <v>70</v>
      </c>
      <c r="C176" s="61">
        <v>18231134</v>
      </c>
      <c r="D176" s="61" t="s">
        <v>176</v>
      </c>
      <c r="E176" s="38" t="s">
        <v>2317</v>
      </c>
      <c r="F176" s="39" t="s">
        <v>2318</v>
      </c>
      <c r="G176" s="39">
        <v>15</v>
      </c>
      <c r="H176" s="39"/>
      <c r="I176" s="40" t="s">
        <v>257</v>
      </c>
      <c r="J176" s="41">
        <v>17</v>
      </c>
      <c r="K176" s="41">
        <v>348</v>
      </c>
      <c r="L176" s="41"/>
      <c r="M176" s="42">
        <v>150</v>
      </c>
      <c r="N176" s="42">
        <v>225</v>
      </c>
      <c r="O176" s="43">
        <v>5916</v>
      </c>
      <c r="P176" s="44">
        <v>2550</v>
      </c>
      <c r="Q176" s="44">
        <v>3825</v>
      </c>
      <c r="R176" s="45">
        <v>0</v>
      </c>
      <c r="S176" s="46">
        <v>0</v>
      </c>
      <c r="T176" s="39">
        <f t="shared" si="76"/>
        <v>15</v>
      </c>
      <c r="U176" s="47">
        <f t="shared" si="77"/>
        <v>3.7065755703613139E-3</v>
      </c>
      <c r="V176" s="48">
        <f t="shared" si="78"/>
        <v>75</v>
      </c>
      <c r="W176" s="49">
        <f t="shared" si="79"/>
        <v>2.4710503802408758E-4</v>
      </c>
      <c r="X176" s="44">
        <f t="shared" si="80"/>
        <v>608.62441847535263</v>
      </c>
      <c r="Y176" s="44">
        <f t="shared" si="81"/>
        <v>1275</v>
      </c>
      <c r="Z176" s="44">
        <f t="shared" si="82"/>
        <v>3131.2075758602014</v>
      </c>
      <c r="AA176" s="50">
        <f t="shared" si="83"/>
        <v>4433.6244184753523</v>
      </c>
      <c r="AB176" s="51">
        <f t="shared" si="84"/>
        <v>2927.1829259233441</v>
      </c>
      <c r="AC176" s="44">
        <f t="shared" si="85"/>
        <v>4144.7362984718629</v>
      </c>
      <c r="AD176" s="44">
        <f t="shared" si="86"/>
        <v>0</v>
      </c>
      <c r="AE176" s="44">
        <f t="shared" si="87"/>
        <v>0</v>
      </c>
      <c r="AF176" s="52">
        <f>HLOOKUP(I176,ElecAvoidedCostsWOCC!$A$5:$Q$50,G176+1,FALSE)</f>
        <v>1.0545904948077327</v>
      </c>
      <c r="AG176" s="44">
        <f t="shared" si="88"/>
        <v>6238.9573672825472</v>
      </c>
      <c r="AH176" s="52">
        <f>HLOOKUP(I176,ElecAvoidedCostsWOCC!$A$5:$Q$50,T176+1,FALSE)</f>
        <v>1.0545904948077327</v>
      </c>
      <c r="AI176" s="44">
        <f t="shared" si="89"/>
        <v>0</v>
      </c>
      <c r="AJ176" s="44">
        <f t="shared" si="90"/>
        <v>6238.9573672825472</v>
      </c>
      <c r="AK176" s="44">
        <f>HLOOKUP(I176,ElecAvoidedCostsWOCC!$A$5:$Q$50,G176+1,FALSE)*J176*L176</f>
        <v>0</v>
      </c>
      <c r="AL176" s="44">
        <f t="shared" si="91"/>
        <v>6238.9573672825472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6238.9573672825463</v>
      </c>
      <c r="AN176" s="48">
        <f t="shared" si="92"/>
        <v>6862.8531040108019</v>
      </c>
      <c r="AO176" s="47">
        <f t="shared" si="93"/>
        <v>2.1313862253123603</v>
      </c>
      <c r="AP176" s="47">
        <f t="shared" si="94"/>
        <v>1.6557996962414934</v>
      </c>
      <c r="AQ176">
        <v>2020</v>
      </c>
    </row>
    <row r="177" spans="2:43">
      <c r="B177" s="97" t="s">
        <v>70</v>
      </c>
      <c r="C177" s="61">
        <v>18231134</v>
      </c>
      <c r="D177" s="61" t="s">
        <v>176</v>
      </c>
      <c r="E177" s="38" t="s">
        <v>1395</v>
      </c>
      <c r="F177" s="39" t="s">
        <v>1396</v>
      </c>
      <c r="G177" s="39">
        <v>15</v>
      </c>
      <c r="H177" s="39"/>
      <c r="I177" s="40" t="s">
        <v>257</v>
      </c>
      <c r="J177" s="41">
        <v>7</v>
      </c>
      <c r="K177" s="41">
        <v>883</v>
      </c>
      <c r="L177" s="41"/>
      <c r="M177" s="42">
        <v>150</v>
      </c>
      <c r="N177" s="42">
        <v>225</v>
      </c>
      <c r="O177" s="43">
        <v>6181</v>
      </c>
      <c r="P177" s="44">
        <v>1350</v>
      </c>
      <c r="Q177" s="44">
        <v>1575</v>
      </c>
      <c r="R177" s="45">
        <v>0</v>
      </c>
      <c r="S177" s="46">
        <v>0</v>
      </c>
      <c r="T177" s="39">
        <f t="shared" si="76"/>
        <v>15</v>
      </c>
      <c r="U177" s="47">
        <f t="shared" si="77"/>
        <v>3.8726070994596485E-3</v>
      </c>
      <c r="V177" s="48">
        <f t="shared" si="78"/>
        <v>75</v>
      </c>
      <c r="W177" s="49">
        <f t="shared" si="79"/>
        <v>2.5817380663064324E-4</v>
      </c>
      <c r="X177" s="44">
        <f t="shared" si="80"/>
        <v>635.88700652402883</v>
      </c>
      <c r="Y177" s="44">
        <f t="shared" si="81"/>
        <v>225</v>
      </c>
      <c r="Z177" s="44">
        <f t="shared" si="82"/>
        <v>3271.4661978350077</v>
      </c>
      <c r="AA177" s="50">
        <f t="shared" si="83"/>
        <v>2210.8870065240289</v>
      </c>
      <c r="AB177" s="51">
        <f t="shared" si="84"/>
        <v>3058.3025126998295</v>
      </c>
      <c r="AC177" s="44">
        <f t="shared" si="85"/>
        <v>2066.8290235804698</v>
      </c>
      <c r="AD177" s="44">
        <f t="shared" si="86"/>
        <v>0</v>
      </c>
      <c r="AE177" s="44">
        <f t="shared" si="87"/>
        <v>0</v>
      </c>
      <c r="AF177" s="52">
        <f>HLOOKUP(I177,ElecAvoidedCostsWOCC!$A$5:$Q$50,G177+1,FALSE)</f>
        <v>1.0545904948077327</v>
      </c>
      <c r="AG177" s="44">
        <f t="shared" si="88"/>
        <v>6518.4238484065954</v>
      </c>
      <c r="AH177" s="52">
        <f>HLOOKUP(I177,ElecAvoidedCostsWOCC!$A$5:$Q$50,T177+1,FALSE)</f>
        <v>1.0545904948077327</v>
      </c>
      <c r="AI177" s="44">
        <f t="shared" si="89"/>
        <v>0</v>
      </c>
      <c r="AJ177" s="44">
        <f t="shared" si="90"/>
        <v>6518.4238484065954</v>
      </c>
      <c r="AK177" s="44">
        <f>HLOOKUP(I177,ElecAvoidedCostsWOCC!$A$5:$Q$50,G177+1,FALSE)*J177*L177</f>
        <v>0</v>
      </c>
      <c r="AL177" s="44">
        <f t="shared" si="91"/>
        <v>6518.4238484065954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6518.4238484065963</v>
      </c>
      <c r="AN177" s="48">
        <f t="shared" si="92"/>
        <v>7170.2662332472564</v>
      </c>
      <c r="AO177" s="47">
        <f t="shared" si="93"/>
        <v>2.1313862253123603</v>
      </c>
      <c r="AP177" s="47">
        <f t="shared" si="94"/>
        <v>3.4692111207272727</v>
      </c>
      <c r="AQ177">
        <v>2020</v>
      </c>
    </row>
    <row r="178" spans="2:43">
      <c r="B178" s="97" t="s">
        <v>70</v>
      </c>
      <c r="C178" s="61">
        <v>18231134</v>
      </c>
      <c r="D178" s="61" t="s">
        <v>176</v>
      </c>
      <c r="E178" s="38" t="s">
        <v>1397</v>
      </c>
      <c r="F178" s="39" t="s">
        <v>1398</v>
      </c>
      <c r="G178" s="39">
        <v>15</v>
      </c>
      <c r="H178" s="39"/>
      <c r="I178" s="40" t="s">
        <v>257</v>
      </c>
      <c r="J178" s="41">
        <v>12</v>
      </c>
      <c r="K178" s="41">
        <v>3276</v>
      </c>
      <c r="L178" s="41"/>
      <c r="M178" s="42">
        <v>400</v>
      </c>
      <c r="N178" s="42">
        <v>588</v>
      </c>
      <c r="O178" s="43">
        <v>39312</v>
      </c>
      <c r="P178" s="44">
        <v>5364</v>
      </c>
      <c r="Q178" s="44">
        <v>7056</v>
      </c>
      <c r="R178" s="45">
        <v>0</v>
      </c>
      <c r="S178" s="46">
        <v>0</v>
      </c>
      <c r="T178" s="39">
        <f t="shared" si="76"/>
        <v>15</v>
      </c>
      <c r="U178" s="47">
        <f t="shared" si="77"/>
        <v>2.4630307441183906E-2</v>
      </c>
      <c r="V178" s="48">
        <f t="shared" si="78"/>
        <v>188</v>
      </c>
      <c r="W178" s="49">
        <f t="shared" si="79"/>
        <v>1.642020496078927E-3</v>
      </c>
      <c r="X178" s="44">
        <f t="shared" si="80"/>
        <v>4044.3277787530533</v>
      </c>
      <c r="Y178" s="44">
        <f t="shared" si="81"/>
        <v>1692</v>
      </c>
      <c r="Z178" s="44">
        <f t="shared" si="82"/>
        <v>20806.969611598419</v>
      </c>
      <c r="AA178" s="50">
        <f t="shared" si="83"/>
        <v>11100.327778753053</v>
      </c>
      <c r="AB178" s="51">
        <f t="shared" si="84"/>
        <v>19451.219605121452</v>
      </c>
      <c r="AC178" s="44">
        <f t="shared" si="85"/>
        <v>10377.047563572078</v>
      </c>
      <c r="AD178" s="44">
        <f t="shared" si="86"/>
        <v>0</v>
      </c>
      <c r="AE178" s="44">
        <f t="shared" si="87"/>
        <v>0</v>
      </c>
      <c r="AF178" s="52">
        <f>HLOOKUP(I178,ElecAvoidedCostsWOCC!$A$5:$Q$50,G178+1,FALSE)</f>
        <v>1.0545904948077327</v>
      </c>
      <c r="AG178" s="44">
        <f t="shared" si="88"/>
        <v>41458.061531881591</v>
      </c>
      <c r="AH178" s="52">
        <f>HLOOKUP(I178,ElecAvoidedCostsWOCC!$A$5:$Q$50,T178+1,FALSE)</f>
        <v>1.0545904948077327</v>
      </c>
      <c r="AI178" s="44">
        <f t="shared" si="89"/>
        <v>0</v>
      </c>
      <c r="AJ178" s="44">
        <f t="shared" si="90"/>
        <v>41458.061531881591</v>
      </c>
      <c r="AK178" s="44">
        <f>HLOOKUP(I178,ElecAvoidedCostsWOCC!$A$5:$Q$50,G178+1,FALSE)*J178*L178</f>
        <v>0</v>
      </c>
      <c r="AL178" s="44">
        <f t="shared" si="91"/>
        <v>41458.061531881591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41458.061531881584</v>
      </c>
      <c r="AN178" s="48">
        <f t="shared" si="92"/>
        <v>45603.867685069745</v>
      </c>
      <c r="AO178" s="47">
        <f t="shared" si="93"/>
        <v>2.1313862253123599</v>
      </c>
      <c r="AP178" s="47">
        <f t="shared" si="94"/>
        <v>4.394686196212402</v>
      </c>
      <c r="AQ178">
        <v>2020</v>
      </c>
    </row>
    <row r="179" spans="2:43">
      <c r="B179" s="97" t="s">
        <v>70</v>
      </c>
      <c r="C179" s="61">
        <v>18231134</v>
      </c>
      <c r="D179" s="61" t="s">
        <v>176</v>
      </c>
      <c r="E179" s="38" t="s">
        <v>2319</v>
      </c>
      <c r="F179" s="39" t="s">
        <v>1400</v>
      </c>
      <c r="G179" s="39">
        <v>12</v>
      </c>
      <c r="H179" s="39"/>
      <c r="I179" s="40" t="s">
        <v>257</v>
      </c>
      <c r="J179" s="41">
        <v>60</v>
      </c>
      <c r="K179" s="41">
        <v>306</v>
      </c>
      <c r="L179" s="41"/>
      <c r="M179" s="42">
        <v>114</v>
      </c>
      <c r="N179" s="42">
        <v>114</v>
      </c>
      <c r="O179" s="43">
        <v>18360</v>
      </c>
      <c r="P179" s="44">
        <v>6840</v>
      </c>
      <c r="Q179" s="44">
        <v>6840</v>
      </c>
      <c r="R179" s="45">
        <v>0</v>
      </c>
      <c r="S179" s="46">
        <v>0</v>
      </c>
      <c r="T179" s="39">
        <f t="shared" si="76"/>
        <v>12</v>
      </c>
      <c r="U179" s="47">
        <f t="shared" si="77"/>
        <v>9.2025324505522286E-3</v>
      </c>
      <c r="V179" s="48">
        <f t="shared" si="78"/>
        <v>0</v>
      </c>
      <c r="W179" s="49">
        <f t="shared" si="79"/>
        <v>7.6687770421268568E-4</v>
      </c>
      <c r="X179" s="44">
        <f t="shared" si="80"/>
        <v>1888.8344021648875</v>
      </c>
      <c r="Y179" s="44">
        <f t="shared" si="81"/>
        <v>0</v>
      </c>
      <c r="Z179" s="44">
        <f t="shared" si="82"/>
        <v>9717.5407526695908</v>
      </c>
      <c r="AA179" s="50">
        <f t="shared" si="83"/>
        <v>8728.8344021648882</v>
      </c>
      <c r="AB179" s="51">
        <f t="shared" si="84"/>
        <v>9084.360804589689</v>
      </c>
      <c r="AC179" s="44">
        <f t="shared" si="85"/>
        <v>8160.0770329670822</v>
      </c>
      <c r="AD179" s="44">
        <f t="shared" si="86"/>
        <v>0</v>
      </c>
      <c r="AE179" s="44">
        <f t="shared" si="87"/>
        <v>0</v>
      </c>
      <c r="AF179" s="52">
        <f>HLOOKUP(I179,ElecAvoidedCostsWOCC!$A$5:$Q$50,G179+1,FALSE)</f>
        <v>0.86650348716649883</v>
      </c>
      <c r="AG179" s="44">
        <f t="shared" si="88"/>
        <v>15909.004024376918</v>
      </c>
      <c r="AH179" s="52">
        <f>HLOOKUP(I179,ElecAvoidedCostsWOCC!$A$5:$Q$50,T179+1,FALSE)</f>
        <v>0.86650348716649883</v>
      </c>
      <c r="AI179" s="44">
        <f t="shared" si="89"/>
        <v>0</v>
      </c>
      <c r="AJ179" s="44">
        <f t="shared" si="90"/>
        <v>15909.004024376918</v>
      </c>
      <c r="AK179" s="44">
        <f>HLOOKUP(I179,ElecAvoidedCostsWOCC!$A$5:$Q$50,G179+1,FALSE)*J179*L179</f>
        <v>0</v>
      </c>
      <c r="AL179" s="44">
        <f t="shared" si="91"/>
        <v>15909.004024376918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15909.004024376916</v>
      </c>
      <c r="AN179" s="48">
        <f t="shared" si="92"/>
        <v>17499.90442681461</v>
      </c>
      <c r="AO179" s="47">
        <f t="shared" si="93"/>
        <v>1.751251889548378</v>
      </c>
      <c r="AP179" s="47">
        <f t="shared" si="94"/>
        <v>2.1445758852660584</v>
      </c>
      <c r="AQ179">
        <v>2020</v>
      </c>
    </row>
    <row r="180" spans="2:43">
      <c r="B180" s="97" t="s">
        <v>70</v>
      </c>
      <c r="C180" s="61">
        <v>18231134</v>
      </c>
      <c r="D180" s="61" t="s">
        <v>176</v>
      </c>
      <c r="E180" s="38" t="s">
        <v>2320</v>
      </c>
      <c r="F180" s="39" t="s">
        <v>2321</v>
      </c>
      <c r="G180" s="39">
        <v>12</v>
      </c>
      <c r="H180" s="39"/>
      <c r="I180" s="40" t="s">
        <v>257</v>
      </c>
      <c r="J180" s="41">
        <v>1</v>
      </c>
      <c r="K180" s="41">
        <v>1090</v>
      </c>
      <c r="L180" s="41"/>
      <c r="M180" s="42">
        <v>127</v>
      </c>
      <c r="N180" s="42">
        <v>127</v>
      </c>
      <c r="O180" s="43">
        <v>1090</v>
      </c>
      <c r="P180" s="44">
        <v>127</v>
      </c>
      <c r="Q180" s="44">
        <v>127</v>
      </c>
      <c r="R180" s="45">
        <v>0</v>
      </c>
      <c r="S180" s="46">
        <v>0</v>
      </c>
      <c r="T180" s="39">
        <f t="shared" si="76"/>
        <v>12</v>
      </c>
      <c r="U180" s="47">
        <f t="shared" si="77"/>
        <v>5.4633771084433157E-4</v>
      </c>
      <c r="V180" s="48">
        <f t="shared" si="78"/>
        <v>0</v>
      </c>
      <c r="W180" s="49">
        <f t="shared" si="79"/>
        <v>4.5528142570360969E-5</v>
      </c>
      <c r="X180" s="44">
        <f t="shared" si="80"/>
        <v>112.13668291719648</v>
      </c>
      <c r="Y180" s="44">
        <f t="shared" si="81"/>
        <v>0</v>
      </c>
      <c r="Z180" s="44">
        <f t="shared" si="82"/>
        <v>576.9128224624103</v>
      </c>
      <c r="AA180" s="50">
        <f t="shared" si="83"/>
        <v>239.13668291719648</v>
      </c>
      <c r="AB180" s="51">
        <f t="shared" si="84"/>
        <v>539.32207391082568</v>
      </c>
      <c r="AC180" s="44">
        <f t="shared" si="85"/>
        <v>223.55490597101661</v>
      </c>
      <c r="AD180" s="44">
        <f t="shared" si="86"/>
        <v>0</v>
      </c>
      <c r="AE180" s="44">
        <f t="shared" si="87"/>
        <v>0</v>
      </c>
      <c r="AF180" s="52">
        <f>HLOOKUP(I180,ElecAvoidedCostsWOCC!$A$5:$Q$50,G180+1,FALSE)</f>
        <v>0.86650348716649883</v>
      </c>
      <c r="AG180" s="44">
        <f t="shared" si="88"/>
        <v>944.4888010114837</v>
      </c>
      <c r="AH180" s="52">
        <f>HLOOKUP(I180,ElecAvoidedCostsWOCC!$A$5:$Q$50,T180+1,FALSE)</f>
        <v>0.86650348716649883</v>
      </c>
      <c r="AI180" s="44">
        <f t="shared" si="89"/>
        <v>0</v>
      </c>
      <c r="AJ180" s="44">
        <f t="shared" si="90"/>
        <v>944.4888010114837</v>
      </c>
      <c r="AK180" s="44">
        <f>HLOOKUP(I180,ElecAvoidedCostsWOCC!$A$5:$Q$50,G180+1,FALSE)*J180*L180</f>
        <v>0</v>
      </c>
      <c r="AL180" s="44">
        <f t="shared" si="91"/>
        <v>944.4888010114837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944.4888010114837</v>
      </c>
      <c r="AN180" s="48">
        <f t="shared" si="92"/>
        <v>1038.9376811126322</v>
      </c>
      <c r="AO180" s="47">
        <f t="shared" si="93"/>
        <v>1.7512518895483784</v>
      </c>
      <c r="AP180" s="47">
        <f t="shared" si="94"/>
        <v>4.647349055481377</v>
      </c>
      <c r="AQ180">
        <v>2020</v>
      </c>
    </row>
    <row r="181" spans="2:43">
      <c r="B181" s="97" t="s">
        <v>70</v>
      </c>
      <c r="C181" s="61">
        <v>18231134</v>
      </c>
      <c r="D181" s="61" t="s">
        <v>176</v>
      </c>
      <c r="E181" s="38" t="s">
        <v>2322</v>
      </c>
      <c r="F181" s="39" t="s">
        <v>1402</v>
      </c>
      <c r="G181" s="39">
        <v>12</v>
      </c>
      <c r="H181" s="39"/>
      <c r="I181" s="40" t="s">
        <v>257</v>
      </c>
      <c r="J181" s="41">
        <v>918</v>
      </c>
      <c r="K181" s="41">
        <v>430</v>
      </c>
      <c r="L181" s="41"/>
      <c r="M181" s="42">
        <v>127</v>
      </c>
      <c r="N181" s="42">
        <v>127</v>
      </c>
      <c r="O181" s="43">
        <v>394740</v>
      </c>
      <c r="P181" s="44">
        <v>116586</v>
      </c>
      <c r="Q181" s="44">
        <v>116586</v>
      </c>
      <c r="R181" s="45">
        <v>0</v>
      </c>
      <c r="S181" s="46">
        <v>0</v>
      </c>
      <c r="T181" s="39">
        <f t="shared" si="76"/>
        <v>12</v>
      </c>
      <c r="U181" s="47">
        <f t="shared" si="77"/>
        <v>0.19785444768687291</v>
      </c>
      <c r="V181" s="48">
        <f t="shared" si="78"/>
        <v>0</v>
      </c>
      <c r="W181" s="49">
        <f t="shared" si="79"/>
        <v>1.6487870640572742E-2</v>
      </c>
      <c r="X181" s="44">
        <f t="shared" si="80"/>
        <v>40609.939646545085</v>
      </c>
      <c r="Y181" s="44">
        <f t="shared" si="81"/>
        <v>0</v>
      </c>
      <c r="Z181" s="44">
        <f t="shared" si="82"/>
        <v>208927.1261823962</v>
      </c>
      <c r="AA181" s="50">
        <f t="shared" si="83"/>
        <v>157195.9396465451</v>
      </c>
      <c r="AB181" s="51">
        <f t="shared" si="84"/>
        <v>195313.75729867831</v>
      </c>
      <c r="AC181" s="44">
        <f t="shared" si="85"/>
        <v>146953.29498601952</v>
      </c>
      <c r="AD181" s="44">
        <f t="shared" si="86"/>
        <v>0</v>
      </c>
      <c r="AE181" s="44">
        <f t="shared" si="87"/>
        <v>0</v>
      </c>
      <c r="AF181" s="52">
        <f>HLOOKUP(I181,ElecAvoidedCostsWOCC!$A$5:$Q$50,G181+1,FALSE)</f>
        <v>0.86650348716649883</v>
      </c>
      <c r="AG181" s="44">
        <f t="shared" si="88"/>
        <v>342043.58652410377</v>
      </c>
      <c r="AH181" s="52">
        <f>HLOOKUP(I181,ElecAvoidedCostsWOCC!$A$5:$Q$50,T181+1,FALSE)</f>
        <v>0.86650348716649883</v>
      </c>
      <c r="AI181" s="44">
        <f t="shared" si="89"/>
        <v>0</v>
      </c>
      <c r="AJ181" s="44">
        <f t="shared" si="90"/>
        <v>342043.58652410377</v>
      </c>
      <c r="AK181" s="44">
        <f>HLOOKUP(I181,ElecAvoidedCostsWOCC!$A$5:$Q$50,G181+1,FALSE)*J181*L181</f>
        <v>0</v>
      </c>
      <c r="AL181" s="44">
        <f t="shared" si="91"/>
        <v>342043.58652410377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342043.58652410377</v>
      </c>
      <c r="AN181" s="48">
        <f t="shared" si="92"/>
        <v>376247.94517651416</v>
      </c>
      <c r="AO181" s="47">
        <f t="shared" si="93"/>
        <v>1.7512518895483784</v>
      </c>
      <c r="AP181" s="47">
        <f t="shared" si="94"/>
        <v>2.5603233000818983</v>
      </c>
      <c r="AQ181">
        <v>2020</v>
      </c>
    </row>
    <row r="182" spans="2:43">
      <c r="B182" s="97" t="s">
        <v>70</v>
      </c>
      <c r="C182" s="61">
        <v>18231134</v>
      </c>
      <c r="D182" s="61" t="s">
        <v>176</v>
      </c>
      <c r="E182" s="38" t="s">
        <v>2323</v>
      </c>
      <c r="F182" s="39" t="s">
        <v>2324</v>
      </c>
      <c r="G182" s="39">
        <v>12</v>
      </c>
      <c r="H182" s="39"/>
      <c r="I182" s="40" t="s">
        <v>257</v>
      </c>
      <c r="J182" s="41">
        <v>26</v>
      </c>
      <c r="K182" s="41">
        <v>901</v>
      </c>
      <c r="L182" s="41"/>
      <c r="M182" s="42">
        <v>127</v>
      </c>
      <c r="N182" s="42">
        <v>127</v>
      </c>
      <c r="O182" s="43">
        <v>23426</v>
      </c>
      <c r="P182" s="44">
        <v>3302</v>
      </c>
      <c r="Q182" s="44">
        <v>3302</v>
      </c>
      <c r="R182" s="45">
        <v>0</v>
      </c>
      <c r="S182" s="46">
        <v>0</v>
      </c>
      <c r="T182" s="39">
        <f t="shared" si="76"/>
        <v>12</v>
      </c>
      <c r="U182" s="47">
        <f t="shared" si="77"/>
        <v>1.174174973783423E-2</v>
      </c>
      <c r="V182" s="48">
        <f t="shared" si="78"/>
        <v>0</v>
      </c>
      <c r="W182" s="49">
        <f t="shared" si="79"/>
        <v>9.784791448195192E-4</v>
      </c>
      <c r="X182" s="44">
        <f t="shared" si="80"/>
        <v>2410.0127835029766</v>
      </c>
      <c r="Y182" s="44">
        <f t="shared" si="81"/>
        <v>0</v>
      </c>
      <c r="Z182" s="44">
        <f t="shared" si="82"/>
        <v>12398.862182572864</v>
      </c>
      <c r="AA182" s="50">
        <f t="shared" si="83"/>
        <v>5712.0127835029762</v>
      </c>
      <c r="AB182" s="51">
        <f t="shared" si="84"/>
        <v>11590.971471041286</v>
      </c>
      <c r="AC182" s="44">
        <f t="shared" si="85"/>
        <v>5339.8268519238809</v>
      </c>
      <c r="AD182" s="44">
        <f t="shared" si="86"/>
        <v>0</v>
      </c>
      <c r="AE182" s="44">
        <f t="shared" si="87"/>
        <v>0</v>
      </c>
      <c r="AF182" s="52">
        <f>HLOOKUP(I182,ElecAvoidedCostsWOCC!$A$5:$Q$50,G182+1,FALSE)</f>
        <v>0.86650348716649883</v>
      </c>
      <c r="AG182" s="44">
        <f t="shared" si="88"/>
        <v>20298.710690362401</v>
      </c>
      <c r="AH182" s="52">
        <f>HLOOKUP(I182,ElecAvoidedCostsWOCC!$A$5:$Q$50,T182+1,FALSE)</f>
        <v>0.86650348716649883</v>
      </c>
      <c r="AI182" s="44">
        <f t="shared" si="89"/>
        <v>0</v>
      </c>
      <c r="AJ182" s="44">
        <f t="shared" si="90"/>
        <v>20298.710690362401</v>
      </c>
      <c r="AK182" s="44">
        <f>HLOOKUP(I182,ElecAvoidedCostsWOCC!$A$5:$Q$50,G182+1,FALSE)*J182*L182</f>
        <v>0</v>
      </c>
      <c r="AL182" s="44">
        <f t="shared" si="91"/>
        <v>20298.710690362401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20298.710690362401</v>
      </c>
      <c r="AN182" s="48">
        <f t="shared" si="92"/>
        <v>22328.581759398643</v>
      </c>
      <c r="AO182" s="47">
        <f t="shared" si="93"/>
        <v>1.7512518895483784</v>
      </c>
      <c r="AP182" s="47">
        <f t="shared" si="94"/>
        <v>4.1815179365514261</v>
      </c>
      <c r="AQ182">
        <v>2020</v>
      </c>
    </row>
    <row r="183" spans="2:43">
      <c r="B183" s="97" t="s">
        <v>70</v>
      </c>
      <c r="C183" s="61">
        <v>18231134</v>
      </c>
      <c r="D183" s="61" t="s">
        <v>176</v>
      </c>
      <c r="E183" s="38" t="s">
        <v>1403</v>
      </c>
      <c r="F183" s="39" t="s">
        <v>1404</v>
      </c>
      <c r="G183" s="39">
        <v>12</v>
      </c>
      <c r="H183" s="39"/>
      <c r="I183" s="40" t="s">
        <v>257</v>
      </c>
      <c r="J183" s="41">
        <v>1250</v>
      </c>
      <c r="K183" s="41">
        <v>225</v>
      </c>
      <c r="L183" s="41"/>
      <c r="M183" s="42">
        <v>109</v>
      </c>
      <c r="N183" s="42">
        <v>109</v>
      </c>
      <c r="O183" s="43">
        <v>281250</v>
      </c>
      <c r="P183" s="44">
        <v>137762</v>
      </c>
      <c r="Q183" s="44">
        <v>136250</v>
      </c>
      <c r="R183" s="45">
        <v>0</v>
      </c>
      <c r="S183" s="46">
        <v>0</v>
      </c>
      <c r="T183" s="39">
        <f t="shared" si="76"/>
        <v>12</v>
      </c>
      <c r="U183" s="47">
        <f t="shared" si="77"/>
        <v>0.14097016621556721</v>
      </c>
      <c r="V183" s="48">
        <f t="shared" si="78"/>
        <v>0</v>
      </c>
      <c r="W183" s="49">
        <f t="shared" si="79"/>
        <v>1.1747513851297268E-2</v>
      </c>
      <c r="X183" s="44">
        <f t="shared" si="80"/>
        <v>28934.350523359182</v>
      </c>
      <c r="Y183" s="44">
        <f t="shared" si="81"/>
        <v>-1512</v>
      </c>
      <c r="Z183" s="44">
        <f t="shared" si="82"/>
        <v>148859.38652986503</v>
      </c>
      <c r="AA183" s="50">
        <f t="shared" si="83"/>
        <v>165184.35052335917</v>
      </c>
      <c r="AB183" s="51">
        <f t="shared" si="84"/>
        <v>139159.93879579791</v>
      </c>
      <c r="AC183" s="44">
        <f t="shared" si="85"/>
        <v>154421.19334706847</v>
      </c>
      <c r="AD183" s="44">
        <f t="shared" si="86"/>
        <v>0</v>
      </c>
      <c r="AE183" s="44">
        <f t="shared" si="87"/>
        <v>0</v>
      </c>
      <c r="AF183" s="52">
        <f>HLOOKUP(I183,ElecAvoidedCostsWOCC!$A$5:$Q$50,G183+1,FALSE)</f>
        <v>0.86650348716649883</v>
      </c>
      <c r="AG183" s="44">
        <f t="shared" si="88"/>
        <v>243704.10576557778</v>
      </c>
      <c r="AH183" s="52">
        <f>HLOOKUP(I183,ElecAvoidedCostsWOCC!$A$5:$Q$50,T183+1,FALSE)</f>
        <v>0.86650348716649883</v>
      </c>
      <c r="AI183" s="44">
        <f t="shared" si="89"/>
        <v>0</v>
      </c>
      <c r="AJ183" s="44">
        <f t="shared" si="90"/>
        <v>243704.10576557778</v>
      </c>
      <c r="AK183" s="44">
        <f>HLOOKUP(I183,ElecAvoidedCostsWOCC!$A$5:$Q$50,G183+1,FALSE)*J183*L183</f>
        <v>0</v>
      </c>
      <c r="AL183" s="44">
        <f t="shared" si="91"/>
        <v>243704.10576557778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243704.10576557781</v>
      </c>
      <c r="AN183" s="48">
        <f t="shared" si="92"/>
        <v>268074.51634213561</v>
      </c>
      <c r="AO183" s="47">
        <f t="shared" si="93"/>
        <v>1.7512518895483786</v>
      </c>
      <c r="AP183" s="47">
        <f t="shared" si="94"/>
        <v>1.7359956268413641</v>
      </c>
      <c r="AQ183">
        <v>2020</v>
      </c>
    </row>
    <row r="184" spans="2:43">
      <c r="B184" s="97" t="s">
        <v>70</v>
      </c>
      <c r="C184" s="61">
        <v>18231134</v>
      </c>
      <c r="D184" s="61" t="s">
        <v>176</v>
      </c>
      <c r="E184" s="38" t="s">
        <v>2325</v>
      </c>
      <c r="F184" s="39" t="s">
        <v>1407</v>
      </c>
      <c r="G184" s="39">
        <v>12</v>
      </c>
      <c r="H184" s="39"/>
      <c r="I184" s="40" t="s">
        <v>257</v>
      </c>
      <c r="J184" s="41">
        <v>2399</v>
      </c>
      <c r="K184" s="41">
        <v>323</v>
      </c>
      <c r="L184" s="41"/>
      <c r="M184" s="42">
        <v>135</v>
      </c>
      <c r="N184" s="42">
        <v>135</v>
      </c>
      <c r="O184" s="43">
        <v>774877</v>
      </c>
      <c r="P184" s="44">
        <v>323865</v>
      </c>
      <c r="Q184" s="44">
        <v>323865</v>
      </c>
      <c r="R184" s="45">
        <v>0</v>
      </c>
      <c r="S184" s="46">
        <v>0</v>
      </c>
      <c r="T184" s="39">
        <f t="shared" si="76"/>
        <v>12</v>
      </c>
      <c r="U184" s="47">
        <f t="shared" si="77"/>
        <v>0.38838947373020472</v>
      </c>
      <c r="V184" s="48">
        <f t="shared" si="78"/>
        <v>0</v>
      </c>
      <c r="W184" s="49">
        <f t="shared" si="79"/>
        <v>3.236578947751706E-2</v>
      </c>
      <c r="X184" s="44">
        <f t="shared" si="80"/>
        <v>79717.556375071974</v>
      </c>
      <c r="Y184" s="44">
        <f t="shared" si="81"/>
        <v>0</v>
      </c>
      <c r="Z184" s="44">
        <f t="shared" si="82"/>
        <v>410125.20837725239</v>
      </c>
      <c r="AA184" s="50">
        <f t="shared" si="83"/>
        <v>403582.55637507199</v>
      </c>
      <c r="AB184" s="51">
        <f t="shared" si="84"/>
        <v>383402.08317963203</v>
      </c>
      <c r="AC184" s="44">
        <f t="shared" si="85"/>
        <v>377285.7402777152</v>
      </c>
      <c r="AD184" s="44">
        <f t="shared" si="86"/>
        <v>0</v>
      </c>
      <c r="AE184" s="44">
        <f t="shared" si="87"/>
        <v>0</v>
      </c>
      <c r="AF184" s="52">
        <f>HLOOKUP(I184,ElecAvoidedCostsWOCC!$A$5:$Q$50,G184+1,FALSE)</f>
        <v>0.86650348716649883</v>
      </c>
      <c r="AG184" s="44">
        <f t="shared" si="88"/>
        <v>671433.62262511509</v>
      </c>
      <c r="AH184" s="52">
        <f>HLOOKUP(I184,ElecAvoidedCostsWOCC!$A$5:$Q$50,T184+1,FALSE)</f>
        <v>0.86650348716649883</v>
      </c>
      <c r="AI184" s="44">
        <f t="shared" si="89"/>
        <v>0</v>
      </c>
      <c r="AJ184" s="44">
        <f t="shared" si="90"/>
        <v>671433.62262511509</v>
      </c>
      <c r="AK184" s="44">
        <f>HLOOKUP(I184,ElecAvoidedCostsWOCC!$A$5:$Q$50,G184+1,FALSE)*J184*L184</f>
        <v>0</v>
      </c>
      <c r="AL184" s="44">
        <f t="shared" si="91"/>
        <v>671433.62262511509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671433.62262511509</v>
      </c>
      <c r="AN184" s="48">
        <f t="shared" si="92"/>
        <v>738576.98488762672</v>
      </c>
      <c r="AO184" s="47">
        <f t="shared" si="93"/>
        <v>1.7512518895483784</v>
      </c>
      <c r="AP184" s="47">
        <f t="shared" si="94"/>
        <v>1.9576064134943707</v>
      </c>
      <c r="AQ184">
        <v>2020</v>
      </c>
    </row>
    <row r="185" spans="2:43">
      <c r="B185" s="97" t="s">
        <v>70</v>
      </c>
      <c r="C185" s="61">
        <v>18231134</v>
      </c>
      <c r="D185" s="61" t="s">
        <v>176</v>
      </c>
      <c r="E185" s="38" t="s">
        <v>2326</v>
      </c>
      <c r="F185" s="39" t="s">
        <v>2327</v>
      </c>
      <c r="G185" s="39">
        <v>12</v>
      </c>
      <c r="H185" s="39"/>
      <c r="I185" s="40" t="s">
        <v>257</v>
      </c>
      <c r="J185" s="41">
        <v>14</v>
      </c>
      <c r="K185" s="41">
        <v>750</v>
      </c>
      <c r="L185" s="41"/>
      <c r="M185" s="42">
        <v>135</v>
      </c>
      <c r="N185" s="42">
        <v>135</v>
      </c>
      <c r="O185" s="43">
        <v>10500</v>
      </c>
      <c r="P185" s="44">
        <v>1890</v>
      </c>
      <c r="Q185" s="44">
        <v>1890</v>
      </c>
      <c r="R185" s="45">
        <v>0</v>
      </c>
      <c r="S185" s="46">
        <v>0</v>
      </c>
      <c r="T185" s="39">
        <f t="shared" si="76"/>
        <v>12</v>
      </c>
      <c r="U185" s="47">
        <f t="shared" si="77"/>
        <v>5.2628862053811761E-3</v>
      </c>
      <c r="V185" s="48">
        <f t="shared" si="78"/>
        <v>0</v>
      </c>
      <c r="W185" s="49">
        <f t="shared" si="79"/>
        <v>4.3857385044843134E-4</v>
      </c>
      <c r="X185" s="44">
        <f t="shared" si="80"/>
        <v>1080.2157528720761</v>
      </c>
      <c r="Y185" s="44">
        <f t="shared" si="81"/>
        <v>0</v>
      </c>
      <c r="Z185" s="44">
        <f t="shared" si="82"/>
        <v>5557.4170971149615</v>
      </c>
      <c r="AA185" s="50">
        <f t="shared" si="83"/>
        <v>2970.2157528720763</v>
      </c>
      <c r="AB185" s="51">
        <f t="shared" si="84"/>
        <v>5195.3043817097887</v>
      </c>
      <c r="AC185" s="44">
        <f t="shared" si="85"/>
        <v>2776.6810814920782</v>
      </c>
      <c r="AD185" s="44">
        <f t="shared" si="86"/>
        <v>0</v>
      </c>
      <c r="AE185" s="44">
        <f t="shared" si="87"/>
        <v>0</v>
      </c>
      <c r="AF185" s="52">
        <f>HLOOKUP(I185,ElecAvoidedCostsWOCC!$A$5:$Q$50,G185+1,FALSE)</f>
        <v>0.86650348716649883</v>
      </c>
      <c r="AG185" s="44">
        <f t="shared" si="88"/>
        <v>9098.2866152482384</v>
      </c>
      <c r="AH185" s="52">
        <f>HLOOKUP(I185,ElecAvoidedCostsWOCC!$A$5:$Q$50,T185+1,FALSE)</f>
        <v>0.86650348716649883</v>
      </c>
      <c r="AI185" s="44">
        <f t="shared" si="89"/>
        <v>0</v>
      </c>
      <c r="AJ185" s="44">
        <f t="shared" si="90"/>
        <v>9098.2866152482384</v>
      </c>
      <c r="AK185" s="44">
        <f>HLOOKUP(I185,ElecAvoidedCostsWOCC!$A$5:$Q$50,G185+1,FALSE)*J185*L185</f>
        <v>0</v>
      </c>
      <c r="AL185" s="44">
        <f t="shared" si="91"/>
        <v>9098.2866152482384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9098.2866152482384</v>
      </c>
      <c r="AN185" s="48">
        <f t="shared" si="92"/>
        <v>10008.115276773064</v>
      </c>
      <c r="AO185" s="47">
        <f t="shared" si="93"/>
        <v>1.7512518895483786</v>
      </c>
      <c r="AP185" s="47">
        <f t="shared" si="94"/>
        <v>3.6043445332926387</v>
      </c>
      <c r="AQ185">
        <v>2020</v>
      </c>
    </row>
    <row r="186" spans="2:43">
      <c r="B186" s="97" t="s">
        <v>70</v>
      </c>
      <c r="C186" s="61">
        <v>18231134</v>
      </c>
      <c r="D186" s="61" t="s">
        <v>176</v>
      </c>
      <c r="E186" s="38" t="s">
        <v>1410</v>
      </c>
      <c r="F186" s="39" t="s">
        <v>1411</v>
      </c>
      <c r="G186" s="39">
        <v>12</v>
      </c>
      <c r="H186" s="39"/>
      <c r="I186" s="40" t="s">
        <v>257</v>
      </c>
      <c r="J186" s="41">
        <v>591</v>
      </c>
      <c r="K186" s="41">
        <v>397</v>
      </c>
      <c r="L186" s="41"/>
      <c r="M186" s="42">
        <v>116</v>
      </c>
      <c r="N186" s="42">
        <v>116</v>
      </c>
      <c r="O186" s="43">
        <v>234627</v>
      </c>
      <c r="P186" s="44">
        <v>68556</v>
      </c>
      <c r="Q186" s="44">
        <v>68556</v>
      </c>
      <c r="R186" s="45">
        <v>0</v>
      </c>
      <c r="S186" s="46">
        <v>0</v>
      </c>
      <c r="T186" s="39">
        <f t="shared" si="76"/>
        <v>12</v>
      </c>
      <c r="U186" s="47">
        <f t="shared" si="77"/>
        <v>0.11760144778190182</v>
      </c>
      <c r="V186" s="48">
        <f t="shared" si="78"/>
        <v>0</v>
      </c>
      <c r="W186" s="49">
        <f t="shared" si="79"/>
        <v>9.8001206484918182E-3</v>
      </c>
      <c r="X186" s="44">
        <f t="shared" si="80"/>
        <v>24137.883947534912</v>
      </c>
      <c r="Y186" s="44">
        <f t="shared" si="81"/>
        <v>0</v>
      </c>
      <c r="Z186" s="44">
        <f t="shared" si="82"/>
        <v>124182.86678521828</v>
      </c>
      <c r="AA186" s="50">
        <f t="shared" si="83"/>
        <v>92693.883947534909</v>
      </c>
      <c r="AB186" s="51">
        <f t="shared" si="84"/>
        <v>116091.30296832595</v>
      </c>
      <c r="AC186" s="44">
        <f t="shared" si="85"/>
        <v>86654.093622076194</v>
      </c>
      <c r="AD186" s="44">
        <f t="shared" si="86"/>
        <v>0</v>
      </c>
      <c r="AE186" s="44">
        <f t="shared" si="87"/>
        <v>0</v>
      </c>
      <c r="AF186" s="52">
        <f>HLOOKUP(I186,ElecAvoidedCostsWOCC!$A$5:$Q$50,G186+1,FALSE)</f>
        <v>0.86650348716649883</v>
      </c>
      <c r="AG186" s="44">
        <f t="shared" si="88"/>
        <v>203305.11368341415</v>
      </c>
      <c r="AH186" s="52">
        <f>HLOOKUP(I186,ElecAvoidedCostsWOCC!$A$5:$Q$50,T186+1,FALSE)</f>
        <v>0.86650348716649883</v>
      </c>
      <c r="AI186" s="44">
        <f t="shared" si="89"/>
        <v>0</v>
      </c>
      <c r="AJ186" s="44">
        <f t="shared" si="90"/>
        <v>203305.11368341415</v>
      </c>
      <c r="AK186" s="44">
        <f>HLOOKUP(I186,ElecAvoidedCostsWOCC!$A$5:$Q$50,G186+1,FALSE)*J186*L186</f>
        <v>0</v>
      </c>
      <c r="AL186" s="44">
        <f t="shared" si="91"/>
        <v>203305.11368341415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203305.11368341412</v>
      </c>
      <c r="AN186" s="48">
        <f t="shared" si="92"/>
        <v>223635.62505175555</v>
      </c>
      <c r="AO186" s="47">
        <f t="shared" si="93"/>
        <v>1.7512518895483786</v>
      </c>
      <c r="AP186" s="47">
        <f t="shared" si="94"/>
        <v>2.5807854621051813</v>
      </c>
      <c r="AQ186">
        <v>2020</v>
      </c>
    </row>
    <row r="187" spans="2:43">
      <c r="B187" s="97" t="s">
        <v>70</v>
      </c>
      <c r="C187" s="61">
        <v>18231134</v>
      </c>
      <c r="D187" s="61" t="s">
        <v>176</v>
      </c>
      <c r="E187" s="38" t="s">
        <v>2328</v>
      </c>
      <c r="F187" s="39" t="s">
        <v>1414</v>
      </c>
      <c r="G187" s="39">
        <v>12</v>
      </c>
      <c r="H187" s="39"/>
      <c r="I187" s="40" t="s">
        <v>257</v>
      </c>
      <c r="J187" s="41">
        <v>56</v>
      </c>
      <c r="K187" s="41">
        <v>165</v>
      </c>
      <c r="L187" s="41"/>
      <c r="M187" s="42">
        <v>112</v>
      </c>
      <c r="N187" s="42">
        <v>112</v>
      </c>
      <c r="O187" s="43">
        <v>9240</v>
      </c>
      <c r="P187" s="44">
        <v>6272</v>
      </c>
      <c r="Q187" s="44">
        <v>6272</v>
      </c>
      <c r="R187" s="45">
        <v>0</v>
      </c>
      <c r="S187" s="46">
        <v>0</v>
      </c>
      <c r="T187" s="39">
        <f t="shared" si="76"/>
        <v>12</v>
      </c>
      <c r="U187" s="47">
        <f t="shared" si="77"/>
        <v>4.6313398607354343E-3</v>
      </c>
      <c r="V187" s="48">
        <f t="shared" si="78"/>
        <v>0</v>
      </c>
      <c r="W187" s="49">
        <f t="shared" si="79"/>
        <v>3.8594498839461956E-4</v>
      </c>
      <c r="X187" s="44">
        <f t="shared" si="80"/>
        <v>950.58986252742693</v>
      </c>
      <c r="Y187" s="44">
        <f t="shared" si="81"/>
        <v>0</v>
      </c>
      <c r="Z187" s="44">
        <f t="shared" si="82"/>
        <v>4890.5270454611664</v>
      </c>
      <c r="AA187" s="50">
        <f t="shared" si="83"/>
        <v>7222.5898625274267</v>
      </c>
      <c r="AB187" s="51">
        <f t="shared" si="84"/>
        <v>4571.8678559046148</v>
      </c>
      <c r="AC187" s="44">
        <f t="shared" si="85"/>
        <v>6751.9770613512446</v>
      </c>
      <c r="AD187" s="44">
        <f t="shared" si="86"/>
        <v>0</v>
      </c>
      <c r="AE187" s="44">
        <f t="shared" si="87"/>
        <v>0</v>
      </c>
      <c r="AF187" s="52">
        <f>HLOOKUP(I187,ElecAvoidedCostsWOCC!$A$5:$Q$50,G187+1,FALSE)</f>
        <v>0.86650348716649883</v>
      </c>
      <c r="AG187" s="44">
        <f t="shared" si="88"/>
        <v>8006.4922214184489</v>
      </c>
      <c r="AH187" s="52">
        <f>HLOOKUP(I187,ElecAvoidedCostsWOCC!$A$5:$Q$50,T187+1,FALSE)</f>
        <v>0.86650348716649883</v>
      </c>
      <c r="AI187" s="44">
        <f t="shared" si="89"/>
        <v>0</v>
      </c>
      <c r="AJ187" s="44">
        <f t="shared" si="90"/>
        <v>8006.4922214184489</v>
      </c>
      <c r="AK187" s="44">
        <f>HLOOKUP(I187,ElecAvoidedCostsWOCC!$A$5:$Q$50,G187+1,FALSE)*J187*L187</f>
        <v>0</v>
      </c>
      <c r="AL187" s="44">
        <f t="shared" si="91"/>
        <v>8006.4922214184489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8006.4922214184489</v>
      </c>
      <c r="AN187" s="48">
        <f t="shared" si="92"/>
        <v>8807.1414435602946</v>
      </c>
      <c r="AO187" s="47">
        <f t="shared" si="93"/>
        <v>1.7512518895483782</v>
      </c>
      <c r="AP187" s="47">
        <f t="shared" si="94"/>
        <v>1.3043796451816971</v>
      </c>
      <c r="AQ187">
        <v>2020</v>
      </c>
    </row>
    <row r="188" spans="2:43">
      <c r="B188" s="97" t="s">
        <v>70</v>
      </c>
      <c r="C188" s="61">
        <v>18231134</v>
      </c>
      <c r="D188" s="61" t="s">
        <v>176</v>
      </c>
      <c r="E188" s="38" t="s">
        <v>2329</v>
      </c>
      <c r="F188" s="39" t="s">
        <v>1416</v>
      </c>
      <c r="G188" s="39">
        <v>12</v>
      </c>
      <c r="H188" s="39"/>
      <c r="I188" s="40" t="s">
        <v>257</v>
      </c>
      <c r="J188" s="41">
        <v>17</v>
      </c>
      <c r="K188" s="41">
        <v>286</v>
      </c>
      <c r="L188" s="41"/>
      <c r="M188" s="42">
        <v>112</v>
      </c>
      <c r="N188" s="42">
        <v>112</v>
      </c>
      <c r="O188" s="43">
        <v>4862</v>
      </c>
      <c r="P188" s="44">
        <v>1904</v>
      </c>
      <c r="Q188" s="44">
        <v>1904</v>
      </c>
      <c r="R188" s="45">
        <v>0</v>
      </c>
      <c r="S188" s="46">
        <v>0</v>
      </c>
      <c r="T188" s="39">
        <f t="shared" si="76"/>
        <v>12</v>
      </c>
      <c r="U188" s="47">
        <f t="shared" si="77"/>
        <v>2.4369669267203121E-3</v>
      </c>
      <c r="V188" s="48">
        <f t="shared" si="78"/>
        <v>0</v>
      </c>
      <c r="W188" s="49">
        <f t="shared" si="79"/>
        <v>2.0308057722669267E-4</v>
      </c>
      <c r="X188" s="44">
        <f t="shared" si="80"/>
        <v>500.19133242514613</v>
      </c>
      <c r="Y188" s="44">
        <f t="shared" si="81"/>
        <v>0</v>
      </c>
      <c r="Z188" s="44">
        <f t="shared" si="82"/>
        <v>2573.3487548736139</v>
      </c>
      <c r="AA188" s="50">
        <f t="shared" si="83"/>
        <v>2404.1913324251464</v>
      </c>
      <c r="AB188" s="51">
        <f t="shared" si="84"/>
        <v>2405.6733241783804</v>
      </c>
      <c r="AC188" s="44">
        <f t="shared" si="85"/>
        <v>2247.5379381369976</v>
      </c>
      <c r="AD188" s="44">
        <f t="shared" si="86"/>
        <v>0</v>
      </c>
      <c r="AE188" s="44">
        <f t="shared" si="87"/>
        <v>0</v>
      </c>
      <c r="AF188" s="52">
        <f>HLOOKUP(I188,ElecAvoidedCostsWOCC!$A$5:$Q$50,G188+1,FALSE)</f>
        <v>0.86650348716649883</v>
      </c>
      <c r="AG188" s="44">
        <f t="shared" si="88"/>
        <v>4212.9399546035174</v>
      </c>
      <c r="AH188" s="52">
        <f>HLOOKUP(I188,ElecAvoidedCostsWOCC!$A$5:$Q$50,T188+1,FALSE)</f>
        <v>0.86650348716649883</v>
      </c>
      <c r="AI188" s="44">
        <f t="shared" si="89"/>
        <v>0</v>
      </c>
      <c r="AJ188" s="44">
        <f t="shared" si="90"/>
        <v>4212.9399546035174</v>
      </c>
      <c r="AK188" s="44">
        <f>HLOOKUP(I188,ElecAvoidedCostsWOCC!$A$5:$Q$50,G188+1,FALSE)*J188*L188</f>
        <v>0</v>
      </c>
      <c r="AL188" s="44">
        <f t="shared" si="91"/>
        <v>4212.9399546035174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4212.9399546035174</v>
      </c>
      <c r="AN188" s="48">
        <f t="shared" si="92"/>
        <v>4634.23395006387</v>
      </c>
      <c r="AO188" s="47">
        <f t="shared" si="93"/>
        <v>1.7512518895483784</v>
      </c>
      <c r="AP188" s="47">
        <f t="shared" si="94"/>
        <v>2.0619157841247495</v>
      </c>
      <c r="AQ188">
        <v>2020</v>
      </c>
    </row>
    <row r="189" spans="2:43">
      <c r="B189" s="97" t="s">
        <v>70</v>
      </c>
      <c r="C189" s="61">
        <v>18231134</v>
      </c>
      <c r="D189" s="61" t="s">
        <v>176</v>
      </c>
      <c r="E189" s="38" t="s">
        <v>2330</v>
      </c>
      <c r="F189" s="39" t="s">
        <v>2331</v>
      </c>
      <c r="G189" s="39">
        <v>12</v>
      </c>
      <c r="H189" s="39"/>
      <c r="I189" s="40" t="s">
        <v>257</v>
      </c>
      <c r="J189" s="41">
        <v>1</v>
      </c>
      <c r="K189" s="41">
        <v>181</v>
      </c>
      <c r="L189" s="41"/>
      <c r="M189" s="42">
        <v>110</v>
      </c>
      <c r="N189" s="42">
        <v>110</v>
      </c>
      <c r="O189" s="43">
        <v>181</v>
      </c>
      <c r="P189" s="44">
        <v>110</v>
      </c>
      <c r="Q189" s="44">
        <v>110</v>
      </c>
      <c r="R189" s="45">
        <v>0</v>
      </c>
      <c r="S189" s="46">
        <v>0</v>
      </c>
      <c r="T189" s="39">
        <f t="shared" si="76"/>
        <v>12</v>
      </c>
      <c r="U189" s="47">
        <f t="shared" si="77"/>
        <v>9.0722133635618362E-5</v>
      </c>
      <c r="V189" s="48">
        <f t="shared" si="78"/>
        <v>0</v>
      </c>
      <c r="W189" s="49">
        <f t="shared" si="79"/>
        <v>7.5601778029681974E-6</v>
      </c>
      <c r="X189" s="44">
        <f t="shared" si="80"/>
        <v>18.620862025699598</v>
      </c>
      <c r="Y189" s="44">
        <f t="shared" si="81"/>
        <v>0</v>
      </c>
      <c r="Z189" s="44">
        <f t="shared" si="82"/>
        <v>95.799285197886476</v>
      </c>
      <c r="AA189" s="50">
        <f t="shared" si="83"/>
        <v>128.62086202569961</v>
      </c>
      <c r="AB189" s="51">
        <f t="shared" si="84"/>
        <v>89.557151722806836</v>
      </c>
      <c r="AC189" s="44">
        <f t="shared" si="85"/>
        <v>120.240125292792</v>
      </c>
      <c r="AD189" s="44">
        <f t="shared" si="86"/>
        <v>0</v>
      </c>
      <c r="AE189" s="44">
        <f t="shared" si="87"/>
        <v>0</v>
      </c>
      <c r="AF189" s="52">
        <f>HLOOKUP(I189,ElecAvoidedCostsWOCC!$A$5:$Q$50,G189+1,FALSE)</f>
        <v>0.86650348716649883</v>
      </c>
      <c r="AG189" s="44">
        <f t="shared" si="88"/>
        <v>156.83713117713629</v>
      </c>
      <c r="AH189" s="52">
        <f>HLOOKUP(I189,ElecAvoidedCostsWOCC!$A$5:$Q$50,T189+1,FALSE)</f>
        <v>0.86650348716649883</v>
      </c>
      <c r="AI189" s="44">
        <f t="shared" si="89"/>
        <v>0</v>
      </c>
      <c r="AJ189" s="44">
        <f t="shared" si="90"/>
        <v>156.83713117713629</v>
      </c>
      <c r="AK189" s="44">
        <f>HLOOKUP(I189,ElecAvoidedCostsWOCC!$A$5:$Q$50,G189+1,FALSE)*J189*L189</f>
        <v>0</v>
      </c>
      <c r="AL189" s="44">
        <f t="shared" si="91"/>
        <v>156.83713117713629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156.83713117713629</v>
      </c>
      <c r="AN189" s="48">
        <f t="shared" si="92"/>
        <v>172.52084429484992</v>
      </c>
      <c r="AO189" s="47">
        <f t="shared" si="93"/>
        <v>1.7512518895483784</v>
      </c>
      <c r="AP189" s="47">
        <f t="shared" si="94"/>
        <v>1.4348025991718754</v>
      </c>
      <c r="AQ189">
        <v>2020</v>
      </c>
    </row>
    <row r="190" spans="2:43">
      <c r="B190" s="97" t="s">
        <v>70</v>
      </c>
      <c r="C190" s="61">
        <v>18231134</v>
      </c>
      <c r="D190" s="61" t="s">
        <v>176</v>
      </c>
      <c r="E190" s="38" t="s">
        <v>1417</v>
      </c>
      <c r="F190" s="39" t="s">
        <v>1418</v>
      </c>
      <c r="G190" s="39">
        <v>12</v>
      </c>
      <c r="H190" s="39"/>
      <c r="I190" s="40" t="s">
        <v>257</v>
      </c>
      <c r="J190" s="41">
        <v>164</v>
      </c>
      <c r="K190" s="41">
        <v>329</v>
      </c>
      <c r="L190" s="41"/>
      <c r="M190" s="42">
        <v>154</v>
      </c>
      <c r="N190" s="42">
        <v>154</v>
      </c>
      <c r="O190" s="43">
        <v>53956</v>
      </c>
      <c r="P190" s="44">
        <v>25256</v>
      </c>
      <c r="Q190" s="44">
        <v>25256</v>
      </c>
      <c r="R190" s="45">
        <v>0</v>
      </c>
      <c r="S190" s="46">
        <v>0</v>
      </c>
      <c r="T190" s="39">
        <f t="shared" si="76"/>
        <v>12</v>
      </c>
      <c r="U190" s="47">
        <f t="shared" si="77"/>
        <v>2.7044217914052072E-2</v>
      </c>
      <c r="V190" s="48">
        <f t="shared" si="78"/>
        <v>0</v>
      </c>
      <c r="W190" s="49">
        <f t="shared" si="79"/>
        <v>2.2536848261710059E-3</v>
      </c>
      <c r="X190" s="44">
        <f t="shared" si="80"/>
        <v>5550.8686820919756</v>
      </c>
      <c r="Y190" s="44">
        <f t="shared" si="81"/>
        <v>0</v>
      </c>
      <c r="Z190" s="44">
        <f t="shared" si="82"/>
        <v>28557.713989708085</v>
      </c>
      <c r="AA190" s="50">
        <f t="shared" si="83"/>
        <v>30806.868682091976</v>
      </c>
      <c r="AB190" s="51">
        <f t="shared" si="84"/>
        <v>26696.93744947937</v>
      </c>
      <c r="AC190" s="44">
        <f t="shared" si="85"/>
        <v>28799.540695608088</v>
      </c>
      <c r="AD190" s="44">
        <f t="shared" si="86"/>
        <v>0</v>
      </c>
      <c r="AE190" s="44">
        <f t="shared" si="87"/>
        <v>0</v>
      </c>
      <c r="AF190" s="52">
        <f>HLOOKUP(I190,ElecAvoidedCostsWOCC!$A$5:$Q$50,G190+1,FALSE)</f>
        <v>0.86650348716649883</v>
      </c>
      <c r="AG190" s="44">
        <f t="shared" si="88"/>
        <v>46753.062153555613</v>
      </c>
      <c r="AH190" s="52">
        <f>HLOOKUP(I190,ElecAvoidedCostsWOCC!$A$5:$Q$50,T190+1,FALSE)</f>
        <v>0.86650348716649883</v>
      </c>
      <c r="AI190" s="44">
        <f t="shared" si="89"/>
        <v>0</v>
      </c>
      <c r="AJ190" s="44">
        <f t="shared" si="90"/>
        <v>46753.062153555613</v>
      </c>
      <c r="AK190" s="44">
        <f>HLOOKUP(I190,ElecAvoidedCostsWOCC!$A$5:$Q$50,G190+1,FALSE)*J190*L190</f>
        <v>0</v>
      </c>
      <c r="AL190" s="44">
        <f t="shared" si="91"/>
        <v>46753.062153555613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46753.062153555613</v>
      </c>
      <c r="AN190" s="48">
        <f t="shared" si="92"/>
        <v>51428.368368911179</v>
      </c>
      <c r="AO190" s="47">
        <f t="shared" si="93"/>
        <v>1.7512518895483784</v>
      </c>
      <c r="AP190" s="47">
        <f t="shared" si="94"/>
        <v>1.7857357140683141</v>
      </c>
      <c r="AQ190">
        <v>2020</v>
      </c>
    </row>
    <row r="191" spans="2:43">
      <c r="B191" s="97" t="s">
        <v>70</v>
      </c>
      <c r="C191" s="61">
        <v>18231134</v>
      </c>
      <c r="D191" s="61" t="s">
        <v>176</v>
      </c>
      <c r="E191" s="38" t="s">
        <v>1420</v>
      </c>
      <c r="F191" s="39" t="s">
        <v>1421</v>
      </c>
      <c r="G191" s="39">
        <v>12</v>
      </c>
      <c r="H191" s="39"/>
      <c r="I191" s="40" t="s">
        <v>257</v>
      </c>
      <c r="J191" s="41">
        <v>540</v>
      </c>
      <c r="K191" s="41">
        <v>571</v>
      </c>
      <c r="L191" s="41"/>
      <c r="M191" s="42">
        <v>170</v>
      </c>
      <c r="N191" s="42">
        <v>170</v>
      </c>
      <c r="O191" s="43">
        <v>308340</v>
      </c>
      <c r="P191" s="44">
        <v>91800</v>
      </c>
      <c r="Q191" s="44">
        <v>91800</v>
      </c>
      <c r="R191" s="45">
        <v>0</v>
      </c>
      <c r="S191" s="46">
        <v>0</v>
      </c>
      <c r="T191" s="39">
        <f t="shared" si="76"/>
        <v>12</v>
      </c>
      <c r="U191" s="47">
        <f t="shared" si="77"/>
        <v>0.15454841262545063</v>
      </c>
      <c r="V191" s="48">
        <f t="shared" si="78"/>
        <v>0</v>
      </c>
      <c r="W191" s="49">
        <f t="shared" si="79"/>
        <v>1.287903438545422E-2</v>
      </c>
      <c r="X191" s="44">
        <f t="shared" si="80"/>
        <v>31721.307165769136</v>
      </c>
      <c r="Y191" s="44">
        <f t="shared" si="81"/>
        <v>0</v>
      </c>
      <c r="Z191" s="44">
        <f t="shared" si="82"/>
        <v>163197.52264042164</v>
      </c>
      <c r="AA191" s="50">
        <f t="shared" si="83"/>
        <v>123521.30716576913</v>
      </c>
      <c r="AB191" s="51">
        <f t="shared" si="84"/>
        <v>152563.82410060917</v>
      </c>
      <c r="AC191" s="44">
        <f t="shared" si="85"/>
        <v>115472.84955199507</v>
      </c>
      <c r="AD191" s="44">
        <f t="shared" si="86"/>
        <v>0</v>
      </c>
      <c r="AE191" s="44">
        <f t="shared" si="87"/>
        <v>0</v>
      </c>
      <c r="AF191" s="52">
        <f>HLOOKUP(I191,ElecAvoidedCostsWOCC!$A$5:$Q$50,G191+1,FALSE)</f>
        <v>0.86650348716649883</v>
      </c>
      <c r="AG191" s="44">
        <f t="shared" si="88"/>
        <v>267177.68523291824</v>
      </c>
      <c r="AH191" s="52">
        <f>HLOOKUP(I191,ElecAvoidedCostsWOCC!$A$5:$Q$50,T191+1,FALSE)</f>
        <v>0.86650348716649883</v>
      </c>
      <c r="AI191" s="44">
        <f t="shared" si="89"/>
        <v>0</v>
      </c>
      <c r="AJ191" s="44">
        <f t="shared" si="90"/>
        <v>267177.68523291824</v>
      </c>
      <c r="AK191" s="44">
        <f>HLOOKUP(I191,ElecAvoidedCostsWOCC!$A$5:$Q$50,G191+1,FALSE)*J191*L191</f>
        <v>0</v>
      </c>
      <c r="AL191" s="44">
        <f t="shared" si="91"/>
        <v>267177.68523291824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267177.68523291824</v>
      </c>
      <c r="AN191" s="48">
        <f t="shared" si="92"/>
        <v>293895.4537562101</v>
      </c>
      <c r="AO191" s="47">
        <f t="shared" si="93"/>
        <v>1.7512518895483784</v>
      </c>
      <c r="AP191" s="47">
        <f t="shared" si="94"/>
        <v>2.5451476680141591</v>
      </c>
      <c r="AQ191">
        <v>2020</v>
      </c>
    </row>
    <row r="192" spans="2:43">
      <c r="B192" s="97" t="s">
        <v>70</v>
      </c>
      <c r="C192" s="61">
        <v>18231134</v>
      </c>
      <c r="D192" s="61" t="s">
        <v>176</v>
      </c>
      <c r="E192" s="38" t="s">
        <v>2332</v>
      </c>
      <c r="F192" s="39" t="s">
        <v>2333</v>
      </c>
      <c r="G192" s="39">
        <v>13</v>
      </c>
      <c r="H192" s="39"/>
      <c r="I192" s="40" t="s">
        <v>257</v>
      </c>
      <c r="J192" s="41">
        <v>88</v>
      </c>
      <c r="K192" s="41">
        <v>25.37</v>
      </c>
      <c r="L192" s="41"/>
      <c r="M192" s="42">
        <v>17</v>
      </c>
      <c r="N192" s="42">
        <v>17</v>
      </c>
      <c r="O192" s="43">
        <v>2232.56</v>
      </c>
      <c r="P192" s="44">
        <v>1496</v>
      </c>
      <c r="Q192" s="44">
        <v>1496</v>
      </c>
      <c r="R192" s="45">
        <v>0</v>
      </c>
      <c r="S192" s="46">
        <v>0</v>
      </c>
      <c r="T192" s="39">
        <f t="shared" si="76"/>
        <v>13</v>
      </c>
      <c r="U192" s="47">
        <f t="shared" si="77"/>
        <v>1.2122715868802807E-3</v>
      </c>
      <c r="V192" s="48">
        <f t="shared" si="78"/>
        <v>0</v>
      </c>
      <c r="W192" s="49">
        <f t="shared" si="79"/>
        <v>9.3251660529252366E-5</v>
      </c>
      <c r="X192" s="44">
        <f t="shared" si="80"/>
        <v>229.68061726019832</v>
      </c>
      <c r="Y192" s="44">
        <f t="shared" si="81"/>
        <v>0</v>
      </c>
      <c r="Z192" s="44">
        <f t="shared" si="82"/>
        <v>1181.6444870795217</v>
      </c>
      <c r="AA192" s="50">
        <f t="shared" si="83"/>
        <v>1725.6806172601982</v>
      </c>
      <c r="AB192" s="51">
        <f t="shared" si="84"/>
        <v>1104.65035718381</v>
      </c>
      <c r="AC192" s="44">
        <f t="shared" si="85"/>
        <v>1613.2379333085894</v>
      </c>
      <c r="AD192" s="44">
        <f t="shared" si="86"/>
        <v>0</v>
      </c>
      <c r="AE192" s="44">
        <f t="shared" si="87"/>
        <v>0</v>
      </c>
      <c r="AF192" s="52">
        <f>HLOOKUP(I192,ElecAvoidedCostsWOCC!$A$5:$Q$50,G192+1,FALSE)</f>
        <v>0.93164439687846989</v>
      </c>
      <c r="AG192" s="44">
        <f t="shared" si="88"/>
        <v>2079.9520146949967</v>
      </c>
      <c r="AH192" s="52">
        <f>HLOOKUP(I192,ElecAvoidedCostsWOCC!$A$5:$Q$50,T192+1,FALSE)</f>
        <v>0.93164439687846989</v>
      </c>
      <c r="AI192" s="44">
        <f t="shared" si="89"/>
        <v>0</v>
      </c>
      <c r="AJ192" s="44">
        <f t="shared" si="90"/>
        <v>2079.9520146949967</v>
      </c>
      <c r="AK192" s="44">
        <f>HLOOKUP(I192,ElecAvoidedCostsWOCC!$A$5:$Q$50,G192+1,FALSE)*J192*L192</f>
        <v>0</v>
      </c>
      <c r="AL192" s="44">
        <f t="shared" si="91"/>
        <v>2079.9520146949967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2079.9520146949967</v>
      </c>
      <c r="AN192" s="48">
        <f t="shared" si="92"/>
        <v>2287.9472161644967</v>
      </c>
      <c r="AO192" s="47">
        <f t="shared" si="93"/>
        <v>1.8829053022692319</v>
      </c>
      <c r="AP192" s="47">
        <f t="shared" si="94"/>
        <v>1.4182329642299858</v>
      </c>
      <c r="AQ192">
        <v>2020</v>
      </c>
    </row>
    <row r="193" spans="2:43">
      <c r="B193" s="97" t="s">
        <v>70</v>
      </c>
      <c r="C193" s="61">
        <v>18231134</v>
      </c>
      <c r="D193" s="61" t="s">
        <v>176</v>
      </c>
      <c r="E193" s="38" t="s">
        <v>1429</v>
      </c>
      <c r="F193" s="39" t="s">
        <v>1430</v>
      </c>
      <c r="G193" s="39">
        <v>7</v>
      </c>
      <c r="H193" s="39"/>
      <c r="I193" s="40" t="s">
        <v>257</v>
      </c>
      <c r="J193" s="41">
        <v>304</v>
      </c>
      <c r="K193" s="41">
        <v>37</v>
      </c>
      <c r="L193" s="41"/>
      <c r="M193" s="42">
        <v>17</v>
      </c>
      <c r="N193" s="42">
        <v>17</v>
      </c>
      <c r="O193" s="43">
        <v>11248</v>
      </c>
      <c r="P193" s="44">
        <v>5168</v>
      </c>
      <c r="Q193" s="44">
        <v>5168</v>
      </c>
      <c r="R193" s="45">
        <v>0</v>
      </c>
      <c r="S193" s="46">
        <v>0</v>
      </c>
      <c r="T193" s="39">
        <f t="shared" si="76"/>
        <v>7</v>
      </c>
      <c r="U193" s="47">
        <f t="shared" si="77"/>
        <v>3.2887191132293038E-3</v>
      </c>
      <c r="V193" s="48">
        <f t="shared" si="78"/>
        <v>0</v>
      </c>
      <c r="W193" s="49">
        <f t="shared" si="79"/>
        <v>4.6981701617561481E-4</v>
      </c>
      <c r="X193" s="44">
        <f t="shared" si="80"/>
        <v>1157.1682655528678</v>
      </c>
      <c r="Y193" s="44">
        <f t="shared" si="81"/>
        <v>0</v>
      </c>
      <c r="Z193" s="44">
        <f t="shared" si="82"/>
        <v>5953.3169055570552</v>
      </c>
      <c r="AA193" s="50">
        <f t="shared" si="83"/>
        <v>6325.1682655528675</v>
      </c>
      <c r="AB193" s="51">
        <f t="shared" si="84"/>
        <v>5565.4079700449238</v>
      </c>
      <c r="AC193" s="44">
        <f t="shared" si="85"/>
        <v>5913.0300696951172</v>
      </c>
      <c r="AD193" s="44">
        <f t="shared" si="86"/>
        <v>0</v>
      </c>
      <c r="AE193" s="44">
        <f t="shared" si="87"/>
        <v>0</v>
      </c>
      <c r="AF193" s="52">
        <f>HLOOKUP(I193,ElecAvoidedCostsWOCC!$A$5:$Q$50,G193+1,FALSE)</f>
        <v>0.51471879727314174</v>
      </c>
      <c r="AG193" s="44">
        <f t="shared" si="88"/>
        <v>5789.5570317282991</v>
      </c>
      <c r="AH193" s="52">
        <f>HLOOKUP(I193,ElecAvoidedCostsWOCC!$A$5:$Q$50,T193+1,FALSE)</f>
        <v>0.51471879727314174</v>
      </c>
      <c r="AI193" s="44">
        <f t="shared" si="89"/>
        <v>0</v>
      </c>
      <c r="AJ193" s="44">
        <f t="shared" si="90"/>
        <v>5789.5570317282991</v>
      </c>
      <c r="AK193" s="44">
        <f>HLOOKUP(I193,ElecAvoidedCostsWOCC!$A$5:$Q$50,G193+1,FALSE)*J193*L193</f>
        <v>0</v>
      </c>
      <c r="AL193" s="44">
        <f t="shared" si="91"/>
        <v>5789.5570317282991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5789.5570317282982</v>
      </c>
      <c r="AN193" s="48">
        <f t="shared" si="92"/>
        <v>6368.5127349011282</v>
      </c>
      <c r="AO193" s="47">
        <f t="shared" si="93"/>
        <v>1.0402754053053842</v>
      </c>
      <c r="AP193" s="47">
        <f t="shared" si="94"/>
        <v>1.0770303312916345</v>
      </c>
      <c r="AQ193">
        <v>2020</v>
      </c>
    </row>
    <row r="194" spans="2:43">
      <c r="B194" s="97" t="s">
        <v>70</v>
      </c>
      <c r="C194" s="61">
        <v>18231134</v>
      </c>
      <c r="D194" s="61" t="s">
        <v>176</v>
      </c>
      <c r="E194" s="38" t="s">
        <v>1431</v>
      </c>
      <c r="F194" s="39" t="s">
        <v>1432</v>
      </c>
      <c r="G194" s="39">
        <v>7</v>
      </c>
      <c r="H194" s="39"/>
      <c r="I194" s="40" t="s">
        <v>257</v>
      </c>
      <c r="J194" s="41">
        <v>168</v>
      </c>
      <c r="K194" s="41">
        <v>60.64</v>
      </c>
      <c r="L194" s="41"/>
      <c r="M194" s="42">
        <v>17</v>
      </c>
      <c r="N194" s="42">
        <v>17</v>
      </c>
      <c r="O194" s="43">
        <v>10187.52</v>
      </c>
      <c r="P194" s="44">
        <v>2856</v>
      </c>
      <c r="Q194" s="44">
        <v>2856</v>
      </c>
      <c r="R194" s="45">
        <v>0</v>
      </c>
      <c r="S194" s="46">
        <v>0</v>
      </c>
      <c r="T194" s="39">
        <f t="shared" si="76"/>
        <v>7</v>
      </c>
      <c r="U194" s="47">
        <f t="shared" si="77"/>
        <v>2.9786532486136023E-3</v>
      </c>
      <c r="V194" s="48">
        <f t="shared" si="78"/>
        <v>0</v>
      </c>
      <c r="W194" s="49">
        <f t="shared" si="79"/>
        <v>4.2552189265908602E-4</v>
      </c>
      <c r="X194" s="44">
        <f t="shared" si="80"/>
        <v>1048.0685320666032</v>
      </c>
      <c r="Y194" s="44">
        <f t="shared" si="81"/>
        <v>0</v>
      </c>
      <c r="Z194" s="44">
        <f t="shared" si="82"/>
        <v>5392.0283643048206</v>
      </c>
      <c r="AA194" s="50">
        <f t="shared" si="83"/>
        <v>3904.0685320666034</v>
      </c>
      <c r="AB194" s="51">
        <f t="shared" si="84"/>
        <v>5040.6921233101057</v>
      </c>
      <c r="AC194" s="44">
        <f t="shared" si="85"/>
        <v>3649.6854557975162</v>
      </c>
      <c r="AD194" s="44">
        <f t="shared" si="86"/>
        <v>0</v>
      </c>
      <c r="AE194" s="44">
        <f t="shared" si="87"/>
        <v>0</v>
      </c>
      <c r="AF194" s="52">
        <f>HLOOKUP(I194,ElecAvoidedCostsWOCC!$A$5:$Q$50,G194+1,FALSE)</f>
        <v>0.51471879727314174</v>
      </c>
      <c r="AG194" s="44">
        <f t="shared" si="88"/>
        <v>5243.7080415960763</v>
      </c>
      <c r="AH194" s="52">
        <f>HLOOKUP(I194,ElecAvoidedCostsWOCC!$A$5:$Q$50,T194+1,FALSE)</f>
        <v>0.51471879727314174</v>
      </c>
      <c r="AI194" s="44">
        <f t="shared" si="89"/>
        <v>0</v>
      </c>
      <c r="AJ194" s="44">
        <f t="shared" si="90"/>
        <v>5243.7080415960763</v>
      </c>
      <c r="AK194" s="44">
        <f>HLOOKUP(I194,ElecAvoidedCostsWOCC!$A$5:$Q$50,G194+1,FALSE)*J194*L194</f>
        <v>0</v>
      </c>
      <c r="AL194" s="44">
        <f t="shared" si="91"/>
        <v>5243.7080415960763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5243.7080415960772</v>
      </c>
      <c r="AN194" s="48">
        <f t="shared" si="92"/>
        <v>5768.0788457556855</v>
      </c>
      <c r="AO194" s="47">
        <f t="shared" si="93"/>
        <v>1.040275405305384</v>
      </c>
      <c r="AP194" s="47">
        <f t="shared" si="94"/>
        <v>1.5804317702483393</v>
      </c>
      <c r="AQ194">
        <v>2020</v>
      </c>
    </row>
    <row r="195" spans="2:43">
      <c r="B195" s="97" t="s">
        <v>70</v>
      </c>
      <c r="C195" s="61">
        <v>18231134</v>
      </c>
      <c r="D195" s="61" t="s">
        <v>176</v>
      </c>
      <c r="E195" s="38" t="s">
        <v>1433</v>
      </c>
      <c r="F195" s="39" t="s">
        <v>1434</v>
      </c>
      <c r="G195" s="39">
        <v>7</v>
      </c>
      <c r="H195" s="39"/>
      <c r="I195" s="40" t="s">
        <v>257</v>
      </c>
      <c r="J195" s="41">
        <v>24</v>
      </c>
      <c r="K195" s="41">
        <v>45.15</v>
      </c>
      <c r="L195" s="41"/>
      <c r="M195" s="42">
        <v>17</v>
      </c>
      <c r="N195" s="42">
        <v>17</v>
      </c>
      <c r="O195" s="43">
        <v>1083.5999999999999</v>
      </c>
      <c r="P195" s="44">
        <v>408</v>
      </c>
      <c r="Q195" s="44">
        <v>408</v>
      </c>
      <c r="R195" s="45">
        <v>0</v>
      </c>
      <c r="S195" s="46">
        <v>0</v>
      </c>
      <c r="T195" s="39">
        <f t="shared" si="76"/>
        <v>7</v>
      </c>
      <c r="U195" s="47">
        <f t="shared" si="77"/>
        <v>3.1682574956394679E-4</v>
      </c>
      <c r="V195" s="48">
        <f t="shared" si="78"/>
        <v>0</v>
      </c>
      <c r="W195" s="49">
        <f t="shared" si="79"/>
        <v>4.526082136627811E-5</v>
      </c>
      <c r="X195" s="44">
        <f t="shared" si="80"/>
        <v>111.47826569639825</v>
      </c>
      <c r="Y195" s="44">
        <f t="shared" si="81"/>
        <v>0</v>
      </c>
      <c r="Z195" s="44">
        <f t="shared" si="82"/>
        <v>573.52544442226406</v>
      </c>
      <c r="AA195" s="50">
        <f t="shared" si="83"/>
        <v>519.47826569639824</v>
      </c>
      <c r="AB195" s="51">
        <f t="shared" si="84"/>
        <v>536.15541219245017</v>
      </c>
      <c r="AC195" s="44">
        <f t="shared" si="85"/>
        <v>485.62986416415646</v>
      </c>
      <c r="AD195" s="44">
        <f t="shared" si="86"/>
        <v>0</v>
      </c>
      <c r="AE195" s="44">
        <f t="shared" si="87"/>
        <v>0</v>
      </c>
      <c r="AF195" s="52">
        <f>HLOOKUP(I195,ElecAvoidedCostsWOCC!$A$5:$Q$50,G195+1,FALSE)</f>
        <v>0.51471879727314174</v>
      </c>
      <c r="AG195" s="44">
        <f t="shared" si="88"/>
        <v>557.74928872517637</v>
      </c>
      <c r="AH195" s="52">
        <f>HLOOKUP(I195,ElecAvoidedCostsWOCC!$A$5:$Q$50,T195+1,FALSE)</f>
        <v>0.51471879727314174</v>
      </c>
      <c r="AI195" s="44">
        <f t="shared" si="89"/>
        <v>0</v>
      </c>
      <c r="AJ195" s="44">
        <f t="shared" si="90"/>
        <v>557.74928872517637</v>
      </c>
      <c r="AK195" s="44">
        <f>HLOOKUP(I195,ElecAvoidedCostsWOCC!$A$5:$Q$50,G195+1,FALSE)*J195*L195</f>
        <v>0</v>
      </c>
      <c r="AL195" s="44">
        <f t="shared" si="91"/>
        <v>557.74928872517637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557.74928872517637</v>
      </c>
      <c r="AN195" s="48">
        <f t="shared" si="92"/>
        <v>613.52421759769402</v>
      </c>
      <c r="AO195" s="47">
        <f t="shared" si="93"/>
        <v>1.040275405305384</v>
      </c>
      <c r="AP195" s="47">
        <f t="shared" si="94"/>
        <v>1.2633576780819757</v>
      </c>
      <c r="AQ195">
        <v>2020</v>
      </c>
    </row>
    <row r="196" spans="2:43">
      <c r="B196" s="97" t="s">
        <v>70</v>
      </c>
      <c r="C196" s="61">
        <v>18231134</v>
      </c>
      <c r="D196" s="61" t="s">
        <v>176</v>
      </c>
      <c r="E196" s="38" t="s">
        <v>1435</v>
      </c>
      <c r="F196" s="39" t="s">
        <v>1436</v>
      </c>
      <c r="G196" s="39">
        <v>7</v>
      </c>
      <c r="H196" s="39"/>
      <c r="I196" s="40" t="s">
        <v>257</v>
      </c>
      <c r="J196" s="41">
        <v>244</v>
      </c>
      <c r="K196" s="41">
        <v>74</v>
      </c>
      <c r="L196" s="41"/>
      <c r="M196" s="42">
        <v>17</v>
      </c>
      <c r="N196" s="42">
        <v>17</v>
      </c>
      <c r="O196" s="43">
        <v>18056</v>
      </c>
      <c r="P196" s="44">
        <v>4148</v>
      </c>
      <c r="Q196" s="44">
        <v>4148</v>
      </c>
      <c r="R196" s="45">
        <v>0</v>
      </c>
      <c r="S196" s="46">
        <v>0</v>
      </c>
      <c r="T196" s="39">
        <f t="shared" si="76"/>
        <v>7</v>
      </c>
      <c r="U196" s="47">
        <f t="shared" si="77"/>
        <v>5.2792596291312503E-3</v>
      </c>
      <c r="V196" s="48">
        <f t="shared" si="78"/>
        <v>0</v>
      </c>
      <c r="W196" s="49">
        <f t="shared" si="79"/>
        <v>7.541799470187501E-4</v>
      </c>
      <c r="X196" s="44">
        <f t="shared" si="80"/>
        <v>1857.5595841769721</v>
      </c>
      <c r="Y196" s="44">
        <f t="shared" si="81"/>
        <v>0</v>
      </c>
      <c r="Z196" s="44">
        <f t="shared" si="82"/>
        <v>9556.6402957626433</v>
      </c>
      <c r="AA196" s="50">
        <f t="shared" si="83"/>
        <v>6005.5595841769718</v>
      </c>
      <c r="AB196" s="51">
        <f t="shared" si="84"/>
        <v>8933.9443729668528</v>
      </c>
      <c r="AC196" s="44">
        <f t="shared" si="85"/>
        <v>5614.2465964073772</v>
      </c>
      <c r="AD196" s="44">
        <f t="shared" si="86"/>
        <v>0</v>
      </c>
      <c r="AE196" s="44">
        <f t="shared" si="87"/>
        <v>0</v>
      </c>
      <c r="AF196" s="52">
        <f>HLOOKUP(I196,ElecAvoidedCostsWOCC!$A$5:$Q$50,G196+1,FALSE)</f>
        <v>0.51471879727314174</v>
      </c>
      <c r="AG196" s="44">
        <f t="shared" si="88"/>
        <v>9293.7626035638477</v>
      </c>
      <c r="AH196" s="52">
        <f>HLOOKUP(I196,ElecAvoidedCostsWOCC!$A$5:$Q$50,T196+1,FALSE)</f>
        <v>0.51471879727314174</v>
      </c>
      <c r="AI196" s="44">
        <f t="shared" si="89"/>
        <v>0</v>
      </c>
      <c r="AJ196" s="44">
        <f t="shared" si="90"/>
        <v>9293.7626035638477</v>
      </c>
      <c r="AK196" s="44">
        <f>HLOOKUP(I196,ElecAvoidedCostsWOCC!$A$5:$Q$50,G196+1,FALSE)*J196*L196</f>
        <v>0</v>
      </c>
      <c r="AL196" s="44">
        <f t="shared" si="91"/>
        <v>9293.7626035638477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9293.7626035638477</v>
      </c>
      <c r="AN196" s="48">
        <f t="shared" si="92"/>
        <v>10223.138863920234</v>
      </c>
      <c r="AO196" s="47">
        <f t="shared" si="93"/>
        <v>1.040275405305384</v>
      </c>
      <c r="AP196" s="47">
        <f t="shared" si="94"/>
        <v>1.8209280067003366</v>
      </c>
      <c r="AQ196">
        <v>2020</v>
      </c>
    </row>
    <row r="197" spans="2:43">
      <c r="B197" s="97" t="s">
        <v>70</v>
      </c>
      <c r="C197" s="61">
        <v>18231134</v>
      </c>
      <c r="D197" s="61" t="s">
        <v>176</v>
      </c>
      <c r="E197" s="38" t="s">
        <v>1437</v>
      </c>
      <c r="F197" s="39" t="s">
        <v>1438</v>
      </c>
      <c r="G197" s="39">
        <v>1</v>
      </c>
      <c r="H197" s="39"/>
      <c r="I197" s="40" t="s">
        <v>257</v>
      </c>
      <c r="J197" s="41">
        <v>414</v>
      </c>
      <c r="K197" s="41">
        <v>0</v>
      </c>
      <c r="L197" s="41"/>
      <c r="M197" s="42">
        <v>240</v>
      </c>
      <c r="N197" s="42">
        <v>240</v>
      </c>
      <c r="O197" s="43">
        <v>0</v>
      </c>
      <c r="P197" s="44">
        <v>99360</v>
      </c>
      <c r="Q197" s="44">
        <v>99360</v>
      </c>
      <c r="R197" s="45">
        <v>0</v>
      </c>
      <c r="S197" s="46">
        <v>0</v>
      </c>
      <c r="T197" s="39">
        <f t="shared" si="76"/>
        <v>1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99360</v>
      </c>
      <c r="AB197" s="51">
        <f t="shared" si="84"/>
        <v>0</v>
      </c>
      <c r="AC197" s="44">
        <f t="shared" si="85"/>
        <v>92885.85584743385</v>
      </c>
      <c r="AD197" s="44">
        <f t="shared" si="86"/>
        <v>0</v>
      </c>
      <c r="AE197" s="44">
        <f t="shared" si="87"/>
        <v>0</v>
      </c>
      <c r="AF197" s="52">
        <f>HLOOKUP(I197,ElecAvoidedCostsWOCC!$A$5:$Q$50,G197+1,FALSE)</f>
        <v>8.1625385732676276E-2</v>
      </c>
      <c r="AG197" s="44">
        <f t="shared" si="88"/>
        <v>0</v>
      </c>
      <c r="AH197" s="52">
        <f>HLOOKUP(I197,ElecAvoidedCostsWOCC!$A$5:$Q$50,T197+1,FALSE)</f>
        <v>8.1625385732676276E-2</v>
      </c>
      <c r="AI197" s="44">
        <f t="shared" si="89"/>
        <v>0</v>
      </c>
      <c r="AJ197" s="44">
        <f t="shared" si="90"/>
        <v>0</v>
      </c>
      <c r="AK197" s="44">
        <f>HLOOKUP(I197,ElecAvoidedCostsWOCC!$A$5:$Q$50,G197+1,FALSE)*J197*L197</f>
        <v>0</v>
      </c>
      <c r="AL197" s="44">
        <f t="shared" si="91"/>
        <v>0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>
        <f t="shared" si="94"/>
        <v>0</v>
      </c>
      <c r="AQ197">
        <v>2020</v>
      </c>
    </row>
    <row r="198" spans="2:43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3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3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3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3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3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3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3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3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3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3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</sheetData>
  <conditionalFormatting sqref="J5:L21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12 R5:S212">
    <cfRule type="expression" dxfId="177" priority="2">
      <formula>ISTEXT(M5)</formula>
    </cfRule>
  </conditionalFormatting>
  <conditionalFormatting sqref="M5:N212 R5:S212">
    <cfRule type="notContainsBlanks" dxfId="176" priority="3">
      <formula>LEN(TRIM(M5))&gt;0</formula>
    </cfRule>
  </conditionalFormatting>
  <conditionalFormatting sqref="R5:S21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18230014</v>
      </c>
      <c r="D2" s="20" t="s">
        <v>299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18230014</v>
      </c>
      <c r="D5" s="61" t="s">
        <v>299</v>
      </c>
      <c r="E5" s="38" t="s">
        <v>1439</v>
      </c>
      <c r="F5" s="39" t="s">
        <v>1440</v>
      </c>
      <c r="G5" s="39">
        <v>10</v>
      </c>
      <c r="H5" s="39"/>
      <c r="I5" s="40" t="s">
        <v>261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247.62393332968117</v>
      </c>
      <c r="Y5" s="44">
        <f t="shared" ref="Y5:Y24" si="5">Q5-P5</f>
        <v>7352.5599999999977</v>
      </c>
      <c r="Z5" s="44">
        <f t="shared" ref="Z5:Z24" si="6">X5+(A$6*W5)</f>
        <v>302553.35721764463</v>
      </c>
      <c r="AA5" s="50">
        <f t="shared" ref="AA5:AA24" si="7">Q5+X5</f>
        <v>248367.94393332969</v>
      </c>
      <c r="AB5" s="51">
        <f t="shared" ref="AB5:AC20" si="8">Z5/(1+ElecDiscountRate)^1</f>
        <v>282839.44771211053</v>
      </c>
      <c r="AC5" s="44">
        <f t="shared" si="8"/>
        <v>232184.67227571251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1.048275802455257</v>
      </c>
      <c r="AP5" s="47">
        <f>AN5/AC5</f>
        <v>1.4046712072826684</v>
      </c>
      <c r="AQ5">
        <v>2021</v>
      </c>
    </row>
    <row r="6" spans="1:43" ht="13.5" customHeight="1">
      <c r="A6" s="53">
        <f>SUMIF('Program Costs'!D:D,C2,'Program Costs'!L:L)+SUMIF('Program Costs'!C:C,"Lodging Direct Install {E}",'Program Costs'!L:L)</f>
        <v>600902.76</v>
      </c>
      <c r="B6" s="97" t="s">
        <v>70</v>
      </c>
      <c r="C6" s="98">
        <v>18230014</v>
      </c>
      <c r="D6" s="61" t="s">
        <v>299</v>
      </c>
      <c r="E6" s="38" t="s">
        <v>1441</v>
      </c>
      <c r="F6" s="39" t="s">
        <v>1442</v>
      </c>
      <c r="G6" s="39">
        <v>15</v>
      </c>
      <c r="H6" s="39"/>
      <c r="I6" s="40" t="s">
        <v>261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244.58606667028158</v>
      </c>
      <c r="Y6" s="44">
        <f t="shared" si="5"/>
        <v>16270</v>
      </c>
      <c r="Z6" s="44">
        <f t="shared" si="6"/>
        <v>298841.61278235534</v>
      </c>
      <c r="AA6" s="50">
        <f t="shared" si="7"/>
        <v>376649.58606667031</v>
      </c>
      <c r="AB6" s="51">
        <f t="shared" si="8"/>
        <v>279369.5548119616</v>
      </c>
      <c r="AC6" s="44">
        <f t="shared" si="8"/>
        <v>352107.68072045461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1.4849194001670734</v>
      </c>
      <c r="AP6" s="47">
        <f t="shared" ref="AP6:AP24" si="16">AN6/AC6</f>
        <v>1.2959825187518086</v>
      </c>
      <c r="AQ6">
        <v>2021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Costs'!O:O)+SUMIF('Program Costs'!C:C,"Lodging Direct Install {E}",'Program Costs'!O:O)</f>
        <v>492.20999999996275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601394.97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625017.53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1.2652501428812988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1.3391729651049209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18230525</v>
      </c>
      <c r="D2" s="20" t="s">
        <v>300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156</v>
      </c>
      <c r="C5" s="100">
        <v>18230750</v>
      </c>
      <c r="D5" s="100" t="s">
        <v>158</v>
      </c>
      <c r="E5" s="38" t="s">
        <v>1807</v>
      </c>
      <c r="F5" s="39" t="s">
        <v>2568</v>
      </c>
      <c r="G5" s="39">
        <v>2</v>
      </c>
      <c r="H5" s="39"/>
      <c r="I5" s="40" t="s">
        <v>269</v>
      </c>
      <c r="J5" s="41">
        <v>1</v>
      </c>
      <c r="K5" s="41">
        <v>204000</v>
      </c>
      <c r="L5" s="41"/>
      <c r="M5" s="42">
        <v>0</v>
      </c>
      <c r="N5" s="42">
        <v>0</v>
      </c>
      <c r="O5" s="43">
        <v>204000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3" si="0">G5+H5</f>
        <v>2</v>
      </c>
      <c r="U5" s="47">
        <f>(O5/$A$10)*T5</f>
        <v>2</v>
      </c>
      <c r="V5" s="48">
        <f t="shared" ref="V5" si="1">N5-M5</f>
        <v>0</v>
      </c>
      <c r="W5" s="49">
        <f t="shared" ref="W5" si="2">(O5/A$10)</f>
        <v>1</v>
      </c>
      <c r="X5" s="44">
        <f t="shared" ref="X5" si="3">W5*A$8</f>
        <v>576297</v>
      </c>
      <c r="Y5" s="44">
        <f t="shared" ref="Y5" si="4">Q5-P5</f>
        <v>0</v>
      </c>
      <c r="Z5" s="44">
        <f t="shared" ref="Z5" si="5">X5+(A$6*W5)</f>
        <v>671679.5</v>
      </c>
      <c r="AA5" s="50">
        <f t="shared" ref="AA5" si="6">Q5+X5</f>
        <v>576297</v>
      </c>
      <c r="AB5" s="51">
        <f t="shared" ref="AB5" si="7">Z5/(1+ElecDiscountRate)^1</f>
        <v>627913.90109376458</v>
      </c>
      <c r="AC5" s="44">
        <f t="shared" ref="AC5" si="8">AA5/(1+ElecDiscountRate)^1</f>
        <v>538746.37748901558</v>
      </c>
      <c r="AD5" s="44">
        <f t="shared" ref="AD5" si="9">-PV(ElecDiscountRate,T5,R5)*J5</f>
        <v>0</v>
      </c>
      <c r="AE5" s="44">
        <v>0</v>
      </c>
      <c r="AF5" s="52">
        <f>HLOOKUP(I5,ElecAvoidedCostsWOCC!$A$5:$Q$50,G5+1,FALSE)</f>
        <v>0.21937348911677185</v>
      </c>
      <c r="AG5" s="44">
        <f t="shared" ref="AG5" si="10">AF5*J5*K5</f>
        <v>44752.191779821456</v>
      </c>
      <c r="AH5" s="52">
        <f>HLOOKUP(I5,ElecAvoidedCostsWOCC!$A$5:$Q$50,T5+1,FALSE)</f>
        <v>0.21937348911677185</v>
      </c>
      <c r="AI5" s="44">
        <f t="shared" ref="AI5" si="11">AH5*J5*L5</f>
        <v>0</v>
      </c>
      <c r="AJ5" s="44">
        <f t="shared" ref="AJ5" si="12">AG5+AI5</f>
        <v>44752.191779821456</v>
      </c>
      <c r="AK5" s="44">
        <f>HLOOKUP(I5,ElecAvoidedCostsWOCC!$A$5:$Q$50,G5+1,FALSE)*J5*L5</f>
        <v>0</v>
      </c>
      <c r="AL5" s="44">
        <f t="shared" ref="AL5" si="13">AG5+AI5-AK5</f>
        <v>44752.191779821456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44752.191779821456</v>
      </c>
      <c r="AN5" s="48">
        <f t="shared" ref="AN5" si="14">AM5*1.1+AD5+AE5</f>
        <v>49227.410957803608</v>
      </c>
      <c r="AO5" s="47">
        <f t="shared" ref="AO5" si="15">IFERROR(AM5/AB5,0)</f>
        <v>7.127122317545051E-2</v>
      </c>
      <c r="AP5" s="47">
        <f t="shared" ref="AP5" si="16">AN5/AC5</f>
        <v>9.1373998999756248E-2</v>
      </c>
      <c r="AQ5">
        <v>2021</v>
      </c>
    </row>
    <row r="6" spans="1:43" ht="13.5" customHeight="1">
      <c r="A6" s="53">
        <f>SUMIF('Program Costs'!D:D,C5,'Program Costs'!L:L)+SUMIF('Program Costs'!D:D,C7,'Program Costs'!L:L)+SUMIF('Program Costs'!D:D,C6,'Program Costs'!L:L)</f>
        <v>95382.5</v>
      </c>
      <c r="B6" s="97" t="s">
        <v>156</v>
      </c>
      <c r="C6" s="100">
        <v>18230748</v>
      </c>
      <c r="D6" s="100" t="s">
        <v>1832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ref="U6:U23" si="17">(O6/$A$10)*T6</f>
        <v>0</v>
      </c>
      <c r="V6" s="48">
        <f t="shared" ref="V6:V23" si="18">N6-M6</f>
        <v>0</v>
      </c>
      <c r="W6" s="49">
        <f t="shared" ref="W6:W23" si="19">(O6/A$10)</f>
        <v>0</v>
      </c>
      <c r="X6" s="44">
        <f t="shared" ref="X6:X23" si="20">W6*A$8</f>
        <v>0</v>
      </c>
      <c r="Y6" s="44">
        <f t="shared" ref="Y6:Y23" si="21">Q6-P6</f>
        <v>0</v>
      </c>
      <c r="Z6" s="44">
        <f t="shared" ref="Z6:Z23" si="22">X6+(A$6*W6)</f>
        <v>0</v>
      </c>
      <c r="AA6" s="50">
        <f t="shared" ref="AA6:AA23" si="23">Q6+X6</f>
        <v>0</v>
      </c>
      <c r="AB6" s="51">
        <f t="shared" ref="AB6:AC19" si="24">Z6/(1+ElecDiscountRate)^1</f>
        <v>0</v>
      </c>
      <c r="AC6" s="44">
        <f t="shared" si="24"/>
        <v>0</v>
      </c>
      <c r="AD6" s="44">
        <f t="shared" ref="AD6:AD23" si="25">-PV(ElecDiscountRate,T6,R6)*J6</f>
        <v>0</v>
      </c>
      <c r="AE6" s="44">
        <v>0</v>
      </c>
      <c r="AF6" s="52" t="e">
        <f>HLOOKUP(I6,ElecAvoidedCostsWOCC!$A$5:$Q$50,G6+1,FALSE)</f>
        <v>#N/A</v>
      </c>
      <c r="AG6" s="44" t="e">
        <f t="shared" ref="AG6:AG23" si="26">AF6*J6*K6</f>
        <v>#N/A</v>
      </c>
      <c r="AH6" s="52" t="e">
        <f>HLOOKUP(I6,ElecAvoidedCostsWOCC!$A$5:$Q$50,T6+1,FALSE)</f>
        <v>#N/A</v>
      </c>
      <c r="AI6" s="44" t="e">
        <f t="shared" ref="AI6:AI23" si="27">AH6*J6*L6</f>
        <v>#N/A</v>
      </c>
      <c r="AJ6" s="44" t="e">
        <f t="shared" ref="AJ6:AJ23" si="28">AG6+AI6</f>
        <v>#N/A</v>
      </c>
      <c r="AK6" s="44" t="e">
        <f>HLOOKUP(I6,ElecAvoidedCostsWOCC!$A$5:$Q$50,G6+1,FALSE)*J6*L6</f>
        <v>#N/A</v>
      </c>
      <c r="AL6" s="44" t="e">
        <f t="shared" ref="AL6:AL23" si="29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30">AM6*1.1+AD6+AE6</f>
        <v>0</v>
      </c>
      <c r="AO6" s="47">
        <f t="shared" ref="AO6:AO23" si="31">IFERROR(AM6/AB6,0)</f>
        <v>0</v>
      </c>
      <c r="AP6" s="47" t="e">
        <f t="shared" ref="AP6:AP23" si="32">AN6/AC6</f>
        <v>#DIV/0!</v>
      </c>
      <c r="AQ6">
        <v>2021</v>
      </c>
    </row>
    <row r="7" spans="1:43" ht="13.5" customHeight="1">
      <c r="A7" s="36" t="s">
        <v>249</v>
      </c>
      <c r="B7" s="97" t="s">
        <v>301</v>
      </c>
      <c r="C7" s="100">
        <v>18230749</v>
      </c>
      <c r="D7" s="100" t="s">
        <v>1810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7"/>
        <v>0</v>
      </c>
      <c r="V7" s="48">
        <f t="shared" si="18"/>
        <v>0</v>
      </c>
      <c r="W7" s="49">
        <f t="shared" si="19"/>
        <v>0</v>
      </c>
      <c r="X7" s="44">
        <f t="shared" si="20"/>
        <v>0</v>
      </c>
      <c r="Y7" s="44">
        <f t="shared" si="21"/>
        <v>0</v>
      </c>
      <c r="Z7" s="44">
        <f t="shared" si="22"/>
        <v>0</v>
      </c>
      <c r="AA7" s="50">
        <f t="shared" si="23"/>
        <v>0</v>
      </c>
      <c r="AB7" s="51">
        <f t="shared" si="24"/>
        <v>0</v>
      </c>
      <c r="AC7" s="44">
        <f t="shared" si="24"/>
        <v>0</v>
      </c>
      <c r="AD7" s="44">
        <f t="shared" si="25"/>
        <v>0</v>
      </c>
      <c r="AE7" s="44">
        <v>0</v>
      </c>
      <c r="AF7" s="52" t="e">
        <f>HLOOKUP(I7,ElecAvoidedCostsWOCC!$A$5:$Q$50,G7+1,FALSE)</f>
        <v>#N/A</v>
      </c>
      <c r="AG7" s="44" t="e">
        <f t="shared" si="26"/>
        <v>#N/A</v>
      </c>
      <c r="AH7" s="52" t="e">
        <f>HLOOKUP(I7,ElecAvoidedCostsWOCC!$A$5:$Q$50,T7+1,FALSE)</f>
        <v>#N/A</v>
      </c>
      <c r="AI7" s="44" t="e">
        <f t="shared" si="27"/>
        <v>#N/A</v>
      </c>
      <c r="AJ7" s="44" t="e">
        <f t="shared" si="28"/>
        <v>#N/A</v>
      </c>
      <c r="AK7" s="44" t="e">
        <f>HLOOKUP(I7,ElecAvoidedCostsWOCC!$A$5:$Q$50,G7+1,FALSE)*J7*L7</f>
        <v>#N/A</v>
      </c>
      <c r="AL7" s="44" t="e">
        <f t="shared" si="29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30"/>
        <v>0</v>
      </c>
      <c r="AO7" s="47">
        <f t="shared" si="31"/>
        <v>0</v>
      </c>
      <c r="AP7" s="47" t="e">
        <f t="shared" si="32"/>
        <v>#DIV/0!</v>
      </c>
      <c r="AQ7">
        <v>2021</v>
      </c>
    </row>
    <row r="8" spans="1:43" ht="13.5" customHeight="1">
      <c r="A8" s="53">
        <f>SUMIF('Program Costs'!D:D,C5,'Program Costs'!O:O)+SUMIF('Program Costs'!D:D,C7,'Program Costs'!O:O)+SUMIF('Program Costs'!D:D,C6,'Program Costs'!O:O)</f>
        <v>576297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>(O5/$A$10)*T8</f>
        <v>0</v>
      </c>
      <c r="V8" s="48">
        <f>N5-M5</f>
        <v>0</v>
      </c>
      <c r="W8" s="49">
        <f>(O8/A$10)</f>
        <v>0</v>
      </c>
      <c r="X8" s="44">
        <f t="shared" si="20"/>
        <v>0</v>
      </c>
      <c r="Y8" s="44">
        <f>Q5-P5</f>
        <v>0</v>
      </c>
      <c r="Z8" s="44">
        <f t="shared" si="22"/>
        <v>0</v>
      </c>
      <c r="AA8" s="50">
        <f>Q5+X8</f>
        <v>0</v>
      </c>
      <c r="AB8" s="51">
        <f t="shared" si="24"/>
        <v>0</v>
      </c>
      <c r="AC8" s="44">
        <f t="shared" si="24"/>
        <v>0</v>
      </c>
      <c r="AD8" s="44">
        <f>-PV(ElecDiscountRate,T8,R5)*J5</f>
        <v>0</v>
      </c>
      <c r="AE8" s="44">
        <f>-PV(ElecDiscountRate,T8,S5)*J5</f>
        <v>0</v>
      </c>
      <c r="AF8" s="52" t="e">
        <f>HLOOKUP(I8,ElecAvoidedCostsWOCC!$A$5:$Q$50,G8+1,FALSE)</f>
        <v>#N/A</v>
      </c>
      <c r="AG8" s="44" t="e">
        <f t="shared" ref="AG8" si="33">AF8*J8*K8</f>
        <v>#N/A</v>
      </c>
      <c r="AH8" s="52" t="e">
        <f>HLOOKUP(I8,ElecAvoidedCostsWOCC!$A$5:$Q$50,T8+1,FALSE)</f>
        <v>#N/A</v>
      </c>
      <c r="AI8" s="44" t="e">
        <f t="shared" ref="AI8" si="34">AH8*J8*L8</f>
        <v>#N/A</v>
      </c>
      <c r="AJ8" s="44" t="e">
        <f t="shared" ref="AJ8" si="35">AG8+AI8</f>
        <v>#N/A</v>
      </c>
      <c r="AK8" s="44" t="e">
        <f>HLOOKUP(I8,ElecAvoidedCostsWOCC!$A$5:$Q$50,G8+1,FALSE)*J8*L8</f>
        <v>#N/A</v>
      </c>
      <c r="AL8" s="44" t="e">
        <f t="shared" ref="AL8" si="36">AG8+AI8-AK8</f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ref="AN8" si="37">AM8*1.1+AD8+AE8</f>
        <v>0</v>
      </c>
      <c r="AO8" s="47">
        <f t="shared" ref="AO8" si="38">IFERROR(AM8/AB8,0)</f>
        <v>0</v>
      </c>
      <c r="AP8" s="47" t="e">
        <f t="shared" ref="AP8" si="39">AN8/AC8</f>
        <v>#DIV/0!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7"/>
        <v>0</v>
      </c>
      <c r="V9" s="48">
        <f t="shared" si="18"/>
        <v>0</v>
      </c>
      <c r="W9" s="49">
        <f t="shared" si="19"/>
        <v>0</v>
      </c>
      <c r="X9" s="44">
        <f t="shared" si="20"/>
        <v>0</v>
      </c>
      <c r="Y9" s="44">
        <f t="shared" si="21"/>
        <v>0</v>
      </c>
      <c r="Z9" s="44">
        <f t="shared" si="22"/>
        <v>0</v>
      </c>
      <c r="AA9" s="50">
        <f t="shared" si="23"/>
        <v>0</v>
      </c>
      <c r="AB9" s="51">
        <f t="shared" si="24"/>
        <v>0</v>
      </c>
      <c r="AC9" s="44">
        <f t="shared" si="24"/>
        <v>0</v>
      </c>
      <c r="AD9" s="44">
        <f t="shared" si="25"/>
        <v>0</v>
      </c>
      <c r="AE9" s="44">
        <f t="shared" ref="AE9:AE23" si="40">-PV(ElecDiscountRate,T9,S9)*J9</f>
        <v>0</v>
      </c>
      <c r="AF9" s="52" t="e">
        <f>HLOOKUP(I9,ElecAvoidedCostsWOCC!$A$5:$Q$50,G9+1,FALSE)</f>
        <v>#N/A</v>
      </c>
      <c r="AG9" s="44" t="e">
        <f t="shared" si="26"/>
        <v>#N/A</v>
      </c>
      <c r="AH9" s="52" t="e">
        <f>HLOOKUP(I9,ElecAvoidedCostsWOCC!$A$5:$Q$50,T9+1,FALSE)</f>
        <v>#N/A</v>
      </c>
      <c r="AI9" s="44" t="e">
        <f t="shared" si="27"/>
        <v>#N/A</v>
      </c>
      <c r="AJ9" s="44" t="e">
        <f t="shared" si="28"/>
        <v>#N/A</v>
      </c>
      <c r="AK9" s="44" t="e">
        <f>HLOOKUP(I9,ElecAvoidedCostsWOCC!$A$5:$Q$50,G9+1,FALSE)*J9*L9</f>
        <v>#N/A</v>
      </c>
      <c r="AL9" s="44" t="e">
        <f t="shared" si="29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30"/>
        <v>0</v>
      </c>
      <c r="AO9" s="47">
        <f t="shared" si="31"/>
        <v>0</v>
      </c>
      <c r="AP9" s="47" t="e">
        <f t="shared" si="32"/>
        <v>#DIV/0!</v>
      </c>
      <c r="AQ9">
        <v>2020</v>
      </c>
    </row>
    <row r="10" spans="1:43" ht="13.5" customHeight="1">
      <c r="A10" s="54">
        <f>SUM(O5:O998)</f>
        <v>204000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7"/>
        <v>0</v>
      </c>
      <c r="V10" s="48">
        <f t="shared" si="18"/>
        <v>0</v>
      </c>
      <c r="W10" s="49">
        <f t="shared" si="19"/>
        <v>0</v>
      </c>
      <c r="X10" s="44">
        <f t="shared" si="20"/>
        <v>0</v>
      </c>
      <c r="Y10" s="44">
        <f t="shared" si="21"/>
        <v>0</v>
      </c>
      <c r="Z10" s="44">
        <f t="shared" si="22"/>
        <v>0</v>
      </c>
      <c r="AA10" s="50">
        <f t="shared" si="23"/>
        <v>0</v>
      </c>
      <c r="AB10" s="51">
        <f t="shared" si="24"/>
        <v>0</v>
      </c>
      <c r="AC10" s="44">
        <f t="shared" si="24"/>
        <v>0</v>
      </c>
      <c r="AD10" s="44">
        <f t="shared" si="25"/>
        <v>0</v>
      </c>
      <c r="AE10" s="44">
        <f t="shared" si="40"/>
        <v>0</v>
      </c>
      <c r="AF10" s="52" t="e">
        <f>HLOOKUP(I10,ElecAvoidedCostsWOCC!$A$5:$Q$50,G10+1,FALSE)</f>
        <v>#N/A</v>
      </c>
      <c r="AG10" s="44" t="e">
        <f t="shared" si="26"/>
        <v>#N/A</v>
      </c>
      <c r="AH10" s="52" t="e">
        <f>HLOOKUP(I10,ElecAvoidedCostsWOCC!$A$5:$Q$50,T10+1,FALSE)</f>
        <v>#N/A</v>
      </c>
      <c r="AI10" s="44" t="e">
        <f t="shared" si="27"/>
        <v>#N/A</v>
      </c>
      <c r="AJ10" s="44" t="e">
        <f t="shared" si="28"/>
        <v>#N/A</v>
      </c>
      <c r="AK10" s="44" t="e">
        <f>HLOOKUP(I10,ElecAvoidedCostsWOCC!$A$5:$Q$50,G10+1,FALSE)*J10*L10</f>
        <v>#N/A</v>
      </c>
      <c r="AL10" s="44" t="e">
        <f t="shared" si="29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30"/>
        <v>0</v>
      </c>
      <c r="AO10" s="47">
        <f t="shared" si="31"/>
        <v>0</v>
      </c>
      <c r="AP10" s="47" t="e">
        <f t="shared" si="32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7"/>
        <v>0</v>
      </c>
      <c r="V11" s="48">
        <f t="shared" si="18"/>
        <v>0</v>
      </c>
      <c r="W11" s="49">
        <f t="shared" si="19"/>
        <v>0</v>
      </c>
      <c r="X11" s="44">
        <f t="shared" si="20"/>
        <v>0</v>
      </c>
      <c r="Y11" s="44">
        <f t="shared" si="21"/>
        <v>0</v>
      </c>
      <c r="Z11" s="44">
        <f t="shared" si="22"/>
        <v>0</v>
      </c>
      <c r="AA11" s="50">
        <f t="shared" si="23"/>
        <v>0</v>
      </c>
      <c r="AB11" s="51">
        <f t="shared" si="24"/>
        <v>0</v>
      </c>
      <c r="AC11" s="44">
        <f t="shared" si="24"/>
        <v>0</v>
      </c>
      <c r="AD11" s="44">
        <f t="shared" si="25"/>
        <v>0</v>
      </c>
      <c r="AE11" s="44">
        <f t="shared" si="40"/>
        <v>0</v>
      </c>
      <c r="AF11" s="52" t="e">
        <f>HLOOKUP(I11,ElecAvoidedCostsWOCC!$A$5:$Q$50,G11+1,FALSE)</f>
        <v>#N/A</v>
      </c>
      <c r="AG11" s="44" t="e">
        <f t="shared" si="26"/>
        <v>#N/A</v>
      </c>
      <c r="AH11" s="52" t="e">
        <f>HLOOKUP(I11,ElecAvoidedCostsWOCC!$A$5:$Q$50,T11+1,FALSE)</f>
        <v>#N/A</v>
      </c>
      <c r="AI11" s="44" t="e">
        <f t="shared" si="27"/>
        <v>#N/A</v>
      </c>
      <c r="AJ11" s="44" t="e">
        <f t="shared" si="28"/>
        <v>#N/A</v>
      </c>
      <c r="AK11" s="44" t="e">
        <f>HLOOKUP(I11,ElecAvoidedCostsWOCC!$A$5:$Q$50,G11+1,FALSE)*J11*L11</f>
        <v>#N/A</v>
      </c>
      <c r="AL11" s="44" t="e">
        <f t="shared" si="29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30"/>
        <v>0</v>
      </c>
      <c r="AO11" s="47">
        <f t="shared" si="31"/>
        <v>0</v>
      </c>
      <c r="AP11" s="47" t="e">
        <f t="shared" si="32"/>
        <v>#DIV/0!</v>
      </c>
      <c r="AQ11">
        <v>2020</v>
      </c>
    </row>
    <row r="12" spans="1:43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7"/>
        <v>0</v>
      </c>
      <c r="V12" s="48">
        <f t="shared" si="18"/>
        <v>0</v>
      </c>
      <c r="W12" s="49">
        <f t="shared" si="19"/>
        <v>0</v>
      </c>
      <c r="X12" s="44">
        <f t="shared" si="20"/>
        <v>0</v>
      </c>
      <c r="Y12" s="44">
        <f t="shared" si="21"/>
        <v>0</v>
      </c>
      <c r="Z12" s="44">
        <f t="shared" si="22"/>
        <v>0</v>
      </c>
      <c r="AA12" s="50">
        <f t="shared" si="23"/>
        <v>0</v>
      </c>
      <c r="AB12" s="51">
        <f t="shared" si="24"/>
        <v>0</v>
      </c>
      <c r="AC12" s="44">
        <f t="shared" si="24"/>
        <v>0</v>
      </c>
      <c r="AD12" s="44">
        <f t="shared" si="25"/>
        <v>0</v>
      </c>
      <c r="AE12" s="44">
        <f t="shared" si="40"/>
        <v>0</v>
      </c>
      <c r="AF12" s="52" t="e">
        <f>HLOOKUP(I12,ElecAvoidedCostsWOCC!$A$5:$Q$50,G12+1,FALSE)</f>
        <v>#N/A</v>
      </c>
      <c r="AG12" s="44" t="e">
        <f t="shared" si="26"/>
        <v>#N/A</v>
      </c>
      <c r="AH12" s="52" t="e">
        <f>HLOOKUP(I12,ElecAvoidedCostsWOCC!$A$5:$Q$50,T12+1,FALSE)</f>
        <v>#N/A</v>
      </c>
      <c r="AI12" s="44" t="e">
        <f t="shared" si="27"/>
        <v>#N/A</v>
      </c>
      <c r="AJ12" s="44" t="e">
        <f t="shared" si="28"/>
        <v>#N/A</v>
      </c>
      <c r="AK12" s="44" t="e">
        <f>HLOOKUP(I12,ElecAvoidedCostsWOCC!$A$5:$Q$50,G12+1,FALSE)*J12*L12</f>
        <v>#N/A</v>
      </c>
      <c r="AL12" s="44" t="e">
        <f t="shared" si="29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30"/>
        <v>0</v>
      </c>
      <c r="AO12" s="47">
        <f t="shared" si="31"/>
        <v>0</v>
      </c>
      <c r="AP12" s="47" t="e">
        <f t="shared" si="32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7"/>
        <v>0</v>
      </c>
      <c r="V13" s="48">
        <f t="shared" si="18"/>
        <v>0</v>
      </c>
      <c r="W13" s="49">
        <f t="shared" si="19"/>
        <v>0</v>
      </c>
      <c r="X13" s="44">
        <f t="shared" si="20"/>
        <v>0</v>
      </c>
      <c r="Y13" s="44">
        <f t="shared" si="21"/>
        <v>0</v>
      </c>
      <c r="Z13" s="44">
        <f t="shared" si="22"/>
        <v>0</v>
      </c>
      <c r="AA13" s="50">
        <f t="shared" si="23"/>
        <v>0</v>
      </c>
      <c r="AB13" s="51">
        <f t="shared" si="24"/>
        <v>0</v>
      </c>
      <c r="AC13" s="44">
        <f t="shared" si="24"/>
        <v>0</v>
      </c>
      <c r="AD13" s="44">
        <f t="shared" si="25"/>
        <v>0</v>
      </c>
      <c r="AE13" s="44">
        <f t="shared" si="40"/>
        <v>0</v>
      </c>
      <c r="AF13" s="52" t="e">
        <f>HLOOKUP(I13,ElecAvoidedCostsWOCC!$A$5:$Q$50,G13+1,FALSE)</f>
        <v>#N/A</v>
      </c>
      <c r="AG13" s="44" t="e">
        <f t="shared" si="26"/>
        <v>#N/A</v>
      </c>
      <c r="AH13" s="52" t="e">
        <f>HLOOKUP(I13,ElecAvoidedCostsWOCC!$A$5:$Q$50,T13+1,FALSE)</f>
        <v>#N/A</v>
      </c>
      <c r="AI13" s="44" t="e">
        <f t="shared" si="27"/>
        <v>#N/A</v>
      </c>
      <c r="AJ13" s="44" t="e">
        <f t="shared" si="28"/>
        <v>#N/A</v>
      </c>
      <c r="AK13" s="44" t="e">
        <f>HLOOKUP(I13,ElecAvoidedCostsWOCC!$A$5:$Q$50,G13+1,FALSE)*J13*L13</f>
        <v>#N/A</v>
      </c>
      <c r="AL13" s="44" t="e">
        <f t="shared" si="29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30"/>
        <v>0</v>
      </c>
      <c r="AO13" s="47">
        <f t="shared" si="31"/>
        <v>0</v>
      </c>
      <c r="AP13" s="47" t="e">
        <f t="shared" si="32"/>
        <v>#DIV/0!</v>
      </c>
    </row>
    <row r="14" spans="1:43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7"/>
        <v>0</v>
      </c>
      <c r="V14" s="48">
        <f t="shared" si="18"/>
        <v>0</v>
      </c>
      <c r="W14" s="49">
        <f t="shared" si="19"/>
        <v>0</v>
      </c>
      <c r="X14" s="44">
        <f t="shared" si="20"/>
        <v>0</v>
      </c>
      <c r="Y14" s="44">
        <f t="shared" si="21"/>
        <v>0</v>
      </c>
      <c r="Z14" s="44">
        <f t="shared" si="22"/>
        <v>0</v>
      </c>
      <c r="AA14" s="50">
        <f t="shared" si="23"/>
        <v>0</v>
      </c>
      <c r="AB14" s="51">
        <f t="shared" si="24"/>
        <v>0</v>
      </c>
      <c r="AC14" s="44">
        <f t="shared" si="24"/>
        <v>0</v>
      </c>
      <c r="AD14" s="44">
        <f t="shared" si="25"/>
        <v>0</v>
      </c>
      <c r="AE14" s="44">
        <f t="shared" si="40"/>
        <v>0</v>
      </c>
      <c r="AF14" s="52" t="e">
        <f>HLOOKUP(I14,ElecAvoidedCostsWOCC!$A$5:$Q$50,G14+1,FALSE)</f>
        <v>#N/A</v>
      </c>
      <c r="AG14" s="44" t="e">
        <f t="shared" si="26"/>
        <v>#N/A</v>
      </c>
      <c r="AH14" s="52" t="e">
        <f>HLOOKUP(I14,ElecAvoidedCostsWOCC!$A$5:$Q$50,T14+1,FALSE)</f>
        <v>#N/A</v>
      </c>
      <c r="AI14" s="44" t="e">
        <f t="shared" si="27"/>
        <v>#N/A</v>
      </c>
      <c r="AJ14" s="44" t="e">
        <f t="shared" si="28"/>
        <v>#N/A</v>
      </c>
      <c r="AK14" s="44" t="e">
        <f>HLOOKUP(I14,ElecAvoidedCostsWOCC!$A$5:$Q$50,G14+1,FALSE)*J14*L14</f>
        <v>#N/A</v>
      </c>
      <c r="AL14" s="44" t="e">
        <f t="shared" si="29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30"/>
        <v>0</v>
      </c>
      <c r="AO14" s="47">
        <f t="shared" si="31"/>
        <v>0</v>
      </c>
      <c r="AP14" s="47" t="e">
        <f t="shared" si="32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7"/>
        <v>0</v>
      </c>
      <c r="V15" s="48">
        <f t="shared" si="18"/>
        <v>0</v>
      </c>
      <c r="W15" s="49">
        <f t="shared" si="19"/>
        <v>0</v>
      </c>
      <c r="X15" s="44">
        <f t="shared" si="20"/>
        <v>0</v>
      </c>
      <c r="Y15" s="44">
        <f t="shared" si="21"/>
        <v>0</v>
      </c>
      <c r="Z15" s="44">
        <f t="shared" si="22"/>
        <v>0</v>
      </c>
      <c r="AA15" s="50">
        <f t="shared" si="23"/>
        <v>0</v>
      </c>
      <c r="AB15" s="51">
        <f t="shared" si="24"/>
        <v>0</v>
      </c>
      <c r="AC15" s="44">
        <f t="shared" si="24"/>
        <v>0</v>
      </c>
      <c r="AD15" s="44">
        <f t="shared" si="25"/>
        <v>0</v>
      </c>
      <c r="AE15" s="44">
        <f t="shared" si="40"/>
        <v>0</v>
      </c>
      <c r="AF15" s="52" t="e">
        <f>HLOOKUP(I15,ElecAvoidedCostsWOCC!$A$5:$Q$50,G15+1,FALSE)</f>
        <v>#N/A</v>
      </c>
      <c r="AG15" s="44" t="e">
        <f t="shared" si="26"/>
        <v>#N/A</v>
      </c>
      <c r="AH15" s="52" t="e">
        <f>HLOOKUP(I15,ElecAvoidedCostsWOCC!$A$5:$Q$50,T15+1,FALSE)</f>
        <v>#N/A</v>
      </c>
      <c r="AI15" s="44" t="e">
        <f t="shared" si="27"/>
        <v>#N/A</v>
      </c>
      <c r="AJ15" s="44" t="e">
        <f t="shared" si="28"/>
        <v>#N/A</v>
      </c>
      <c r="AK15" s="44" t="e">
        <f>HLOOKUP(I15,ElecAvoidedCostsWOCC!$A$5:$Q$50,G15+1,FALSE)*J15*L15</f>
        <v>#N/A</v>
      </c>
      <c r="AL15" s="44" t="e">
        <f t="shared" si="29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0"/>
        <v>0</v>
      </c>
      <c r="AO15" s="47">
        <f t="shared" si="31"/>
        <v>0</v>
      </c>
      <c r="AP15" s="47" t="e">
        <f t="shared" si="32"/>
        <v>#DIV/0!</v>
      </c>
    </row>
    <row r="16" spans="1:43" ht="13.5" customHeight="1">
      <c r="A16" s="54">
        <f>SUM(U5:U998)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7"/>
        <v>0</v>
      </c>
      <c r="V16" s="48">
        <f t="shared" si="18"/>
        <v>0</v>
      </c>
      <c r="W16" s="49">
        <f t="shared" si="19"/>
        <v>0</v>
      </c>
      <c r="X16" s="44">
        <f t="shared" si="20"/>
        <v>0</v>
      </c>
      <c r="Y16" s="44">
        <f t="shared" si="21"/>
        <v>0</v>
      </c>
      <c r="Z16" s="44">
        <f t="shared" si="22"/>
        <v>0</v>
      </c>
      <c r="AA16" s="50">
        <f t="shared" si="23"/>
        <v>0</v>
      </c>
      <c r="AB16" s="51">
        <f t="shared" si="24"/>
        <v>0</v>
      </c>
      <c r="AC16" s="44">
        <f t="shared" si="24"/>
        <v>0</v>
      </c>
      <c r="AD16" s="44">
        <f t="shared" si="25"/>
        <v>0</v>
      </c>
      <c r="AE16" s="44">
        <f t="shared" si="40"/>
        <v>0</v>
      </c>
      <c r="AF16" s="52" t="e">
        <f>HLOOKUP(I16,ElecAvoidedCostsWOCC!$A$5:$Q$50,G16+1,FALSE)</f>
        <v>#N/A</v>
      </c>
      <c r="AG16" s="44" t="e">
        <f t="shared" si="26"/>
        <v>#N/A</v>
      </c>
      <c r="AH16" s="52" t="e">
        <f>HLOOKUP(I16,ElecAvoidedCostsWOCC!$A$5:$Q$50,T16+1,FALSE)</f>
        <v>#N/A</v>
      </c>
      <c r="AI16" s="44" t="e">
        <f t="shared" si="27"/>
        <v>#N/A</v>
      </c>
      <c r="AJ16" s="44" t="e">
        <f t="shared" si="28"/>
        <v>#N/A</v>
      </c>
      <c r="AK16" s="44" t="e">
        <f>HLOOKUP(I16,ElecAvoidedCostsWOCC!$A$5:$Q$50,G16+1,FALSE)*J16*L16</f>
        <v>#N/A</v>
      </c>
      <c r="AL16" s="44" t="e">
        <f t="shared" si="29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0"/>
        <v>0</v>
      </c>
      <c r="AO16" s="47">
        <f t="shared" si="31"/>
        <v>0</v>
      </c>
      <c r="AP16" s="47" t="e">
        <f t="shared" si="32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7"/>
        <v>0</v>
      </c>
      <c r="V17" s="48">
        <f t="shared" si="18"/>
        <v>0</v>
      </c>
      <c r="W17" s="49">
        <f t="shared" si="19"/>
        <v>0</v>
      </c>
      <c r="X17" s="44">
        <f t="shared" si="20"/>
        <v>0</v>
      </c>
      <c r="Y17" s="44">
        <f t="shared" si="21"/>
        <v>0</v>
      </c>
      <c r="Z17" s="44">
        <f t="shared" si="22"/>
        <v>0</v>
      </c>
      <c r="AA17" s="50">
        <f t="shared" si="23"/>
        <v>0</v>
      </c>
      <c r="AB17" s="51">
        <f t="shared" si="24"/>
        <v>0</v>
      </c>
      <c r="AC17" s="44">
        <f t="shared" si="24"/>
        <v>0</v>
      </c>
      <c r="AD17" s="44">
        <f t="shared" si="25"/>
        <v>0</v>
      </c>
      <c r="AE17" s="44">
        <f t="shared" si="40"/>
        <v>0</v>
      </c>
      <c r="AF17" s="52" t="e">
        <f>HLOOKUP(I17,ElecAvoidedCostsWOCC!$A$5:$Q$50,G17+1,FALSE)</f>
        <v>#N/A</v>
      </c>
      <c r="AG17" s="44" t="e">
        <f t="shared" si="26"/>
        <v>#N/A</v>
      </c>
      <c r="AH17" s="52" t="e">
        <f>HLOOKUP(I17,ElecAvoidedCostsWOCC!$A$5:$Q$50,T17+1,FALSE)</f>
        <v>#N/A</v>
      </c>
      <c r="AI17" s="44" t="e">
        <f t="shared" si="27"/>
        <v>#N/A</v>
      </c>
      <c r="AJ17" s="44" t="e">
        <f t="shared" si="28"/>
        <v>#N/A</v>
      </c>
      <c r="AK17" s="44" t="e">
        <f>HLOOKUP(I17,ElecAvoidedCostsWOCC!$A$5:$Q$50,G17+1,FALSE)*J17*L17</f>
        <v>#N/A</v>
      </c>
      <c r="AL17" s="44" t="e">
        <f t="shared" si="29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0"/>
        <v>0</v>
      </c>
      <c r="AO17" s="47">
        <f t="shared" si="31"/>
        <v>0</v>
      </c>
      <c r="AP17" s="47" t="e">
        <f t="shared" si="32"/>
        <v>#DIV/0!</v>
      </c>
    </row>
    <row r="18" spans="1:42" ht="13.5" customHeight="1">
      <c r="A18" s="59">
        <f>A6+A8</f>
        <v>671679.5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7"/>
        <v>0</v>
      </c>
      <c r="V18" s="48">
        <f t="shared" si="18"/>
        <v>0</v>
      </c>
      <c r="W18" s="49">
        <f t="shared" si="19"/>
        <v>0</v>
      </c>
      <c r="X18" s="44">
        <f t="shared" si="20"/>
        <v>0</v>
      </c>
      <c r="Y18" s="44">
        <f t="shared" si="21"/>
        <v>0</v>
      </c>
      <c r="Z18" s="44">
        <f t="shared" si="22"/>
        <v>0</v>
      </c>
      <c r="AA18" s="50">
        <f t="shared" si="23"/>
        <v>0</v>
      </c>
      <c r="AB18" s="51">
        <f t="shared" si="24"/>
        <v>0</v>
      </c>
      <c r="AC18" s="44">
        <f t="shared" si="24"/>
        <v>0</v>
      </c>
      <c r="AD18" s="44">
        <f t="shared" si="25"/>
        <v>0</v>
      </c>
      <c r="AE18" s="44">
        <f t="shared" si="40"/>
        <v>0</v>
      </c>
      <c r="AF18" s="52" t="e">
        <f>HLOOKUP(I18,ElecAvoidedCostsWOCC!$A$5:$Q$50,G18+1,FALSE)</f>
        <v>#N/A</v>
      </c>
      <c r="AG18" s="44" t="e">
        <f t="shared" si="26"/>
        <v>#N/A</v>
      </c>
      <c r="AH18" s="52" t="e">
        <f>HLOOKUP(I18,ElecAvoidedCostsWOCC!$A$5:$Q$50,T18+1,FALSE)</f>
        <v>#N/A</v>
      </c>
      <c r="AI18" s="44" t="e">
        <f t="shared" si="27"/>
        <v>#N/A</v>
      </c>
      <c r="AJ18" s="44" t="e">
        <f t="shared" si="28"/>
        <v>#N/A</v>
      </c>
      <c r="AK18" s="44" t="e">
        <f>HLOOKUP(I18,ElecAvoidedCostsWOCC!$A$5:$Q$50,G18+1,FALSE)*J18*L18</f>
        <v>#N/A</v>
      </c>
      <c r="AL18" s="44" t="e">
        <f t="shared" si="29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0"/>
        <v>0</v>
      </c>
      <c r="AO18" s="47">
        <f t="shared" si="31"/>
        <v>0</v>
      </c>
      <c r="AP18" s="47" t="e">
        <f t="shared" si="32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7"/>
        <v>0</v>
      </c>
      <c r="V19" s="48">
        <f t="shared" si="18"/>
        <v>0</v>
      </c>
      <c r="W19" s="49">
        <f t="shared" si="19"/>
        <v>0</v>
      </c>
      <c r="X19" s="44">
        <f t="shared" si="20"/>
        <v>0</v>
      </c>
      <c r="Y19" s="44">
        <f t="shared" si="21"/>
        <v>0</v>
      </c>
      <c r="Z19" s="44">
        <f t="shared" si="22"/>
        <v>0</v>
      </c>
      <c r="AA19" s="50">
        <f t="shared" si="23"/>
        <v>0</v>
      </c>
      <c r="AB19" s="51">
        <f t="shared" si="24"/>
        <v>0</v>
      </c>
      <c r="AC19" s="44">
        <f t="shared" si="24"/>
        <v>0</v>
      </c>
      <c r="AD19" s="44">
        <f t="shared" si="25"/>
        <v>0</v>
      </c>
      <c r="AE19" s="44">
        <f t="shared" si="40"/>
        <v>0</v>
      </c>
      <c r="AF19" s="52" t="e">
        <f>HLOOKUP(I19,ElecAvoidedCostsWOCC!$A$5:$Q$50,G19+1,FALSE)</f>
        <v>#N/A</v>
      </c>
      <c r="AG19" s="44" t="e">
        <f t="shared" si="26"/>
        <v>#N/A</v>
      </c>
      <c r="AH19" s="52" t="e">
        <f>HLOOKUP(I19,ElecAvoidedCostsWOCC!$A$5:$Q$50,T19+1,FALSE)</f>
        <v>#N/A</v>
      </c>
      <c r="AI19" s="44" t="e">
        <f t="shared" si="27"/>
        <v>#N/A</v>
      </c>
      <c r="AJ19" s="44" t="e">
        <f t="shared" si="28"/>
        <v>#N/A</v>
      </c>
      <c r="AK19" s="44" t="e">
        <f>HLOOKUP(I19,ElecAvoidedCostsWOCC!$A$5:$Q$50,G19+1,FALSE)*J19*L19</f>
        <v>#N/A</v>
      </c>
      <c r="AL19" s="44" t="e">
        <f t="shared" si="29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0"/>
        <v>0</v>
      </c>
      <c r="AO19" s="47">
        <f t="shared" si="31"/>
        <v>0</v>
      </c>
      <c r="AP19" s="47" t="e">
        <f t="shared" si="32"/>
        <v>#DIV/0!</v>
      </c>
    </row>
    <row r="20" spans="1:42" ht="13.5" customHeight="1">
      <c r="A20" s="59">
        <f>A8+SUM(Q5:Q905)</f>
        <v>576297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7"/>
        <v>0</v>
      </c>
      <c r="V20" s="48">
        <f t="shared" si="18"/>
        <v>0</v>
      </c>
      <c r="W20" s="49">
        <f t="shared" si="19"/>
        <v>0</v>
      </c>
      <c r="X20" s="44">
        <f t="shared" si="20"/>
        <v>0</v>
      </c>
      <c r="Y20" s="44">
        <f t="shared" si="21"/>
        <v>0</v>
      </c>
      <c r="Z20" s="44">
        <f t="shared" si="22"/>
        <v>0</v>
      </c>
      <c r="AA20" s="50">
        <f t="shared" si="23"/>
        <v>0</v>
      </c>
      <c r="AB20" s="51">
        <f t="shared" ref="AB20:AC23" si="41">Z20/(1+ElecDiscountRate)^1</f>
        <v>0</v>
      </c>
      <c r="AC20" s="44">
        <f t="shared" si="41"/>
        <v>0</v>
      </c>
      <c r="AD20" s="44">
        <f t="shared" si="25"/>
        <v>0</v>
      </c>
      <c r="AE20" s="44">
        <f t="shared" si="40"/>
        <v>0</v>
      </c>
      <c r="AF20" s="52" t="e">
        <f>HLOOKUP(I20,ElecAvoidedCostsWOCC!$A$5:$Q$50,G20+1,FALSE)</f>
        <v>#N/A</v>
      </c>
      <c r="AG20" s="44" t="e">
        <f t="shared" si="26"/>
        <v>#N/A</v>
      </c>
      <c r="AH20" s="52" t="e">
        <f>HLOOKUP(I20,ElecAvoidedCostsWOCC!$A$5:$Q$50,T20+1,FALSE)</f>
        <v>#N/A</v>
      </c>
      <c r="AI20" s="44" t="e">
        <f t="shared" si="27"/>
        <v>#N/A</v>
      </c>
      <c r="AJ20" s="44" t="e">
        <f t="shared" si="28"/>
        <v>#N/A</v>
      </c>
      <c r="AK20" s="44" t="e">
        <f>HLOOKUP(I20,ElecAvoidedCostsWOCC!$A$5:$Q$50,G20+1,FALSE)*J20*L20</f>
        <v>#N/A</v>
      </c>
      <c r="AL20" s="44" t="e">
        <f t="shared" si="29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30"/>
        <v>0</v>
      </c>
      <c r="AO20" s="47">
        <f t="shared" si="31"/>
        <v>0</v>
      </c>
      <c r="AP20" s="47" t="e">
        <f t="shared" si="32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7"/>
        <v>0</v>
      </c>
      <c r="V21" s="48">
        <f t="shared" si="18"/>
        <v>0</v>
      </c>
      <c r="W21" s="49">
        <f t="shared" si="19"/>
        <v>0</v>
      </c>
      <c r="X21" s="44">
        <f t="shared" si="20"/>
        <v>0</v>
      </c>
      <c r="Y21" s="44">
        <f t="shared" si="21"/>
        <v>0</v>
      </c>
      <c r="Z21" s="44">
        <f t="shared" si="22"/>
        <v>0</v>
      </c>
      <c r="AA21" s="50">
        <f t="shared" si="23"/>
        <v>0</v>
      </c>
      <c r="AB21" s="51">
        <f t="shared" si="41"/>
        <v>0</v>
      </c>
      <c r="AC21" s="44">
        <f t="shared" si="41"/>
        <v>0</v>
      </c>
      <c r="AD21" s="44">
        <f t="shared" si="25"/>
        <v>0</v>
      </c>
      <c r="AE21" s="44">
        <f t="shared" si="40"/>
        <v>0</v>
      </c>
      <c r="AF21" s="52" t="e">
        <f>HLOOKUP(I21,ElecAvoidedCostsWOCC!$A$5:$Q$50,G21+1,FALSE)</f>
        <v>#N/A</v>
      </c>
      <c r="AG21" s="44" t="e">
        <f t="shared" si="26"/>
        <v>#N/A</v>
      </c>
      <c r="AH21" s="52" t="e">
        <f>HLOOKUP(I21,ElecAvoidedCostsWOCC!$A$5:$Q$50,T21+1,FALSE)</f>
        <v>#N/A</v>
      </c>
      <c r="AI21" s="44" t="e">
        <f t="shared" si="27"/>
        <v>#N/A</v>
      </c>
      <c r="AJ21" s="44" t="e">
        <f t="shared" si="28"/>
        <v>#N/A</v>
      </c>
      <c r="AK21" s="44" t="e">
        <f>HLOOKUP(I21,ElecAvoidedCostsWOCC!$A$5:$Q$50,G21+1,FALSE)*J21*L21</f>
        <v>#N/A</v>
      </c>
      <c r="AL21" s="44" t="e">
        <f t="shared" si="29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0"/>
        <v>0</v>
      </c>
      <c r="AO21" s="47">
        <f t="shared" si="31"/>
        <v>0</v>
      </c>
      <c r="AP21" s="47" t="e">
        <f t="shared" si="32"/>
        <v>#DIV/0!</v>
      </c>
    </row>
    <row r="22" spans="1:42" ht="13.5" customHeight="1">
      <c r="A22" s="60">
        <f>(SUM(AM5:AM999)/(SUM(AB5:AB999)))</f>
        <v>7.127122317545051E-2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7"/>
        <v>0</v>
      </c>
      <c r="V22" s="48">
        <f t="shared" si="18"/>
        <v>0</v>
      </c>
      <c r="W22" s="49">
        <f t="shared" si="19"/>
        <v>0</v>
      </c>
      <c r="X22" s="44">
        <f t="shared" si="20"/>
        <v>0</v>
      </c>
      <c r="Y22" s="44">
        <f t="shared" si="21"/>
        <v>0</v>
      </c>
      <c r="Z22" s="44">
        <f t="shared" si="22"/>
        <v>0</v>
      </c>
      <c r="AA22" s="50">
        <f t="shared" si="23"/>
        <v>0</v>
      </c>
      <c r="AB22" s="51">
        <f t="shared" si="41"/>
        <v>0</v>
      </c>
      <c r="AC22" s="44">
        <f t="shared" si="41"/>
        <v>0</v>
      </c>
      <c r="AD22" s="44">
        <f t="shared" si="25"/>
        <v>0</v>
      </c>
      <c r="AE22" s="44">
        <f t="shared" si="40"/>
        <v>0</v>
      </c>
      <c r="AF22" s="52" t="e">
        <f>HLOOKUP(I22,ElecAvoidedCostsWOCC!$A$5:$Q$50,G22+1,FALSE)</f>
        <v>#N/A</v>
      </c>
      <c r="AG22" s="44" t="e">
        <f t="shared" si="26"/>
        <v>#N/A</v>
      </c>
      <c r="AH22" s="52" t="e">
        <f>HLOOKUP(I22,ElecAvoidedCostsWOCC!$A$5:$Q$50,T22+1,FALSE)</f>
        <v>#N/A</v>
      </c>
      <c r="AI22" s="44" t="e">
        <f t="shared" si="27"/>
        <v>#N/A</v>
      </c>
      <c r="AJ22" s="44" t="e">
        <f t="shared" si="28"/>
        <v>#N/A</v>
      </c>
      <c r="AK22" s="44" t="e">
        <f>HLOOKUP(I22,ElecAvoidedCostsWOCC!$A$5:$Q$50,G22+1,FALSE)*J22*L22</f>
        <v>#N/A</v>
      </c>
      <c r="AL22" s="44" t="e">
        <f t="shared" si="29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0"/>
        <v>0</v>
      </c>
      <c r="AO22" s="47">
        <f t="shared" si="31"/>
        <v>0</v>
      </c>
      <c r="AP22" s="47" t="e">
        <f t="shared" si="32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7"/>
        <v>0</v>
      </c>
      <c r="V23" s="48">
        <f t="shared" si="18"/>
        <v>0</v>
      </c>
      <c r="W23" s="49">
        <f t="shared" si="19"/>
        <v>0</v>
      </c>
      <c r="X23" s="44">
        <f t="shared" si="20"/>
        <v>0</v>
      </c>
      <c r="Y23" s="44">
        <f t="shared" si="21"/>
        <v>0</v>
      </c>
      <c r="Z23" s="44">
        <f t="shared" si="22"/>
        <v>0</v>
      </c>
      <c r="AA23" s="50">
        <f t="shared" si="23"/>
        <v>0</v>
      </c>
      <c r="AB23" s="51">
        <f t="shared" si="41"/>
        <v>0</v>
      </c>
      <c r="AC23" s="44">
        <f t="shared" si="41"/>
        <v>0</v>
      </c>
      <c r="AD23" s="44">
        <f t="shared" si="25"/>
        <v>0</v>
      </c>
      <c r="AE23" s="44">
        <f t="shared" si="40"/>
        <v>0</v>
      </c>
      <c r="AF23" s="52" t="e">
        <f>HLOOKUP(I23,ElecAvoidedCostsWOCC!$A$5:$Q$50,G23+1,FALSE)</f>
        <v>#N/A</v>
      </c>
      <c r="AG23" s="44" t="e">
        <f t="shared" si="26"/>
        <v>#N/A</v>
      </c>
      <c r="AH23" s="52" t="e">
        <f>HLOOKUP(I23,ElecAvoidedCostsWOCC!$A$5:$Q$50,T23+1,FALSE)</f>
        <v>#N/A</v>
      </c>
      <c r="AI23" s="44" t="e">
        <f t="shared" si="27"/>
        <v>#N/A</v>
      </c>
      <c r="AJ23" s="44" t="e">
        <f t="shared" si="28"/>
        <v>#N/A</v>
      </c>
      <c r="AK23" s="44" t="e">
        <f>HLOOKUP(I23,ElecAvoidedCostsWOCC!$A$5:$Q$50,G23+1,FALSE)*J23*L23</f>
        <v>#N/A</v>
      </c>
      <c r="AL23" s="44" t="e">
        <f t="shared" si="29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0"/>
        <v>0</v>
      </c>
      <c r="AO23" s="47">
        <f t="shared" si="31"/>
        <v>0</v>
      </c>
      <c r="AP23" s="47" t="e">
        <f t="shared" si="32"/>
        <v>#DIV/0!</v>
      </c>
    </row>
    <row r="24" spans="1:42" ht="13.5" customHeight="1">
      <c r="A24" s="60">
        <f>(SUM(AN5:AN999)/SUM(AC5:AC999))</f>
        <v>9.1373998999756248E-2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301</v>
      </c>
      <c r="C5" s="98">
        <v>18230140</v>
      </c>
      <c r="D5" s="61" t="s">
        <v>26</v>
      </c>
      <c r="E5" s="38" t="s">
        <v>1074</v>
      </c>
      <c r="F5" s="39" t="s">
        <v>1075</v>
      </c>
      <c r="G5" s="39">
        <v>13.5</v>
      </c>
      <c r="H5" s="39"/>
      <c r="I5" s="40" t="s">
        <v>256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9072.8333338271659</v>
      </c>
      <c r="Y5" s="44">
        <f t="shared" ref="Y5:Y24" si="5">Q5-P5</f>
        <v>0</v>
      </c>
      <c r="Z5" s="44">
        <f t="shared" ref="Z5:Z24" si="6">X5+(A$6*W5)</f>
        <v>55146.609192234944</v>
      </c>
      <c r="AA5" s="50">
        <f t="shared" ref="AA5:AA24" si="7">Q5+X5</f>
        <v>52151.833333827162</v>
      </c>
      <c r="AB5" s="51">
        <f t="shared" ref="AB5:AC20" si="8">Z5/(1+ElecDiscountRate)^1</f>
        <v>51553.341303388741</v>
      </c>
      <c r="AC5" s="44">
        <f t="shared" si="8"/>
        <v>48753.700414908068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2.5305871444643966</v>
      </c>
      <c r="AP5" s="47">
        <f>AN5/AC5</f>
        <v>2.9434944180834579</v>
      </c>
      <c r="AQ5">
        <v>221</v>
      </c>
    </row>
    <row r="6" spans="1:43" ht="13.5" customHeight="1">
      <c r="A6" s="53">
        <f>SUMIF('Program Costs'!D:D,C2,'Program Costs'!L:L)+SUMIF('Program Costs'!D:D,C8,'Program Costs'!L:L)</f>
        <v>194915</v>
      </c>
      <c r="B6" s="97" t="s">
        <v>301</v>
      </c>
      <c r="C6" s="98">
        <v>18230140</v>
      </c>
      <c r="D6" s="61" t="s">
        <v>26</v>
      </c>
      <c r="E6" s="38" t="s">
        <v>1074</v>
      </c>
      <c r="F6" s="39" t="s">
        <v>1075</v>
      </c>
      <c r="G6" s="39">
        <v>12</v>
      </c>
      <c r="H6" s="39"/>
      <c r="I6" s="40" t="s">
        <v>256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16008.27701842496</v>
      </c>
      <c r="Y6" s="44">
        <f t="shared" si="5"/>
        <v>0</v>
      </c>
      <c r="Z6" s="44">
        <f t="shared" si="6"/>
        <v>97301.709851174732</v>
      </c>
      <c r="AA6" s="50">
        <f t="shared" si="7"/>
        <v>104686.27701842497</v>
      </c>
      <c r="AB6" s="51">
        <f t="shared" si="8"/>
        <v>90961.680705968698</v>
      </c>
      <c r="AC6" s="44">
        <f t="shared" si="8"/>
        <v>97865.080881018002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2.3522817102869222</v>
      </c>
      <c r="AP6" s="47">
        <f t="shared" ref="AP6:AP24" si="16">AN6/AC6</f>
        <v>2.4049870038315304</v>
      </c>
      <c r="AQ6">
        <v>2021</v>
      </c>
    </row>
    <row r="7" spans="1:43" ht="13.5" customHeight="1">
      <c r="A7" s="36" t="s">
        <v>249</v>
      </c>
      <c r="B7" s="97" t="s">
        <v>301</v>
      </c>
      <c r="C7" s="98">
        <v>18230140</v>
      </c>
      <c r="D7" s="61" t="s">
        <v>26</v>
      </c>
      <c r="E7" s="38" t="s">
        <v>1074</v>
      </c>
      <c r="F7" s="39" t="s">
        <v>1075</v>
      </c>
      <c r="G7" s="39">
        <v>15</v>
      </c>
      <c r="H7" s="39"/>
      <c r="I7" s="40" t="s">
        <v>256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13301.489647747865</v>
      </c>
      <c r="Y7" s="44">
        <f t="shared" si="5"/>
        <v>0</v>
      </c>
      <c r="Z7" s="44">
        <f t="shared" si="6"/>
        <v>80849.280956590301</v>
      </c>
      <c r="AA7" s="50">
        <f t="shared" si="7"/>
        <v>76459.489647747861</v>
      </c>
      <c r="AB7" s="51">
        <f t="shared" si="8"/>
        <v>75581.266669711404</v>
      </c>
      <c r="AC7" s="44">
        <f t="shared" si="8"/>
        <v>71477.507383142802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2.8673071081866532</v>
      </c>
      <c r="AP7" s="47">
        <f t="shared" si="16"/>
        <v>3.3351215258076663</v>
      </c>
      <c r="AQ7">
        <v>2021</v>
      </c>
    </row>
    <row r="8" spans="1:43" ht="13.5" customHeight="1">
      <c r="A8" s="53">
        <f>SUMIF('Program Costs'!D:D,C2,'Program Costs'!O:O)+SUMIF('Program Costs'!D:D,C8,'Program Costs'!O:O)</f>
        <v>38382.599999999991</v>
      </c>
      <c r="B8" s="97"/>
      <c r="C8" s="100">
        <v>18231128</v>
      </c>
      <c r="D8" s="100" t="s">
        <v>1809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25</v>
      </c>
      <c r="C9" s="100">
        <v>18230140</v>
      </c>
      <c r="D9" s="100" t="s">
        <v>26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2020</v>
      </c>
    </row>
    <row r="10" spans="1:43" ht="13.5" customHeight="1">
      <c r="A10" s="54">
        <f>SUM(O5:O999)</f>
        <v>607491</v>
      </c>
      <c r="B10" s="97" t="s">
        <v>25</v>
      </c>
      <c r="C10" s="100">
        <v>18231128</v>
      </c>
      <c r="D10" s="100" t="s">
        <v>162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233297.59999999998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233297.59999999998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2.5729113832454606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2.8302025215700071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zoomScale="85" zoomScaleNormal="85" workbookViewId="0">
      <pane ySplit="1" topLeftCell="A2" activePane="bottomLeft" state="frozen"/>
      <selection pane="bottomLeft" activeCell="F129" sqref="F129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">
        <v>1593608.4600000002</v>
      </c>
      <c r="O2" s="5">
        <v>1593608.4600000002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">
        <v>429714.39000000007</v>
      </c>
      <c r="O3" s="5">
        <v>429714.39000000007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">
        <v>121941</v>
      </c>
      <c r="O4" s="5">
        <v>121941</v>
      </c>
      <c r="P4" t="s">
        <v>525</v>
      </c>
    </row>
    <row r="5" spans="1:16" hidden="1">
      <c r="B5" t="s">
        <v>1825</v>
      </c>
      <c r="C5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">
        <v>472.23</v>
      </c>
      <c r="O5" s="5">
        <v>472.23</v>
      </c>
      <c r="P5" t="s">
        <v>524</v>
      </c>
    </row>
    <row r="6" spans="1:16" hidden="1">
      <c r="B6" t="s">
        <v>1827</v>
      </c>
      <c r="C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">
        <v>9.42</v>
      </c>
      <c r="O6" s="5">
        <v>9.42</v>
      </c>
      <c r="P6" t="s">
        <v>524</v>
      </c>
    </row>
    <row r="7" spans="1:16" hidden="1">
      <c r="B7" t="s">
        <v>65</v>
      </c>
      <c r="C7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">
        <v>24502867.289999999</v>
      </c>
      <c r="O7" s="5"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">
        <v>0</v>
      </c>
      <c r="O8" s="5"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">
        <v>42645</v>
      </c>
      <c r="O9" s="5">
        <v>42645</v>
      </c>
      <c r="P9" t="s">
        <v>523</v>
      </c>
    </row>
    <row r="10" spans="1:16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">
        <v>42645</v>
      </c>
      <c r="O10" s="5">
        <v>42645</v>
      </c>
      <c r="P10" t="s">
        <v>523</v>
      </c>
    </row>
    <row r="11" spans="1:16" hidden="1">
      <c r="B11" t="s">
        <v>70</v>
      </c>
      <c r="C11" t="s">
        <v>131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">
        <v>288495.48</v>
      </c>
      <c r="O11" s="5">
        <v>115129.28999999998</v>
      </c>
      <c r="P11" t="s">
        <v>523</v>
      </c>
    </row>
    <row r="12" spans="1:16" hidden="1">
      <c r="B12" t="s">
        <v>31</v>
      </c>
      <c r="C12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">
        <v>1549528.2000000002</v>
      </c>
      <c r="O12" s="5">
        <v>774722.0900000002</v>
      </c>
      <c r="P12" t="s">
        <v>523</v>
      </c>
    </row>
    <row r="13" spans="1:16" hidden="1">
      <c r="B13" t="s">
        <v>70</v>
      </c>
      <c r="C13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">
        <v>394482.74</v>
      </c>
      <c r="O13" s="5">
        <v>103784.87</v>
      </c>
      <c r="P13" t="s">
        <v>523</v>
      </c>
    </row>
    <row r="14" spans="1:16" hidden="1">
      <c r="B14" t="s">
        <v>31</v>
      </c>
      <c r="C14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">
        <v>51292.77</v>
      </c>
      <c r="O14" s="5">
        <v>49042.77</v>
      </c>
      <c r="P14" t="s">
        <v>523</v>
      </c>
    </row>
    <row r="15" spans="1:16" hidden="1">
      <c r="B15" t="s">
        <v>129</v>
      </c>
      <c r="C15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f>92844.7+10.03</f>
        <v>92854.73</v>
      </c>
      <c r="J15" s="4">
        <v>26.4</v>
      </c>
      <c r="K15" s="4">
        <v>366.3</v>
      </c>
      <c r="L15" s="4">
        <v>4722671.5999999996</v>
      </c>
      <c r="M15" s="4">
        <v>0</v>
      </c>
      <c r="N15" s="5">
        <f>5293041.09+10.03</f>
        <v>5293051.12</v>
      </c>
      <c r="O15" s="5">
        <f>N15-L15</f>
        <v>570379.52000000048</v>
      </c>
      <c r="P15" t="s">
        <v>523</v>
      </c>
    </row>
    <row r="16" spans="1:16" hidden="1">
      <c r="B16" t="s">
        <v>123</v>
      </c>
      <c r="C1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">
        <v>548963.35</v>
      </c>
      <c r="O16" s="5">
        <v>119245.34999999998</v>
      </c>
      <c r="P16" t="s">
        <v>523</v>
      </c>
    </row>
    <row r="17" spans="2:16" hidden="1">
      <c r="B17" t="s">
        <v>65</v>
      </c>
      <c r="C17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">
        <v>6293271.54</v>
      </c>
      <c r="O17" s="5">
        <v>2206073.09</v>
      </c>
      <c r="P17" t="s">
        <v>523</v>
      </c>
    </row>
    <row r="18" spans="2:16">
      <c r="B18" t="s">
        <v>141</v>
      </c>
      <c r="C18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">
        <v>3402111.5500000003</v>
      </c>
      <c r="O18" s="5">
        <v>827013.10000000009</v>
      </c>
      <c r="P18" t="s">
        <v>523</v>
      </c>
    </row>
    <row r="19" spans="2:16" hidden="1">
      <c r="B19" t="s">
        <v>70</v>
      </c>
      <c r="C19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">
        <v>837852.2300000001</v>
      </c>
      <c r="O19" s="5"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">
        <v>3676313.24</v>
      </c>
      <c r="O20" s="5"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">
        <v>228431.46</v>
      </c>
      <c r="O21" s="5">
        <v>33516.459999999992</v>
      </c>
      <c r="P21" t="s">
        <v>522</v>
      </c>
    </row>
    <row r="22" spans="2:16" hidden="1">
      <c r="B22" t="s">
        <v>84</v>
      </c>
      <c r="C22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">
        <v>0</v>
      </c>
      <c r="O22" s="5">
        <v>0</v>
      </c>
      <c r="P22" t="s">
        <v>522</v>
      </c>
    </row>
    <row r="23" spans="2:16" hidden="1">
      <c r="B23" t="s">
        <v>136</v>
      </c>
      <c r="C23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">
        <v>2536224.3099999996</v>
      </c>
      <c r="O23" s="5">
        <v>1552628.3099999996</v>
      </c>
      <c r="P23" t="s">
        <v>523</v>
      </c>
    </row>
    <row r="24" spans="2:16" hidden="1">
      <c r="B24" t="s">
        <v>112</v>
      </c>
      <c r="C24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">
        <v>1026378.5800000002</v>
      </c>
      <c r="O24" s="5">
        <v>766385.58000000019</v>
      </c>
      <c r="P24" t="s">
        <v>523</v>
      </c>
    </row>
    <row r="25" spans="2:16" hidden="1">
      <c r="B25" t="s">
        <v>43</v>
      </c>
      <c r="C25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">
        <v>558169.54</v>
      </c>
      <c r="O25" s="5">
        <v>558169.54</v>
      </c>
      <c r="P25" t="s">
        <v>525</v>
      </c>
    </row>
    <row r="26" spans="2:16" hidden="1">
      <c r="B26" t="s">
        <v>45</v>
      </c>
      <c r="C2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">
        <v>81567.28</v>
      </c>
      <c r="O26" s="5">
        <v>81567.28</v>
      </c>
      <c r="P26" t="s">
        <v>525</v>
      </c>
    </row>
    <row r="27" spans="2:16" hidden="1">
      <c r="B27" t="s">
        <v>47</v>
      </c>
      <c r="C27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">
        <v>1103167.3</v>
      </c>
      <c r="O27" s="5">
        <v>1103167.3</v>
      </c>
      <c r="P27" t="s">
        <v>524</v>
      </c>
    </row>
    <row r="28" spans="2:16" hidden="1">
      <c r="B28" t="s">
        <v>55</v>
      </c>
      <c r="C28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">
        <v>155685.05000000002</v>
      </c>
      <c r="O28" s="5">
        <v>155685.05000000002</v>
      </c>
      <c r="P28" t="s">
        <v>524</v>
      </c>
    </row>
    <row r="29" spans="2:16" hidden="1">
      <c r="B29" t="s">
        <v>47</v>
      </c>
      <c r="C29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">
        <v>953588.23</v>
      </c>
      <c r="O29" s="5">
        <v>953588.23</v>
      </c>
      <c r="P29" t="s">
        <v>524</v>
      </c>
    </row>
    <row r="30" spans="2:16" hidden="1">
      <c r="B30" t="s">
        <v>55</v>
      </c>
      <c r="C30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">
        <v>169578.16</v>
      </c>
      <c r="O30" s="5">
        <v>169578.16</v>
      </c>
      <c r="P30" t="s">
        <v>524</v>
      </c>
    </row>
    <row r="31" spans="2:16" hidden="1">
      <c r="B31" t="s">
        <v>61</v>
      </c>
      <c r="C31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">
        <v>1991317.5299999998</v>
      </c>
      <c r="O31" s="5">
        <v>1991317.5299999998</v>
      </c>
      <c r="P31" t="s">
        <v>524</v>
      </c>
    </row>
    <row r="32" spans="2:16" hidden="1">
      <c r="B32" t="s">
        <v>63</v>
      </c>
      <c r="C32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">
        <v>297496.19</v>
      </c>
      <c r="O32" s="5"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">
        <v>-28.67</v>
      </c>
      <c r="O33" s="5"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v>141413.37</v>
      </c>
      <c r="O34" s="5">
        <v>141413.37</v>
      </c>
      <c r="P34" t="s">
        <v>524</v>
      </c>
    </row>
    <row r="35" spans="2:16" hidden="1">
      <c r="B35" t="s">
        <v>55</v>
      </c>
      <c r="C35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">
        <v>62765.67</v>
      </c>
      <c r="O35" s="5">
        <v>62765.67</v>
      </c>
      <c r="P35" t="s">
        <v>524</v>
      </c>
    </row>
    <row r="36" spans="2:16" hidden="1">
      <c r="B36" t="s">
        <v>68</v>
      </c>
      <c r="C3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">
        <v>1106899.18</v>
      </c>
      <c r="O36" s="5">
        <v>1106899.18</v>
      </c>
      <c r="P36" t="s">
        <v>524</v>
      </c>
    </row>
    <row r="37" spans="2:16" hidden="1">
      <c r="B37" t="s">
        <v>72</v>
      </c>
      <c r="C37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">
        <v>133593.23000000001</v>
      </c>
      <c r="O37" s="5">
        <v>133593.23000000001</v>
      </c>
      <c r="P37" t="s">
        <v>524</v>
      </c>
    </row>
    <row r="38" spans="2:16" hidden="1">
      <c r="B38" t="s">
        <v>15</v>
      </c>
      <c r="C38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">
        <v>72507.95</v>
      </c>
      <c r="O38" s="5"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">
        <v>70424.309999999983</v>
      </c>
      <c r="O39" s="5">
        <v>70424.309999999983</v>
      </c>
      <c r="P39" t="s">
        <v>520</v>
      </c>
    </row>
    <row r="40" spans="2:16" hidden="1">
      <c r="B40" t="s">
        <v>76</v>
      </c>
      <c r="C40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">
        <v>2013309.85</v>
      </c>
      <c r="O40" s="5">
        <v>2013309.85</v>
      </c>
      <c r="P40" t="s">
        <v>524</v>
      </c>
    </row>
    <row r="41" spans="2:16" hidden="1">
      <c r="B41" t="s">
        <v>86</v>
      </c>
      <c r="C41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">
        <v>286118.09000000003</v>
      </c>
      <c r="O41" s="5">
        <v>286118.09000000003</v>
      </c>
      <c r="P41" t="s">
        <v>524</v>
      </c>
    </row>
    <row r="42" spans="2:16" hidden="1">
      <c r="B42" t="s">
        <v>88</v>
      </c>
      <c r="C42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">
        <v>1716538.03</v>
      </c>
      <c r="O42" s="5">
        <v>1700306.53</v>
      </c>
      <c r="P42" t="s">
        <v>524</v>
      </c>
    </row>
    <row r="43" spans="2:16" hidden="1">
      <c r="B43" t="s">
        <v>90</v>
      </c>
      <c r="C43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">
        <v>391137.31</v>
      </c>
      <c r="O43" s="5"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">
        <v>10.029999999999999</v>
      </c>
      <c r="O44" s="5">
        <v>10.029999999999999</v>
      </c>
      <c r="P44" t="s">
        <v>523</v>
      </c>
    </row>
    <row r="45" spans="2:16" hidden="1">
      <c r="B45" t="s">
        <v>92</v>
      </c>
      <c r="C45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">
        <v>487407.77</v>
      </c>
      <c r="O45" s="5">
        <v>487407.77</v>
      </c>
      <c r="P45" t="s">
        <v>524</v>
      </c>
    </row>
    <row r="46" spans="2:16" hidden="1">
      <c r="B46" t="s">
        <v>94</v>
      </c>
      <c r="C4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">
        <v>77327.249999999985</v>
      </c>
      <c r="O46" s="5">
        <v>77327.249999999985</v>
      </c>
      <c r="P46" t="s">
        <v>524</v>
      </c>
    </row>
    <row r="47" spans="2:16" hidden="1">
      <c r="B47" t="s">
        <v>96</v>
      </c>
      <c r="C47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v>0</v>
      </c>
      <c r="O47" s="5"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">
        <v>0</v>
      </c>
      <c r="O48" s="5">
        <v>0</v>
      </c>
      <c r="P48" t="s">
        <v>526</v>
      </c>
    </row>
    <row r="49" spans="1:16" hidden="1">
      <c r="B49" t="s">
        <v>156</v>
      </c>
      <c r="C49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">
        <v>222713.3</v>
      </c>
      <c r="O49" s="5">
        <f>N49-L49</f>
        <v>127330.79999999999</v>
      </c>
      <c r="P49" t="s">
        <v>522</v>
      </c>
    </row>
    <row r="50" spans="1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">
        <v>74400.320000000007</v>
      </c>
      <c r="O50" s="5">
        <v>54570.320000000007</v>
      </c>
      <c r="P50" t="s">
        <v>522</v>
      </c>
    </row>
    <row r="51" spans="1:16" hidden="1">
      <c r="B51" t="s">
        <v>133</v>
      </c>
      <c r="C51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">
        <v>2591634.09</v>
      </c>
      <c r="O51" s="5">
        <v>436096.56999999983</v>
      </c>
      <c r="P51" t="s">
        <v>523</v>
      </c>
    </row>
    <row r="52" spans="1:16" hidden="1">
      <c r="B52" t="s">
        <v>133</v>
      </c>
      <c r="C52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">
        <v>5023040.66</v>
      </c>
      <c r="O52" s="5">
        <v>468989.23000000045</v>
      </c>
      <c r="P52" t="s">
        <v>523</v>
      </c>
    </row>
    <row r="53" spans="1:16" hidden="1">
      <c r="B53" t="s">
        <v>15</v>
      </c>
      <c r="C53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">
        <v>2121552.25</v>
      </c>
      <c r="O53" s="5">
        <v>550253.53</v>
      </c>
      <c r="P53" t="s">
        <v>520</v>
      </c>
    </row>
    <row r="54" spans="1:16" hidden="1">
      <c r="B54" t="s">
        <v>15</v>
      </c>
      <c r="C54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">
        <v>599661.3899999999</v>
      </c>
      <c r="O54" s="5">
        <v>268789.84999999992</v>
      </c>
      <c r="P54" t="s">
        <v>520</v>
      </c>
    </row>
    <row r="55" spans="1:16" hidden="1">
      <c r="B55" t="s">
        <v>15</v>
      </c>
      <c r="C55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">
        <v>2880060.0700000003</v>
      </c>
      <c r="O55" s="5">
        <v>1570971.7400000002</v>
      </c>
      <c r="P55" t="s">
        <v>520</v>
      </c>
    </row>
    <row r="56" spans="1:16" hidden="1">
      <c r="B56" t="s">
        <v>33</v>
      </c>
      <c r="C5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">
        <v>1841791.7599999998</v>
      </c>
      <c r="O56" s="5">
        <v>946123.68999999983</v>
      </c>
      <c r="P56" t="s">
        <v>520</v>
      </c>
    </row>
    <row r="57" spans="1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">
        <v>1248511.23</v>
      </c>
      <c r="O57" s="5">
        <v>430042.25</v>
      </c>
      <c r="P57" t="s">
        <v>523</v>
      </c>
    </row>
    <row r="58" spans="1:16">
      <c r="B58" t="s">
        <v>141</v>
      </c>
      <c r="C58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">
        <f>SUM(E58:M58)</f>
        <v>581.18999999999994</v>
      </c>
      <c r="O58" s="5">
        <f>N58-L58</f>
        <v>581.18999999999994</v>
      </c>
      <c r="P58" t="s">
        <v>523</v>
      </c>
    </row>
    <row r="59" spans="1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">
        <v>150799.75</v>
      </c>
      <c r="O59" s="5">
        <v>72437.19</v>
      </c>
      <c r="P59" t="s">
        <v>523</v>
      </c>
    </row>
    <row r="60" spans="1:16" hidden="1">
      <c r="A60" s="1"/>
      <c r="B60" t="s">
        <v>70</v>
      </c>
      <c r="C60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">
        <v>3030735.44</v>
      </c>
      <c r="O60" s="5">
        <v>689715.66000000015</v>
      </c>
      <c r="P60" t="s">
        <v>523</v>
      </c>
    </row>
    <row r="61" spans="1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">
        <v>178511.5</v>
      </c>
      <c r="O61" s="5">
        <v>0</v>
      </c>
      <c r="P61" t="s">
        <v>519</v>
      </c>
    </row>
    <row r="62" spans="1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">
        <v>0</v>
      </c>
      <c r="O62" s="5">
        <v>0</v>
      </c>
      <c r="P62" t="s">
        <v>526</v>
      </c>
    </row>
    <row r="63" spans="1:16" hidden="1">
      <c r="B63" t="s">
        <v>70</v>
      </c>
      <c r="C63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">
        <v>18.75</v>
      </c>
      <c r="O63" s="5">
        <v>18.75</v>
      </c>
      <c r="P63" t="s">
        <v>523</v>
      </c>
    </row>
    <row r="64" spans="1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">
        <v>18.75</v>
      </c>
      <c r="O64" s="5"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">
        <v>601376.22</v>
      </c>
      <c r="O65" s="5"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">
        <v>0</v>
      </c>
      <c r="O66" s="5">
        <v>0</v>
      </c>
      <c r="P66" t="s">
        <v>523</v>
      </c>
    </row>
    <row r="67" spans="2:16" hidden="1">
      <c r="B67" t="s">
        <v>74</v>
      </c>
      <c r="C67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">
        <v>7125204.8200000003</v>
      </c>
      <c r="O67" s="5">
        <v>265808.41000000015</v>
      </c>
      <c r="P67" t="s">
        <v>520</v>
      </c>
    </row>
    <row r="68" spans="2:16" hidden="1">
      <c r="B68" t="s">
        <v>108</v>
      </c>
      <c r="C68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">
        <v>1254182.27</v>
      </c>
      <c r="O68" s="5"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">
        <v>653250.1</v>
      </c>
      <c r="O69" s="5"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">
        <v>306397.58</v>
      </c>
      <c r="O70" s="5">
        <v>113342.13</v>
      </c>
      <c r="P70" t="s">
        <v>520</v>
      </c>
    </row>
    <row r="71" spans="2:16" hidden="1">
      <c r="B71" t="s">
        <v>110</v>
      </c>
      <c r="C71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">
        <v>2197486.69</v>
      </c>
      <c r="O71" s="5">
        <v>2085068.8199999998</v>
      </c>
      <c r="P71" t="s">
        <v>524</v>
      </c>
    </row>
    <row r="72" spans="2:16" hidden="1">
      <c r="B72" t="s">
        <v>114</v>
      </c>
      <c r="C72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">
        <v>332664.81</v>
      </c>
      <c r="O72" s="5">
        <v>315866.74</v>
      </c>
      <c r="P72" t="s">
        <v>524</v>
      </c>
    </row>
    <row r="73" spans="2:16" hidden="1">
      <c r="B73" t="s">
        <v>116</v>
      </c>
      <c r="C73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">
        <v>319791.76</v>
      </c>
      <c r="O73" s="5">
        <v>319791.76</v>
      </c>
      <c r="P73" t="s">
        <v>525</v>
      </c>
    </row>
    <row r="74" spans="2:16" hidden="1">
      <c r="B74" t="s">
        <v>119</v>
      </c>
      <c r="C74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">
        <v>48393.36</v>
      </c>
      <c r="O74" s="5">
        <v>48393.36</v>
      </c>
      <c r="P74" t="s">
        <v>525</v>
      </c>
    </row>
    <row r="75" spans="2:16" hidden="1">
      <c r="B75" t="s">
        <v>59</v>
      </c>
      <c r="C75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">
        <v>2096891.28</v>
      </c>
      <c r="O75" s="5">
        <v>869646.28</v>
      </c>
      <c r="P75" t="s">
        <v>520</v>
      </c>
    </row>
    <row r="76" spans="2:16" hidden="1">
      <c r="B76" t="s">
        <v>102</v>
      </c>
      <c r="C7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">
        <v>637000.99</v>
      </c>
      <c r="O76" s="5"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">
        <v>10754498.18</v>
      </c>
      <c r="O77" s="5">
        <v>2824928.75</v>
      </c>
      <c r="P77" t="s">
        <v>520</v>
      </c>
    </row>
    <row r="78" spans="2:16" hidden="1">
      <c r="B78" t="s">
        <v>145</v>
      </c>
      <c r="C78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">
        <v>609367.57000000007</v>
      </c>
      <c r="O78" s="5">
        <v>223926.00000000006</v>
      </c>
      <c r="P78" t="s">
        <v>520</v>
      </c>
    </row>
    <row r="79" spans="2:16" hidden="1">
      <c r="B79" t="s">
        <v>121</v>
      </c>
      <c r="C79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">
        <v>1563521.19</v>
      </c>
      <c r="O79" s="5"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">
        <v>5521224.79</v>
      </c>
      <c r="O80" s="5">
        <v>5521224.79</v>
      </c>
      <c r="P80" t="s">
        <v>429</v>
      </c>
    </row>
    <row r="81" spans="2:16" hidden="1">
      <c r="B81" t="s">
        <v>49</v>
      </c>
      <c r="C81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">
        <v>7940964.6100000013</v>
      </c>
      <c r="O81" s="5"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">
        <v>37623.279999999999</v>
      </c>
      <c r="O82" s="5"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">
        <v>2854.83</v>
      </c>
      <c r="O83" s="5">
        <v>2854.83</v>
      </c>
      <c r="P83" t="s">
        <v>523</v>
      </c>
    </row>
    <row r="84" spans="2:16" hidden="1">
      <c r="B84" t="s">
        <v>139</v>
      </c>
      <c r="C84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">
        <v>3210779.8800000004</v>
      </c>
      <c r="O84" s="5">
        <v>3160779.89</v>
      </c>
      <c r="P84" t="s">
        <v>525</v>
      </c>
    </row>
    <row r="85" spans="2:16" hidden="1">
      <c r="B85" t="s">
        <v>143</v>
      </c>
      <c r="C85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">
        <v>672623.29</v>
      </c>
      <c r="O85" s="5">
        <v>672623.29</v>
      </c>
      <c r="P85" t="s">
        <v>525</v>
      </c>
    </row>
    <row r="86" spans="2:16" hidden="1">
      <c r="B86" t="s">
        <v>147</v>
      </c>
      <c r="C8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">
        <v>1158611.7400000002</v>
      </c>
      <c r="O86" s="5">
        <v>1158611.7400000002</v>
      </c>
      <c r="P86" t="s">
        <v>524</v>
      </c>
    </row>
    <row r="87" spans="2:16" hidden="1">
      <c r="B87" t="s">
        <v>150</v>
      </c>
      <c r="C87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">
        <v>174898.61000000002</v>
      </c>
      <c r="O87" s="5">
        <v>174898.61000000002</v>
      </c>
      <c r="P87" t="s">
        <v>524</v>
      </c>
    </row>
    <row r="88" spans="2:16" hidden="1">
      <c r="B88" t="s">
        <v>47</v>
      </c>
      <c r="C88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">
        <v>239200.63999999998</v>
      </c>
      <c r="O88" s="5">
        <v>239446.09999999998</v>
      </c>
      <c r="P88" t="s">
        <v>524</v>
      </c>
    </row>
    <row r="89" spans="2:16" hidden="1">
      <c r="B89" t="s">
        <v>55</v>
      </c>
      <c r="C89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">
        <v>113199.13999999998</v>
      </c>
      <c r="O89" s="5">
        <v>113318.78999999998</v>
      </c>
      <c r="P89" t="s">
        <v>524</v>
      </c>
    </row>
    <row r="90" spans="2:16" hidden="1">
      <c r="B90" t="s">
        <v>152</v>
      </c>
      <c r="C90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">
        <v>1156693.92</v>
      </c>
      <c r="O90" s="5">
        <v>1156693.92</v>
      </c>
      <c r="P90" t="s">
        <v>524</v>
      </c>
    </row>
    <row r="91" spans="2:16" hidden="1">
      <c r="B91" t="s">
        <v>154</v>
      </c>
      <c r="C91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">
        <v>112950.68000000001</v>
      </c>
      <c r="O91" s="5">
        <v>112950.68000000001</v>
      </c>
      <c r="P91" t="s">
        <v>524</v>
      </c>
    </row>
    <row r="92" spans="2:16" hidden="1">
      <c r="B92" t="s">
        <v>15</v>
      </c>
      <c r="C92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">
        <v>4932137.22</v>
      </c>
      <c r="O92" s="5">
        <v>1306785.0099999998</v>
      </c>
      <c r="P92" t="s">
        <v>520</v>
      </c>
    </row>
    <row r="93" spans="2:16" hidden="1">
      <c r="B93" t="s">
        <v>15</v>
      </c>
      <c r="C93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">
        <v>379553.35</v>
      </c>
      <c r="O93" s="5">
        <v>200184.21999999997</v>
      </c>
      <c r="P93" t="s">
        <v>520</v>
      </c>
    </row>
    <row r="94" spans="2:16" hidden="1">
      <c r="B94" t="s">
        <v>33</v>
      </c>
      <c r="C94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">
        <v>185141.91999999998</v>
      </c>
      <c r="O94" s="5">
        <v>121239.04999999999</v>
      </c>
      <c r="P94" t="s">
        <v>520</v>
      </c>
    </row>
    <row r="95" spans="2:16" hidden="1">
      <c r="B95" t="s">
        <v>136</v>
      </c>
      <c r="C95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">
        <v>0</v>
      </c>
      <c r="O95" s="5">
        <v>0</v>
      </c>
      <c r="P95" t="s">
        <v>523</v>
      </c>
    </row>
    <row r="96" spans="2:16" hidden="1">
      <c r="B96" t="s">
        <v>112</v>
      </c>
      <c r="C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">
        <v>0</v>
      </c>
      <c r="O96" s="5">
        <v>0</v>
      </c>
      <c r="P96" t="s">
        <v>523</v>
      </c>
    </row>
    <row r="97" spans="2:16" hidden="1">
      <c r="B97" t="s">
        <v>156</v>
      </c>
      <c r="C97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">
        <v>271514.23999999999</v>
      </c>
      <c r="O97" s="5">
        <f>N97-L97</f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">
        <v>0</v>
      </c>
      <c r="O98" s="5">
        <v>0</v>
      </c>
      <c r="P98" t="s">
        <v>522</v>
      </c>
    </row>
    <row r="99" spans="2:16" hidden="1">
      <c r="B99" t="s">
        <v>15</v>
      </c>
      <c r="C99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">
        <v>12899305.91</v>
      </c>
      <c r="O99" s="5">
        <v>1260113.7200000007</v>
      </c>
      <c r="P99" t="s">
        <v>520</v>
      </c>
    </row>
    <row r="100" spans="2:16" hidden="1">
      <c r="B100" t="s">
        <v>33</v>
      </c>
      <c r="C100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">
        <v>3641889.33</v>
      </c>
      <c r="O100" s="5">
        <v>258949.83999999985</v>
      </c>
      <c r="P100" t="s">
        <v>520</v>
      </c>
    </row>
    <row r="101" spans="2:16" hidden="1">
      <c r="B101" t="s">
        <v>15</v>
      </c>
      <c r="C101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">
        <v>2248115.85</v>
      </c>
      <c r="O101" s="5"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">
        <v>769092.9800000001</v>
      </c>
      <c r="O102" s="5">
        <v>126263.42000000004</v>
      </c>
      <c r="P102" t="s">
        <v>520</v>
      </c>
    </row>
    <row r="103" spans="2:16" hidden="1">
      <c r="B103" t="s">
        <v>15</v>
      </c>
      <c r="C103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">
        <v>1920563.5799999998</v>
      </c>
      <c r="O103" s="5">
        <v>310313.93999999994</v>
      </c>
      <c r="P103" t="s">
        <v>520</v>
      </c>
    </row>
    <row r="104" spans="2:16" hidden="1">
      <c r="B104" t="s">
        <v>33</v>
      </c>
      <c r="C104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">
        <v>4353413.6900000004</v>
      </c>
      <c r="O104" s="5">
        <v>349374.63000000035</v>
      </c>
      <c r="P104" t="s">
        <v>520</v>
      </c>
    </row>
    <row r="105" spans="2:16" hidden="1">
      <c r="B105" t="s">
        <v>156</v>
      </c>
      <c r="C105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">
        <v>177451.96</v>
      </c>
      <c r="O105" s="5">
        <f>N105-L105</f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">
        <v>118930.83</v>
      </c>
      <c r="O106" s="5">
        <v>56680.83</v>
      </c>
      <c r="P106" t="s">
        <v>520</v>
      </c>
    </row>
    <row r="107" spans="2:16" hidden="1">
      <c r="B107" t="s">
        <v>105</v>
      </c>
      <c r="C107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">
        <v>63146.69</v>
      </c>
      <c r="O107" s="5"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">
        <v>12671565.1</v>
      </c>
      <c r="O108" s="5">
        <v>2463019.0600000005</v>
      </c>
      <c r="P108" t="s">
        <v>523</v>
      </c>
    </row>
    <row r="109" spans="2:16" hidden="1">
      <c r="B109" t="s">
        <v>31</v>
      </c>
      <c r="C109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">
        <v>34591.82</v>
      </c>
      <c r="O109" s="5"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">
        <v>891667.42</v>
      </c>
      <c r="O110" s="5">
        <v>268900.27</v>
      </c>
      <c r="P110" t="s">
        <v>520</v>
      </c>
    </row>
    <row r="111" spans="2:16" hidden="1">
      <c r="B111" t="s">
        <v>33</v>
      </c>
      <c r="C111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">
        <v>1975650.5499999998</v>
      </c>
      <c r="O111" s="5"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v>4866.1400000000003</v>
      </c>
      <c r="O112" s="5">
        <v>4866.1400000000003</v>
      </c>
      <c r="P112" t="s">
        <v>522</v>
      </c>
    </row>
    <row r="113" spans="2:16" hidden="1">
      <c r="B113" t="s">
        <v>84</v>
      </c>
      <c r="C113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v>828.63</v>
      </c>
      <c r="O113" s="5">
        <v>828.63</v>
      </c>
      <c r="P113" t="s">
        <v>522</v>
      </c>
    </row>
    <row r="114" spans="2:16" hidden="1">
      <c r="B114" t="s">
        <v>39</v>
      </c>
      <c r="C114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">
        <v>4621</v>
      </c>
      <c r="O114" s="5">
        <v>4621</v>
      </c>
      <c r="P114" t="s">
        <v>520</v>
      </c>
    </row>
    <row r="115" spans="2:16" hidden="1">
      <c r="B115" t="s">
        <v>169</v>
      </c>
      <c r="C115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">
        <v>494483.25</v>
      </c>
      <c r="O115" s="5">
        <v>494483.25</v>
      </c>
      <c r="P115" t="s">
        <v>525</v>
      </c>
    </row>
    <row r="116" spans="2:16" hidden="1">
      <c r="B116" t="s">
        <v>171</v>
      </c>
      <c r="C11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">
        <v>74897.86</v>
      </c>
      <c r="O116" s="5"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">
        <v>0</v>
      </c>
      <c r="O117" s="5">
        <f>N117-L117</f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">
        <v>0</v>
      </c>
      <c r="O118" s="5"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">
        <v>25615.18</v>
      </c>
      <c r="O119" s="5"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">
        <v>10978.16</v>
      </c>
      <c r="O120" s="5">
        <v>10978.16</v>
      </c>
      <c r="P120" t="s">
        <v>521</v>
      </c>
    </row>
    <row r="121" spans="2:16" hidden="1">
      <c r="B121" t="s">
        <v>180</v>
      </c>
      <c r="C121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">
        <v>322126.34000000003</v>
      </c>
      <c r="O121" s="5">
        <v>322126.34000000003</v>
      </c>
      <c r="P121" t="s">
        <v>524</v>
      </c>
    </row>
    <row r="122" spans="2:16" hidden="1">
      <c r="B122" t="s">
        <v>182</v>
      </c>
      <c r="C122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">
        <v>39559.259999999995</v>
      </c>
      <c r="O122" s="5">
        <v>39559.259999999995</v>
      </c>
      <c r="P122" t="s">
        <v>524</v>
      </c>
    </row>
    <row r="123" spans="2:16" hidden="1">
      <c r="B123" t="s">
        <v>184</v>
      </c>
      <c r="C123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">
        <v>21334.039999999979</v>
      </c>
      <c r="O123" s="5">
        <v>21334.039999999979</v>
      </c>
      <c r="P123" t="s">
        <v>524</v>
      </c>
    </row>
    <row r="124" spans="2:16" hidden="1">
      <c r="B124" t="s">
        <v>186</v>
      </c>
      <c r="C124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">
        <v>-114464.12999999995</v>
      </c>
      <c r="O124" s="5">
        <v>-114464.12999999995</v>
      </c>
      <c r="P124" t="s">
        <v>524</v>
      </c>
    </row>
  </sheetData>
  <autoFilter ref="A1:P124">
    <filterColumn colId="1">
      <filters>
        <filter val="G250"/>
      </filters>
    </filterColumn>
    <sortState ref="A2:P124">
      <sortCondition ref="C1:C124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1807</v>
      </c>
      <c r="F5" s="39" t="s">
        <v>1808</v>
      </c>
      <c r="G5" s="39">
        <v>5</v>
      </c>
      <c r="H5" s="39"/>
      <c r="I5" s="40" t="s">
        <v>256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2.2328244274809164</v>
      </c>
      <c r="V5" s="48">
        <f t="shared" ref="V5:V24" si="2">N5-M5</f>
        <v>0</v>
      </c>
      <c r="W5" s="49">
        <f t="shared" ref="W5:W24" si="3">(O5/A$10)</f>
        <v>0.44656488549618323</v>
      </c>
      <c r="X5" s="44">
        <f t="shared" ref="X5:X24" si="4">W5*A$8</f>
        <v>1118968.5208396951</v>
      </c>
      <c r="Y5" s="44">
        <f t="shared" ref="Y5:Y24" si="5">Q5-P5</f>
        <v>0</v>
      </c>
      <c r="Z5" s="44">
        <f t="shared" ref="Z5:Z24" si="6">X5+(A$6*W5)</f>
        <v>3546155.9517938942</v>
      </c>
      <c r="AA5" s="50">
        <f t="shared" ref="AA5:AA24" si="7">Q5+X5</f>
        <v>1118968.5208396951</v>
      </c>
      <c r="AB5" s="51">
        <f t="shared" ref="AB5:AC20" si="8">Z5/(1+ElecDiscountRate)^1</f>
        <v>3315093.9065101375</v>
      </c>
      <c r="AC5" s="44">
        <f t="shared" si="8"/>
        <v>1046058.2601100262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1.1070435830027734</v>
      </c>
      <c r="AP5" s="47">
        <f>AN5/AC5</f>
        <v>3.8592007097715526</v>
      </c>
      <c r="AQ5">
        <v>2021</v>
      </c>
    </row>
    <row r="6" spans="1:43" ht="13.5" customHeight="1">
      <c r="A6" s="53">
        <f>SUMIF('Program Costs'!C:C,D2,'Program Costs'!L:L)</f>
        <v>5435240.2300000004</v>
      </c>
      <c r="B6" s="97" t="s">
        <v>49</v>
      </c>
      <c r="C6" s="99">
        <v>18230421</v>
      </c>
      <c r="D6" s="100" t="s">
        <v>50</v>
      </c>
      <c r="E6" s="38"/>
      <c r="F6" s="39" t="s">
        <v>2577</v>
      </c>
      <c r="G6" s="39">
        <v>5</v>
      </c>
      <c r="H6" s="39"/>
      <c r="I6" s="40" t="s">
        <v>256</v>
      </c>
      <c r="J6" s="41">
        <v>1</v>
      </c>
      <c r="K6" s="41">
        <v>12702000</v>
      </c>
      <c r="L6" s="41"/>
      <c r="M6" s="42">
        <v>0</v>
      </c>
      <c r="N6" s="42">
        <v>0</v>
      </c>
      <c r="O6" s="43">
        <v>12702000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2.7671755725190836</v>
      </c>
      <c r="V6" s="48">
        <f t="shared" si="2"/>
        <v>0</v>
      </c>
      <c r="W6" s="49">
        <f t="shared" si="3"/>
        <v>0.55343511450381677</v>
      </c>
      <c r="X6" s="44">
        <f t="shared" si="4"/>
        <v>1386755.8591603057</v>
      </c>
      <c r="Y6" s="44">
        <f t="shared" si="5"/>
        <v>0</v>
      </c>
      <c r="Z6" s="44">
        <f t="shared" si="6"/>
        <v>4394808.6582061071</v>
      </c>
      <c r="AA6" s="50">
        <f t="shared" si="7"/>
        <v>1386755.8591603057</v>
      </c>
      <c r="AB6" s="51">
        <f t="shared" si="8"/>
        <v>4108449.7131963228</v>
      </c>
      <c r="AC6" s="44">
        <f t="shared" si="8"/>
        <v>1296396.9890252459</v>
      </c>
      <c r="AD6" s="44">
        <f t="shared" si="9"/>
        <v>0</v>
      </c>
      <c r="AE6" s="44">
        <v>0</v>
      </c>
      <c r="AF6" s="52">
        <f>HLOOKUP(I6,ElecAvoidedCostsWOCC!$A$5:$Q$50,G6+1,FALSE)</f>
        <v>0.35807218478063102</v>
      </c>
      <c r="AG6" s="44">
        <f t="shared" si="10"/>
        <v>4548232.8910835749</v>
      </c>
      <c r="AH6" s="52">
        <f>HLOOKUP(I6,ElecAvoidedCostsWOCC!$A$5:$Q$50,T6+1,FALSE)</f>
        <v>0.35807218478063102</v>
      </c>
      <c r="AI6" s="44">
        <f t="shared" si="11"/>
        <v>0</v>
      </c>
      <c r="AJ6" s="44">
        <f t="shared" ref="AJ6:AJ24" si="12">AG6+AI6</f>
        <v>4548232.8910835749</v>
      </c>
      <c r="AK6" s="44">
        <f>HLOOKUP(I6,ElecAvoidedCostsWOCC!$A$5:$Q$50,G6+1,FALSE)*J6*L6</f>
        <v>0</v>
      </c>
      <c r="AL6" s="44">
        <f t="shared" ref="AL6:AL24" si="13">AG6+AI6-AK6</f>
        <v>4548232.8910835749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4548232.8910835749</v>
      </c>
      <c r="AN6" s="48">
        <f t="shared" ref="AN6:AN24" si="14">AM6*1.1+AD6+AE6</f>
        <v>5003056.1801919332</v>
      </c>
      <c r="AO6" s="47">
        <f t="shared" ref="AO6:AO24" si="15">IFERROR(AM6/AB6,0)</f>
        <v>1.1070435830027736</v>
      </c>
      <c r="AP6" s="47">
        <f t="shared" ref="AP6:AP24" si="16">AN6/AC6</f>
        <v>3.8592007097715531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Costs'!C:C,D2,'Program Costs'!O:O)</f>
        <v>2505724.3800000008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22951200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7940964.6100000013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2505724.3800000008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1.1070435830027736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3.8592007097715526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D24" sqref="D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1443</v>
      </c>
      <c r="F5" s="39" t="s">
        <v>1444</v>
      </c>
      <c r="G5" s="39">
        <v>15</v>
      </c>
      <c r="H5" s="39"/>
      <c r="I5" s="40" t="s">
        <v>256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12.40407008983032</v>
      </c>
      <c r="V5" s="48">
        <f t="shared" ref="V5:V24" si="2">N5-M5</f>
        <v>167328</v>
      </c>
      <c r="W5" s="49">
        <f t="shared" ref="W5:W24" si="3">(O5/A$10)</f>
        <v>0.82693800598868805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  <c r="AQ5">
        <v>2021</v>
      </c>
    </row>
    <row r="6" spans="1:43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996</v>
      </c>
      <c r="F6" s="39" t="s">
        <v>997</v>
      </c>
      <c r="G6" s="39">
        <v>15</v>
      </c>
      <c r="H6" s="39"/>
      <c r="I6" s="40" t="s">
        <v>257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0.23693655912635958</v>
      </c>
      <c r="V6" s="48">
        <f t="shared" si="2"/>
        <v>1760</v>
      </c>
      <c r="W6" s="49">
        <f t="shared" si="3"/>
        <v>1.5795770608423972E-2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  <c r="AQ6">
        <v>2021</v>
      </c>
    </row>
    <row r="7" spans="1:43" ht="13.5" customHeight="1">
      <c r="A7" s="36" t="s">
        <v>249</v>
      </c>
      <c r="B7" s="97" t="s">
        <v>96</v>
      </c>
      <c r="C7" s="99">
        <v>18230713</v>
      </c>
      <c r="D7" s="100" t="s">
        <v>97</v>
      </c>
      <c r="E7" s="38" t="s">
        <v>1443</v>
      </c>
      <c r="F7" s="39" t="s">
        <v>1444</v>
      </c>
      <c r="G7" s="39">
        <v>15</v>
      </c>
      <c r="H7" s="39"/>
      <c r="I7" s="40" t="s">
        <v>256</v>
      </c>
      <c r="J7" s="41">
        <v>1</v>
      </c>
      <c r="K7" s="41">
        <v>404700</v>
      </c>
      <c r="L7" s="41"/>
      <c r="M7" s="42"/>
      <c r="N7" s="42">
        <v>45710</v>
      </c>
      <c r="O7" s="43">
        <v>404700</v>
      </c>
      <c r="P7" s="44">
        <v>0</v>
      </c>
      <c r="Q7" s="44">
        <v>45710</v>
      </c>
      <c r="R7" s="45"/>
      <c r="S7" s="46"/>
      <c r="T7" s="39">
        <f t="shared" si="0"/>
        <v>15</v>
      </c>
      <c r="U7" s="47">
        <f t="shared" si="1"/>
        <v>2.229232935287063</v>
      </c>
      <c r="V7" s="48">
        <f t="shared" si="2"/>
        <v>45710</v>
      </c>
      <c r="W7" s="49">
        <f t="shared" si="3"/>
        <v>0.14861552901913752</v>
      </c>
      <c r="X7" s="44">
        <f t="shared" si="4"/>
        <v>0</v>
      </c>
      <c r="Y7" s="44">
        <f t="shared" si="5"/>
        <v>45710</v>
      </c>
      <c r="Z7" s="44">
        <f t="shared" si="6"/>
        <v>0</v>
      </c>
      <c r="AA7" s="50">
        <f t="shared" si="7"/>
        <v>45710</v>
      </c>
      <c r="AB7" s="51">
        <f t="shared" si="8"/>
        <v>0</v>
      </c>
      <c r="AC7" s="44">
        <f t="shared" si="8"/>
        <v>42731.606992614747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416596.716662144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416596.716662144</v>
      </c>
      <c r="AK7" s="44">
        <f>HLOOKUP(I7,ElecAvoidedCostsWOCC!$A$5:$Q$50,G7+1,FALSE)*J7*L7</f>
        <v>0</v>
      </c>
      <c r="AL7" s="44">
        <f t="shared" si="13"/>
        <v>416596.716662144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416596.716662144</v>
      </c>
      <c r="AN7" s="48">
        <f t="shared" si="14"/>
        <v>458256.38832835841</v>
      </c>
      <c r="AO7" s="47">
        <f t="shared" si="15"/>
        <v>0</v>
      </c>
      <c r="AP7" s="47">
        <f t="shared" si="16"/>
        <v>10.724061662543098</v>
      </c>
      <c r="AQ7">
        <v>2020</v>
      </c>
    </row>
    <row r="8" spans="1:43" ht="13.5" customHeight="1">
      <c r="A8" s="53">
        <f>SUMIF('Program Costs'!C:C,D2,'Program Costs'!O:O)</f>
        <v>0</v>
      </c>
      <c r="B8" s="97" t="s">
        <v>96</v>
      </c>
      <c r="C8" s="100">
        <v>18230713</v>
      </c>
      <c r="D8" s="100" t="s">
        <v>97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23557</v>
      </c>
      <c r="L8" s="41"/>
      <c r="M8" s="42"/>
      <c r="N8" s="42">
        <v>27379</v>
      </c>
      <c r="O8" s="43">
        <v>23557</v>
      </c>
      <c r="P8" s="44">
        <v>0</v>
      </c>
      <c r="Q8" s="44">
        <v>27379</v>
      </c>
      <c r="R8" s="45"/>
      <c r="S8" s="46"/>
      <c r="T8" s="39">
        <f t="shared" si="0"/>
        <v>20</v>
      </c>
      <c r="U8" s="47">
        <f t="shared" si="1"/>
        <v>0.17301388767500975</v>
      </c>
      <c r="V8" s="48">
        <f t="shared" si="2"/>
        <v>27379</v>
      </c>
      <c r="W8" s="49">
        <f t="shared" si="3"/>
        <v>8.6506943837504867E-3</v>
      </c>
      <c r="X8" s="44">
        <f t="shared" si="4"/>
        <v>0</v>
      </c>
      <c r="Y8" s="44">
        <f t="shared" si="5"/>
        <v>27379</v>
      </c>
      <c r="Z8" s="44">
        <f t="shared" si="6"/>
        <v>0</v>
      </c>
      <c r="AA8" s="50">
        <f t="shared" si="7"/>
        <v>27379</v>
      </c>
      <c r="AB8" s="51">
        <f t="shared" si="8"/>
        <v>0</v>
      </c>
      <c r="AC8" s="44">
        <f t="shared" si="8"/>
        <v>25595.026642984012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31077.63772879359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31077.63772879359</v>
      </c>
      <c r="AK8" s="44">
        <f>HLOOKUP(I8,ElecAvoidedCostsWOCC!$A$5:$Q$50,G8+1,FALSE)*J8*L8</f>
        <v>0</v>
      </c>
      <c r="AL8" s="44">
        <f t="shared" si="13"/>
        <v>31077.63772879359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31077.63772879359</v>
      </c>
      <c r="AN8" s="48">
        <f t="shared" si="14"/>
        <v>34185.401501672954</v>
      </c>
      <c r="AO8" s="47">
        <f t="shared" si="15"/>
        <v>0</v>
      </c>
      <c r="AP8" s="47">
        <f t="shared" si="16"/>
        <v>1.3356267207107477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2723134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242177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15.043253471918753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242177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13.658326326285659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187"/>
  <sheetViews>
    <sheetView topLeftCell="B1" zoomScale="85" zoomScaleNormal="85" workbookViewId="0">
      <selection activeCell="P42" sqref="P4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324</v>
      </c>
      <c r="G5" s="39"/>
      <c r="H5" s="39"/>
      <c r="I5" s="40"/>
      <c r="J5" s="41" t="s">
        <v>325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  <c r="AQ5">
        <v>2021</v>
      </c>
    </row>
    <row r="6" spans="1:43" ht="13.5" customHeight="1">
      <c r="A6" s="53">
        <f>SUMIF('Program Costs'!D:D,C2,'Program Costs'!L:L)</f>
        <v>1106133.79</v>
      </c>
      <c r="B6" s="97" t="s">
        <v>108</v>
      </c>
      <c r="C6" s="98">
        <v>18230661</v>
      </c>
      <c r="D6" s="61" t="s">
        <v>109</v>
      </c>
      <c r="E6" s="38" t="s">
        <v>1586</v>
      </c>
      <c r="F6" s="39" t="s">
        <v>1587</v>
      </c>
      <c r="G6" s="39">
        <v>25</v>
      </c>
      <c r="H6" s="39"/>
      <c r="I6" s="40" t="s">
        <v>269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0.1006771470333801</v>
      </c>
      <c r="V6" s="48">
        <f t="shared" si="2"/>
        <v>0</v>
      </c>
      <c r="W6" s="49">
        <f t="shared" si="3"/>
        <v>4.0270858813352042E-3</v>
      </c>
      <c r="X6" s="44">
        <f t="shared" si="4"/>
        <v>596.20394356113729</v>
      </c>
      <c r="Y6" s="44">
        <f t="shared" si="5"/>
        <v>0</v>
      </c>
      <c r="Z6" s="44">
        <f t="shared" si="6"/>
        <v>5050.6997121379372</v>
      </c>
      <c r="AA6" s="50">
        <f t="shared" si="7"/>
        <v>9576.1739435611362</v>
      </c>
      <c r="AB6" s="51">
        <f t="shared" si="8"/>
        <v>4721.6039189847033</v>
      </c>
      <c r="AC6" s="44">
        <f t="shared" si="8"/>
        <v>8952.2052384417457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0.44272395672581988</v>
      </c>
      <c r="AP6" s="47">
        <f t="shared" ref="AP6:AP21" si="16">AN6/AC6</f>
        <v>0.25685334783676084</v>
      </c>
      <c r="AQ6">
        <v>2021</v>
      </c>
    </row>
    <row r="7" spans="1:43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1590</v>
      </c>
      <c r="F7" s="39" t="s">
        <v>1591</v>
      </c>
      <c r="G7" s="39">
        <v>15</v>
      </c>
      <c r="H7" s="39"/>
      <c r="I7" s="40" t="s">
        <v>269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0.19557547342853215</v>
      </c>
      <c r="V7" s="48">
        <f t="shared" si="2"/>
        <v>0</v>
      </c>
      <c r="W7" s="49">
        <f t="shared" si="3"/>
        <v>1.3038364895235476E-2</v>
      </c>
      <c r="X7" s="44">
        <f t="shared" si="4"/>
        <v>1930.3101044249713</v>
      </c>
      <c r="Y7" s="44">
        <f t="shared" si="5"/>
        <v>0</v>
      </c>
      <c r="Z7" s="44">
        <f t="shared" si="6"/>
        <v>16352.486081394742</v>
      </c>
      <c r="AA7" s="50">
        <f t="shared" si="7"/>
        <v>59082.220104424974</v>
      </c>
      <c r="AB7" s="51">
        <f t="shared" si="8"/>
        <v>15286.98334242754</v>
      </c>
      <c r="AC7" s="44">
        <f t="shared" si="8"/>
        <v>55232.513886533576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0.28940978537688528</v>
      </c>
      <c r="AP7" s="47">
        <f t="shared" si="16"/>
        <v>8.8111557533102264E-2</v>
      </c>
      <c r="AQ7">
        <v>2021</v>
      </c>
    </row>
    <row r="8" spans="1:43" ht="13.5" customHeight="1">
      <c r="A8" s="53">
        <f>SUMIF('Program Costs'!D:D,C2,'Program Costs'!O:O)</f>
        <v>148048.47999999998</v>
      </c>
      <c r="B8" s="97" t="s">
        <v>108</v>
      </c>
      <c r="C8" s="98">
        <v>18230661</v>
      </c>
      <c r="D8" s="61" t="s">
        <v>109</v>
      </c>
      <c r="E8" s="38" t="s">
        <v>1465</v>
      </c>
      <c r="F8" s="39" t="s">
        <v>1466</v>
      </c>
      <c r="G8" s="39">
        <v>18</v>
      </c>
      <c r="H8" s="39"/>
      <c r="I8" s="40" t="s">
        <v>269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7.5812033783093369E-2</v>
      </c>
      <c r="V8" s="48">
        <f t="shared" si="2"/>
        <v>0</v>
      </c>
      <c r="W8" s="49">
        <f t="shared" si="3"/>
        <v>4.2117796546162984E-3</v>
      </c>
      <c r="X8" s="44">
        <f t="shared" si="4"/>
        <v>623.5475759608679</v>
      </c>
      <c r="Y8" s="44">
        <f t="shared" si="5"/>
        <v>0</v>
      </c>
      <c r="Z8" s="44">
        <f t="shared" si="6"/>
        <v>5282.339367966485</v>
      </c>
      <c r="AA8" s="50">
        <f t="shared" si="7"/>
        <v>5619.4475759608677</v>
      </c>
      <c r="AB8" s="51">
        <f t="shared" si="8"/>
        <v>4938.1502925740715</v>
      </c>
      <c r="AC8" s="44">
        <f t="shared" si="8"/>
        <v>5253.2930503513762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0.3386102956002488</v>
      </c>
      <c r="AP8" s="47">
        <f t="shared" si="16"/>
        <v>0.35012693289452629</v>
      </c>
      <c r="AQ8">
        <v>2021</v>
      </c>
    </row>
    <row r="9" spans="1:43" ht="13.5" customHeight="1">
      <c r="A9" s="36" t="s">
        <v>303</v>
      </c>
      <c r="B9" s="97" t="s">
        <v>108</v>
      </c>
      <c r="C9" s="98">
        <v>18230661</v>
      </c>
      <c r="D9" s="61" t="s">
        <v>109</v>
      </c>
      <c r="E9" s="38" t="s">
        <v>1469</v>
      </c>
      <c r="F9" s="39" t="s">
        <v>1470</v>
      </c>
      <c r="G9" s="39">
        <v>20</v>
      </c>
      <c r="H9" s="39"/>
      <c r="I9" s="40" t="s">
        <v>269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1.0317463843496464</v>
      </c>
      <c r="V9" s="48">
        <f t="shared" si="2"/>
        <v>0</v>
      </c>
      <c r="W9" s="49">
        <f t="shared" si="3"/>
        <v>5.1587319217482323E-2</v>
      </c>
      <c r="X9" s="44">
        <f t="shared" si="4"/>
        <v>7637.4241974230463</v>
      </c>
      <c r="Y9" s="44">
        <f t="shared" si="5"/>
        <v>0</v>
      </c>
      <c r="Z9" s="44">
        <f t="shared" si="6"/>
        <v>64699.901119396607</v>
      </c>
      <c r="AA9" s="50">
        <f t="shared" si="7"/>
        <v>30875.914197423048</v>
      </c>
      <c r="AB9" s="51">
        <f t="shared" si="8"/>
        <v>60484.155482281574</v>
      </c>
      <c r="AC9" s="44">
        <f t="shared" si="8"/>
        <v>28864.087311791198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0.36996738104643373</v>
      </c>
      <c r="AP9" s="47">
        <f t="shared" si="16"/>
        <v>0.85278570538373311</v>
      </c>
      <c r="AQ9">
        <v>2021</v>
      </c>
    </row>
    <row r="10" spans="1:43" ht="13.5" customHeight="1">
      <c r="A10" s="54">
        <f>SUM(O5:O997)</f>
        <v>31511.619999999992</v>
      </c>
      <c r="B10" s="97" t="s">
        <v>108</v>
      </c>
      <c r="C10" s="98">
        <v>18230661</v>
      </c>
      <c r="D10" s="61" t="s">
        <v>109</v>
      </c>
      <c r="E10" s="38" t="s">
        <v>1485</v>
      </c>
      <c r="F10" s="39" t="s">
        <v>1486</v>
      </c>
      <c r="G10" s="39">
        <v>20</v>
      </c>
      <c r="H10" s="39"/>
      <c r="I10" s="40" t="s">
        <v>269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6.9815515673265938E-2</v>
      </c>
      <c r="V10" s="48">
        <f t="shared" si="2"/>
        <v>0</v>
      </c>
      <c r="W10" s="49">
        <f t="shared" si="3"/>
        <v>3.4907757836632972E-3</v>
      </c>
      <c r="X10" s="44">
        <f t="shared" si="4"/>
        <v>516.80404879215996</v>
      </c>
      <c r="Y10" s="44">
        <f t="shared" si="5"/>
        <v>0</v>
      </c>
      <c r="Z10" s="44">
        <f t="shared" si="6"/>
        <v>4378.069096415863</v>
      </c>
      <c r="AA10" s="50">
        <f t="shared" si="7"/>
        <v>6093.8040487921598</v>
      </c>
      <c r="AB10" s="51">
        <f t="shared" si="8"/>
        <v>4092.8008754004513</v>
      </c>
      <c r="AC10" s="44">
        <f t="shared" si="8"/>
        <v>5696.7411879893043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0.36996738104643379</v>
      </c>
      <c r="AP10" s="47">
        <f t="shared" si="16"/>
        <v>0.29238174039393089</v>
      </c>
      <c r="AQ10">
        <v>2021</v>
      </c>
    </row>
    <row r="11" spans="1:43" ht="13.5" customHeight="1">
      <c r="A11" s="36" t="s">
        <v>251</v>
      </c>
      <c r="B11" s="97" t="s">
        <v>108</v>
      </c>
      <c r="C11" s="98">
        <v>18230661</v>
      </c>
      <c r="D11" s="61" t="s">
        <v>109</v>
      </c>
      <c r="E11" s="38" t="s">
        <v>1487</v>
      </c>
      <c r="F11" s="39" t="s">
        <v>1488</v>
      </c>
      <c r="G11" s="39">
        <v>20</v>
      </c>
      <c r="H11" s="39"/>
      <c r="I11" s="40" t="s">
        <v>269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1.1868637664455211</v>
      </c>
      <c r="V11" s="48">
        <f t="shared" si="2"/>
        <v>0</v>
      </c>
      <c r="W11" s="49">
        <f t="shared" si="3"/>
        <v>5.9343188322276051E-2</v>
      </c>
      <c r="X11" s="44">
        <f t="shared" si="4"/>
        <v>8785.6688294667183</v>
      </c>
      <c r="Y11" s="44">
        <f t="shared" si="5"/>
        <v>0</v>
      </c>
      <c r="Z11" s="44">
        <f t="shared" si="6"/>
        <v>74427.174639069679</v>
      </c>
      <c r="AA11" s="50">
        <f t="shared" si="7"/>
        <v>97381.738829466718</v>
      </c>
      <c r="AB11" s="51">
        <f t="shared" si="8"/>
        <v>69577.614881807676</v>
      </c>
      <c r="AC11" s="44">
        <f t="shared" si="8"/>
        <v>91036.495119628598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0.36996738104643379</v>
      </c>
      <c r="AP11" s="47">
        <f t="shared" si="16"/>
        <v>0.31103562055853518</v>
      </c>
      <c r="AQ11">
        <v>2021</v>
      </c>
    </row>
    <row r="12" spans="1:43" ht="13.5" customHeight="1">
      <c r="A12" s="55">
        <f>SUM(P5:P998)</f>
        <v>1131730.1000000003</v>
      </c>
      <c r="B12" s="97" t="s">
        <v>108</v>
      </c>
      <c r="C12" s="98">
        <v>18230661</v>
      </c>
      <c r="D12" s="61" t="s">
        <v>109</v>
      </c>
      <c r="E12" s="38" t="s">
        <v>1495</v>
      </c>
      <c r="F12" s="39" t="s">
        <v>1496</v>
      </c>
      <c r="G12" s="39">
        <v>20</v>
      </c>
      <c r="H12" s="39"/>
      <c r="I12" s="40" t="s">
        <v>269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0.43514106859628304</v>
      </c>
      <c r="V12" s="48">
        <f t="shared" si="2"/>
        <v>0</v>
      </c>
      <c r="W12" s="49">
        <f t="shared" si="3"/>
        <v>2.1757053429814151E-2</v>
      </c>
      <c r="X12" s="44">
        <f t="shared" si="4"/>
        <v>3221.0986895627716</v>
      </c>
      <c r="Y12" s="44">
        <f t="shared" si="5"/>
        <v>0</v>
      </c>
      <c r="Z12" s="44">
        <f t="shared" si="6"/>
        <v>27287.310659115599</v>
      </c>
      <c r="AA12" s="50">
        <f t="shared" si="7"/>
        <v>28962.948689562771</v>
      </c>
      <c r="AB12" s="51">
        <f t="shared" si="8"/>
        <v>25509.31163795045</v>
      </c>
      <c r="AC12" s="44">
        <f t="shared" si="8"/>
        <v>27075.767682119069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0.36996738104643379</v>
      </c>
      <c r="AP12" s="47">
        <f t="shared" si="16"/>
        <v>0.38341939784572471</v>
      </c>
      <c r="AQ12">
        <v>2021</v>
      </c>
    </row>
    <row r="13" spans="1:43" ht="13.5" customHeight="1">
      <c r="A13" s="56" t="s">
        <v>252</v>
      </c>
      <c r="B13" s="97" t="s">
        <v>108</v>
      </c>
      <c r="C13" s="98">
        <v>18230661</v>
      </c>
      <c r="D13" s="61" t="s">
        <v>109</v>
      </c>
      <c r="E13" s="38" t="s">
        <v>1501</v>
      </c>
      <c r="F13" s="39" t="s">
        <v>1502</v>
      </c>
      <c r="G13" s="39">
        <v>25</v>
      </c>
      <c r="H13" s="39"/>
      <c r="I13" s="40" t="s">
        <v>269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0.21236610494795261</v>
      </c>
      <c r="V13" s="48">
        <f t="shared" si="2"/>
        <v>0</v>
      </c>
      <c r="W13" s="49">
        <f t="shared" si="3"/>
        <v>8.4946441979181046E-3</v>
      </c>
      <c r="X13" s="44">
        <f t="shared" si="4"/>
        <v>1257.6191616425945</v>
      </c>
      <c r="Y13" s="44">
        <f t="shared" si="5"/>
        <v>0</v>
      </c>
      <c r="Z13" s="44">
        <f t="shared" si="6"/>
        <v>10653.832142987258</v>
      </c>
      <c r="AA13" s="50">
        <f t="shared" si="7"/>
        <v>21875.669161642592</v>
      </c>
      <c r="AB13" s="51">
        <f t="shared" si="8"/>
        <v>9959.6448938835711</v>
      </c>
      <c r="AC13" s="44">
        <f t="shared" si="8"/>
        <v>20450.284342939693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0.44272395672581999</v>
      </c>
      <c r="AP13" s="47">
        <f t="shared" si="16"/>
        <v>0.23717571125993672</v>
      </c>
      <c r="AQ13">
        <v>2021</v>
      </c>
    </row>
    <row r="14" spans="1:43" ht="13.5" customHeight="1">
      <c r="A14" s="55">
        <f>SUM(Y5:Y998)</f>
        <v>85379.56</v>
      </c>
      <c r="B14" s="97" t="s">
        <v>108</v>
      </c>
      <c r="C14" s="98">
        <v>18230661</v>
      </c>
      <c r="D14" s="61" t="s">
        <v>109</v>
      </c>
      <c r="E14" s="38" t="s">
        <v>1507</v>
      </c>
      <c r="F14" s="39" t="s">
        <v>1508</v>
      </c>
      <c r="G14" s="39">
        <v>25</v>
      </c>
      <c r="H14" s="39"/>
      <c r="I14" s="40" t="s">
        <v>269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4.7601487959044965E-3</v>
      </c>
      <c r="V14" s="48">
        <f t="shared" si="2"/>
        <v>0</v>
      </c>
      <c r="W14" s="49">
        <f t="shared" si="3"/>
        <v>1.9040595183617985E-4</v>
      </c>
      <c r="X14" s="44">
        <f t="shared" si="4"/>
        <v>28.189311752299634</v>
      </c>
      <c r="Y14" s="44">
        <f t="shared" si="5"/>
        <v>0</v>
      </c>
      <c r="Z14" s="44">
        <f t="shared" si="6"/>
        <v>238.80376889541071</v>
      </c>
      <c r="AA14" s="50">
        <f t="shared" si="7"/>
        <v>1642.1693117522996</v>
      </c>
      <c r="AB14" s="51">
        <f t="shared" si="8"/>
        <v>223.24368411275188</v>
      </c>
      <c r="AC14" s="44">
        <f t="shared" si="8"/>
        <v>1535.1680954962133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0.44272395672581999</v>
      </c>
      <c r="AP14" s="47">
        <f t="shared" si="16"/>
        <v>7.0818863535429322E-2</v>
      </c>
      <c r="AQ14">
        <v>2021</v>
      </c>
    </row>
    <row r="15" spans="1:43" ht="13.5" customHeight="1">
      <c r="A15" s="57" t="s">
        <v>253</v>
      </c>
      <c r="B15" s="97" t="s">
        <v>108</v>
      </c>
      <c r="C15" s="98">
        <v>18230661</v>
      </c>
      <c r="D15" s="61" t="s">
        <v>109</v>
      </c>
      <c r="E15" s="38" t="s">
        <v>1511</v>
      </c>
      <c r="F15" s="39" t="s">
        <v>1512</v>
      </c>
      <c r="G15" s="39">
        <v>45</v>
      </c>
      <c r="H15" s="39"/>
      <c r="I15" s="40" t="s">
        <v>269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1.30387615743018</v>
      </c>
      <c r="V15" s="48">
        <f t="shared" si="2"/>
        <v>0</v>
      </c>
      <c r="W15" s="49">
        <f t="shared" si="3"/>
        <v>2.8975025720670667E-2</v>
      </c>
      <c r="X15" s="44">
        <f t="shared" si="4"/>
        <v>4289.7085159061962</v>
      </c>
      <c r="Y15" s="44">
        <f t="shared" si="5"/>
        <v>0</v>
      </c>
      <c r="Z15" s="44">
        <f t="shared" si="6"/>
        <v>36339.963531659123</v>
      </c>
      <c r="AA15" s="50">
        <f t="shared" si="7"/>
        <v>86787.058515906203</v>
      </c>
      <c r="AB15" s="51">
        <f t="shared" si="8"/>
        <v>33972.107629858016</v>
      </c>
      <c r="AC15" s="44">
        <f t="shared" si="8"/>
        <v>81132.147813317933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0.73760383356614012</v>
      </c>
      <c r="AP15" s="47">
        <f t="shared" si="16"/>
        <v>0.3397389721240765</v>
      </c>
      <c r="AQ15">
        <v>2021</v>
      </c>
    </row>
    <row r="16" spans="1:43" ht="13.5" customHeight="1">
      <c r="A16" s="54">
        <f>SUM(U5:U997)</f>
        <v>25.30328240820371</v>
      </c>
      <c r="B16" s="97" t="s">
        <v>108</v>
      </c>
      <c r="C16" s="98">
        <v>18230661</v>
      </c>
      <c r="D16" s="61" t="s">
        <v>109</v>
      </c>
      <c r="E16" s="38" t="s">
        <v>1519</v>
      </c>
      <c r="F16" s="39" t="s">
        <v>1520</v>
      </c>
      <c r="G16" s="39">
        <v>45</v>
      </c>
      <c r="H16" s="39"/>
      <c r="I16" s="40" t="s">
        <v>269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1.9457822225579013</v>
      </c>
      <c r="V16" s="48">
        <f t="shared" si="2"/>
        <v>0</v>
      </c>
      <c r="W16" s="49">
        <f t="shared" si="3"/>
        <v>4.323960494573114E-2</v>
      </c>
      <c r="X16" s="44">
        <f t="shared" si="4"/>
        <v>6401.5577880159772</v>
      </c>
      <c r="Y16" s="44">
        <f t="shared" si="5"/>
        <v>0</v>
      </c>
      <c r="Z16" s="44">
        <f t="shared" si="6"/>
        <v>54230.345884740309</v>
      </c>
      <c r="AA16" s="50">
        <f t="shared" si="7"/>
        <v>75658.977788015982</v>
      </c>
      <c r="AB16" s="51">
        <f t="shared" si="8"/>
        <v>50696.78029797168</v>
      </c>
      <c r="AC16" s="44">
        <f t="shared" si="8"/>
        <v>70729.155639913966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0.73760383356614023</v>
      </c>
      <c r="AP16" s="47">
        <f t="shared" si="16"/>
        <v>0.58156432202275821</v>
      </c>
      <c r="AQ16">
        <v>2021</v>
      </c>
    </row>
    <row r="17" spans="1:43" ht="13.5" customHeight="1">
      <c r="A17" s="58" t="s">
        <v>254</v>
      </c>
      <c r="B17" s="97" t="s">
        <v>108</v>
      </c>
      <c r="C17" s="98">
        <v>18230661</v>
      </c>
      <c r="D17" s="61" t="s">
        <v>109</v>
      </c>
      <c r="E17" s="38" t="s">
        <v>1524</v>
      </c>
      <c r="F17" s="39" t="s">
        <v>1525</v>
      </c>
      <c r="G17" s="39">
        <v>25</v>
      </c>
      <c r="H17" s="39"/>
      <c r="I17" s="40" t="s">
        <v>269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5.3313666514130359E-2</v>
      </c>
      <c r="V17" s="48">
        <f t="shared" si="2"/>
        <v>0</v>
      </c>
      <c r="W17" s="49">
        <f t="shared" si="3"/>
        <v>2.1325466605652144E-3</v>
      </c>
      <c r="X17" s="44">
        <f t="shared" si="4"/>
        <v>315.72029162575592</v>
      </c>
      <c r="Y17" s="44">
        <f t="shared" si="5"/>
        <v>0</v>
      </c>
      <c r="Z17" s="44">
        <f t="shared" si="6"/>
        <v>2674.6022116286003</v>
      </c>
      <c r="AA17" s="50">
        <f t="shared" si="7"/>
        <v>4749.2402916257561</v>
      </c>
      <c r="AB17" s="51">
        <f t="shared" si="8"/>
        <v>2500.3292620628213</v>
      </c>
      <c r="AC17" s="44">
        <f t="shared" si="8"/>
        <v>4439.7871287517582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0.44272395672581993</v>
      </c>
      <c r="AP17" s="47">
        <f t="shared" si="16"/>
        <v>0.27425892167986071</v>
      </c>
      <c r="AQ17">
        <v>2021</v>
      </c>
    </row>
    <row r="18" spans="1:43" ht="13.5" customHeight="1">
      <c r="A18" s="59">
        <f>A6+A8</f>
        <v>1254182.27</v>
      </c>
      <c r="B18" s="97" t="s">
        <v>108</v>
      </c>
      <c r="C18" s="98">
        <v>18230661</v>
      </c>
      <c r="D18" s="61" t="s">
        <v>109</v>
      </c>
      <c r="E18" s="38" t="s">
        <v>1528</v>
      </c>
      <c r="F18" s="39" t="s">
        <v>1529</v>
      </c>
      <c r="G18" s="39">
        <v>45</v>
      </c>
      <c r="H18" s="39"/>
      <c r="I18" s="40" t="s">
        <v>269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0.89337044556896816</v>
      </c>
      <c r="V18" s="48">
        <f t="shared" si="2"/>
        <v>0</v>
      </c>
      <c r="W18" s="49">
        <f t="shared" si="3"/>
        <v>1.9852676568199293E-2</v>
      </c>
      <c r="X18" s="44">
        <f t="shared" si="4"/>
        <v>2939.1585898535213</v>
      </c>
      <c r="Y18" s="44">
        <f t="shared" si="5"/>
        <v>0</v>
      </c>
      <c r="Z18" s="44">
        <f t="shared" si="6"/>
        <v>24898.87496388</v>
      </c>
      <c r="AA18" s="50">
        <f t="shared" si="7"/>
        <v>24711.738589853521</v>
      </c>
      <c r="AB18" s="51">
        <f t="shared" si="8"/>
        <v>23276.502724016078</v>
      </c>
      <c r="AC18" s="44">
        <f t="shared" si="8"/>
        <v>23101.559867115564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0.73760383356614012</v>
      </c>
      <c r="AP18" s="47">
        <f t="shared" si="16"/>
        <v>0.81750849353921617</v>
      </c>
      <c r="AQ18">
        <v>2021</v>
      </c>
    </row>
    <row r="19" spans="1:43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1532</v>
      </c>
      <c r="F19" s="39" t="s">
        <v>1533</v>
      </c>
      <c r="G19" s="39">
        <v>45</v>
      </c>
      <c r="H19" s="39"/>
      <c r="I19" s="40" t="s">
        <v>269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0.27392752260912012</v>
      </c>
      <c r="V19" s="48">
        <f t="shared" si="2"/>
        <v>0</v>
      </c>
      <c r="W19" s="49">
        <f t="shared" si="3"/>
        <v>6.0872782802026699E-3</v>
      </c>
      <c r="X19" s="44">
        <f t="shared" si="4"/>
        <v>901.21229672101924</v>
      </c>
      <c r="Y19" s="44">
        <f t="shared" si="5"/>
        <v>0</v>
      </c>
      <c r="Z19" s="44">
        <f t="shared" si="6"/>
        <v>7634.5564915862806</v>
      </c>
      <c r="AA19" s="50">
        <f t="shared" si="7"/>
        <v>14117.612296721019</v>
      </c>
      <c r="AB19" s="51">
        <f t="shared" si="8"/>
        <v>7137.1005810846782</v>
      </c>
      <c r="AC19" s="44">
        <f t="shared" si="8"/>
        <v>13197.730482117433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0.73760383356614012</v>
      </c>
      <c r="AP19" s="47">
        <f t="shared" si="16"/>
        <v>0.43877150180609192</v>
      </c>
      <c r="AQ19">
        <v>2021</v>
      </c>
    </row>
    <row r="20" spans="1:43" ht="13.5" customHeight="1">
      <c r="A20" s="59">
        <f>A8+SUM(Q5:Q904)</f>
        <v>1365158.14</v>
      </c>
      <c r="B20" s="97" t="s">
        <v>108</v>
      </c>
      <c r="C20" s="98">
        <v>18230661</v>
      </c>
      <c r="D20" s="61" t="s">
        <v>109</v>
      </c>
      <c r="E20" s="38" t="s">
        <v>1594</v>
      </c>
      <c r="F20" s="39" t="s">
        <v>1595</v>
      </c>
      <c r="G20" s="39">
        <v>15</v>
      </c>
      <c r="H20" s="39"/>
      <c r="I20" s="40" t="s">
        <v>265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2.7989674919918438E-3</v>
      </c>
      <c r="V20" s="48">
        <f t="shared" si="2"/>
        <v>0</v>
      </c>
      <c r="W20" s="49">
        <f t="shared" si="3"/>
        <v>1.8659783279945626E-4</v>
      </c>
      <c r="X20" s="44">
        <f t="shared" si="4"/>
        <v>27.625525517253639</v>
      </c>
      <c r="Y20" s="44">
        <f t="shared" si="5"/>
        <v>0</v>
      </c>
      <c r="Z20" s="44">
        <f t="shared" si="6"/>
        <v>234.02769351750251</v>
      </c>
      <c r="AA20" s="50">
        <f t="shared" si="7"/>
        <v>209.62552551725364</v>
      </c>
      <c r="AB20" s="51">
        <f t="shared" si="8"/>
        <v>218.77881043049686</v>
      </c>
      <c r="AC20" s="44">
        <f t="shared" si="8"/>
        <v>195.96665001145519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0.27431347398456718</v>
      </c>
      <c r="AP20" s="47">
        <f t="shared" si="16"/>
        <v>0.33687044745563499</v>
      </c>
      <c r="AQ20">
        <v>2021</v>
      </c>
    </row>
    <row r="21" spans="1:43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1598</v>
      </c>
      <c r="F21" s="39" t="s">
        <v>1599</v>
      </c>
      <c r="G21" s="39">
        <v>15</v>
      </c>
      <c r="H21" s="39"/>
      <c r="I21" s="40" t="s">
        <v>265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8.396902475975531E-3</v>
      </c>
      <c r="V21" s="48">
        <f t="shared" si="2"/>
        <v>0</v>
      </c>
      <c r="W21" s="49">
        <f t="shared" si="3"/>
        <v>5.5979349839836874E-4</v>
      </c>
      <c r="X21" s="44">
        <f t="shared" si="4"/>
        <v>82.87657655176092</v>
      </c>
      <c r="Y21" s="44">
        <f t="shared" si="5"/>
        <v>0</v>
      </c>
      <c r="Z21" s="44">
        <f t="shared" si="6"/>
        <v>702.08308055250745</v>
      </c>
      <c r="AA21" s="50">
        <f t="shared" si="7"/>
        <v>628.87657655176088</v>
      </c>
      <c r="AB21" s="51">
        <f t="shared" si="8"/>
        <v>656.3364312914905</v>
      </c>
      <c r="AC21" s="44">
        <f t="shared" si="8"/>
        <v>587.89995003436559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0.27431347398456724</v>
      </c>
      <c r="AP21" s="47">
        <f t="shared" si="16"/>
        <v>0.33687044745563499</v>
      </c>
      <c r="AQ21">
        <v>2021</v>
      </c>
    </row>
    <row r="22" spans="1:43" ht="13.5" customHeight="1">
      <c r="A22" s="60">
        <f>(SUM(AM6:AM998)/(SUM(AB6:AB998)))</f>
        <v>0.44575034811003178</v>
      </c>
      <c r="B22" s="97" t="s">
        <v>108</v>
      </c>
      <c r="C22" s="98">
        <v>18230661</v>
      </c>
      <c r="D22" s="61" t="s">
        <v>109</v>
      </c>
      <c r="E22" s="38" t="s">
        <v>1614</v>
      </c>
      <c r="F22" s="39" t="s">
        <v>1615</v>
      </c>
      <c r="G22" s="39">
        <v>45</v>
      </c>
      <c r="H22" s="39"/>
      <c r="I22" s="40" t="s">
        <v>269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2.6990043672778491E-2</v>
      </c>
      <c r="V22" s="48">
        <f t="shared" ref="V22:V85" si="20">N22-M22</f>
        <v>0</v>
      </c>
      <c r="W22" s="49">
        <f t="shared" ref="W22:W85" si="21">(O22/A$10)</f>
        <v>5.997787482839665E-4</v>
      </c>
      <c r="X22" s="44">
        <f t="shared" ref="X22:X85" si="22">W22*A$8</f>
        <v>88.796332019743843</v>
      </c>
      <c r="Y22" s="44">
        <f t="shared" ref="Y22:Y85" si="23">Q22-P22</f>
        <v>0</v>
      </c>
      <c r="Z22" s="44">
        <f t="shared" ref="Z22:Z85" si="24">X22+(A$6*W22)</f>
        <v>752.23187202054373</v>
      </c>
      <c r="AA22" s="50">
        <f t="shared" ref="AA22:AA85" si="25">Q22+X22</f>
        <v>752.18633201974387</v>
      </c>
      <c r="AB22" s="51">
        <f t="shared" ref="AB22:AB85" si="26">Z22/(1+GasDiscountRate)^1</f>
        <v>703.21760495516844</v>
      </c>
      <c r="AC22" s="44">
        <f t="shared" ref="AC22:AC85" si="27">AA22/(1+GasDiscountRate)^1</f>
        <v>703.17503227049065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0.73760383356614023</v>
      </c>
      <c r="AP22" s="47">
        <f t="shared" ref="AP22:AP85" si="36">AN22/AC22</f>
        <v>0.81141333976042729</v>
      </c>
      <c r="AQ22">
        <v>2021</v>
      </c>
    </row>
    <row r="23" spans="1:43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1618</v>
      </c>
      <c r="F23" s="39" t="s">
        <v>1619</v>
      </c>
      <c r="G23" s="39">
        <v>45</v>
      </c>
      <c r="H23" s="39"/>
      <c r="I23" s="40" t="s">
        <v>269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0.80490308019708312</v>
      </c>
      <c r="V23" s="48">
        <f t="shared" si="20"/>
        <v>0</v>
      </c>
      <c r="W23" s="49">
        <f t="shared" si="21"/>
        <v>1.7886735115490736E-2</v>
      </c>
      <c r="X23" s="44">
        <f t="shared" si="22"/>
        <v>2648.1039460110273</v>
      </c>
      <c r="Y23" s="44">
        <f t="shared" si="23"/>
        <v>0</v>
      </c>
      <c r="Z23" s="44">
        <f t="shared" si="24"/>
        <v>22433.226050034882</v>
      </c>
      <c r="AA23" s="50">
        <f t="shared" si="25"/>
        <v>45366.263946011029</v>
      </c>
      <c r="AB23" s="51">
        <f t="shared" si="26"/>
        <v>20971.511685551912</v>
      </c>
      <c r="AC23" s="44">
        <f t="shared" si="27"/>
        <v>42410.268249052097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0.73760383356614012</v>
      </c>
      <c r="AP23" s="47">
        <f t="shared" si="36"/>
        <v>0.40121260390317215</v>
      </c>
      <c r="AQ23">
        <v>2021</v>
      </c>
    </row>
    <row r="24" spans="1:43" ht="13.5" customHeight="1">
      <c r="A24" s="60">
        <f>(SUM(AN6:AN998)/SUM(AC6:AC998))</f>
        <v>0.4536692233794436</v>
      </c>
      <c r="B24" s="97" t="s">
        <v>108</v>
      </c>
      <c r="C24" s="98">
        <v>18230661</v>
      </c>
      <c r="D24" s="61" t="s">
        <v>109</v>
      </c>
      <c r="E24" s="38" t="s">
        <v>1632</v>
      </c>
      <c r="F24" s="39" t="s">
        <v>1633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  <c r="AQ24">
        <v>2021</v>
      </c>
    </row>
    <row r="25" spans="1:43" ht="13.5" customHeight="1">
      <c r="B25" s="97" t="s">
        <v>108</v>
      </c>
      <c r="C25" s="98">
        <v>18230661</v>
      </c>
      <c r="D25" s="61" t="s">
        <v>109</v>
      </c>
      <c r="E25" s="38" t="s">
        <v>1636</v>
      </c>
      <c r="F25" s="39" t="s">
        <v>1637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  <c r="AQ25">
        <v>2021</v>
      </c>
    </row>
    <row r="26" spans="1:43" ht="13.5" customHeight="1">
      <c r="B26" s="97" t="s">
        <v>108</v>
      </c>
      <c r="C26" s="98">
        <v>18230661</v>
      </c>
      <c r="D26" s="61" t="s">
        <v>109</v>
      </c>
      <c r="E26" s="38" t="s">
        <v>1638</v>
      </c>
      <c r="F26" s="39" t="s">
        <v>1639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108</v>
      </c>
      <c r="C27" s="98">
        <v>18230661</v>
      </c>
      <c r="D27" s="61" t="s">
        <v>109</v>
      </c>
      <c r="E27" s="38" t="s">
        <v>1642</v>
      </c>
      <c r="F27" s="39" t="s">
        <v>1643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  <c r="AQ27">
        <v>2021</v>
      </c>
    </row>
    <row r="28" spans="1:43" ht="13.5" customHeight="1">
      <c r="B28" s="97" t="s">
        <v>108</v>
      </c>
      <c r="C28" s="98">
        <v>18230661</v>
      </c>
      <c r="D28" s="61" t="s">
        <v>109</v>
      </c>
      <c r="E28" s="38" t="s">
        <v>1644</v>
      </c>
      <c r="F28" s="39" t="s">
        <v>1645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108</v>
      </c>
      <c r="C29" s="98">
        <v>18230661</v>
      </c>
      <c r="D29" s="61" t="s">
        <v>109</v>
      </c>
      <c r="E29" s="38" t="s">
        <v>1646</v>
      </c>
      <c r="F29" s="39" t="s">
        <v>1647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  <c r="AQ29">
        <v>2021</v>
      </c>
    </row>
    <row r="30" spans="1:43">
      <c r="B30" s="97" t="s">
        <v>108</v>
      </c>
      <c r="C30" s="98">
        <v>18230661</v>
      </c>
      <c r="D30" s="61" t="s">
        <v>109</v>
      </c>
      <c r="E30" s="38" t="s">
        <v>1648</v>
      </c>
      <c r="F30" s="39" t="s">
        <v>1649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108</v>
      </c>
      <c r="C31" s="98">
        <v>18230661</v>
      </c>
      <c r="D31" s="61" t="s">
        <v>109</v>
      </c>
      <c r="E31" s="38" t="s">
        <v>1650</v>
      </c>
      <c r="F31" s="39" t="s">
        <v>1651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  <c r="AQ31">
        <v>2021</v>
      </c>
    </row>
    <row r="32" spans="1:43">
      <c r="B32" s="97" t="s">
        <v>108</v>
      </c>
      <c r="C32" s="98">
        <v>18230661</v>
      </c>
      <c r="D32" s="61" t="s">
        <v>109</v>
      </c>
      <c r="E32" s="38" t="s">
        <v>1652</v>
      </c>
      <c r="F32" s="39" t="s">
        <v>1653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  <c r="AQ32">
        <v>2021</v>
      </c>
    </row>
    <row r="33" spans="2:43">
      <c r="B33" s="97" t="s">
        <v>108</v>
      </c>
      <c r="C33" s="98">
        <v>18230661</v>
      </c>
      <c r="D33" s="61" t="s">
        <v>109</v>
      </c>
      <c r="E33" s="38" t="s">
        <v>1654</v>
      </c>
      <c r="F33" s="39" t="s">
        <v>1655</v>
      </c>
      <c r="G33" s="39">
        <v>25</v>
      </c>
      <c r="H33" s="39"/>
      <c r="I33" s="40" t="s">
        <v>269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3.8842814174580687E-2</v>
      </c>
      <c r="V33" s="48">
        <f t="shared" si="20"/>
        <v>0</v>
      </c>
      <c r="W33" s="49">
        <f t="shared" si="21"/>
        <v>1.5537125669832276E-3</v>
      </c>
      <c r="X33" s="44">
        <f t="shared" si="22"/>
        <v>230.02478389876501</v>
      </c>
      <c r="Y33" s="44">
        <f t="shared" si="23"/>
        <v>0</v>
      </c>
      <c r="Z33" s="44">
        <f t="shared" si="24"/>
        <v>1948.6387541865515</v>
      </c>
      <c r="AA33" s="50">
        <f t="shared" si="25"/>
        <v>4533.0247838987652</v>
      </c>
      <c r="AB33" s="51">
        <f t="shared" si="26"/>
        <v>1821.6684623600554</v>
      </c>
      <c r="AC33" s="44">
        <f t="shared" si="27"/>
        <v>4237.6598895940588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0.44272395672581999</v>
      </c>
      <c r="AP33" s="47">
        <f t="shared" si="36"/>
        <v>0.20934806463043823</v>
      </c>
      <c r="AQ33">
        <v>2021</v>
      </c>
    </row>
    <row r="34" spans="2:43">
      <c r="B34" s="97" t="s">
        <v>108</v>
      </c>
      <c r="C34" s="98">
        <v>18230661</v>
      </c>
      <c r="D34" s="61" t="s">
        <v>109</v>
      </c>
      <c r="E34" s="38" t="s">
        <v>1658</v>
      </c>
      <c r="F34" s="39" t="s">
        <v>1659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  <c r="AQ34">
        <v>2021</v>
      </c>
    </row>
    <row r="35" spans="2:43">
      <c r="B35" s="97" t="s">
        <v>108</v>
      </c>
      <c r="C35" s="98">
        <v>18230661</v>
      </c>
      <c r="D35" s="61" t="s">
        <v>109</v>
      </c>
      <c r="E35" s="38" t="s">
        <v>1662</v>
      </c>
      <c r="F35" s="39" t="s">
        <v>1663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  <c r="AQ35">
        <v>2021</v>
      </c>
    </row>
    <row r="36" spans="2:43">
      <c r="B36" s="97" t="s">
        <v>108</v>
      </c>
      <c r="C36" s="98">
        <v>18230661</v>
      </c>
      <c r="D36" s="61" t="s">
        <v>109</v>
      </c>
      <c r="E36" s="38" t="s">
        <v>1664</v>
      </c>
      <c r="F36" s="39" t="s">
        <v>1665</v>
      </c>
      <c r="G36" s="39">
        <v>45</v>
      </c>
      <c r="H36" s="39"/>
      <c r="I36" s="40" t="s">
        <v>269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1.3566424068327814E-2</v>
      </c>
      <c r="V36" s="48">
        <f t="shared" si="20"/>
        <v>0</v>
      </c>
      <c r="W36" s="49">
        <f t="shared" si="21"/>
        <v>3.0147609040728475E-4</v>
      </c>
      <c r="X36" s="44">
        <f t="shared" si="22"/>
        <v>44.633076941141084</v>
      </c>
      <c r="Y36" s="44">
        <f t="shared" si="23"/>
        <v>0</v>
      </c>
      <c r="Z36" s="44">
        <f t="shared" si="24"/>
        <v>378.10596741773361</v>
      </c>
      <c r="AA36" s="50">
        <f t="shared" si="25"/>
        <v>779.1330769411411</v>
      </c>
      <c r="AB36" s="51">
        <f t="shared" si="26"/>
        <v>353.46916651185711</v>
      </c>
      <c r="AC36" s="44">
        <f t="shared" si="27"/>
        <v>728.36596890823694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0.73760383356614023</v>
      </c>
      <c r="AP36" s="47">
        <f t="shared" si="36"/>
        <v>0.39374743705161092</v>
      </c>
      <c r="AQ36">
        <v>2021</v>
      </c>
    </row>
    <row r="37" spans="2:43">
      <c r="B37" s="97" t="s">
        <v>108</v>
      </c>
      <c r="C37" s="98">
        <v>18230661</v>
      </c>
      <c r="D37" s="61" t="s">
        <v>109</v>
      </c>
      <c r="E37" s="38" t="s">
        <v>1666</v>
      </c>
      <c r="F37" s="39" t="s">
        <v>1667</v>
      </c>
      <c r="G37" s="39">
        <v>13</v>
      </c>
      <c r="H37" s="39"/>
      <c r="I37" s="40" t="s">
        <v>265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6.1881934346758446E-3</v>
      </c>
      <c r="V37" s="48">
        <f t="shared" si="20"/>
        <v>0</v>
      </c>
      <c r="W37" s="49">
        <f t="shared" si="21"/>
        <v>4.760148795904496E-4</v>
      </c>
      <c r="X37" s="44">
        <f t="shared" si="22"/>
        <v>70.473279380749076</v>
      </c>
      <c r="Y37" s="44">
        <f t="shared" si="23"/>
        <v>0</v>
      </c>
      <c r="Z37" s="44">
        <f t="shared" si="24"/>
        <v>597.00942223852678</v>
      </c>
      <c r="AA37" s="50">
        <f t="shared" si="25"/>
        <v>1164.6432793807492</v>
      </c>
      <c r="AB37" s="51">
        <f t="shared" si="26"/>
        <v>558.10921028187977</v>
      </c>
      <c r="AC37" s="44">
        <f t="shared" si="27"/>
        <v>1088.7569219227344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0.24203409930287351</v>
      </c>
      <c r="AP37" s="47">
        <f t="shared" si="36"/>
        <v>0.13647638240786222</v>
      </c>
      <c r="AQ37">
        <v>2021</v>
      </c>
    </row>
    <row r="38" spans="2:43">
      <c r="B38" s="97" t="s">
        <v>108</v>
      </c>
      <c r="C38" s="98">
        <v>18230661</v>
      </c>
      <c r="D38" s="61" t="s">
        <v>109</v>
      </c>
      <c r="E38" s="38" t="s">
        <v>1668</v>
      </c>
      <c r="F38" s="39" t="s">
        <v>1669</v>
      </c>
      <c r="G38" s="39">
        <v>20</v>
      </c>
      <c r="H38" s="39"/>
      <c r="I38" s="40" t="s">
        <v>265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5.3313666514130359E-2</v>
      </c>
      <c r="V38" s="48">
        <f t="shared" si="20"/>
        <v>0</v>
      </c>
      <c r="W38" s="49">
        <f t="shared" si="21"/>
        <v>2.665683325706518E-3</v>
      </c>
      <c r="X38" s="44">
        <f t="shared" si="22"/>
        <v>394.65036453219489</v>
      </c>
      <c r="Y38" s="44">
        <f t="shared" si="23"/>
        <v>0</v>
      </c>
      <c r="Z38" s="44">
        <f t="shared" si="24"/>
        <v>3343.2527645357504</v>
      </c>
      <c r="AA38" s="50">
        <f t="shared" si="25"/>
        <v>4253.0503645321951</v>
      </c>
      <c r="AB38" s="51">
        <f t="shared" si="26"/>
        <v>3125.4115775785267</v>
      </c>
      <c r="AC38" s="44">
        <f t="shared" si="27"/>
        <v>3975.9281710126156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0.35247330422332801</v>
      </c>
      <c r="AP38" s="47">
        <f t="shared" si="36"/>
        <v>0.38506392750228896</v>
      </c>
      <c r="AQ38">
        <v>2021</v>
      </c>
    </row>
    <row r="39" spans="2:43">
      <c r="B39" s="97" t="s">
        <v>108</v>
      </c>
      <c r="C39" s="98">
        <v>18230661</v>
      </c>
      <c r="D39" s="61" t="s">
        <v>109</v>
      </c>
      <c r="E39" s="38" t="s">
        <v>1670</v>
      </c>
      <c r="F39" s="39" t="s">
        <v>1671</v>
      </c>
      <c r="G39" s="39">
        <v>20</v>
      </c>
      <c r="H39" s="39"/>
      <c r="I39" s="40" t="s">
        <v>265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0.15994099954239105</v>
      </c>
      <c r="V39" s="48">
        <f t="shared" si="20"/>
        <v>0</v>
      </c>
      <c r="W39" s="49">
        <f t="shared" si="21"/>
        <v>7.9970499771195528E-3</v>
      </c>
      <c r="X39" s="44">
        <f t="shared" si="22"/>
        <v>1183.9510935965843</v>
      </c>
      <c r="Y39" s="44">
        <f t="shared" si="23"/>
        <v>0</v>
      </c>
      <c r="Z39" s="44">
        <f t="shared" si="24"/>
        <v>10029.758293607249</v>
      </c>
      <c r="AA39" s="50">
        <f t="shared" si="25"/>
        <v>12759.151093596585</v>
      </c>
      <c r="AB39" s="51">
        <f t="shared" si="26"/>
        <v>9376.2347327355783</v>
      </c>
      <c r="AC39" s="44">
        <f t="shared" si="27"/>
        <v>11927.784513037846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0.35247330422332807</v>
      </c>
      <c r="AP39" s="47">
        <f t="shared" si="36"/>
        <v>0.38506392750228896</v>
      </c>
      <c r="AQ39">
        <v>2021</v>
      </c>
    </row>
    <row r="40" spans="2:43">
      <c r="B40" s="97" t="s">
        <v>108</v>
      </c>
      <c r="C40" s="98">
        <v>18230661</v>
      </c>
      <c r="D40" s="61" t="s">
        <v>109</v>
      </c>
      <c r="E40" s="38" t="s">
        <v>1680</v>
      </c>
      <c r="F40" s="39" t="s">
        <v>1681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2021</v>
      </c>
    </row>
    <row r="41" spans="2:43">
      <c r="B41" s="97" t="s">
        <v>108</v>
      </c>
      <c r="C41" s="98">
        <v>18230661</v>
      </c>
      <c r="D41" s="61" t="s">
        <v>109</v>
      </c>
      <c r="E41" s="38" t="s">
        <v>1684</v>
      </c>
      <c r="F41" s="39" t="s">
        <v>1685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2021</v>
      </c>
    </row>
    <row r="42" spans="2:43">
      <c r="B42" s="97" t="s">
        <v>108</v>
      </c>
      <c r="C42" s="100">
        <v>18230665</v>
      </c>
      <c r="D42" s="100" t="s">
        <v>109</v>
      </c>
      <c r="E42" s="38" t="s">
        <v>2464</v>
      </c>
      <c r="F42" s="39" t="s">
        <v>1466</v>
      </c>
      <c r="G42" s="39">
        <v>18</v>
      </c>
      <c r="H42" s="39"/>
      <c r="I42" s="40" t="s">
        <v>269</v>
      </c>
      <c r="J42" s="41">
        <v>2</v>
      </c>
      <c r="K42" s="41">
        <v>18.96</v>
      </c>
      <c r="L42" s="41"/>
      <c r="M42" s="42">
        <v>500</v>
      </c>
      <c r="N42" s="42">
        <v>500</v>
      </c>
      <c r="O42" s="43">
        <v>37.92</v>
      </c>
      <c r="P42" s="44">
        <v>1300</v>
      </c>
      <c r="Q42" s="44">
        <v>1300</v>
      </c>
      <c r="R42" s="45">
        <v>0</v>
      </c>
      <c r="S42" s="46">
        <v>0</v>
      </c>
      <c r="T42" s="39">
        <f t="shared" si="18"/>
        <v>18</v>
      </c>
      <c r="U42" s="47">
        <f t="shared" si="19"/>
        <v>2.1660581080883822E-2</v>
      </c>
      <c r="V42" s="48">
        <f t="shared" si="20"/>
        <v>0</v>
      </c>
      <c r="W42" s="49">
        <f t="shared" si="21"/>
        <v>1.2033656156046567E-3</v>
      </c>
      <c r="X42" s="44">
        <f t="shared" si="22"/>
        <v>178.15645027453368</v>
      </c>
      <c r="Y42" s="44">
        <f t="shared" si="23"/>
        <v>0</v>
      </c>
      <c r="Z42" s="44">
        <f t="shared" si="24"/>
        <v>1509.2398194189957</v>
      </c>
      <c r="AA42" s="50">
        <f t="shared" si="25"/>
        <v>1478.1564502745337</v>
      </c>
      <c r="AB42" s="51">
        <f t="shared" si="26"/>
        <v>1410.900083592592</v>
      </c>
      <c r="AC42" s="44">
        <f t="shared" si="27"/>
        <v>1381.8420587777259</v>
      </c>
      <c r="AD42" s="44">
        <f t="shared" si="28"/>
        <v>0</v>
      </c>
      <c r="AE42" s="44">
        <f t="shared" si="29"/>
        <v>0</v>
      </c>
      <c r="AF42" s="52">
        <f>HLOOKUP(I42,GasAvoidedCostsWOCC!$A$5:$G$50,G42+1,FALSE)</f>
        <v>12.598768311384578</v>
      </c>
      <c r="AG42" s="44">
        <f t="shared" si="30"/>
        <v>477.74529436770325</v>
      </c>
      <c r="AH42" s="52">
        <f>HLOOKUP(I42,GasAvoidedCostsWOCC!$A$5:$Q$50,T42+1,FALSE)</f>
        <v>12.598768311384578</v>
      </c>
      <c r="AI42" s="44">
        <f t="shared" si="31"/>
        <v>0</v>
      </c>
      <c r="AJ42" s="44">
        <f t="shared" si="32"/>
        <v>477.74529436770325</v>
      </c>
      <c r="AK42" s="44">
        <f>HLOOKUP(I42,GasAvoidedCostsWOCC!$A$5:$Q$50,G42+1,FALSE)*J42*L42</f>
        <v>0</v>
      </c>
      <c r="AL42" s="44">
        <f t="shared" si="33"/>
        <v>477.74529436770325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477.74529436770325</v>
      </c>
      <c r="AN42" s="48">
        <f t="shared" si="34"/>
        <v>525.51982380447362</v>
      </c>
      <c r="AO42" s="47">
        <f t="shared" si="35"/>
        <v>0.33861029560024875</v>
      </c>
      <c r="AP42" s="47">
        <f t="shared" si="36"/>
        <v>0.38030382739204588</v>
      </c>
      <c r="AQ42">
        <v>2020</v>
      </c>
    </row>
    <row r="43" spans="2:43">
      <c r="B43" s="97" t="s">
        <v>108</v>
      </c>
      <c r="C43" s="100">
        <v>18230665</v>
      </c>
      <c r="D43" s="100" t="s">
        <v>109</v>
      </c>
      <c r="E43" s="38" t="s">
        <v>2466</v>
      </c>
      <c r="F43" s="39" t="s">
        <v>1470</v>
      </c>
      <c r="G43" s="39">
        <v>20</v>
      </c>
      <c r="H43" s="39"/>
      <c r="I43" s="40" t="s">
        <v>269</v>
      </c>
      <c r="J43" s="41">
        <v>16</v>
      </c>
      <c r="K43" s="41">
        <v>50.8</v>
      </c>
      <c r="L43" s="41"/>
      <c r="M43" s="42">
        <v>500</v>
      </c>
      <c r="N43" s="42">
        <v>500</v>
      </c>
      <c r="O43" s="43">
        <v>812.8</v>
      </c>
      <c r="P43" s="44">
        <v>9961.34</v>
      </c>
      <c r="Q43" s="44">
        <v>9961.34</v>
      </c>
      <c r="R43" s="45">
        <v>0</v>
      </c>
      <c r="S43" s="46">
        <v>0</v>
      </c>
      <c r="T43" s="39">
        <f t="shared" si="18"/>
        <v>20</v>
      </c>
      <c r="U43" s="47">
        <f t="shared" si="19"/>
        <v>0.51587319217482319</v>
      </c>
      <c r="V43" s="48">
        <f t="shared" si="20"/>
        <v>0</v>
      </c>
      <c r="W43" s="49">
        <f t="shared" si="21"/>
        <v>2.5793659608741162E-2</v>
      </c>
      <c r="X43" s="44">
        <f t="shared" si="22"/>
        <v>3818.7120987115231</v>
      </c>
      <c r="Y43" s="44">
        <f t="shared" si="23"/>
        <v>0</v>
      </c>
      <c r="Z43" s="44">
        <f t="shared" si="24"/>
        <v>32349.950559698304</v>
      </c>
      <c r="AA43" s="50">
        <f t="shared" si="25"/>
        <v>13780.052098711523</v>
      </c>
      <c r="AB43" s="51">
        <f t="shared" si="26"/>
        <v>30242.077741140787</v>
      </c>
      <c r="AC43" s="44">
        <f t="shared" si="27"/>
        <v>12882.165185296366</v>
      </c>
      <c r="AD43" s="44">
        <f t="shared" si="28"/>
        <v>0</v>
      </c>
      <c r="AE43" s="44">
        <f t="shared" si="29"/>
        <v>0</v>
      </c>
      <c r="AF43" s="52">
        <f>HLOOKUP(I43,GasAvoidedCostsWOCC!$A$5:$G$50,G43+1,FALSE)</f>
        <v>13.765480191058694</v>
      </c>
      <c r="AG43" s="44">
        <f t="shared" si="30"/>
        <v>11188.582299292506</v>
      </c>
      <c r="AH43" s="52">
        <f>HLOOKUP(I43,GasAvoidedCostsWOCC!$A$5:$Q$50,T43+1,FALSE)</f>
        <v>13.765480191058694</v>
      </c>
      <c r="AI43" s="44">
        <f t="shared" si="31"/>
        <v>0</v>
      </c>
      <c r="AJ43" s="44">
        <f t="shared" si="32"/>
        <v>11188.582299292506</v>
      </c>
      <c r="AK43" s="44">
        <f>HLOOKUP(I43,GasAvoidedCostsWOCC!$A$5:$Q$50,G43+1,FALSE)*J43*L43</f>
        <v>0</v>
      </c>
      <c r="AL43" s="44">
        <f t="shared" si="33"/>
        <v>11188.582299292506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11188.582299292506</v>
      </c>
      <c r="AN43" s="48">
        <f t="shared" si="34"/>
        <v>12307.440529221758</v>
      </c>
      <c r="AO43" s="47">
        <f t="shared" si="35"/>
        <v>0.36996738104643373</v>
      </c>
      <c r="AP43" s="47">
        <f t="shared" si="36"/>
        <v>0.95538602029955366</v>
      </c>
      <c r="AQ43">
        <v>2020</v>
      </c>
    </row>
    <row r="44" spans="2:43">
      <c r="B44" s="97" t="s">
        <v>108</v>
      </c>
      <c r="C44" s="100">
        <v>18230666</v>
      </c>
      <c r="D44" s="100" t="s">
        <v>109</v>
      </c>
      <c r="E44" s="38" t="s">
        <v>2469</v>
      </c>
      <c r="F44" s="39" t="s">
        <v>2470</v>
      </c>
      <c r="G44" s="39">
        <v>18</v>
      </c>
      <c r="H44" s="39"/>
      <c r="I44" s="40" t="s">
        <v>269</v>
      </c>
      <c r="J44" s="41">
        <v>46</v>
      </c>
      <c r="K44" s="41">
        <v>184</v>
      </c>
      <c r="L44" s="41"/>
      <c r="M44" s="42">
        <v>1526</v>
      </c>
      <c r="N44" s="42">
        <v>1526</v>
      </c>
      <c r="O44" s="43">
        <v>8464</v>
      </c>
      <c r="P44" s="44">
        <v>91254.8</v>
      </c>
      <c r="Q44" s="44">
        <v>91254.8</v>
      </c>
      <c r="R44" s="45">
        <v>0</v>
      </c>
      <c r="S44" s="46">
        <v>0</v>
      </c>
      <c r="T44" s="39">
        <f t="shared" si="18"/>
        <v>18</v>
      </c>
      <c r="U44" s="47">
        <f t="shared" si="19"/>
        <v>4.8347879290242792</v>
      </c>
      <c r="V44" s="48">
        <f t="shared" si="20"/>
        <v>0</v>
      </c>
      <c r="W44" s="49">
        <f t="shared" si="21"/>
        <v>0.26859932939023773</v>
      </c>
      <c r="X44" s="44">
        <f t="shared" si="22"/>
        <v>39765.72244524402</v>
      </c>
      <c r="Y44" s="44">
        <f t="shared" si="23"/>
        <v>0</v>
      </c>
      <c r="Z44" s="44">
        <f t="shared" si="24"/>
        <v>336872.51665512606</v>
      </c>
      <c r="AA44" s="50">
        <f t="shared" si="25"/>
        <v>131020.52244524402</v>
      </c>
      <c r="AB44" s="51">
        <f t="shared" si="26"/>
        <v>314922.42372172204</v>
      </c>
      <c r="AC44" s="44">
        <f t="shared" si="27"/>
        <v>122483.42754533421</v>
      </c>
      <c r="AD44" s="44">
        <f t="shared" si="28"/>
        <v>0</v>
      </c>
      <c r="AE44" s="44">
        <f t="shared" si="29"/>
        <v>0</v>
      </c>
      <c r="AF44" s="52">
        <f>HLOOKUP(I44,GasAvoidedCostsWOCC!$A$5:$G$50,G44+1,FALSE)</f>
        <v>12.598768311384578</v>
      </c>
      <c r="AG44" s="44">
        <f t="shared" si="30"/>
        <v>106635.97498755906</v>
      </c>
      <c r="AH44" s="52">
        <f>HLOOKUP(I44,GasAvoidedCostsWOCC!$A$5:$Q$50,T44+1,FALSE)</f>
        <v>12.598768311384578</v>
      </c>
      <c r="AI44" s="44">
        <f t="shared" si="31"/>
        <v>0</v>
      </c>
      <c r="AJ44" s="44">
        <f t="shared" si="32"/>
        <v>106635.97498755906</v>
      </c>
      <c r="AK44" s="44">
        <f>HLOOKUP(I44,GasAvoidedCostsWOCC!$A$5:$Q$50,G44+1,FALSE)*J44*L44</f>
        <v>0</v>
      </c>
      <c r="AL44" s="44">
        <f t="shared" si="33"/>
        <v>106635.97498755906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106635.97498755906</v>
      </c>
      <c r="AN44" s="48">
        <f t="shared" si="34"/>
        <v>117299.57248631498</v>
      </c>
      <c r="AO44" s="47">
        <f t="shared" si="35"/>
        <v>0.33861029560024869</v>
      </c>
      <c r="AP44" s="47">
        <f t="shared" si="36"/>
        <v>0.95767709017531732</v>
      </c>
      <c r="AQ44">
        <v>2020</v>
      </c>
    </row>
    <row r="45" spans="2:43">
      <c r="B45" s="97" t="s">
        <v>108</v>
      </c>
      <c r="C45" s="100">
        <v>18230668</v>
      </c>
      <c r="D45" s="100" t="s">
        <v>109</v>
      </c>
      <c r="E45" s="38" t="s">
        <v>2471</v>
      </c>
      <c r="F45" s="39" t="s">
        <v>2472</v>
      </c>
      <c r="G45" s="39">
        <v>18</v>
      </c>
      <c r="H45" s="39"/>
      <c r="I45" s="40" t="s">
        <v>269</v>
      </c>
      <c r="J45" s="41">
        <v>2</v>
      </c>
      <c r="K45" s="41">
        <v>184</v>
      </c>
      <c r="L45" s="41"/>
      <c r="M45" s="42">
        <v>1526</v>
      </c>
      <c r="N45" s="42">
        <v>1526</v>
      </c>
      <c r="O45" s="43">
        <v>368</v>
      </c>
      <c r="P45" s="44">
        <v>3967.6</v>
      </c>
      <c r="Q45" s="44">
        <v>3967.6</v>
      </c>
      <c r="R45" s="45">
        <v>0</v>
      </c>
      <c r="S45" s="46">
        <v>0</v>
      </c>
      <c r="T45" s="39">
        <f t="shared" si="18"/>
        <v>18</v>
      </c>
      <c r="U45" s="47">
        <f t="shared" si="19"/>
        <v>0.21020817082714255</v>
      </c>
      <c r="V45" s="48">
        <f t="shared" si="20"/>
        <v>0</v>
      </c>
      <c r="W45" s="49">
        <f t="shared" si="21"/>
        <v>1.167823171261903E-2</v>
      </c>
      <c r="X45" s="44">
        <f t="shared" si="22"/>
        <v>1728.9444541410442</v>
      </c>
      <c r="Y45" s="44">
        <f t="shared" si="23"/>
        <v>0</v>
      </c>
      <c r="Z45" s="44">
        <f t="shared" si="24"/>
        <v>14646.631158918524</v>
      </c>
      <c r="AA45" s="50">
        <f t="shared" si="25"/>
        <v>5696.5444541410443</v>
      </c>
      <c r="AB45" s="51">
        <f t="shared" si="26"/>
        <v>13692.279292248782</v>
      </c>
      <c r="AC45" s="44">
        <f t="shared" si="27"/>
        <v>5325.3664150145314</v>
      </c>
      <c r="AD45" s="44">
        <f t="shared" si="28"/>
        <v>0</v>
      </c>
      <c r="AE45" s="44">
        <f t="shared" si="29"/>
        <v>0</v>
      </c>
      <c r="AF45" s="52">
        <f>HLOOKUP(I45,GasAvoidedCostsWOCC!$A$5:$G$50,G45+1,FALSE)</f>
        <v>12.598768311384578</v>
      </c>
      <c r="AG45" s="44">
        <f t="shared" si="30"/>
        <v>4636.3467385895246</v>
      </c>
      <c r="AH45" s="52">
        <f>HLOOKUP(I45,GasAvoidedCostsWOCC!$A$5:$Q$50,T45+1,FALSE)</f>
        <v>12.598768311384578</v>
      </c>
      <c r="AI45" s="44">
        <f t="shared" si="31"/>
        <v>0</v>
      </c>
      <c r="AJ45" s="44">
        <f t="shared" si="32"/>
        <v>4636.3467385895246</v>
      </c>
      <c r="AK45" s="44">
        <f>HLOOKUP(I45,GasAvoidedCostsWOCC!$A$5:$Q$50,G45+1,FALSE)*J45*L45</f>
        <v>0</v>
      </c>
      <c r="AL45" s="44">
        <f t="shared" si="33"/>
        <v>4636.3467385895246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4636.3467385895246</v>
      </c>
      <c r="AN45" s="48">
        <f t="shared" si="34"/>
        <v>5099.9814124484774</v>
      </c>
      <c r="AO45" s="47">
        <f t="shared" si="35"/>
        <v>0.33861029560024875</v>
      </c>
      <c r="AP45" s="47">
        <f t="shared" si="36"/>
        <v>0.95767709017531721</v>
      </c>
      <c r="AQ45">
        <v>2020</v>
      </c>
    </row>
    <row r="46" spans="2:43">
      <c r="B46" s="97" t="s">
        <v>108</v>
      </c>
      <c r="C46" s="100">
        <v>18230669</v>
      </c>
      <c r="D46" s="100" t="s">
        <v>109</v>
      </c>
      <c r="E46" s="38" t="s">
        <v>2473</v>
      </c>
      <c r="F46" s="39" t="s">
        <v>2474</v>
      </c>
      <c r="G46" s="39">
        <v>20</v>
      </c>
      <c r="H46" s="39"/>
      <c r="I46" s="40" t="s">
        <v>269</v>
      </c>
      <c r="J46" s="41">
        <v>9</v>
      </c>
      <c r="K46" s="41">
        <v>73.333333333333329</v>
      </c>
      <c r="L46" s="41"/>
      <c r="M46" s="42">
        <v>0</v>
      </c>
      <c r="N46" s="42">
        <v>0</v>
      </c>
      <c r="O46" s="43">
        <v>660</v>
      </c>
      <c r="P46" s="44">
        <v>0</v>
      </c>
      <c r="Q46" s="44">
        <v>37641.519999999997</v>
      </c>
      <c r="R46" s="45">
        <v>0</v>
      </c>
      <c r="S46" s="46">
        <v>0</v>
      </c>
      <c r="T46" s="39">
        <f t="shared" si="18"/>
        <v>20</v>
      </c>
      <c r="U46" s="47">
        <f t="shared" si="19"/>
        <v>0.41889309403959568</v>
      </c>
      <c r="V46" s="48">
        <f t="shared" si="20"/>
        <v>0</v>
      </c>
      <c r="W46" s="49">
        <f t="shared" si="21"/>
        <v>2.0944654701979783E-2</v>
      </c>
      <c r="X46" s="44">
        <f t="shared" si="22"/>
        <v>3100.8242927529595</v>
      </c>
      <c r="Y46" s="44">
        <f t="shared" si="23"/>
        <v>37641.519999999997</v>
      </c>
      <c r="Z46" s="44">
        <f t="shared" si="24"/>
        <v>26268.41457849518</v>
      </c>
      <c r="AA46" s="50">
        <f t="shared" si="25"/>
        <v>40742.344292752954</v>
      </c>
      <c r="AB46" s="51">
        <f t="shared" si="26"/>
        <v>24556.805252402708</v>
      </c>
      <c r="AC46" s="44">
        <f t="shared" si="27"/>
        <v>38087.63605941194</v>
      </c>
      <c r="AD46" s="44">
        <f t="shared" si="28"/>
        <v>0</v>
      </c>
      <c r="AE46" s="44">
        <f t="shared" si="29"/>
        <v>0</v>
      </c>
      <c r="AF46" s="52">
        <f>HLOOKUP(I46,GasAvoidedCostsWOCC!$A$5:$G$50,G46+1,FALSE)</f>
        <v>13.765480191058694</v>
      </c>
      <c r="AG46" s="44">
        <f t="shared" si="30"/>
        <v>9085.2169260987375</v>
      </c>
      <c r="AH46" s="52">
        <f>HLOOKUP(I46,GasAvoidedCostsWOCC!$A$5:$Q$50,T46+1,FALSE)</f>
        <v>13.765480191058694</v>
      </c>
      <c r="AI46" s="44">
        <f t="shared" si="31"/>
        <v>0</v>
      </c>
      <c r="AJ46" s="44">
        <f t="shared" si="32"/>
        <v>9085.2169260987375</v>
      </c>
      <c r="AK46" s="44">
        <f>HLOOKUP(I46,GasAvoidedCostsWOCC!$A$5:$Q$50,G46+1,FALSE)*J46*L46</f>
        <v>0</v>
      </c>
      <c r="AL46" s="44">
        <f t="shared" si="33"/>
        <v>9085.2169260987375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9085.2169260987375</v>
      </c>
      <c r="AN46" s="48">
        <f t="shared" si="34"/>
        <v>9993.7386187086122</v>
      </c>
      <c r="AO46" s="47">
        <f t="shared" si="35"/>
        <v>0.36996738104643373</v>
      </c>
      <c r="AP46" s="47">
        <f t="shared" si="36"/>
        <v>0.26238799916906452</v>
      </c>
      <c r="AQ46">
        <v>2020</v>
      </c>
    </row>
    <row r="47" spans="2:43">
      <c r="B47" s="97" t="s">
        <v>108</v>
      </c>
      <c r="C47" s="100">
        <v>18230670</v>
      </c>
      <c r="D47" s="100" t="s">
        <v>109</v>
      </c>
      <c r="E47" s="38" t="s">
        <v>1487</v>
      </c>
      <c r="F47" s="39" t="s">
        <v>1488</v>
      </c>
      <c r="G47" s="39">
        <v>20</v>
      </c>
      <c r="H47" s="39"/>
      <c r="I47" s="40" t="s">
        <v>269</v>
      </c>
      <c r="J47" s="41">
        <v>26</v>
      </c>
      <c r="K47" s="41">
        <v>110</v>
      </c>
      <c r="L47" s="41"/>
      <c r="M47" s="42">
        <v>4290</v>
      </c>
      <c r="N47" s="42">
        <v>4290</v>
      </c>
      <c r="O47" s="43">
        <v>2860</v>
      </c>
      <c r="P47" s="44">
        <v>141612.75</v>
      </c>
      <c r="Q47" s="44">
        <v>141612.75</v>
      </c>
      <c r="R47" s="45">
        <v>0</v>
      </c>
      <c r="S47" s="46"/>
      <c r="T47" s="39">
        <f t="shared" si="18"/>
        <v>20</v>
      </c>
      <c r="U47" s="47">
        <f t="shared" si="19"/>
        <v>1.8152034075049146</v>
      </c>
      <c r="V47" s="48">
        <f t="shared" si="20"/>
        <v>0</v>
      </c>
      <c r="W47" s="49">
        <f t="shared" si="21"/>
        <v>9.0760170375245725E-2</v>
      </c>
      <c r="X47" s="44">
        <f t="shared" si="22"/>
        <v>13436.905268596158</v>
      </c>
      <c r="Y47" s="44">
        <f t="shared" si="23"/>
        <v>0</v>
      </c>
      <c r="Z47" s="44">
        <f t="shared" si="24"/>
        <v>113829.79650681245</v>
      </c>
      <c r="AA47" s="50">
        <f t="shared" si="25"/>
        <v>155049.65526859617</v>
      </c>
      <c r="AB47" s="51">
        <f t="shared" si="26"/>
        <v>106412.82276041174</v>
      </c>
      <c r="AC47" s="44">
        <f t="shared" si="27"/>
        <v>144946.85918350579</v>
      </c>
      <c r="AD47" s="44">
        <f t="shared" si="28"/>
        <v>0</v>
      </c>
      <c r="AE47" s="44">
        <f t="shared" si="29"/>
        <v>0</v>
      </c>
      <c r="AF47" s="52">
        <f>HLOOKUP(I47,GasAvoidedCostsWOCC!$A$5:$G$50,G47+1,FALSE)</f>
        <v>13.765480191058694</v>
      </c>
      <c r="AG47" s="44">
        <f t="shared" si="30"/>
        <v>39369.273346427864</v>
      </c>
      <c r="AH47" s="52">
        <f>HLOOKUP(I47,GasAvoidedCostsWOCC!$A$5:$Q$50,T47+1,FALSE)</f>
        <v>13.765480191058694</v>
      </c>
      <c r="AI47" s="44">
        <f t="shared" si="31"/>
        <v>0</v>
      </c>
      <c r="AJ47" s="44">
        <f t="shared" si="32"/>
        <v>39369.273346427864</v>
      </c>
      <c r="AK47" s="44">
        <f>HLOOKUP(I47,GasAvoidedCostsWOCC!$A$5:$Q$50,G47+1,FALSE)*J47*L47</f>
        <v>0</v>
      </c>
      <c r="AL47" s="44">
        <f t="shared" si="33"/>
        <v>39369.273346427864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39369.273346427872</v>
      </c>
      <c r="AN47" s="48">
        <f t="shared" si="34"/>
        <v>43306.200681070659</v>
      </c>
      <c r="AO47" s="47">
        <f t="shared" si="35"/>
        <v>0.36996738104643379</v>
      </c>
      <c r="AP47" s="47">
        <f t="shared" si="36"/>
        <v>0.2987729497901303</v>
      </c>
      <c r="AQ47">
        <v>2020</v>
      </c>
    </row>
    <row r="48" spans="2:43">
      <c r="B48" s="97" t="s">
        <v>108</v>
      </c>
      <c r="C48" s="100">
        <v>18230671</v>
      </c>
      <c r="D48" s="100" t="s">
        <v>109</v>
      </c>
      <c r="E48" s="38" t="s">
        <v>2476</v>
      </c>
      <c r="F48" s="39" t="s">
        <v>1496</v>
      </c>
      <c r="G48" s="39">
        <v>45</v>
      </c>
      <c r="H48" s="39"/>
      <c r="I48" s="40" t="s">
        <v>269</v>
      </c>
      <c r="J48" s="41">
        <v>2023</v>
      </c>
      <c r="K48" s="41">
        <v>0.2</v>
      </c>
      <c r="L48" s="41"/>
      <c r="M48" s="42">
        <v>6.46</v>
      </c>
      <c r="N48" s="42">
        <v>6.46</v>
      </c>
      <c r="O48" s="43">
        <v>404.6</v>
      </c>
      <c r="P48" s="44">
        <v>12059.68</v>
      </c>
      <c r="Q48" s="44">
        <v>12059.68</v>
      </c>
      <c r="R48" s="45">
        <v>0</v>
      </c>
      <c r="S48" s="46"/>
      <c r="T48" s="39">
        <f t="shared" si="18"/>
        <v>45</v>
      </c>
      <c r="U48" s="47">
        <f t="shared" si="19"/>
        <v>0.5777868608468878</v>
      </c>
      <c r="V48" s="48">
        <f t="shared" si="20"/>
        <v>0</v>
      </c>
      <c r="W48" s="49">
        <f t="shared" si="21"/>
        <v>1.2839708018819729E-2</v>
      </c>
      <c r="X48" s="44">
        <f t="shared" si="22"/>
        <v>1900.899255830072</v>
      </c>
      <c r="Y48" s="44">
        <f t="shared" si="23"/>
        <v>0</v>
      </c>
      <c r="Z48" s="44">
        <f t="shared" si="24"/>
        <v>16103.334149180531</v>
      </c>
      <c r="AA48" s="50">
        <f t="shared" si="25"/>
        <v>13960.579255830073</v>
      </c>
      <c r="AB48" s="51">
        <f t="shared" si="26"/>
        <v>15054.065765336571</v>
      </c>
      <c r="AC48" s="44">
        <f t="shared" si="27"/>
        <v>13050.929471655671</v>
      </c>
      <c r="AD48" s="44">
        <f t="shared" si="28"/>
        <v>0</v>
      </c>
      <c r="AE48" s="44">
        <f t="shared" si="29"/>
        <v>0</v>
      </c>
      <c r="AF48" s="52">
        <f>HLOOKUP(I48,GasAvoidedCostsWOCC!$A$5:$G$50,G48+1,FALSE)</f>
        <v>27.444232870165703</v>
      </c>
      <c r="AG48" s="44">
        <f t="shared" si="30"/>
        <v>11103.936619269043</v>
      </c>
      <c r="AH48" s="52">
        <f>HLOOKUP(I48,GasAvoidedCostsWOCC!$A$5:$Q$50,T48+1,FALSE)</f>
        <v>27.444232870165703</v>
      </c>
      <c r="AI48" s="44">
        <f t="shared" si="31"/>
        <v>0</v>
      </c>
      <c r="AJ48" s="44">
        <f t="shared" si="32"/>
        <v>11103.936619269043</v>
      </c>
      <c r="AK48" s="44">
        <f>HLOOKUP(I48,GasAvoidedCostsWOCC!$A$5:$Q$50,G48+1,FALSE)*J48*L48</f>
        <v>0</v>
      </c>
      <c r="AL48" s="44">
        <f t="shared" si="33"/>
        <v>11103.936619269043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11103.936619269043</v>
      </c>
      <c r="AN48" s="48">
        <f t="shared" si="34"/>
        <v>12214.330281195949</v>
      </c>
      <c r="AO48" s="47">
        <f t="shared" si="35"/>
        <v>0.73760383356614012</v>
      </c>
      <c r="AP48" s="47">
        <f t="shared" si="36"/>
        <v>0.93589734797995283</v>
      </c>
      <c r="AQ48">
        <v>2020</v>
      </c>
    </row>
    <row r="49" spans="2:43">
      <c r="B49" s="97" t="s">
        <v>108</v>
      </c>
      <c r="C49" s="100">
        <v>18230672</v>
      </c>
      <c r="D49" s="100" t="s">
        <v>109</v>
      </c>
      <c r="E49" s="38" t="s">
        <v>2479</v>
      </c>
      <c r="F49" s="39" t="s">
        <v>1502</v>
      </c>
      <c r="G49" s="39">
        <v>25</v>
      </c>
      <c r="H49" s="39"/>
      <c r="I49" s="40" t="s">
        <v>269</v>
      </c>
      <c r="J49" s="41">
        <v>2396</v>
      </c>
      <c r="K49" s="41">
        <v>0.02</v>
      </c>
      <c r="L49" s="41"/>
      <c r="M49" s="42">
        <v>2.37</v>
      </c>
      <c r="N49" s="42">
        <v>2.37</v>
      </c>
      <c r="O49" s="43">
        <v>47.92</v>
      </c>
      <c r="P49" s="44">
        <v>7382.08</v>
      </c>
      <c r="Q49" s="44">
        <v>7382.08</v>
      </c>
      <c r="R49" s="45">
        <v>0</v>
      </c>
      <c r="S49" s="46">
        <v>0</v>
      </c>
      <c r="T49" s="39">
        <f t="shared" si="18"/>
        <v>25</v>
      </c>
      <c r="U49" s="47">
        <f t="shared" si="19"/>
        <v>3.801772171662391E-2</v>
      </c>
      <c r="V49" s="48">
        <f t="shared" si="20"/>
        <v>0</v>
      </c>
      <c r="W49" s="49">
        <f t="shared" si="21"/>
        <v>1.5207088686649563E-3</v>
      </c>
      <c r="X49" s="44">
        <f t="shared" si="22"/>
        <v>225.13863652836639</v>
      </c>
      <c r="Y49" s="44">
        <f t="shared" si="23"/>
        <v>0</v>
      </c>
      <c r="Z49" s="44">
        <f t="shared" si="24"/>
        <v>1907.2461009113467</v>
      </c>
      <c r="AA49" s="50">
        <f t="shared" si="25"/>
        <v>7607.218636528366</v>
      </c>
      <c r="AB49" s="51">
        <f t="shared" si="26"/>
        <v>1782.9728904471783</v>
      </c>
      <c r="AC49" s="44">
        <f t="shared" si="27"/>
        <v>7111.5440184428953</v>
      </c>
      <c r="AD49" s="44">
        <f t="shared" si="28"/>
        <v>0</v>
      </c>
      <c r="AE49" s="44">
        <f t="shared" si="29"/>
        <v>0</v>
      </c>
      <c r="AF49" s="52">
        <f>HLOOKUP(I49,GasAvoidedCostsWOCC!$A$5:$G$50,G49+1,FALSE)</f>
        <v>16.472554524074432</v>
      </c>
      <c r="AG49" s="44">
        <f t="shared" si="30"/>
        <v>789.36481279364682</v>
      </c>
      <c r="AH49" s="52">
        <f>HLOOKUP(I49,GasAvoidedCostsWOCC!$A$5:$Q$50,T49+1,FALSE)</f>
        <v>16.472554524074432</v>
      </c>
      <c r="AI49" s="44">
        <f t="shared" si="31"/>
        <v>0</v>
      </c>
      <c r="AJ49" s="44">
        <f t="shared" si="32"/>
        <v>789.36481279364682</v>
      </c>
      <c r="AK49" s="44">
        <f>HLOOKUP(I49,GasAvoidedCostsWOCC!$A$5:$Q$50,G49+1,FALSE)*J49*L49</f>
        <v>0</v>
      </c>
      <c r="AL49" s="44">
        <f t="shared" si="33"/>
        <v>789.36481279364682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789.36481279364671</v>
      </c>
      <c r="AN49" s="48">
        <f t="shared" si="34"/>
        <v>868.30129407301149</v>
      </c>
      <c r="AO49" s="47">
        <f t="shared" si="35"/>
        <v>0.44272395672581993</v>
      </c>
      <c r="AP49" s="47">
        <f t="shared" si="36"/>
        <v>0.12209743648090784</v>
      </c>
      <c r="AQ49">
        <v>2020</v>
      </c>
    </row>
    <row r="50" spans="2:43">
      <c r="B50" s="97" t="s">
        <v>108</v>
      </c>
      <c r="C50" s="100">
        <v>18230673</v>
      </c>
      <c r="D50" s="100" t="s">
        <v>109</v>
      </c>
      <c r="E50" s="38" t="s">
        <v>2483</v>
      </c>
      <c r="F50" s="39" t="s">
        <v>1512</v>
      </c>
      <c r="G50" s="39">
        <v>45</v>
      </c>
      <c r="H50" s="39"/>
      <c r="I50" s="40" t="s">
        <v>269</v>
      </c>
      <c r="J50" s="41">
        <v>11091</v>
      </c>
      <c r="K50" s="41">
        <v>0.04</v>
      </c>
      <c r="L50" s="41"/>
      <c r="M50" s="42">
        <v>2.14</v>
      </c>
      <c r="N50" s="42">
        <v>2.14</v>
      </c>
      <c r="O50" s="43">
        <v>443.64</v>
      </c>
      <c r="P50" s="44">
        <v>31413.02</v>
      </c>
      <c r="Q50" s="44">
        <v>31413.02</v>
      </c>
      <c r="R50" s="45">
        <v>0</v>
      </c>
      <c r="S50" s="46">
        <v>0</v>
      </c>
      <c r="T50" s="39">
        <f t="shared" si="18"/>
        <v>45</v>
      </c>
      <c r="U50" s="47">
        <f t="shared" si="19"/>
        <v>0.6335377235445212</v>
      </c>
      <c r="V50" s="48">
        <f t="shared" si="20"/>
        <v>0</v>
      </c>
      <c r="W50" s="49">
        <f t="shared" si="21"/>
        <v>1.4078616078767137E-2</v>
      </c>
      <c r="X50" s="44">
        <f t="shared" si="22"/>
        <v>2084.3177109650346</v>
      </c>
      <c r="Y50" s="44">
        <f t="shared" si="23"/>
        <v>0</v>
      </c>
      <c r="Z50" s="44">
        <f t="shared" si="24"/>
        <v>17657.150672126667</v>
      </c>
      <c r="AA50" s="50">
        <f t="shared" si="25"/>
        <v>33497.337710965032</v>
      </c>
      <c r="AB50" s="51">
        <f t="shared" si="26"/>
        <v>16506.638003296874</v>
      </c>
      <c r="AC50" s="44">
        <f t="shared" si="27"/>
        <v>31314.702917607767</v>
      </c>
      <c r="AD50" s="44">
        <f t="shared" si="28"/>
        <v>0</v>
      </c>
      <c r="AE50" s="44">
        <f t="shared" si="29"/>
        <v>0</v>
      </c>
      <c r="AF50" s="52">
        <f>HLOOKUP(I50,GasAvoidedCostsWOCC!$A$5:$G$50,G50+1,FALSE)</f>
        <v>27.444232870165703</v>
      </c>
      <c r="AG50" s="44">
        <f t="shared" si="30"/>
        <v>12175.359470520312</v>
      </c>
      <c r="AH50" s="52">
        <f>HLOOKUP(I50,GasAvoidedCostsWOCC!$A$5:$Q$50,T50+1,FALSE)</f>
        <v>27.444232870165703</v>
      </c>
      <c r="AI50" s="44">
        <f t="shared" si="31"/>
        <v>0</v>
      </c>
      <c r="AJ50" s="44">
        <f t="shared" si="32"/>
        <v>12175.359470520312</v>
      </c>
      <c r="AK50" s="44">
        <f>HLOOKUP(I50,GasAvoidedCostsWOCC!$A$5:$Q$50,G50+1,FALSE)*J50*L50</f>
        <v>0</v>
      </c>
      <c r="AL50" s="44">
        <f t="shared" si="33"/>
        <v>12175.359470520312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12175.359470520312</v>
      </c>
      <c r="AN50" s="48">
        <f t="shared" si="34"/>
        <v>13392.895417572345</v>
      </c>
      <c r="AO50" s="47">
        <f t="shared" si="35"/>
        <v>0.73760383356614023</v>
      </c>
      <c r="AP50" s="47">
        <f t="shared" si="36"/>
        <v>0.42768712999802178</v>
      </c>
      <c r="AQ50">
        <v>2020</v>
      </c>
    </row>
    <row r="51" spans="2:43">
      <c r="B51" s="97" t="s">
        <v>108</v>
      </c>
      <c r="C51" s="100">
        <v>18230674</v>
      </c>
      <c r="D51" s="100" t="s">
        <v>109</v>
      </c>
      <c r="E51" s="38" t="s">
        <v>2488</v>
      </c>
      <c r="F51" s="39" t="s">
        <v>2489</v>
      </c>
      <c r="G51" s="39">
        <v>45</v>
      </c>
      <c r="H51" s="39"/>
      <c r="I51" s="40" t="s">
        <v>269</v>
      </c>
      <c r="J51" s="41">
        <v>3372</v>
      </c>
      <c r="K51" s="41">
        <v>9.0000000000000011E-2</v>
      </c>
      <c r="L51" s="41"/>
      <c r="M51" s="42">
        <v>0</v>
      </c>
      <c r="N51" s="42">
        <v>0</v>
      </c>
      <c r="O51" s="43">
        <v>303.48</v>
      </c>
      <c r="P51" s="44">
        <v>0</v>
      </c>
      <c r="Q51" s="44">
        <v>11431.12</v>
      </c>
      <c r="R51" s="45">
        <v>0</v>
      </c>
      <c r="S51" s="46">
        <v>0</v>
      </c>
      <c r="T51" s="39">
        <f t="shared" si="18"/>
        <v>45</v>
      </c>
      <c r="U51" s="47">
        <f t="shared" si="19"/>
        <v>0.43338298697432903</v>
      </c>
      <c r="V51" s="48">
        <f t="shared" si="20"/>
        <v>0</v>
      </c>
      <c r="W51" s="49">
        <f t="shared" si="21"/>
        <v>9.6307330438739781E-3</v>
      </c>
      <c r="X51" s="44">
        <f t="shared" si="22"/>
        <v>1425.8153884313156</v>
      </c>
      <c r="Y51" s="44">
        <f t="shared" si="23"/>
        <v>11431.12</v>
      </c>
      <c r="Z51" s="44">
        <f t="shared" si="24"/>
        <v>12078.694630729877</v>
      </c>
      <c r="AA51" s="50">
        <f t="shared" si="25"/>
        <v>12856.935388431317</v>
      </c>
      <c r="AB51" s="51">
        <f t="shared" si="26"/>
        <v>11291.665542422994</v>
      </c>
      <c r="AC51" s="44">
        <f t="shared" si="27"/>
        <v>12019.197334235127</v>
      </c>
      <c r="AD51" s="44">
        <f t="shared" si="28"/>
        <v>0</v>
      </c>
      <c r="AE51" s="44">
        <f t="shared" si="29"/>
        <v>0</v>
      </c>
      <c r="AF51" s="52">
        <f>HLOOKUP(I51,GasAvoidedCostsWOCC!$A$5:$G$50,G51+1,FALSE)</f>
        <v>27.444232870165703</v>
      </c>
      <c r="AG51" s="44">
        <f t="shared" si="30"/>
        <v>8328.775791437889</v>
      </c>
      <c r="AH51" s="52">
        <f>HLOOKUP(I51,GasAvoidedCostsWOCC!$A$5:$Q$50,T51+1,FALSE)</f>
        <v>27.444232870165703</v>
      </c>
      <c r="AI51" s="44">
        <f t="shared" si="31"/>
        <v>0</v>
      </c>
      <c r="AJ51" s="44">
        <f t="shared" si="32"/>
        <v>8328.775791437889</v>
      </c>
      <c r="AK51" s="44">
        <f>HLOOKUP(I51,GasAvoidedCostsWOCC!$A$5:$Q$50,G51+1,FALSE)*J51*L51</f>
        <v>0</v>
      </c>
      <c r="AL51" s="44">
        <f t="shared" si="33"/>
        <v>8328.775791437889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8328.775791437889</v>
      </c>
      <c r="AN51" s="48">
        <f t="shared" si="34"/>
        <v>9161.6533705816782</v>
      </c>
      <c r="AO51" s="47">
        <f t="shared" si="35"/>
        <v>0.73760383356614012</v>
      </c>
      <c r="AP51" s="47">
        <f t="shared" si="36"/>
        <v>0.76225168085774708</v>
      </c>
      <c r="AQ51">
        <v>2020</v>
      </c>
    </row>
    <row r="52" spans="2:43">
      <c r="B52" s="97" t="s">
        <v>108</v>
      </c>
      <c r="C52" s="100">
        <v>18230675</v>
      </c>
      <c r="D52" s="100" t="s">
        <v>109</v>
      </c>
      <c r="E52" s="38" t="s">
        <v>2491</v>
      </c>
      <c r="F52" s="39" t="s">
        <v>1520</v>
      </c>
      <c r="G52" s="39">
        <v>45</v>
      </c>
      <c r="H52" s="39"/>
      <c r="I52" s="40" t="s">
        <v>269</v>
      </c>
      <c r="J52" s="41">
        <v>24651</v>
      </c>
      <c r="K52" s="41">
        <v>0.09</v>
      </c>
      <c r="L52" s="41"/>
      <c r="M52" s="42">
        <v>2.75</v>
      </c>
      <c r="N52" s="42">
        <v>2.75</v>
      </c>
      <c r="O52" s="43">
        <v>2218.59</v>
      </c>
      <c r="P52" s="44">
        <v>88302.36</v>
      </c>
      <c r="Q52" s="44">
        <v>88302.36</v>
      </c>
      <c r="R52" s="45">
        <v>0</v>
      </c>
      <c r="S52" s="46">
        <v>0</v>
      </c>
      <c r="T52" s="39">
        <f t="shared" si="18"/>
        <v>45</v>
      </c>
      <c r="U52" s="47">
        <f t="shared" si="19"/>
        <v>3.168245555131727</v>
      </c>
      <c r="V52" s="48">
        <f t="shared" si="20"/>
        <v>0</v>
      </c>
      <c r="W52" s="49">
        <f t="shared" si="21"/>
        <v>7.0405456780705047E-2</v>
      </c>
      <c r="X52" s="44">
        <f t="shared" si="22"/>
        <v>10423.420860089074</v>
      </c>
      <c r="Y52" s="44">
        <f t="shared" si="23"/>
        <v>0</v>
      </c>
      <c r="Z52" s="44">
        <f t="shared" si="24"/>
        <v>88301.275605611547</v>
      </c>
      <c r="AA52" s="50">
        <f t="shared" si="25"/>
        <v>98725.780860089071</v>
      </c>
      <c r="AB52" s="51">
        <f t="shared" si="26"/>
        <v>82547.700855951698</v>
      </c>
      <c r="AC52" s="44">
        <f t="shared" si="27"/>
        <v>92292.961447217967</v>
      </c>
      <c r="AD52" s="44">
        <f t="shared" si="28"/>
        <v>0</v>
      </c>
      <c r="AE52" s="44">
        <f t="shared" si="29"/>
        <v>0</v>
      </c>
      <c r="AF52" s="52">
        <f>HLOOKUP(I52,GasAvoidedCostsWOCC!$A$5:$G$50,G52+1,FALSE)</f>
        <v>27.444232870165703</v>
      </c>
      <c r="AG52" s="44">
        <f t="shared" si="30"/>
        <v>60887.500603420929</v>
      </c>
      <c r="AH52" s="52">
        <f>HLOOKUP(I52,GasAvoidedCostsWOCC!$A$5:$Q$50,T52+1,FALSE)</f>
        <v>27.444232870165703</v>
      </c>
      <c r="AI52" s="44">
        <f t="shared" si="31"/>
        <v>0</v>
      </c>
      <c r="AJ52" s="44">
        <f t="shared" si="32"/>
        <v>60887.500603420929</v>
      </c>
      <c r="AK52" s="44">
        <f>HLOOKUP(I52,GasAvoidedCostsWOCC!$A$5:$Q$50,G52+1,FALSE)*J52*L52</f>
        <v>0</v>
      </c>
      <c r="AL52" s="44">
        <f t="shared" si="33"/>
        <v>60887.500603420929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60887.500603420929</v>
      </c>
      <c r="AN52" s="48">
        <f t="shared" si="34"/>
        <v>66976.250663763029</v>
      </c>
      <c r="AO52" s="47">
        <f t="shared" si="35"/>
        <v>0.73760383356614023</v>
      </c>
      <c r="AP52" s="47">
        <f t="shared" si="36"/>
        <v>0.72569185790041546</v>
      </c>
      <c r="AQ52">
        <v>2020</v>
      </c>
    </row>
    <row r="53" spans="2:43">
      <c r="B53" s="97" t="s">
        <v>108</v>
      </c>
      <c r="C53" s="100">
        <v>18230678</v>
      </c>
      <c r="D53" s="100" t="s">
        <v>109</v>
      </c>
      <c r="E53" s="38" t="s">
        <v>2492</v>
      </c>
      <c r="F53" s="39" t="s">
        <v>1525</v>
      </c>
      <c r="G53" s="39">
        <v>25</v>
      </c>
      <c r="H53" s="39"/>
      <c r="I53" s="40" t="s">
        <v>269</v>
      </c>
      <c r="J53" s="41">
        <v>1536</v>
      </c>
      <c r="K53" s="41">
        <v>0.01</v>
      </c>
      <c r="L53" s="41"/>
      <c r="M53" s="42">
        <v>2.0299999999999998</v>
      </c>
      <c r="N53" s="42">
        <v>2.0299999999999998</v>
      </c>
      <c r="O53" s="43">
        <v>15.36</v>
      </c>
      <c r="P53" s="44">
        <v>4053.5</v>
      </c>
      <c r="Q53" s="44">
        <v>4053.5</v>
      </c>
      <c r="R53" s="45">
        <v>0</v>
      </c>
      <c r="S53" s="46">
        <v>0</v>
      </c>
      <c r="T53" s="39">
        <f t="shared" si="18"/>
        <v>25</v>
      </c>
      <c r="U53" s="47">
        <f t="shared" si="19"/>
        <v>1.2185980917515511E-2</v>
      </c>
      <c r="V53" s="48">
        <f t="shared" si="20"/>
        <v>0</v>
      </c>
      <c r="W53" s="49">
        <f t="shared" si="21"/>
        <v>4.8743923670062041E-4</v>
      </c>
      <c r="X53" s="44">
        <f t="shared" si="22"/>
        <v>72.164638085887063</v>
      </c>
      <c r="Y53" s="44">
        <f t="shared" si="23"/>
        <v>0</v>
      </c>
      <c r="Z53" s="44">
        <f t="shared" si="24"/>
        <v>611.33764837225146</v>
      </c>
      <c r="AA53" s="50">
        <f t="shared" si="25"/>
        <v>4125.6646380858874</v>
      </c>
      <c r="AB53" s="51">
        <f t="shared" si="26"/>
        <v>571.50383132864488</v>
      </c>
      <c r="AC53" s="44">
        <f t="shared" si="27"/>
        <v>3856.8427017723538</v>
      </c>
      <c r="AD53" s="44">
        <f t="shared" si="28"/>
        <v>0</v>
      </c>
      <c r="AE53" s="44">
        <f t="shared" si="29"/>
        <v>0</v>
      </c>
      <c r="AF53" s="52">
        <f>HLOOKUP(I53,GasAvoidedCostsWOCC!$A$5:$G$50,G53+1,FALSE)</f>
        <v>16.472554524074432</v>
      </c>
      <c r="AG53" s="44">
        <f t="shared" si="30"/>
        <v>253.01843748978328</v>
      </c>
      <c r="AH53" s="52">
        <f>HLOOKUP(I53,GasAvoidedCostsWOCC!$A$5:$Q$50,T53+1,FALSE)</f>
        <v>16.472554524074432</v>
      </c>
      <c r="AI53" s="44">
        <f t="shared" si="31"/>
        <v>0</v>
      </c>
      <c r="AJ53" s="44">
        <f t="shared" si="32"/>
        <v>253.01843748978328</v>
      </c>
      <c r="AK53" s="44">
        <f>HLOOKUP(I53,GasAvoidedCostsWOCC!$A$5:$Q$50,G53+1,FALSE)*J53*L53</f>
        <v>0</v>
      </c>
      <c r="AL53" s="44">
        <f t="shared" si="33"/>
        <v>253.01843748978328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253.01843748978325</v>
      </c>
      <c r="AN53" s="48">
        <f t="shared" si="34"/>
        <v>278.32028123876159</v>
      </c>
      <c r="AO53" s="47">
        <f t="shared" si="35"/>
        <v>0.44272395672581988</v>
      </c>
      <c r="AP53" s="47">
        <f t="shared" si="36"/>
        <v>7.2162725514023099E-2</v>
      </c>
      <c r="AQ53">
        <v>2020</v>
      </c>
    </row>
    <row r="54" spans="2:43">
      <c r="B54" s="97" t="s">
        <v>108</v>
      </c>
      <c r="C54" s="100">
        <v>18230678</v>
      </c>
      <c r="D54" s="100" t="s">
        <v>109</v>
      </c>
      <c r="E54" s="38" t="s">
        <v>2494</v>
      </c>
      <c r="F54" s="39" t="s">
        <v>1529</v>
      </c>
      <c r="G54" s="39">
        <v>45</v>
      </c>
      <c r="H54" s="39"/>
      <c r="I54" s="40" t="s">
        <v>269</v>
      </c>
      <c r="J54" s="41">
        <v>1488</v>
      </c>
      <c r="K54" s="41">
        <v>0.09</v>
      </c>
      <c r="L54" s="41"/>
      <c r="M54" s="42">
        <v>2.4300000000000002</v>
      </c>
      <c r="N54" s="42">
        <v>2.4300000000000002</v>
      </c>
      <c r="O54" s="43">
        <v>133.91999999999999</v>
      </c>
      <c r="P54" s="44">
        <v>4481.09</v>
      </c>
      <c r="Q54" s="44">
        <v>4481.09</v>
      </c>
      <c r="R54" s="45">
        <v>0</v>
      </c>
      <c r="S54" s="46">
        <v>0</v>
      </c>
      <c r="T54" s="39">
        <f t="shared" si="18"/>
        <v>45</v>
      </c>
      <c r="U54" s="47">
        <f t="shared" si="19"/>
        <v>0.19124373802425904</v>
      </c>
      <c r="V54" s="48">
        <f t="shared" si="20"/>
        <v>0</v>
      </c>
      <c r="W54" s="49">
        <f t="shared" si="21"/>
        <v>4.2498608449835339E-3</v>
      </c>
      <c r="X54" s="44">
        <f t="shared" si="22"/>
        <v>629.18543831132774</v>
      </c>
      <c r="Y54" s="44">
        <f t="shared" si="23"/>
        <v>0</v>
      </c>
      <c r="Z54" s="44">
        <f t="shared" si="24"/>
        <v>5330.1001217455669</v>
      </c>
      <c r="AA54" s="50">
        <f t="shared" si="25"/>
        <v>5110.2754383113279</v>
      </c>
      <c r="AB54" s="51">
        <f t="shared" si="26"/>
        <v>4982.7990293966222</v>
      </c>
      <c r="AC54" s="44">
        <f t="shared" si="27"/>
        <v>4777.2977828468984</v>
      </c>
      <c r="AD54" s="44">
        <f t="shared" si="28"/>
        <v>0</v>
      </c>
      <c r="AE54" s="44">
        <f t="shared" si="29"/>
        <v>0</v>
      </c>
      <c r="AF54" s="52">
        <f>HLOOKUP(I54,GasAvoidedCostsWOCC!$A$5:$G$50,G54+1,FALSE)</f>
        <v>27.444232870165703</v>
      </c>
      <c r="AG54" s="44">
        <f t="shared" si="30"/>
        <v>3675.3316659725906</v>
      </c>
      <c r="AH54" s="52">
        <f>HLOOKUP(I54,GasAvoidedCostsWOCC!$A$5:$Q$50,T54+1,FALSE)</f>
        <v>27.444232870165703</v>
      </c>
      <c r="AI54" s="44">
        <f t="shared" si="31"/>
        <v>0</v>
      </c>
      <c r="AJ54" s="44">
        <f t="shared" si="32"/>
        <v>3675.3316659725906</v>
      </c>
      <c r="AK54" s="44">
        <f>HLOOKUP(I54,GasAvoidedCostsWOCC!$A$5:$Q$50,G54+1,FALSE)*J54*L54</f>
        <v>0</v>
      </c>
      <c r="AL54" s="44">
        <f t="shared" si="33"/>
        <v>3675.3316659725906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3675.3316659725911</v>
      </c>
      <c r="AN54" s="48">
        <f t="shared" si="34"/>
        <v>4042.8648325698505</v>
      </c>
      <c r="AO54" s="47">
        <f t="shared" si="35"/>
        <v>0.73760383356614023</v>
      </c>
      <c r="AP54" s="47">
        <f t="shared" si="36"/>
        <v>0.84626603078542384</v>
      </c>
      <c r="AQ54">
        <v>2020</v>
      </c>
    </row>
    <row r="55" spans="2:43">
      <c r="B55" s="97" t="s">
        <v>108</v>
      </c>
      <c r="C55" s="100">
        <v>18230678</v>
      </c>
      <c r="D55" s="100" t="s">
        <v>109</v>
      </c>
      <c r="E55" s="38" t="s">
        <v>2496</v>
      </c>
      <c r="F55" s="39" t="s">
        <v>1533</v>
      </c>
      <c r="G55" s="39">
        <v>45</v>
      </c>
      <c r="H55" s="39"/>
      <c r="I55" s="40" t="s">
        <v>269</v>
      </c>
      <c r="J55" s="41">
        <v>6386</v>
      </c>
      <c r="K55" s="41">
        <v>0.02</v>
      </c>
      <c r="L55" s="41"/>
      <c r="M55" s="42">
        <v>1.59</v>
      </c>
      <c r="N55" s="42">
        <v>1.59</v>
      </c>
      <c r="O55" s="43">
        <v>127.72</v>
      </c>
      <c r="P55" s="44">
        <v>13199.87</v>
      </c>
      <c r="Q55" s="44">
        <v>13199.87</v>
      </c>
      <c r="R55" s="45">
        <v>0</v>
      </c>
      <c r="S55" s="46">
        <v>0</v>
      </c>
      <c r="T55" s="39">
        <f t="shared" si="18"/>
        <v>45</v>
      </c>
      <c r="U55" s="47">
        <f t="shared" si="19"/>
        <v>0.18238986126387668</v>
      </c>
      <c r="V55" s="48">
        <f t="shared" si="20"/>
        <v>0</v>
      </c>
      <c r="W55" s="49">
        <f t="shared" si="21"/>
        <v>4.0531080280861486E-3</v>
      </c>
      <c r="X55" s="44">
        <f t="shared" si="22"/>
        <v>600.05648283395158</v>
      </c>
      <c r="Y55" s="44">
        <f t="shared" si="23"/>
        <v>0</v>
      </c>
      <c r="Z55" s="44">
        <f t="shared" si="24"/>
        <v>5083.3362272203103</v>
      </c>
      <c r="AA55" s="50">
        <f t="shared" si="25"/>
        <v>13799.926482833953</v>
      </c>
      <c r="AB55" s="51">
        <f t="shared" si="26"/>
        <v>4752.113889146779</v>
      </c>
      <c r="AC55" s="44">
        <f t="shared" si="27"/>
        <v>12900.744585242546</v>
      </c>
      <c r="AD55" s="44">
        <f t="shared" si="28"/>
        <v>0</v>
      </c>
      <c r="AE55" s="44">
        <f t="shared" si="29"/>
        <v>0</v>
      </c>
      <c r="AF55" s="52">
        <f>HLOOKUP(I55,GasAvoidedCostsWOCC!$A$5:$G$50,G55+1,FALSE)</f>
        <v>27.444232870165703</v>
      </c>
      <c r="AG55" s="44">
        <f t="shared" si="30"/>
        <v>3505.1774221775636</v>
      </c>
      <c r="AH55" s="52">
        <f>HLOOKUP(I55,GasAvoidedCostsWOCC!$A$5:$Q$50,T55+1,FALSE)</f>
        <v>27.444232870165703</v>
      </c>
      <c r="AI55" s="44">
        <f t="shared" si="31"/>
        <v>0</v>
      </c>
      <c r="AJ55" s="44">
        <f t="shared" si="32"/>
        <v>3505.1774221775636</v>
      </c>
      <c r="AK55" s="44">
        <f>HLOOKUP(I55,GasAvoidedCostsWOCC!$A$5:$Q$50,G55+1,FALSE)*J55*L55</f>
        <v>0</v>
      </c>
      <c r="AL55" s="44">
        <f t="shared" si="33"/>
        <v>3505.1774221775636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3505.1774221775636</v>
      </c>
      <c r="AN55" s="48">
        <f t="shared" si="34"/>
        <v>3855.6951643953203</v>
      </c>
      <c r="AO55" s="47">
        <f t="shared" si="35"/>
        <v>0.73760383356614012</v>
      </c>
      <c r="AP55" s="47">
        <f t="shared" si="36"/>
        <v>0.29887384708057374</v>
      </c>
      <c r="AQ55">
        <v>2020</v>
      </c>
    </row>
    <row r="56" spans="2:43">
      <c r="B56" s="97" t="s">
        <v>108</v>
      </c>
      <c r="C56" s="100">
        <v>18230678</v>
      </c>
      <c r="D56" s="100" t="s">
        <v>109</v>
      </c>
      <c r="E56" s="38" t="s">
        <v>2513</v>
      </c>
      <c r="F56" s="39" t="s">
        <v>2514</v>
      </c>
      <c r="G56" s="39">
        <v>25</v>
      </c>
      <c r="H56" s="39"/>
      <c r="I56" s="40" t="s">
        <v>269</v>
      </c>
      <c r="J56" s="41">
        <v>1426</v>
      </c>
      <c r="K56" s="41">
        <v>0.01</v>
      </c>
      <c r="L56" s="41"/>
      <c r="M56" s="42">
        <v>1.1499999999999999</v>
      </c>
      <c r="N56" s="42">
        <v>1.1499999999999999</v>
      </c>
      <c r="O56" s="43">
        <v>14.26</v>
      </c>
      <c r="P56" s="44">
        <v>2131.87</v>
      </c>
      <c r="Q56" s="44">
        <v>2131.87</v>
      </c>
      <c r="R56" s="45">
        <v>0</v>
      </c>
      <c r="S56" s="46">
        <v>0</v>
      </c>
      <c r="T56" s="39">
        <f t="shared" si="18"/>
        <v>25</v>
      </c>
      <c r="U56" s="47">
        <f t="shared" si="19"/>
        <v>1.1313286971599685E-2</v>
      </c>
      <c r="V56" s="48">
        <f t="shared" si="20"/>
        <v>0</v>
      </c>
      <c r="W56" s="49">
        <f t="shared" si="21"/>
        <v>4.5253147886398741E-4</v>
      </c>
      <c r="X56" s="44">
        <f t="shared" si="22"/>
        <v>66.996597597965462</v>
      </c>
      <c r="Y56" s="44">
        <f t="shared" si="23"/>
        <v>0</v>
      </c>
      <c r="Z56" s="44">
        <f t="shared" si="24"/>
        <v>567.55695740809279</v>
      </c>
      <c r="AA56" s="50">
        <f t="shared" si="25"/>
        <v>2198.8665975979652</v>
      </c>
      <c r="AB56" s="51">
        <f t="shared" si="26"/>
        <v>530.57582257464026</v>
      </c>
      <c r="AC56" s="44">
        <f t="shared" si="27"/>
        <v>2055.591845936211</v>
      </c>
      <c r="AD56" s="44">
        <f t="shared" si="28"/>
        <v>0</v>
      </c>
      <c r="AE56" s="44">
        <f t="shared" si="29"/>
        <v>0</v>
      </c>
      <c r="AF56" s="52">
        <f>HLOOKUP(I56,GasAvoidedCostsWOCC!$A$5:$G$50,G56+1,FALSE)</f>
        <v>16.472554524074432</v>
      </c>
      <c r="AG56" s="44">
        <f t="shared" si="30"/>
        <v>234.89862751330139</v>
      </c>
      <c r="AH56" s="52">
        <f>HLOOKUP(I56,GasAvoidedCostsWOCC!$A$5:$Q$50,T56+1,FALSE)</f>
        <v>16.472554524074432</v>
      </c>
      <c r="AI56" s="44">
        <f t="shared" si="31"/>
        <v>0</v>
      </c>
      <c r="AJ56" s="44">
        <f t="shared" si="32"/>
        <v>234.89862751330139</v>
      </c>
      <c r="AK56" s="44">
        <f>HLOOKUP(I56,GasAvoidedCostsWOCC!$A$5:$Q$50,G56+1,FALSE)*J56*L56</f>
        <v>0</v>
      </c>
      <c r="AL56" s="44">
        <f t="shared" si="33"/>
        <v>234.89862751330139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234.89862751330139</v>
      </c>
      <c r="AN56" s="48">
        <f t="shared" si="34"/>
        <v>258.38849026463157</v>
      </c>
      <c r="AO56" s="47">
        <f t="shared" si="35"/>
        <v>0.44272395672581999</v>
      </c>
      <c r="AP56" s="47">
        <f t="shared" si="36"/>
        <v>0.12570028956645796</v>
      </c>
      <c r="AQ56">
        <v>2020</v>
      </c>
    </row>
    <row r="57" spans="2:43">
      <c r="B57" s="97" t="s">
        <v>108</v>
      </c>
      <c r="C57" s="100">
        <v>18230678</v>
      </c>
      <c r="D57" s="100" t="s">
        <v>109</v>
      </c>
      <c r="E57" s="38" t="s">
        <v>2517</v>
      </c>
      <c r="F57" s="39" t="s">
        <v>2518</v>
      </c>
      <c r="G57" s="39">
        <v>15</v>
      </c>
      <c r="H57" s="39"/>
      <c r="I57" s="40" t="s">
        <v>269</v>
      </c>
      <c r="J57" s="41">
        <v>16396</v>
      </c>
      <c r="K57" s="41">
        <v>0.02</v>
      </c>
      <c r="L57" s="41"/>
      <c r="M57" s="42">
        <v>1.32</v>
      </c>
      <c r="N57" s="42">
        <v>1.32</v>
      </c>
      <c r="O57" s="43">
        <v>327.92</v>
      </c>
      <c r="P57" s="44">
        <v>26809.91</v>
      </c>
      <c r="Q57" s="44">
        <v>26809.91</v>
      </c>
      <c r="R57" s="45">
        <v>0</v>
      </c>
      <c r="S57" s="46">
        <v>0</v>
      </c>
      <c r="T57" s="39">
        <f t="shared" si="18"/>
        <v>15</v>
      </c>
      <c r="U57" s="47">
        <f t="shared" si="19"/>
        <v>0.15609479931530026</v>
      </c>
      <c r="V57" s="48">
        <f t="shared" si="20"/>
        <v>0</v>
      </c>
      <c r="W57" s="49">
        <f t="shared" si="21"/>
        <v>1.040631995435335E-2</v>
      </c>
      <c r="X57" s="44">
        <f t="shared" si="22"/>
        <v>1540.6398516356828</v>
      </c>
      <c r="Y57" s="44">
        <f t="shared" si="23"/>
        <v>0</v>
      </c>
      <c r="Z57" s="44">
        <f t="shared" si="24"/>
        <v>13051.42198269718</v>
      </c>
      <c r="AA57" s="50">
        <f t="shared" si="25"/>
        <v>28350.549851635682</v>
      </c>
      <c r="AB57" s="51">
        <f t="shared" si="26"/>
        <v>12201.011482375599</v>
      </c>
      <c r="AC57" s="44">
        <f t="shared" si="27"/>
        <v>26503.271806708122</v>
      </c>
      <c r="AD57" s="44">
        <f t="shared" si="28"/>
        <v>0</v>
      </c>
      <c r="AE57" s="44">
        <f t="shared" si="29"/>
        <v>0</v>
      </c>
      <c r="AF57" s="52">
        <f>HLOOKUP(I57,GasAvoidedCostsWOCC!$A$5:$G$50,G57+1,FALSE)</f>
        <v>10.768151117636117</v>
      </c>
      <c r="AG57" s="44">
        <f t="shared" si="30"/>
        <v>3531.0921144952358</v>
      </c>
      <c r="AH57" s="52">
        <f>HLOOKUP(I57,GasAvoidedCostsWOCC!$A$5:$Q$50,T57+1,FALSE)</f>
        <v>10.768151117636117</v>
      </c>
      <c r="AI57" s="44">
        <f t="shared" si="31"/>
        <v>0</v>
      </c>
      <c r="AJ57" s="44">
        <f t="shared" si="32"/>
        <v>3531.0921144952358</v>
      </c>
      <c r="AK57" s="44">
        <f>HLOOKUP(I57,GasAvoidedCostsWOCC!$A$5:$Q$50,G57+1,FALSE)*J57*L57</f>
        <v>0</v>
      </c>
      <c r="AL57" s="44">
        <f t="shared" si="33"/>
        <v>3531.0921144952358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3531.0921144952354</v>
      </c>
      <c r="AN57" s="48">
        <f t="shared" si="34"/>
        <v>3884.201325944759</v>
      </c>
      <c r="AO57" s="47">
        <f t="shared" si="35"/>
        <v>0.28940978537688528</v>
      </c>
      <c r="AP57" s="47">
        <f t="shared" si="36"/>
        <v>0.14655554054883316</v>
      </c>
      <c r="AQ57">
        <v>2020</v>
      </c>
    </row>
    <row r="58" spans="2:43">
      <c r="B58" s="97" t="s">
        <v>108</v>
      </c>
      <c r="C58" s="100">
        <v>18230678</v>
      </c>
      <c r="D58" s="100" t="s">
        <v>109</v>
      </c>
      <c r="E58" s="38" t="s">
        <v>1594</v>
      </c>
      <c r="F58" s="39" t="s">
        <v>1595</v>
      </c>
      <c r="G58" s="39">
        <v>15</v>
      </c>
      <c r="H58" s="39"/>
      <c r="I58" s="40" t="s">
        <v>265</v>
      </c>
      <c r="J58" s="41">
        <v>1</v>
      </c>
      <c r="K58" s="41">
        <v>0.84</v>
      </c>
      <c r="L58" s="41"/>
      <c r="M58" s="42">
        <v>20</v>
      </c>
      <c r="N58" s="42">
        <v>20</v>
      </c>
      <c r="O58" s="43">
        <v>0.84</v>
      </c>
      <c r="P58" s="44">
        <v>26</v>
      </c>
      <c r="Q58" s="44">
        <v>26</v>
      </c>
      <c r="R58" s="45">
        <v>0</v>
      </c>
      <c r="S58" s="46">
        <v>0</v>
      </c>
      <c r="T58" s="39">
        <f t="shared" si="18"/>
        <v>15</v>
      </c>
      <c r="U58" s="47">
        <f t="shared" si="19"/>
        <v>3.9985249885597765E-4</v>
      </c>
      <c r="V58" s="48">
        <f t="shared" si="20"/>
        <v>0</v>
      </c>
      <c r="W58" s="49">
        <f t="shared" si="21"/>
        <v>2.6656833257065178E-5</v>
      </c>
      <c r="X58" s="44">
        <f t="shared" si="22"/>
        <v>3.9465036453219482</v>
      </c>
      <c r="Y58" s="44">
        <f t="shared" si="23"/>
        <v>0</v>
      </c>
      <c r="Z58" s="44">
        <f t="shared" si="24"/>
        <v>33.432527645357496</v>
      </c>
      <c r="AA58" s="50">
        <f t="shared" si="25"/>
        <v>29.946503645321947</v>
      </c>
      <c r="AB58" s="51">
        <f t="shared" si="26"/>
        <v>31.254115775785259</v>
      </c>
      <c r="AC58" s="44">
        <f t="shared" si="27"/>
        <v>27.995235715922171</v>
      </c>
      <c r="AD58" s="44">
        <f t="shared" si="28"/>
        <v>0</v>
      </c>
      <c r="AE58" s="44">
        <f t="shared" si="29"/>
        <v>0</v>
      </c>
      <c r="AF58" s="52">
        <f>HLOOKUP(I58,GasAvoidedCostsWOCC!$A$5:$G$50,G58+1,FALSE)</f>
        <v>10.206458422347051</v>
      </c>
      <c r="AG58" s="44">
        <f t="shared" si="30"/>
        <v>8.5734250747715226</v>
      </c>
      <c r="AH58" s="52">
        <f>HLOOKUP(I58,GasAvoidedCostsWOCC!$A$5:$Q$50,T58+1,FALSE)</f>
        <v>10.206458422347051</v>
      </c>
      <c r="AI58" s="44">
        <f t="shared" si="31"/>
        <v>0</v>
      </c>
      <c r="AJ58" s="44">
        <f t="shared" si="32"/>
        <v>8.5734250747715226</v>
      </c>
      <c r="AK58" s="44">
        <f>HLOOKUP(I58,GasAvoidedCostsWOCC!$A$5:$Q$50,G58+1,FALSE)*J58*L58</f>
        <v>0</v>
      </c>
      <c r="AL58" s="44">
        <f t="shared" si="33"/>
        <v>8.5734250747715226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8.5734250747715226</v>
      </c>
      <c r="AN58" s="48">
        <f t="shared" si="34"/>
        <v>9.4307675822486754</v>
      </c>
      <c r="AO58" s="47">
        <f t="shared" si="35"/>
        <v>0.27431347398456724</v>
      </c>
      <c r="AP58" s="47">
        <f t="shared" si="36"/>
        <v>0.33687044745563499</v>
      </c>
      <c r="AQ58">
        <v>2020</v>
      </c>
    </row>
    <row r="59" spans="2:43">
      <c r="B59" s="97" t="s">
        <v>108</v>
      </c>
      <c r="C59" s="100">
        <v>18230678</v>
      </c>
      <c r="D59" s="100" t="s">
        <v>109</v>
      </c>
      <c r="E59" s="38" t="s">
        <v>1598</v>
      </c>
      <c r="F59" s="39" t="s">
        <v>1599</v>
      </c>
      <c r="G59" s="39">
        <v>15</v>
      </c>
      <c r="H59" s="39"/>
      <c r="I59" s="40" t="s">
        <v>265</v>
      </c>
      <c r="J59" s="41">
        <v>7</v>
      </c>
      <c r="K59" s="41">
        <v>0.84</v>
      </c>
      <c r="L59" s="41"/>
      <c r="M59" s="42">
        <v>20</v>
      </c>
      <c r="N59" s="42">
        <v>20</v>
      </c>
      <c r="O59" s="43">
        <v>5.88</v>
      </c>
      <c r="P59" s="44">
        <v>182</v>
      </c>
      <c r="Q59" s="44">
        <v>182</v>
      </c>
      <c r="R59" s="45">
        <v>0</v>
      </c>
      <c r="S59" s="46">
        <v>0</v>
      </c>
      <c r="T59" s="39">
        <f t="shared" si="18"/>
        <v>15</v>
      </c>
      <c r="U59" s="47">
        <f t="shared" si="19"/>
        <v>2.7989674919918438E-3</v>
      </c>
      <c r="V59" s="48">
        <f t="shared" si="20"/>
        <v>0</v>
      </c>
      <c r="W59" s="49">
        <f t="shared" si="21"/>
        <v>1.8659783279945626E-4</v>
      </c>
      <c r="X59" s="44">
        <f t="shared" si="22"/>
        <v>27.625525517253639</v>
      </c>
      <c r="Y59" s="44">
        <f t="shared" si="23"/>
        <v>0</v>
      </c>
      <c r="Z59" s="44">
        <f t="shared" si="24"/>
        <v>234.02769351750251</v>
      </c>
      <c r="AA59" s="50">
        <f t="shared" si="25"/>
        <v>209.62552551725364</v>
      </c>
      <c r="AB59" s="51">
        <f t="shared" si="26"/>
        <v>218.77881043049686</v>
      </c>
      <c r="AC59" s="44">
        <f t="shared" si="27"/>
        <v>195.96665001145519</v>
      </c>
      <c r="AD59" s="44">
        <f t="shared" si="28"/>
        <v>0</v>
      </c>
      <c r="AE59" s="44">
        <f t="shared" si="29"/>
        <v>0</v>
      </c>
      <c r="AF59" s="52">
        <f>HLOOKUP(I59,GasAvoidedCostsWOCC!$A$5:$G$50,G59+1,FALSE)</f>
        <v>10.206458422347051</v>
      </c>
      <c r="AG59" s="44">
        <f t="shared" si="30"/>
        <v>60.013975523400653</v>
      </c>
      <c r="AH59" s="52">
        <f>HLOOKUP(I59,GasAvoidedCostsWOCC!$A$5:$Q$50,T59+1,FALSE)</f>
        <v>10.206458422347051</v>
      </c>
      <c r="AI59" s="44">
        <f t="shared" si="31"/>
        <v>0</v>
      </c>
      <c r="AJ59" s="44">
        <f t="shared" si="32"/>
        <v>60.013975523400653</v>
      </c>
      <c r="AK59" s="44">
        <f>HLOOKUP(I59,GasAvoidedCostsWOCC!$A$5:$Q$50,G59+1,FALSE)*J59*L59</f>
        <v>0</v>
      </c>
      <c r="AL59" s="44">
        <f t="shared" si="33"/>
        <v>60.013975523400653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60.01397552340066</v>
      </c>
      <c r="AN59" s="48">
        <f t="shared" si="34"/>
        <v>66.015373075740726</v>
      </c>
      <c r="AO59" s="47">
        <f t="shared" si="35"/>
        <v>0.27431347398456718</v>
      </c>
      <c r="AP59" s="47">
        <f t="shared" si="36"/>
        <v>0.33687044745563499</v>
      </c>
      <c r="AQ59">
        <v>2020</v>
      </c>
    </row>
    <row r="60" spans="2:43">
      <c r="B60" s="97" t="s">
        <v>108</v>
      </c>
      <c r="C60" s="100">
        <v>18230678</v>
      </c>
      <c r="D60" s="100" t="s">
        <v>109</v>
      </c>
      <c r="E60" s="38" t="s">
        <v>2531</v>
      </c>
      <c r="F60" s="39" t="s">
        <v>1615</v>
      </c>
      <c r="G60" s="39">
        <v>45</v>
      </c>
      <c r="H60" s="39"/>
      <c r="I60" s="40" t="s">
        <v>269</v>
      </c>
      <c r="J60" s="41">
        <v>1883</v>
      </c>
      <c r="K60" s="41">
        <v>0.1</v>
      </c>
      <c r="L60" s="41"/>
      <c r="M60" s="42">
        <v>2.4300000000000002</v>
      </c>
      <c r="N60" s="42">
        <v>2.4300000000000002</v>
      </c>
      <c r="O60" s="43">
        <v>188.3</v>
      </c>
      <c r="P60" s="44">
        <v>5711.12</v>
      </c>
      <c r="Q60" s="44">
        <v>5711.12</v>
      </c>
      <c r="R60" s="45">
        <v>0</v>
      </c>
      <c r="S60" s="46">
        <v>0</v>
      </c>
      <c r="T60" s="39">
        <f t="shared" si="18"/>
        <v>45</v>
      </c>
      <c r="U60" s="47">
        <f t="shared" si="19"/>
        <v>0.26890080548064499</v>
      </c>
      <c r="V60" s="48">
        <f t="shared" si="20"/>
        <v>0</v>
      </c>
      <c r="W60" s="49">
        <f t="shared" si="21"/>
        <v>5.9755734551254448E-3</v>
      </c>
      <c r="X60" s="44">
        <f t="shared" si="22"/>
        <v>884.67456715967023</v>
      </c>
      <c r="Y60" s="44">
        <f t="shared" si="23"/>
        <v>0</v>
      </c>
      <c r="Z60" s="44">
        <f t="shared" si="24"/>
        <v>7494.4582805009732</v>
      </c>
      <c r="AA60" s="50">
        <f t="shared" si="25"/>
        <v>6595.7945671596699</v>
      </c>
      <c r="AB60" s="51">
        <f t="shared" si="26"/>
        <v>7006.1309530718636</v>
      </c>
      <c r="AC60" s="44">
        <f t="shared" si="27"/>
        <v>6166.0227794331768</v>
      </c>
      <c r="AD60" s="44">
        <f t="shared" si="28"/>
        <v>0</v>
      </c>
      <c r="AE60" s="44">
        <f t="shared" si="29"/>
        <v>0</v>
      </c>
      <c r="AF60" s="52">
        <f>HLOOKUP(I60,GasAvoidedCostsWOCC!$A$5:$G$50,G60+1,FALSE)</f>
        <v>27.444232870165703</v>
      </c>
      <c r="AG60" s="44">
        <f t="shared" si="30"/>
        <v>5167.7490494522026</v>
      </c>
      <c r="AH60" s="52">
        <f>HLOOKUP(I60,GasAvoidedCostsWOCC!$A$5:$Q$50,T60+1,FALSE)</f>
        <v>27.444232870165703</v>
      </c>
      <c r="AI60" s="44">
        <f t="shared" si="31"/>
        <v>0</v>
      </c>
      <c r="AJ60" s="44">
        <f t="shared" si="32"/>
        <v>5167.7490494522026</v>
      </c>
      <c r="AK60" s="44">
        <f>HLOOKUP(I60,GasAvoidedCostsWOCC!$A$5:$Q$50,G60+1,FALSE)*J60*L60</f>
        <v>0</v>
      </c>
      <c r="AL60" s="44">
        <f t="shared" si="33"/>
        <v>5167.7490494522026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5167.7490494522017</v>
      </c>
      <c r="AN60" s="48">
        <f t="shared" si="34"/>
        <v>5684.5239543974221</v>
      </c>
      <c r="AO60" s="47">
        <f t="shared" si="35"/>
        <v>0.73760383356614012</v>
      </c>
      <c r="AP60" s="47">
        <f t="shared" si="36"/>
        <v>0.92191095585280702</v>
      </c>
      <c r="AQ60">
        <v>2020</v>
      </c>
    </row>
    <row r="61" spans="2:43">
      <c r="B61" s="97" t="s">
        <v>108</v>
      </c>
      <c r="C61" s="100">
        <v>18230678</v>
      </c>
      <c r="D61" s="100" t="s">
        <v>109</v>
      </c>
      <c r="E61" s="38" t="s">
        <v>2532</v>
      </c>
      <c r="F61" s="39" t="s">
        <v>2533</v>
      </c>
      <c r="G61" s="39">
        <v>45</v>
      </c>
      <c r="H61" s="39"/>
      <c r="I61" s="40" t="s">
        <v>269</v>
      </c>
      <c r="J61" s="41">
        <v>33554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485.92</v>
      </c>
      <c r="R61" s="45">
        <v>0</v>
      </c>
      <c r="S61" s="46">
        <v>0</v>
      </c>
      <c r="T61" s="39">
        <f t="shared" si="18"/>
        <v>45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485.92</v>
      </c>
      <c r="Z61" s="44">
        <f t="shared" si="24"/>
        <v>0</v>
      </c>
      <c r="AA61" s="50">
        <f t="shared" si="25"/>
        <v>485.92</v>
      </c>
      <c r="AB61" s="51">
        <f t="shared" si="26"/>
        <v>0</v>
      </c>
      <c r="AC61" s="44">
        <f t="shared" si="27"/>
        <v>454.25820323455173</v>
      </c>
      <c r="AD61" s="44">
        <f t="shared" si="28"/>
        <v>0</v>
      </c>
      <c r="AE61" s="44">
        <f t="shared" si="29"/>
        <v>0</v>
      </c>
      <c r="AF61" s="52">
        <f>HLOOKUP(I61,GasAvoidedCostsWOCC!$A$5:$G$50,G61+1,FALSE)</f>
        <v>27.444232870165703</v>
      </c>
      <c r="AG61" s="44">
        <f t="shared" si="30"/>
        <v>0</v>
      </c>
      <c r="AH61" s="52">
        <f>HLOOKUP(I61,GasAvoidedCostsWOCC!$A$5:$Q$50,T61+1,FALSE)</f>
        <v>27.444232870165703</v>
      </c>
      <c r="AI61" s="44">
        <f t="shared" si="31"/>
        <v>0</v>
      </c>
      <c r="AJ61" s="44">
        <f t="shared" si="32"/>
        <v>0</v>
      </c>
      <c r="AK61" s="44">
        <f>HLOOKUP(I61,GasAvoidedCostsWOCC!$A$5:$Q$50,G61+1,FALSE)*J61*L61</f>
        <v>0</v>
      </c>
      <c r="AL61" s="44">
        <f t="shared" si="3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108</v>
      </c>
      <c r="C62" s="100">
        <v>18230678</v>
      </c>
      <c r="D62" s="100" t="s">
        <v>109</v>
      </c>
      <c r="E62" s="38" t="s">
        <v>2535</v>
      </c>
      <c r="F62" s="39" t="s">
        <v>1619</v>
      </c>
      <c r="G62" s="39">
        <v>45</v>
      </c>
      <c r="H62" s="39"/>
      <c r="I62" s="40" t="s">
        <v>269</v>
      </c>
      <c r="J62" s="41">
        <v>8929</v>
      </c>
      <c r="K62" s="41">
        <v>0.02</v>
      </c>
      <c r="L62" s="41"/>
      <c r="M62" s="42">
        <v>1.82</v>
      </c>
      <c r="N62" s="42">
        <v>1.82</v>
      </c>
      <c r="O62" s="43">
        <v>178.58</v>
      </c>
      <c r="P62" s="44">
        <v>23458.04</v>
      </c>
      <c r="Q62" s="44">
        <v>23458.04</v>
      </c>
      <c r="R62" s="45">
        <v>0</v>
      </c>
      <c r="S62" s="46">
        <v>0</v>
      </c>
      <c r="T62" s="39">
        <f t="shared" si="18"/>
        <v>45</v>
      </c>
      <c r="U62" s="47">
        <f t="shared" si="19"/>
        <v>0.2550202115917875</v>
      </c>
      <c r="V62" s="48">
        <f t="shared" si="20"/>
        <v>0</v>
      </c>
      <c r="W62" s="49">
        <f t="shared" si="21"/>
        <v>5.6671158131508335E-3</v>
      </c>
      <c r="X62" s="44">
        <f t="shared" si="22"/>
        <v>839.00788212094483</v>
      </c>
      <c r="Y62" s="44">
        <f t="shared" si="23"/>
        <v>0</v>
      </c>
      <c r="Z62" s="44">
        <f t="shared" si="24"/>
        <v>7107.5961748904083</v>
      </c>
      <c r="AA62" s="50">
        <f t="shared" si="25"/>
        <v>24297.047882120947</v>
      </c>
      <c r="AB62" s="51">
        <f t="shared" si="26"/>
        <v>6644.4761848092057</v>
      </c>
      <c r="AC62" s="44">
        <f t="shared" si="27"/>
        <v>22713.889765467837</v>
      </c>
      <c r="AD62" s="44">
        <f t="shared" si="28"/>
        <v>0</v>
      </c>
      <c r="AE62" s="44">
        <f t="shared" si="29"/>
        <v>0</v>
      </c>
      <c r="AF62" s="52">
        <f>HLOOKUP(I62,GasAvoidedCostsWOCC!$A$5:$G$50,G62+1,FALSE)</f>
        <v>27.444232870165703</v>
      </c>
      <c r="AG62" s="44">
        <f t="shared" si="30"/>
        <v>4900.991105954191</v>
      </c>
      <c r="AH62" s="52">
        <f>HLOOKUP(I62,GasAvoidedCostsWOCC!$A$5:$Q$50,T62+1,FALSE)</f>
        <v>27.444232870165703</v>
      </c>
      <c r="AI62" s="44">
        <f t="shared" si="31"/>
        <v>0</v>
      </c>
      <c r="AJ62" s="44">
        <f t="shared" si="32"/>
        <v>4900.991105954191</v>
      </c>
      <c r="AK62" s="44">
        <f>HLOOKUP(I62,GasAvoidedCostsWOCC!$A$5:$Q$50,G62+1,FALSE)*J62*L62</f>
        <v>0</v>
      </c>
      <c r="AL62" s="44">
        <f t="shared" si="33"/>
        <v>4900.991105954191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4900.991105954191</v>
      </c>
      <c r="AN62" s="48">
        <f t="shared" si="34"/>
        <v>5391.0902165496109</v>
      </c>
      <c r="AO62" s="47">
        <f t="shared" si="35"/>
        <v>0.73760383356614012</v>
      </c>
      <c r="AP62" s="47">
        <f t="shared" si="36"/>
        <v>0.23734773181587512</v>
      </c>
      <c r="AQ62">
        <v>2020</v>
      </c>
    </row>
    <row r="63" spans="2:43">
      <c r="B63" s="97" t="s">
        <v>108</v>
      </c>
      <c r="C63" s="100">
        <v>18230678</v>
      </c>
      <c r="D63" s="100" t="s">
        <v>109</v>
      </c>
      <c r="E63" s="38" t="s">
        <v>2540</v>
      </c>
      <c r="F63" s="39" t="s">
        <v>2541</v>
      </c>
      <c r="G63" s="39">
        <v>15</v>
      </c>
      <c r="H63" s="39"/>
      <c r="I63" s="40" t="s">
        <v>267</v>
      </c>
      <c r="J63" s="41">
        <v>38</v>
      </c>
      <c r="K63" s="41"/>
      <c r="L63" s="41"/>
      <c r="M63" s="42"/>
      <c r="N63" s="42"/>
      <c r="O63" s="43">
        <v>0</v>
      </c>
      <c r="P63" s="44">
        <v>0</v>
      </c>
      <c r="Q63" s="44">
        <v>0</v>
      </c>
      <c r="R63" s="45"/>
      <c r="S63" s="46"/>
      <c r="T63" s="39">
        <f t="shared" si="18"/>
        <v>15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  <c r="AQ63">
        <v>2020</v>
      </c>
    </row>
    <row r="64" spans="2:43">
      <c r="B64" s="97" t="s">
        <v>108</v>
      </c>
      <c r="C64" s="100">
        <v>18230678</v>
      </c>
      <c r="D64" s="100" t="s">
        <v>109</v>
      </c>
      <c r="E64" s="38" t="s">
        <v>2542</v>
      </c>
      <c r="F64" s="39" t="s">
        <v>2543</v>
      </c>
      <c r="G64" s="39">
        <v>1</v>
      </c>
      <c r="H64" s="39"/>
      <c r="I64" s="40" t="s">
        <v>269</v>
      </c>
      <c r="J64" s="41">
        <v>1</v>
      </c>
      <c r="K64" s="41">
        <v>0</v>
      </c>
      <c r="L64" s="41"/>
      <c r="M64" s="42"/>
      <c r="N64" s="42"/>
      <c r="O64" s="43">
        <v>0</v>
      </c>
      <c r="P64" s="44">
        <v>0</v>
      </c>
      <c r="Q64" s="44">
        <v>0</v>
      </c>
      <c r="R64" s="45">
        <v>0</v>
      </c>
      <c r="S64" s="46">
        <v>0</v>
      </c>
      <c r="T64" s="39">
        <f t="shared" si="18"/>
        <v>1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>
        <f>HLOOKUP(I64,GasAvoidedCostsWOCC!$A$5:$G$50,G64+1,FALSE)</f>
        <v>0.87909634590853636</v>
      </c>
      <c r="AG64" s="44">
        <f t="shared" si="30"/>
        <v>0</v>
      </c>
      <c r="AH64" s="52">
        <f>HLOOKUP(I64,GasAvoidedCostsWOCC!$A$5:$Q$50,T64+1,FALSE)</f>
        <v>0.87909634590853636</v>
      </c>
      <c r="AI64" s="44">
        <f t="shared" si="31"/>
        <v>0</v>
      </c>
      <c r="AJ64" s="44">
        <f t="shared" si="32"/>
        <v>0</v>
      </c>
      <c r="AK64" s="44">
        <f>HLOOKUP(I64,GasAvoidedCostsWOCC!$A$5:$Q$50,G64+1,FALSE)*J64*L64</f>
        <v>0</v>
      </c>
      <c r="AL64" s="44">
        <f t="shared" si="3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  <c r="AQ64">
        <v>2020</v>
      </c>
    </row>
    <row r="65" spans="2:43">
      <c r="B65" s="97" t="s">
        <v>108</v>
      </c>
      <c r="C65" s="100">
        <v>18230678</v>
      </c>
      <c r="D65" s="100" t="s">
        <v>109</v>
      </c>
      <c r="E65" s="38" t="s">
        <v>1632</v>
      </c>
      <c r="F65" s="39" t="s">
        <v>1633</v>
      </c>
      <c r="G65" s="39">
        <v>1</v>
      </c>
      <c r="H65" s="39"/>
      <c r="I65" s="40" t="s">
        <v>269</v>
      </c>
      <c r="J65" s="41">
        <v>5</v>
      </c>
      <c r="K65" s="41"/>
      <c r="L65" s="41"/>
      <c r="M65" s="42"/>
      <c r="N65" s="42"/>
      <c r="O65" s="43">
        <v>0</v>
      </c>
      <c r="P65" s="44">
        <v>1305.07</v>
      </c>
      <c r="Q65" s="44">
        <v>1305.07</v>
      </c>
      <c r="R65" s="45"/>
      <c r="S65" s="46"/>
      <c r="T65" s="39">
        <f t="shared" si="18"/>
        <v>1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1305.07</v>
      </c>
      <c r="AB65" s="51">
        <f t="shared" si="26"/>
        <v>0</v>
      </c>
      <c r="AC65" s="44">
        <f t="shared" si="27"/>
        <v>1220.0336542955968</v>
      </c>
      <c r="AD65" s="44">
        <f t="shared" si="28"/>
        <v>0</v>
      </c>
      <c r="AE65" s="44">
        <f t="shared" si="29"/>
        <v>0</v>
      </c>
      <c r="AF65" s="52">
        <f>HLOOKUP(I65,GasAvoidedCostsWOCC!$A$5:$G$50,G65+1,FALSE)</f>
        <v>0.87909634590853636</v>
      </c>
      <c r="AG65" s="44">
        <f t="shared" si="30"/>
        <v>0</v>
      </c>
      <c r="AH65" s="52">
        <f>HLOOKUP(I65,GasAvoidedCostsWOCC!$A$5:$Q$50,T65+1,FALSE)</f>
        <v>0.87909634590853636</v>
      </c>
      <c r="AI65" s="44">
        <f t="shared" si="31"/>
        <v>0</v>
      </c>
      <c r="AJ65" s="44">
        <f t="shared" si="32"/>
        <v>0</v>
      </c>
      <c r="AK65" s="44">
        <f>HLOOKUP(I65,GasAvoidedCostsWOCC!$A$5:$Q$50,G65+1,FALSE)*J65*L65</f>
        <v>0</v>
      </c>
      <c r="AL65" s="44">
        <f t="shared" si="3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>
        <f t="shared" si="36"/>
        <v>0</v>
      </c>
      <c r="AQ65">
        <v>2020</v>
      </c>
    </row>
    <row r="66" spans="2:43">
      <c r="B66" s="97" t="s">
        <v>108</v>
      </c>
      <c r="C66" s="100">
        <v>18230678</v>
      </c>
      <c r="D66" s="100" t="s">
        <v>109</v>
      </c>
      <c r="E66" s="38" t="s">
        <v>1636</v>
      </c>
      <c r="F66" s="39" t="s">
        <v>1637</v>
      </c>
      <c r="G66" s="39">
        <v>1</v>
      </c>
      <c r="H66" s="39"/>
      <c r="I66" s="40" t="s">
        <v>269</v>
      </c>
      <c r="J66" s="41">
        <v>10</v>
      </c>
      <c r="K66" s="41">
        <v>0</v>
      </c>
      <c r="L66" s="41"/>
      <c r="M66" s="42">
        <v>0</v>
      </c>
      <c r="N66" s="42">
        <v>0</v>
      </c>
      <c r="O66" s="43">
        <v>0</v>
      </c>
      <c r="P66" s="44">
        <v>7936.2</v>
      </c>
      <c r="Q66" s="44">
        <v>7936.2</v>
      </c>
      <c r="R66" s="45"/>
      <c r="S66" s="46"/>
      <c r="T66" s="39">
        <f t="shared" si="18"/>
        <v>1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7936.2</v>
      </c>
      <c r="AB66" s="51">
        <f t="shared" si="26"/>
        <v>0</v>
      </c>
      <c r="AC66" s="44">
        <f t="shared" si="27"/>
        <v>7419.0894643357942</v>
      </c>
      <c r="AD66" s="44">
        <f t="shared" si="28"/>
        <v>0</v>
      </c>
      <c r="AE66" s="44">
        <f t="shared" si="29"/>
        <v>0</v>
      </c>
      <c r="AF66" s="52">
        <f>HLOOKUP(I66,GasAvoidedCostsWOCC!$A$5:$G$50,G66+1,FALSE)</f>
        <v>0.87909634590853636</v>
      </c>
      <c r="AG66" s="44">
        <f t="shared" si="30"/>
        <v>0</v>
      </c>
      <c r="AH66" s="52">
        <f>HLOOKUP(I66,GasAvoidedCostsWOCC!$A$5:$Q$50,T66+1,FALSE)</f>
        <v>0.87909634590853636</v>
      </c>
      <c r="AI66" s="44">
        <f t="shared" si="31"/>
        <v>0</v>
      </c>
      <c r="AJ66" s="44">
        <f t="shared" si="32"/>
        <v>0</v>
      </c>
      <c r="AK66" s="44">
        <f>HLOOKUP(I66,GasAvoidedCostsWOCC!$A$5:$Q$50,G66+1,FALSE)*J66*L66</f>
        <v>0</v>
      </c>
      <c r="AL66" s="44">
        <f t="shared" si="33"/>
        <v>0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>
        <f t="shared" si="36"/>
        <v>0</v>
      </c>
      <c r="AQ66">
        <v>2020</v>
      </c>
    </row>
    <row r="67" spans="2:43">
      <c r="B67" s="97" t="s">
        <v>108</v>
      </c>
      <c r="C67" s="100">
        <v>18230678</v>
      </c>
      <c r="D67" s="100" t="s">
        <v>109</v>
      </c>
      <c r="E67" s="38" t="s">
        <v>1638</v>
      </c>
      <c r="F67" s="39" t="s">
        <v>1639</v>
      </c>
      <c r="G67" s="39">
        <v>1</v>
      </c>
      <c r="H67" s="39"/>
      <c r="I67" s="40" t="s">
        <v>269</v>
      </c>
      <c r="J67" s="41">
        <v>1</v>
      </c>
      <c r="K67" s="41">
        <v>0</v>
      </c>
      <c r="L67" s="41"/>
      <c r="M67" s="42">
        <v>0</v>
      </c>
      <c r="N67" s="42">
        <v>0</v>
      </c>
      <c r="O67" s="43">
        <v>0</v>
      </c>
      <c r="P67" s="44">
        <v>365.72</v>
      </c>
      <c r="Q67" s="44">
        <v>365.72</v>
      </c>
      <c r="R67" s="45"/>
      <c r="S67" s="46"/>
      <c r="T67" s="39">
        <f t="shared" si="18"/>
        <v>1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365.72</v>
      </c>
      <c r="AB67" s="51">
        <f t="shared" si="26"/>
        <v>0</v>
      </c>
      <c r="AC67" s="44">
        <f t="shared" si="27"/>
        <v>341.89024960269234</v>
      </c>
      <c r="AD67" s="44">
        <f t="shared" si="28"/>
        <v>0</v>
      </c>
      <c r="AE67" s="44">
        <f t="shared" si="29"/>
        <v>0</v>
      </c>
      <c r="AF67" s="52">
        <f>HLOOKUP(I67,GasAvoidedCostsWOCC!$A$5:$G$50,G67+1,FALSE)</f>
        <v>0.87909634590853636</v>
      </c>
      <c r="AG67" s="44">
        <f t="shared" si="30"/>
        <v>0</v>
      </c>
      <c r="AH67" s="52">
        <f>HLOOKUP(I67,GasAvoidedCostsWOCC!$A$5:$Q$50,T67+1,FALSE)</f>
        <v>0.87909634590853636</v>
      </c>
      <c r="AI67" s="44">
        <f t="shared" si="31"/>
        <v>0</v>
      </c>
      <c r="AJ67" s="44">
        <f t="shared" si="32"/>
        <v>0</v>
      </c>
      <c r="AK67" s="44">
        <f>HLOOKUP(I67,GasAvoidedCostsWOCC!$A$5:$Q$50,G67+1,FALSE)*J67*L67</f>
        <v>0</v>
      </c>
      <c r="AL67" s="44">
        <f t="shared" si="3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>
        <f t="shared" si="36"/>
        <v>0</v>
      </c>
      <c r="AQ67">
        <v>2020</v>
      </c>
    </row>
    <row r="68" spans="2:43">
      <c r="B68" s="97" t="s">
        <v>108</v>
      </c>
      <c r="C68" s="100">
        <v>18230678</v>
      </c>
      <c r="D68" s="100" t="s">
        <v>109</v>
      </c>
      <c r="E68" s="38" t="s">
        <v>2545</v>
      </c>
      <c r="F68" s="39" t="s">
        <v>2546</v>
      </c>
      <c r="G68" s="39">
        <v>1</v>
      </c>
      <c r="H68" s="39"/>
      <c r="I68" s="40" t="s">
        <v>269</v>
      </c>
      <c r="J68" s="41">
        <v>5</v>
      </c>
      <c r="K68" s="41">
        <v>0</v>
      </c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si="18"/>
        <v>1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>
        <f>HLOOKUP(I68,GasAvoidedCostsWOCC!$A$5:$G$50,G68+1,FALSE)</f>
        <v>0.87909634590853636</v>
      </c>
      <c r="AG68" s="44">
        <f t="shared" si="30"/>
        <v>0</v>
      </c>
      <c r="AH68" s="52">
        <f>HLOOKUP(I68,GasAvoidedCostsWOCC!$A$5:$Q$50,T68+1,FALSE)</f>
        <v>0.87909634590853636</v>
      </c>
      <c r="AI68" s="44">
        <f t="shared" si="31"/>
        <v>0</v>
      </c>
      <c r="AJ68" s="44">
        <f t="shared" si="32"/>
        <v>0</v>
      </c>
      <c r="AK68" s="44">
        <f>HLOOKUP(I68,GasAvoidedCostsWOCC!$A$5:$Q$50,G68+1,FALSE)*J68*L68</f>
        <v>0</v>
      </c>
      <c r="AL68" s="44">
        <f t="shared" si="33"/>
        <v>0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108</v>
      </c>
      <c r="C69" s="100">
        <v>18230678</v>
      </c>
      <c r="D69" s="100" t="s">
        <v>109</v>
      </c>
      <c r="E69" s="38" t="s">
        <v>2547</v>
      </c>
      <c r="F69" s="39" t="s">
        <v>2548</v>
      </c>
      <c r="G69" s="39">
        <v>20</v>
      </c>
      <c r="H69" s="39"/>
      <c r="I69" s="40" t="s">
        <v>269</v>
      </c>
      <c r="J69" s="41">
        <v>3</v>
      </c>
      <c r="K69" s="41">
        <v>698.66666666666663</v>
      </c>
      <c r="L69" s="41"/>
      <c r="M69" s="42"/>
      <c r="N69" s="42"/>
      <c r="O69" s="43">
        <v>2096</v>
      </c>
      <c r="P69" s="44">
        <v>48490</v>
      </c>
      <c r="Q69" s="44">
        <v>48490</v>
      </c>
      <c r="R69" s="45"/>
      <c r="S69" s="46"/>
      <c r="T69" s="39">
        <f t="shared" si="18"/>
        <v>20</v>
      </c>
      <c r="U69" s="47">
        <f t="shared" si="19"/>
        <v>1.3303029168287765</v>
      </c>
      <c r="V69" s="48">
        <f t="shared" si="20"/>
        <v>0</v>
      </c>
      <c r="W69" s="49">
        <f t="shared" si="21"/>
        <v>6.6515145841438833E-2</v>
      </c>
      <c r="X69" s="44">
        <f t="shared" si="22"/>
        <v>9847.4662388033394</v>
      </c>
      <c r="Y69" s="44">
        <f t="shared" si="23"/>
        <v>0</v>
      </c>
      <c r="Z69" s="44">
        <f t="shared" si="24"/>
        <v>83422.116600796813</v>
      </c>
      <c r="AA69" s="50">
        <f t="shared" si="25"/>
        <v>58337.466238803339</v>
      </c>
      <c r="AB69" s="51">
        <f t="shared" si="26"/>
        <v>77986.460316721335</v>
      </c>
      <c r="AC69" s="44">
        <f t="shared" si="27"/>
        <v>54536.287032629087</v>
      </c>
      <c r="AD69" s="44">
        <f t="shared" si="28"/>
        <v>0</v>
      </c>
      <c r="AE69" s="44">
        <f t="shared" si="29"/>
        <v>0</v>
      </c>
      <c r="AF69" s="52">
        <f>HLOOKUP(I69,GasAvoidedCostsWOCC!$A$5:$G$50,G69+1,FALSE)</f>
        <v>13.765480191058694</v>
      </c>
      <c r="AG69" s="44">
        <f t="shared" si="30"/>
        <v>28852.446480459024</v>
      </c>
      <c r="AH69" s="52">
        <f>HLOOKUP(I69,GasAvoidedCostsWOCC!$A$5:$Q$50,T69+1,FALSE)</f>
        <v>13.765480191058694</v>
      </c>
      <c r="AI69" s="44">
        <f t="shared" si="31"/>
        <v>0</v>
      </c>
      <c r="AJ69" s="44">
        <f t="shared" si="32"/>
        <v>28852.446480459024</v>
      </c>
      <c r="AK69" s="44">
        <f>HLOOKUP(I69,GasAvoidedCostsWOCC!$A$5:$Q$50,G69+1,FALSE)*J69*L69</f>
        <v>0</v>
      </c>
      <c r="AL69" s="44">
        <f t="shared" si="33"/>
        <v>28852.446480459024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28852.446480459024</v>
      </c>
      <c r="AN69" s="48">
        <f t="shared" si="34"/>
        <v>31737.691128504928</v>
      </c>
      <c r="AO69" s="47">
        <f t="shared" si="35"/>
        <v>0.36996738104643373</v>
      </c>
      <c r="AP69" s="47">
        <f t="shared" si="36"/>
        <v>0.5819554805686763</v>
      </c>
      <c r="AQ69">
        <v>2020</v>
      </c>
    </row>
    <row r="70" spans="2:43">
      <c r="B70" s="97" t="s">
        <v>108</v>
      </c>
      <c r="C70" s="100">
        <v>18230678</v>
      </c>
      <c r="D70" s="100" t="s">
        <v>109</v>
      </c>
      <c r="E70" s="38" t="s">
        <v>1650</v>
      </c>
      <c r="F70" s="39" t="s">
        <v>1651</v>
      </c>
      <c r="G70" s="39">
        <v>1</v>
      </c>
      <c r="H70" s="39"/>
      <c r="I70" s="40" t="s">
        <v>269</v>
      </c>
      <c r="J70" s="41">
        <v>2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1263.49</v>
      </c>
      <c r="Q70" s="44">
        <v>1263.49</v>
      </c>
      <c r="R70" s="45"/>
      <c r="S70" s="46"/>
      <c r="T70" s="39">
        <f t="shared" si="18"/>
        <v>1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1263.49</v>
      </c>
      <c r="AB70" s="51">
        <f t="shared" si="26"/>
        <v>0</v>
      </c>
      <c r="AC70" s="44">
        <f t="shared" si="27"/>
        <v>1181.1629428811816</v>
      </c>
      <c r="AD70" s="44">
        <f t="shared" si="28"/>
        <v>0</v>
      </c>
      <c r="AE70" s="44">
        <f t="shared" si="29"/>
        <v>0</v>
      </c>
      <c r="AF70" s="52">
        <f>HLOOKUP(I70,GasAvoidedCostsWOCC!$A$5:$G$50,G70+1,FALSE)</f>
        <v>0.87909634590853636</v>
      </c>
      <c r="AG70" s="44">
        <f t="shared" si="30"/>
        <v>0</v>
      </c>
      <c r="AH70" s="52">
        <f>HLOOKUP(I70,GasAvoidedCostsWOCC!$A$5:$Q$50,T70+1,FALSE)</f>
        <v>0.87909634590853636</v>
      </c>
      <c r="AI70" s="44">
        <f t="shared" si="31"/>
        <v>0</v>
      </c>
      <c r="AJ70" s="44">
        <f t="shared" si="32"/>
        <v>0</v>
      </c>
      <c r="AK70" s="44">
        <f>HLOOKUP(I70,GasAvoidedCostsWOCC!$A$5:$Q$50,G70+1,FALSE)*J70*L70</f>
        <v>0</v>
      </c>
      <c r="AL70" s="44">
        <f t="shared" si="33"/>
        <v>0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108</v>
      </c>
      <c r="C71" s="100">
        <v>18230678</v>
      </c>
      <c r="D71" s="100" t="s">
        <v>109</v>
      </c>
      <c r="E71" s="38" t="s">
        <v>2549</v>
      </c>
      <c r="F71" s="39" t="s">
        <v>2550</v>
      </c>
      <c r="G71" s="39">
        <v>1</v>
      </c>
      <c r="H71" s="39"/>
      <c r="I71" s="40" t="s">
        <v>269</v>
      </c>
      <c r="J71" s="41">
        <v>2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1709.41</v>
      </c>
      <c r="Q71" s="44">
        <v>1709.41</v>
      </c>
      <c r="R71" s="45"/>
      <c r="S71" s="46"/>
      <c r="T71" s="39">
        <f t="shared" si="18"/>
        <v>1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1709.41</v>
      </c>
      <c r="AB71" s="51">
        <f t="shared" si="26"/>
        <v>0</v>
      </c>
      <c r="AC71" s="44">
        <f t="shared" si="27"/>
        <v>1598.027484341404</v>
      </c>
      <c r="AD71" s="44">
        <f t="shared" si="28"/>
        <v>0</v>
      </c>
      <c r="AE71" s="44">
        <f t="shared" si="29"/>
        <v>0</v>
      </c>
      <c r="AF71" s="52">
        <f>HLOOKUP(I71,GasAvoidedCostsWOCC!$A$5:$G$50,G71+1,FALSE)</f>
        <v>0.87909634590853636</v>
      </c>
      <c r="AG71" s="44">
        <f t="shared" si="30"/>
        <v>0</v>
      </c>
      <c r="AH71" s="52">
        <f>HLOOKUP(I71,GasAvoidedCostsWOCC!$A$5:$Q$50,T71+1,FALSE)</f>
        <v>0.87909634590853636</v>
      </c>
      <c r="AI71" s="44">
        <f t="shared" si="31"/>
        <v>0</v>
      </c>
      <c r="AJ71" s="44">
        <f t="shared" si="32"/>
        <v>0</v>
      </c>
      <c r="AK71" s="44">
        <f>HLOOKUP(I71,GasAvoidedCostsWOCC!$A$5:$Q$50,G71+1,FALSE)*J71*L71</f>
        <v>0</v>
      </c>
      <c r="AL71" s="44">
        <f t="shared" si="33"/>
        <v>0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>
        <f t="shared" si="36"/>
        <v>0</v>
      </c>
      <c r="AQ71">
        <v>2020</v>
      </c>
    </row>
    <row r="72" spans="2:43">
      <c r="B72" s="97" t="s">
        <v>108</v>
      </c>
      <c r="C72" s="100">
        <v>18230678</v>
      </c>
      <c r="D72" s="100" t="s">
        <v>109</v>
      </c>
      <c r="E72" s="38" t="s">
        <v>2553</v>
      </c>
      <c r="F72" s="39" t="s">
        <v>2554</v>
      </c>
      <c r="G72" s="39">
        <v>11</v>
      </c>
      <c r="H72" s="39"/>
      <c r="I72" s="40" t="s">
        <v>269</v>
      </c>
      <c r="J72" s="41">
        <v>6</v>
      </c>
      <c r="K72" s="41">
        <v>27.5</v>
      </c>
      <c r="L72" s="41"/>
      <c r="M72" s="42">
        <v>0</v>
      </c>
      <c r="N72" s="42">
        <v>0</v>
      </c>
      <c r="O72" s="43">
        <v>165</v>
      </c>
      <c r="P72" s="44">
        <v>0</v>
      </c>
      <c r="Q72" s="44">
        <v>2728.52</v>
      </c>
      <c r="R72" s="45">
        <v>0</v>
      </c>
      <c r="S72" s="46">
        <v>0</v>
      </c>
      <c r="T72" s="39">
        <f t="shared" si="18"/>
        <v>11</v>
      </c>
      <c r="U72" s="47">
        <f t="shared" si="19"/>
        <v>5.7597800430444407E-2</v>
      </c>
      <c r="V72" s="48">
        <f t="shared" si="20"/>
        <v>0</v>
      </c>
      <c r="W72" s="49">
        <f t="shared" si="21"/>
        <v>5.2361636754949458E-3</v>
      </c>
      <c r="X72" s="44">
        <f t="shared" si="22"/>
        <v>775.20607318823988</v>
      </c>
      <c r="Y72" s="44">
        <f t="shared" si="23"/>
        <v>2728.52</v>
      </c>
      <c r="Z72" s="44">
        <f t="shared" si="24"/>
        <v>6567.1036446237949</v>
      </c>
      <c r="AA72" s="50">
        <f t="shared" si="25"/>
        <v>3503.7260731882398</v>
      </c>
      <c r="AB72" s="51">
        <f t="shared" si="26"/>
        <v>6139.201313100677</v>
      </c>
      <c r="AC72" s="44">
        <f t="shared" si="27"/>
        <v>3275.428693267495</v>
      </c>
      <c r="AD72" s="44">
        <f t="shared" si="28"/>
        <v>0</v>
      </c>
      <c r="AE72" s="44">
        <f t="shared" si="29"/>
        <v>0</v>
      </c>
      <c r="AF72" s="52">
        <f>HLOOKUP(I72,GasAvoidedCostsWOCC!$A$5:$G$50,G72+1,FALSE)</f>
        <v>8.2477691503723172</v>
      </c>
      <c r="AG72" s="44">
        <f t="shared" si="30"/>
        <v>1360.8819098114323</v>
      </c>
      <c r="AH72" s="52">
        <f>HLOOKUP(I72,GasAvoidedCostsWOCC!$A$5:$Q$50,T72+1,FALSE)</f>
        <v>8.2477691503723172</v>
      </c>
      <c r="AI72" s="44">
        <f t="shared" si="31"/>
        <v>0</v>
      </c>
      <c r="AJ72" s="44">
        <f t="shared" si="32"/>
        <v>1360.8819098114323</v>
      </c>
      <c r="AK72" s="44">
        <f>HLOOKUP(I72,GasAvoidedCostsWOCC!$A$5:$Q$50,G72+1,FALSE)*J72*L72</f>
        <v>0</v>
      </c>
      <c r="AL72" s="44">
        <f t="shared" si="33"/>
        <v>1360.8819098114323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1360.8819098114323</v>
      </c>
      <c r="AN72" s="48">
        <f t="shared" si="34"/>
        <v>1496.9701007925755</v>
      </c>
      <c r="AO72" s="47">
        <f t="shared" si="35"/>
        <v>0.22167083964283663</v>
      </c>
      <c r="AP72" s="47">
        <f t="shared" si="36"/>
        <v>0.45703028243891686</v>
      </c>
      <c r="AQ72">
        <v>2020</v>
      </c>
    </row>
    <row r="73" spans="2:43">
      <c r="B73" s="97" t="s">
        <v>108</v>
      </c>
      <c r="C73" s="100">
        <v>18230678</v>
      </c>
      <c r="D73" s="100" t="s">
        <v>109</v>
      </c>
      <c r="E73" s="38" t="s">
        <v>2555</v>
      </c>
      <c r="F73" s="39" t="s">
        <v>2556</v>
      </c>
      <c r="G73" s="39">
        <v>11</v>
      </c>
      <c r="H73" s="39"/>
      <c r="I73" s="40" t="s">
        <v>269</v>
      </c>
      <c r="J73" s="41">
        <v>21</v>
      </c>
      <c r="K73" s="41">
        <v>33</v>
      </c>
      <c r="L73" s="41"/>
      <c r="M73" s="42">
        <v>400</v>
      </c>
      <c r="N73" s="42">
        <v>400</v>
      </c>
      <c r="O73" s="43">
        <v>693</v>
      </c>
      <c r="P73" s="44">
        <v>10472.200000000001</v>
      </c>
      <c r="Q73" s="44">
        <v>10472.200000000001</v>
      </c>
      <c r="R73" s="45">
        <v>0</v>
      </c>
      <c r="S73" s="46"/>
      <c r="T73" s="39">
        <f t="shared" si="18"/>
        <v>11</v>
      </c>
      <c r="U73" s="47">
        <f t="shared" si="19"/>
        <v>0.24191076180786647</v>
      </c>
      <c r="V73" s="48">
        <f t="shared" si="20"/>
        <v>0</v>
      </c>
      <c r="W73" s="49">
        <f t="shared" si="21"/>
        <v>2.1991887437078771E-2</v>
      </c>
      <c r="X73" s="44">
        <f t="shared" si="22"/>
        <v>3255.865507390607</v>
      </c>
      <c r="Y73" s="44">
        <f t="shared" si="23"/>
        <v>0</v>
      </c>
      <c r="Z73" s="44">
        <f t="shared" si="24"/>
        <v>27581.835307419937</v>
      </c>
      <c r="AA73" s="50">
        <f t="shared" si="25"/>
        <v>13728.065507390607</v>
      </c>
      <c r="AB73" s="51">
        <f t="shared" si="26"/>
        <v>25784.645515022843</v>
      </c>
      <c r="AC73" s="44">
        <f t="shared" si="27"/>
        <v>12833.56595998</v>
      </c>
      <c r="AD73" s="44">
        <f t="shared" si="28"/>
        <v>0</v>
      </c>
      <c r="AE73" s="44">
        <f t="shared" si="29"/>
        <v>0</v>
      </c>
      <c r="AF73" s="52">
        <f>HLOOKUP(I73,GasAvoidedCostsWOCC!$A$5:$G$50,G73+1,FALSE)</f>
        <v>8.2477691503723172</v>
      </c>
      <c r="AG73" s="44">
        <f t="shared" si="30"/>
        <v>5715.7040212080155</v>
      </c>
      <c r="AH73" s="52">
        <f>HLOOKUP(I73,GasAvoidedCostsWOCC!$A$5:$Q$50,T73+1,FALSE)</f>
        <v>8.2477691503723172</v>
      </c>
      <c r="AI73" s="44">
        <f t="shared" si="31"/>
        <v>0</v>
      </c>
      <c r="AJ73" s="44">
        <f t="shared" si="32"/>
        <v>5715.7040212080155</v>
      </c>
      <c r="AK73" s="44">
        <f>HLOOKUP(I73,GasAvoidedCostsWOCC!$A$5:$Q$50,G73+1,FALSE)*J73*L73</f>
        <v>0</v>
      </c>
      <c r="AL73" s="44">
        <f t="shared" si="33"/>
        <v>5715.7040212080155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5715.7040212080165</v>
      </c>
      <c r="AN73" s="48">
        <f t="shared" si="34"/>
        <v>6287.2744233288186</v>
      </c>
      <c r="AO73" s="47">
        <f t="shared" si="35"/>
        <v>0.22167083964283668</v>
      </c>
      <c r="AP73" s="47">
        <f t="shared" si="36"/>
        <v>0.4899086070804452</v>
      </c>
      <c r="AQ73">
        <v>2020</v>
      </c>
    </row>
    <row r="74" spans="2:43">
      <c r="B74" s="97" t="s">
        <v>108</v>
      </c>
      <c r="C74" s="100">
        <v>18230678</v>
      </c>
      <c r="D74" s="100" t="s">
        <v>109</v>
      </c>
      <c r="E74" s="38" t="s">
        <v>1658</v>
      </c>
      <c r="F74" s="39" t="s">
        <v>1659</v>
      </c>
      <c r="G74" s="39">
        <v>1</v>
      </c>
      <c r="H74" s="39"/>
      <c r="I74" s="40"/>
      <c r="J74" s="41">
        <v>2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272.93</v>
      </c>
      <c r="Q74" s="44">
        <v>272.93</v>
      </c>
      <c r="R74" s="45"/>
      <c r="S74" s="46"/>
      <c r="T74" s="39">
        <f t="shared" si="18"/>
        <v>1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272.93</v>
      </c>
      <c r="AB74" s="51">
        <f t="shared" si="26"/>
        <v>0</v>
      </c>
      <c r="AC74" s="44">
        <f t="shared" si="27"/>
        <v>255.14630270169204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>
        <f t="shared" si="36"/>
        <v>0</v>
      </c>
      <c r="AQ74">
        <v>2020</v>
      </c>
    </row>
    <row r="75" spans="2:43">
      <c r="B75" s="97" t="s">
        <v>108</v>
      </c>
      <c r="C75" s="100">
        <v>18230678</v>
      </c>
      <c r="D75" s="100" t="s">
        <v>109</v>
      </c>
      <c r="E75" s="38" t="s">
        <v>2557</v>
      </c>
      <c r="F75" s="39" t="s">
        <v>1665</v>
      </c>
      <c r="G75" s="39">
        <v>45</v>
      </c>
      <c r="H75" s="39"/>
      <c r="I75" s="40" t="s">
        <v>269</v>
      </c>
      <c r="J75" s="41">
        <v>120</v>
      </c>
      <c r="K75" s="41">
        <v>0.64</v>
      </c>
      <c r="L75" s="41"/>
      <c r="M75" s="42">
        <v>20.5</v>
      </c>
      <c r="N75" s="42">
        <v>20.5</v>
      </c>
      <c r="O75" s="43">
        <v>76.8</v>
      </c>
      <c r="P75" s="44">
        <v>3198</v>
      </c>
      <c r="Q75" s="44">
        <v>3198</v>
      </c>
      <c r="R75" s="45">
        <v>0</v>
      </c>
      <c r="S75" s="46">
        <v>0</v>
      </c>
      <c r="T75" s="39">
        <f t="shared" si="18"/>
        <v>45</v>
      </c>
      <c r="U75" s="47">
        <f t="shared" si="19"/>
        <v>0.10967382825763959</v>
      </c>
      <c r="V75" s="48">
        <f t="shared" si="20"/>
        <v>0</v>
      </c>
      <c r="W75" s="49">
        <f t="shared" si="21"/>
        <v>2.437196183503102E-3</v>
      </c>
      <c r="X75" s="44">
        <f t="shared" si="22"/>
        <v>360.82319042943527</v>
      </c>
      <c r="Y75" s="44">
        <f t="shared" si="23"/>
        <v>0</v>
      </c>
      <c r="Z75" s="44">
        <f t="shared" si="24"/>
        <v>3056.6882418612572</v>
      </c>
      <c r="AA75" s="50">
        <f t="shared" si="25"/>
        <v>3558.8231904294353</v>
      </c>
      <c r="AB75" s="51">
        <f t="shared" si="26"/>
        <v>2857.5191566432241</v>
      </c>
      <c r="AC75" s="44">
        <f t="shared" si="27"/>
        <v>3326.9357674389407</v>
      </c>
      <c r="AD75" s="44">
        <f t="shared" si="28"/>
        <v>0</v>
      </c>
      <c r="AE75" s="44">
        <f t="shared" si="29"/>
        <v>0</v>
      </c>
      <c r="AF75" s="52">
        <f>HLOOKUP(I75,GasAvoidedCostsWOCC!$A$5:$G$50,G75+1,FALSE)</f>
        <v>27.444232870165703</v>
      </c>
      <c r="AG75" s="44">
        <f t="shared" si="30"/>
        <v>2107.7170844287261</v>
      </c>
      <c r="AH75" s="52">
        <f>HLOOKUP(I75,GasAvoidedCostsWOCC!$A$5:$Q$50,T75+1,FALSE)</f>
        <v>27.444232870165703</v>
      </c>
      <c r="AI75" s="44">
        <f t="shared" si="31"/>
        <v>0</v>
      </c>
      <c r="AJ75" s="44">
        <f t="shared" si="32"/>
        <v>2107.7170844287261</v>
      </c>
      <c r="AK75" s="44">
        <f>HLOOKUP(I75,GasAvoidedCostsWOCC!$A$5:$Q$50,G75+1,FALSE)*J75*L75</f>
        <v>0</v>
      </c>
      <c r="AL75" s="44">
        <f t="shared" si="33"/>
        <v>2107.7170844287261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2107.7170844287261</v>
      </c>
      <c r="AN75" s="48">
        <f t="shared" si="34"/>
        <v>2318.4887928715989</v>
      </c>
      <c r="AO75" s="47">
        <f t="shared" si="35"/>
        <v>0.73760383356614023</v>
      </c>
      <c r="AP75" s="47">
        <f t="shared" si="36"/>
        <v>0.69688414653594599</v>
      </c>
      <c r="AQ75">
        <v>2020</v>
      </c>
    </row>
    <row r="76" spans="2:43">
      <c r="B76" s="97" t="s">
        <v>108</v>
      </c>
      <c r="C76" s="100">
        <v>18230678</v>
      </c>
      <c r="D76" s="100" t="s">
        <v>109</v>
      </c>
      <c r="E76" s="38" t="s">
        <v>2558</v>
      </c>
      <c r="F76" s="39" t="s">
        <v>1667</v>
      </c>
      <c r="G76" s="39">
        <v>13</v>
      </c>
      <c r="H76" s="39"/>
      <c r="I76" s="40" t="s">
        <v>265</v>
      </c>
      <c r="J76" s="41">
        <v>1</v>
      </c>
      <c r="K76" s="41">
        <v>28</v>
      </c>
      <c r="L76" s="41"/>
      <c r="M76" s="42">
        <v>841.67</v>
      </c>
      <c r="N76" s="42">
        <v>841.67</v>
      </c>
      <c r="O76" s="43">
        <v>28</v>
      </c>
      <c r="P76" s="44">
        <v>1094.17</v>
      </c>
      <c r="Q76" s="44">
        <v>1094.17</v>
      </c>
      <c r="R76" s="45">
        <v>0</v>
      </c>
      <c r="S76" s="46">
        <v>0</v>
      </c>
      <c r="T76" s="39">
        <f t="shared" si="18"/>
        <v>13</v>
      </c>
      <c r="U76" s="47">
        <f t="shared" si="19"/>
        <v>1.1551294411394911E-2</v>
      </c>
      <c r="V76" s="48">
        <f t="shared" si="20"/>
        <v>0</v>
      </c>
      <c r="W76" s="49">
        <f t="shared" si="21"/>
        <v>8.8856110856883931E-4</v>
      </c>
      <c r="X76" s="44">
        <f t="shared" si="22"/>
        <v>131.55012151073163</v>
      </c>
      <c r="Y76" s="44">
        <f t="shared" si="23"/>
        <v>0</v>
      </c>
      <c r="Z76" s="44">
        <f t="shared" si="24"/>
        <v>1114.4175881785834</v>
      </c>
      <c r="AA76" s="50">
        <f t="shared" si="25"/>
        <v>1225.7201215107316</v>
      </c>
      <c r="AB76" s="51">
        <f t="shared" si="26"/>
        <v>1041.8038591928423</v>
      </c>
      <c r="AC76" s="44">
        <f t="shared" si="27"/>
        <v>1145.8540913440511</v>
      </c>
      <c r="AD76" s="44">
        <f t="shared" si="28"/>
        <v>0</v>
      </c>
      <c r="AE76" s="44">
        <f t="shared" si="29"/>
        <v>0</v>
      </c>
      <c r="AF76" s="52">
        <f>HLOOKUP(I76,GasAvoidedCostsWOCC!$A$5:$G$50,G76+1,FALSE)</f>
        <v>9.0054306682141867</v>
      </c>
      <c r="AG76" s="44">
        <f t="shared" si="30"/>
        <v>252.15205870999722</v>
      </c>
      <c r="AH76" s="52">
        <f>HLOOKUP(I76,GasAvoidedCostsWOCC!$A$5:$Q$50,T76+1,FALSE)</f>
        <v>9.0054306682141867</v>
      </c>
      <c r="AI76" s="44">
        <f t="shared" si="31"/>
        <v>0</v>
      </c>
      <c r="AJ76" s="44">
        <f t="shared" si="32"/>
        <v>252.15205870999722</v>
      </c>
      <c r="AK76" s="44">
        <f>HLOOKUP(I76,GasAvoidedCostsWOCC!$A$5:$Q$50,G76+1,FALSE)*J76*L76</f>
        <v>0</v>
      </c>
      <c r="AL76" s="44">
        <f t="shared" si="33"/>
        <v>252.15205870999722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252.15205870999722</v>
      </c>
      <c r="AN76" s="48">
        <f t="shared" si="34"/>
        <v>277.36726458099696</v>
      </c>
      <c r="AO76" s="47">
        <f t="shared" si="35"/>
        <v>0.24203409930287348</v>
      </c>
      <c r="AP76" s="47">
        <f t="shared" si="36"/>
        <v>0.24206159115394335</v>
      </c>
      <c r="AQ76">
        <v>2020</v>
      </c>
    </row>
    <row r="77" spans="2:43">
      <c r="B77" s="97" t="s">
        <v>108</v>
      </c>
      <c r="C77" s="100">
        <v>18230678</v>
      </c>
      <c r="D77" s="100" t="s">
        <v>109</v>
      </c>
      <c r="E77" s="38" t="s">
        <v>2559</v>
      </c>
      <c r="F77" s="39" t="s">
        <v>1671</v>
      </c>
      <c r="G77" s="39">
        <v>20</v>
      </c>
      <c r="H77" s="39"/>
      <c r="I77" s="40" t="s">
        <v>265</v>
      </c>
      <c r="J77" s="41">
        <v>23</v>
      </c>
      <c r="K77" s="41">
        <v>51</v>
      </c>
      <c r="L77" s="41"/>
      <c r="M77" s="42">
        <v>1484</v>
      </c>
      <c r="N77" s="42">
        <v>1484</v>
      </c>
      <c r="O77" s="43">
        <v>1173</v>
      </c>
      <c r="P77" s="44">
        <v>44371.6</v>
      </c>
      <c r="Q77" s="44">
        <v>44371.6</v>
      </c>
      <c r="R77" s="45">
        <v>11.51</v>
      </c>
      <c r="S77" s="46">
        <v>0</v>
      </c>
      <c r="T77" s="39">
        <f t="shared" si="18"/>
        <v>20</v>
      </c>
      <c r="U77" s="47">
        <f t="shared" si="19"/>
        <v>0.74448727167946316</v>
      </c>
      <c r="V77" s="48">
        <f t="shared" si="20"/>
        <v>0</v>
      </c>
      <c r="W77" s="49">
        <f t="shared" si="21"/>
        <v>3.7224363583973158E-2</v>
      </c>
      <c r="X77" s="44">
        <f t="shared" si="22"/>
        <v>5511.0104475745775</v>
      </c>
      <c r="Y77" s="44">
        <f t="shared" si="23"/>
        <v>0</v>
      </c>
      <c r="Z77" s="44">
        <f t="shared" si="24"/>
        <v>46686.136819052786</v>
      </c>
      <c r="AA77" s="50">
        <f t="shared" si="25"/>
        <v>49882.610447574574</v>
      </c>
      <c r="AB77" s="51">
        <f t="shared" si="26"/>
        <v>43644.140244042988</v>
      </c>
      <c r="AC77" s="44">
        <f t="shared" si="27"/>
        <v>46632.336587430655</v>
      </c>
      <c r="AD77" s="44">
        <f t="shared" si="28"/>
        <v>2811.1046078916966</v>
      </c>
      <c r="AE77" s="44">
        <f t="shared" si="29"/>
        <v>0</v>
      </c>
      <c r="AF77" s="52">
        <f>HLOOKUP(I77,GasAvoidedCostsWOCC!$A$5:$G$50,G77+1,FALSE)</f>
        <v>13.114573164368423</v>
      </c>
      <c r="AG77" s="44">
        <f>AF77*J77*K77</f>
        <v>15383.394321804159</v>
      </c>
      <c r="AH77" s="52">
        <f>HLOOKUP(I77,GasAvoidedCostsWOCC!$A$5:$Q$50,T77+1,FALSE)</f>
        <v>13.114573164368423</v>
      </c>
      <c r="AI77" s="44">
        <f t="shared" si="31"/>
        <v>0</v>
      </c>
      <c r="AJ77" s="44">
        <f t="shared" si="32"/>
        <v>15383.394321804159</v>
      </c>
      <c r="AK77" s="44">
        <f>HLOOKUP(I77,GasAvoidedCostsWOCC!$A$5:$Q$50,G77+1,FALSE)*J77*L77</f>
        <v>0</v>
      </c>
      <c r="AL77" s="44">
        <f t="shared" si="33"/>
        <v>15383.394321804159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15383.39432180416</v>
      </c>
      <c r="AN77" s="48">
        <f t="shared" si="34"/>
        <v>19732.838361876275</v>
      </c>
      <c r="AO77" s="47">
        <f t="shared" si="35"/>
        <v>0.35247330422332807</v>
      </c>
      <c r="AP77" s="47">
        <f t="shared" si="36"/>
        <v>0.4231578300795481</v>
      </c>
      <c r="AQ77">
        <v>2020</v>
      </c>
    </row>
    <row r="78" spans="2:43">
      <c r="B78" s="97" t="s">
        <v>108</v>
      </c>
      <c r="C78" s="100">
        <v>18230678</v>
      </c>
      <c r="D78" s="100" t="s">
        <v>109</v>
      </c>
      <c r="E78" s="38" t="s">
        <v>2560</v>
      </c>
      <c r="F78" s="39" t="s">
        <v>2561</v>
      </c>
      <c r="G78" s="39">
        <v>20</v>
      </c>
      <c r="H78" s="39"/>
      <c r="I78" s="40" t="s">
        <v>265</v>
      </c>
      <c r="J78" s="41">
        <v>10</v>
      </c>
      <c r="K78" s="41">
        <v>25.5</v>
      </c>
      <c r="L78" s="41"/>
      <c r="M78" s="42"/>
      <c r="N78" s="42"/>
      <c r="O78" s="43">
        <v>255</v>
      </c>
      <c r="P78" s="44">
        <v>0</v>
      </c>
      <c r="Q78" s="44">
        <v>33092.480000000003</v>
      </c>
      <c r="R78" s="45">
        <v>0</v>
      </c>
      <c r="S78" s="46">
        <v>0</v>
      </c>
      <c r="T78" s="39">
        <f t="shared" si="18"/>
        <v>20</v>
      </c>
      <c r="U78" s="47">
        <f t="shared" si="19"/>
        <v>0.16184505906075286</v>
      </c>
      <c r="V78" s="48">
        <f t="shared" si="20"/>
        <v>0</v>
      </c>
      <c r="W78" s="49">
        <f t="shared" si="21"/>
        <v>8.092252953037643E-3</v>
      </c>
      <c r="X78" s="44">
        <f t="shared" si="22"/>
        <v>1198.0457494727343</v>
      </c>
      <c r="Y78" s="44">
        <f t="shared" si="23"/>
        <v>33092.480000000003</v>
      </c>
      <c r="Z78" s="44">
        <f t="shared" si="24"/>
        <v>10149.160178054955</v>
      </c>
      <c r="AA78" s="50">
        <f t="shared" si="25"/>
        <v>34290.525749472741</v>
      </c>
      <c r="AB78" s="51">
        <f t="shared" si="26"/>
        <v>9487.8565747919547</v>
      </c>
      <c r="AC78" s="44">
        <f t="shared" si="27"/>
        <v>32056.20804849279</v>
      </c>
      <c r="AD78" s="44">
        <f t="shared" si="28"/>
        <v>0</v>
      </c>
      <c r="AE78" s="44">
        <f t="shared" si="29"/>
        <v>0</v>
      </c>
      <c r="AF78" s="52">
        <f>HLOOKUP(I78,GasAvoidedCostsWOCC!$A$5:$G$50,G78+1,FALSE)</f>
        <v>13.114573164368423</v>
      </c>
      <c r="AG78" s="44">
        <f t="shared" si="30"/>
        <v>3344.216156913948</v>
      </c>
      <c r="AH78" s="52">
        <f>HLOOKUP(I78,GasAvoidedCostsWOCC!$A$5:$Q$50,T78+1,FALSE)</f>
        <v>13.114573164368423</v>
      </c>
      <c r="AI78" s="44">
        <f t="shared" si="31"/>
        <v>0</v>
      </c>
      <c r="AJ78" s="44">
        <f t="shared" si="32"/>
        <v>3344.216156913948</v>
      </c>
      <c r="AK78" s="44">
        <f>HLOOKUP(I78,GasAvoidedCostsWOCC!$A$5:$Q$50,G78+1,FALSE)*J78*L78</f>
        <v>0</v>
      </c>
      <c r="AL78" s="44">
        <f t="shared" si="33"/>
        <v>3344.216156913948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3344.216156913948</v>
      </c>
      <c r="AN78" s="48">
        <f t="shared" si="34"/>
        <v>3678.6377726053429</v>
      </c>
      <c r="AO78" s="47">
        <f t="shared" si="35"/>
        <v>0.35247330422332807</v>
      </c>
      <c r="AP78" s="47">
        <f t="shared" si="36"/>
        <v>0.11475586154920479</v>
      </c>
      <c r="AQ78">
        <v>2020</v>
      </c>
    </row>
    <row r="79" spans="2:43">
      <c r="B79" s="97" t="s">
        <v>108</v>
      </c>
      <c r="C79" s="100">
        <v>18230678</v>
      </c>
      <c r="D79" s="100" t="s">
        <v>109</v>
      </c>
      <c r="E79" s="38" t="s">
        <v>1680</v>
      </c>
      <c r="F79" s="39" t="s">
        <v>1681</v>
      </c>
      <c r="G79" s="39">
        <v>1</v>
      </c>
      <c r="H79" s="39"/>
      <c r="I79" s="40"/>
      <c r="J79" s="41">
        <v>1</v>
      </c>
      <c r="K79" s="41">
        <v>0</v>
      </c>
      <c r="L79" s="41"/>
      <c r="M79" s="42">
        <v>0</v>
      </c>
      <c r="N79" s="42">
        <v>0</v>
      </c>
      <c r="O79" s="43">
        <v>0</v>
      </c>
      <c r="P79" s="44">
        <v>767.09</v>
      </c>
      <c r="Q79" s="44">
        <v>767.09</v>
      </c>
      <c r="R79" s="45">
        <v>0</v>
      </c>
      <c r="S79" s="46">
        <v>0</v>
      </c>
      <c r="T79" s="39">
        <f t="shared" si="18"/>
        <v>1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767.09</v>
      </c>
      <c r="AB79" s="51">
        <f t="shared" si="26"/>
        <v>0</v>
      </c>
      <c r="AC79" s="44">
        <f t="shared" si="27"/>
        <v>717.10760026175558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>
        <f t="shared" si="36"/>
        <v>0</v>
      </c>
      <c r="AQ79">
        <v>2020</v>
      </c>
    </row>
    <row r="80" spans="2:43">
      <c r="B80" s="97" t="s">
        <v>108</v>
      </c>
      <c r="C80" s="100">
        <v>18230678</v>
      </c>
      <c r="D80" s="100" t="s">
        <v>109</v>
      </c>
      <c r="E80" s="38" t="s">
        <v>2563</v>
      </c>
      <c r="F80" s="39" t="s">
        <v>2564</v>
      </c>
      <c r="G80" s="39">
        <v>1</v>
      </c>
      <c r="H80" s="39"/>
      <c r="I80" s="40" t="s">
        <v>269</v>
      </c>
      <c r="J80" s="41">
        <v>59</v>
      </c>
      <c r="K80" s="41"/>
      <c r="L80" s="41"/>
      <c r="M80" s="42"/>
      <c r="N80" s="42"/>
      <c r="O80" s="43">
        <v>0</v>
      </c>
      <c r="P80" s="44">
        <v>34396.44</v>
      </c>
      <c r="Q80" s="44">
        <v>34396.44</v>
      </c>
      <c r="R80" s="45">
        <v>0</v>
      </c>
      <c r="S80" s="46">
        <v>0</v>
      </c>
      <c r="T80" s="39">
        <f t="shared" si="18"/>
        <v>1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34396.44</v>
      </c>
      <c r="AB80" s="51">
        <f t="shared" si="26"/>
        <v>0</v>
      </c>
      <c r="AC80" s="44">
        <f t="shared" si="27"/>
        <v>32155.221090025239</v>
      </c>
      <c r="AD80" s="44">
        <f t="shared" si="28"/>
        <v>0</v>
      </c>
      <c r="AE80" s="44">
        <f t="shared" si="29"/>
        <v>0</v>
      </c>
      <c r="AF80" s="52">
        <f>HLOOKUP(I80,GasAvoidedCostsWOCC!$A$5:$G$50,G80+1,FALSE)</f>
        <v>0.87909634590853636</v>
      </c>
      <c r="AG80" s="44">
        <f t="shared" si="30"/>
        <v>0</v>
      </c>
      <c r="AH80" s="52">
        <f>HLOOKUP(I80,GasAvoidedCostsWOCC!$A$5:$Q$50,T80+1,FALSE)</f>
        <v>0.87909634590853636</v>
      </c>
      <c r="AI80" s="44">
        <f t="shared" si="31"/>
        <v>0</v>
      </c>
      <c r="AJ80" s="44">
        <f t="shared" si="32"/>
        <v>0</v>
      </c>
      <c r="AK80" s="44">
        <f>HLOOKUP(I80,GasAvoidedCostsWOCC!$A$5:$Q$50,G80+1,FALSE)*J80*L80</f>
        <v>0</v>
      </c>
      <c r="AL80" s="44">
        <f t="shared" si="33"/>
        <v>0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>
        <f t="shared" si="36"/>
        <v>0</v>
      </c>
      <c r="AQ80">
        <v>2020</v>
      </c>
    </row>
    <row r="81" spans="2:42">
      <c r="B81" s="97"/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97"/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97"/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97"/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97"/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97"/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97"/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97"/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97"/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97"/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97"/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97"/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97"/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97"/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97"/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97"/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97"/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97"/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97"/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97"/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97"/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97"/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97"/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97"/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97"/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97"/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97"/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97"/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97"/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97"/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97"/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97"/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97"/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97"/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97"/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97"/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97"/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97"/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97"/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97"/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97"/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97"/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97"/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97"/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97"/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97"/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97"/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97"/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97"/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97"/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97"/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  <row r="132" spans="2:42">
      <c r="B132" s="97"/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87" si="56">G132+H132</f>
        <v>0</v>
      </c>
      <c r="U132" s="47">
        <f t="shared" ref="U132:U187" si="57">(O132/$A$10)*T132</f>
        <v>0</v>
      </c>
      <c r="V132" s="48">
        <f t="shared" ref="V132:V187" si="58">N132-M132</f>
        <v>0</v>
      </c>
      <c r="W132" s="49">
        <f t="shared" ref="W132:W187" si="59">(O132/A$10)</f>
        <v>0</v>
      </c>
      <c r="X132" s="44">
        <f t="shared" ref="X132:X187" si="60">W132*A$8</f>
        <v>0</v>
      </c>
      <c r="Y132" s="44">
        <f t="shared" ref="Y132:Y187" si="61">Q132-P132</f>
        <v>0</v>
      </c>
      <c r="Z132" s="44">
        <f t="shared" ref="Z132:Z187" si="62">X132+(A$6*W132)</f>
        <v>0</v>
      </c>
      <c r="AA132" s="50">
        <f t="shared" ref="AA132:AA187" si="63">Q132+X132</f>
        <v>0</v>
      </c>
      <c r="AB132" s="51">
        <f t="shared" ref="AB132:AB187" si="64">Z132/(1+GasDiscountRate)^1</f>
        <v>0</v>
      </c>
      <c r="AC132" s="44">
        <f t="shared" ref="AC132:AC187" si="65">AA132/(1+GasDiscountRate)^1</f>
        <v>0</v>
      </c>
      <c r="AD132" s="44">
        <f t="shared" ref="AD132:AD187" si="66">-PV(GasDiscountRate,T132,R132)*J132</f>
        <v>0</v>
      </c>
      <c r="AE132" s="44">
        <f t="shared" ref="AE132:AE187" si="67">-PV(GasDiscountRate,T132,S132)*J132</f>
        <v>0</v>
      </c>
      <c r="AF132" s="52" t="e">
        <f>HLOOKUP(I132,GasAvoidedCostsWOCC!$A$5:$G$50,G132+1,FALSE)</f>
        <v>#N/A</v>
      </c>
      <c r="AG132" s="44" t="e">
        <f t="shared" ref="AG132:AG187" si="68">AF132*J132*K132</f>
        <v>#N/A</v>
      </c>
      <c r="AH132" s="52" t="e">
        <f>HLOOKUP(I132,GasAvoidedCostsWOCC!$A$5:$Q$50,T132+1,FALSE)</f>
        <v>#N/A</v>
      </c>
      <c r="AI132" s="44" t="e">
        <f t="shared" ref="AI132:AI187" si="69">AH132*J132*L132</f>
        <v>#N/A</v>
      </c>
      <c r="AJ132" s="44" t="e">
        <f t="shared" ref="AJ132:AJ187" si="70">AG132+AI132</f>
        <v>#N/A</v>
      </c>
      <c r="AK132" s="44" t="e">
        <f>HLOOKUP(I132,GasAvoidedCostsWOCC!$A$5:$Q$50,G132+1,FALSE)*J132*L132</f>
        <v>#N/A</v>
      </c>
      <c r="AL132" s="44" t="e">
        <f t="shared" ref="AL132:AL187" si="71">AG132+AI132-AK132</f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ref="AN132:AN187" si="72">AM132*1.1+AD132+AE132</f>
        <v>0</v>
      </c>
      <c r="AO132" s="47">
        <f t="shared" ref="AO132:AO187" si="73">IFERROR(AM132/AB132,0)</f>
        <v>0</v>
      </c>
      <c r="AP132" s="47" t="e">
        <f t="shared" ref="AP132:AP187" si="74">AN132/AC132</f>
        <v>#DIV/0!</v>
      </c>
    </row>
    <row r="133" spans="2:42">
      <c r="B133" s="97"/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6"/>
        <v>0</v>
      </c>
      <c r="U133" s="47">
        <f t="shared" si="57"/>
        <v>0</v>
      </c>
      <c r="V133" s="48">
        <f t="shared" si="58"/>
        <v>0</v>
      </c>
      <c r="W133" s="49">
        <f t="shared" si="59"/>
        <v>0</v>
      </c>
      <c r="X133" s="44">
        <f t="shared" si="60"/>
        <v>0</v>
      </c>
      <c r="Y133" s="44">
        <f t="shared" si="61"/>
        <v>0</v>
      </c>
      <c r="Z133" s="44">
        <f t="shared" si="62"/>
        <v>0</v>
      </c>
      <c r="AA133" s="50">
        <f t="shared" si="63"/>
        <v>0</v>
      </c>
      <c r="AB133" s="51">
        <f t="shared" si="64"/>
        <v>0</v>
      </c>
      <c r="AC133" s="44">
        <f t="shared" si="65"/>
        <v>0</v>
      </c>
      <c r="AD133" s="44">
        <f t="shared" si="66"/>
        <v>0</v>
      </c>
      <c r="AE133" s="44">
        <f t="shared" si="67"/>
        <v>0</v>
      </c>
      <c r="AF133" s="52" t="e">
        <f>HLOOKUP(I133,GasAvoidedCostsWOCC!$A$5:$G$50,G133+1,FALSE)</f>
        <v>#N/A</v>
      </c>
      <c r="AG133" s="44" t="e">
        <f t="shared" si="68"/>
        <v>#N/A</v>
      </c>
      <c r="AH133" s="52" t="e">
        <f>HLOOKUP(I133,GasAvoidedCostsWOCC!$A$5:$Q$50,T133+1,FALSE)</f>
        <v>#N/A</v>
      </c>
      <c r="AI133" s="44" t="e">
        <f t="shared" si="69"/>
        <v>#N/A</v>
      </c>
      <c r="AJ133" s="44" t="e">
        <f t="shared" si="70"/>
        <v>#N/A</v>
      </c>
      <c r="AK133" s="44" t="e">
        <f>HLOOKUP(I133,GasAvoidedCostsWOCC!$A$5:$Q$50,G133+1,FALSE)*J133*L133</f>
        <v>#N/A</v>
      </c>
      <c r="AL133" s="44" t="e">
        <f t="shared" si="71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72"/>
        <v>0</v>
      </c>
      <c r="AO133" s="47">
        <f t="shared" si="73"/>
        <v>0</v>
      </c>
      <c r="AP133" s="47" t="e">
        <f t="shared" si="74"/>
        <v>#DIV/0!</v>
      </c>
    </row>
    <row r="134" spans="2:42">
      <c r="B134" s="97"/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6"/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4">
        <f t="shared" si="60"/>
        <v>0</v>
      </c>
      <c r="Y134" s="44">
        <f t="shared" si="61"/>
        <v>0</v>
      </c>
      <c r="Z134" s="44">
        <f t="shared" si="62"/>
        <v>0</v>
      </c>
      <c r="AA134" s="50">
        <f t="shared" si="63"/>
        <v>0</v>
      </c>
      <c r="AB134" s="51">
        <f t="shared" si="64"/>
        <v>0</v>
      </c>
      <c r="AC134" s="44">
        <f t="shared" si="65"/>
        <v>0</v>
      </c>
      <c r="AD134" s="44">
        <f t="shared" si="66"/>
        <v>0</v>
      </c>
      <c r="AE134" s="44">
        <f t="shared" si="67"/>
        <v>0</v>
      </c>
      <c r="AF134" s="52" t="e">
        <f>HLOOKUP(I134,GasAvoidedCostsWOCC!$A$5:$G$50,G134+1,FALSE)</f>
        <v>#N/A</v>
      </c>
      <c r="AG134" s="44" t="e">
        <f t="shared" si="68"/>
        <v>#N/A</v>
      </c>
      <c r="AH134" s="52" t="e">
        <f>HLOOKUP(I134,GasAvoidedCostsWOCC!$A$5:$Q$50,T134+1,FALSE)</f>
        <v>#N/A</v>
      </c>
      <c r="AI134" s="44" t="e">
        <f t="shared" si="69"/>
        <v>#N/A</v>
      </c>
      <c r="AJ134" s="44" t="e">
        <f t="shared" si="70"/>
        <v>#N/A</v>
      </c>
      <c r="AK134" s="44" t="e">
        <f>HLOOKUP(I134,GasAvoidedCostsWOCC!$A$5:$Q$50,G134+1,FALSE)*J134*L134</f>
        <v>#N/A</v>
      </c>
      <c r="AL134" s="44" t="e">
        <f t="shared" si="71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72"/>
        <v>0</v>
      </c>
      <c r="AO134" s="47">
        <f t="shared" si="73"/>
        <v>0</v>
      </c>
      <c r="AP134" s="47" t="e">
        <f t="shared" si="74"/>
        <v>#DIV/0!</v>
      </c>
    </row>
    <row r="135" spans="2:42">
      <c r="B135" s="97"/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6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4">
        <f t="shared" si="60"/>
        <v>0</v>
      </c>
      <c r="Y135" s="44">
        <f t="shared" si="61"/>
        <v>0</v>
      </c>
      <c r="Z135" s="44">
        <f t="shared" si="62"/>
        <v>0</v>
      </c>
      <c r="AA135" s="50">
        <f t="shared" si="63"/>
        <v>0</v>
      </c>
      <c r="AB135" s="51">
        <f t="shared" si="64"/>
        <v>0</v>
      </c>
      <c r="AC135" s="44">
        <f t="shared" si="65"/>
        <v>0</v>
      </c>
      <c r="AD135" s="44">
        <f t="shared" si="66"/>
        <v>0</v>
      </c>
      <c r="AE135" s="44">
        <f t="shared" si="67"/>
        <v>0</v>
      </c>
      <c r="AF135" s="52" t="e">
        <f>HLOOKUP(I135,GasAvoidedCostsWOCC!$A$5:$G$50,G135+1,FALSE)</f>
        <v>#N/A</v>
      </c>
      <c r="AG135" s="44" t="e">
        <f t="shared" si="68"/>
        <v>#N/A</v>
      </c>
      <c r="AH135" s="52" t="e">
        <f>HLOOKUP(I135,GasAvoidedCostsWOCC!$A$5:$Q$50,T135+1,FALSE)</f>
        <v>#N/A</v>
      </c>
      <c r="AI135" s="44" t="e">
        <f t="shared" si="69"/>
        <v>#N/A</v>
      </c>
      <c r="AJ135" s="44" t="e">
        <f t="shared" si="70"/>
        <v>#N/A</v>
      </c>
      <c r="AK135" s="44" t="e">
        <f>HLOOKUP(I135,GasAvoidedCostsWOCC!$A$5:$Q$50,G135+1,FALSE)*J135*L135</f>
        <v>#N/A</v>
      </c>
      <c r="AL135" s="44" t="e">
        <f t="shared" si="71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72"/>
        <v>0</v>
      </c>
      <c r="AO135" s="47">
        <f t="shared" si="73"/>
        <v>0</v>
      </c>
      <c r="AP135" s="47" t="e">
        <f t="shared" si="74"/>
        <v>#DIV/0!</v>
      </c>
    </row>
    <row r="136" spans="2:42">
      <c r="B136" s="97"/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6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4">
        <f t="shared" si="60"/>
        <v>0</v>
      </c>
      <c r="Y136" s="44">
        <f t="shared" si="61"/>
        <v>0</v>
      </c>
      <c r="Z136" s="44">
        <f t="shared" si="62"/>
        <v>0</v>
      </c>
      <c r="AA136" s="50">
        <f t="shared" si="63"/>
        <v>0</v>
      </c>
      <c r="AB136" s="51">
        <f t="shared" si="64"/>
        <v>0</v>
      </c>
      <c r="AC136" s="44">
        <f t="shared" si="65"/>
        <v>0</v>
      </c>
      <c r="AD136" s="44">
        <f t="shared" si="66"/>
        <v>0</v>
      </c>
      <c r="AE136" s="44">
        <f t="shared" si="67"/>
        <v>0</v>
      </c>
      <c r="AF136" s="52" t="e">
        <f>HLOOKUP(I136,GasAvoidedCostsWOCC!$A$5:$G$50,G136+1,FALSE)</f>
        <v>#N/A</v>
      </c>
      <c r="AG136" s="44" t="e">
        <f t="shared" si="68"/>
        <v>#N/A</v>
      </c>
      <c r="AH136" s="52" t="e">
        <f>HLOOKUP(I136,GasAvoidedCostsWOCC!$A$5:$Q$50,T136+1,FALSE)</f>
        <v>#N/A</v>
      </c>
      <c r="AI136" s="44" t="e">
        <f t="shared" si="69"/>
        <v>#N/A</v>
      </c>
      <c r="AJ136" s="44" t="e">
        <f t="shared" si="70"/>
        <v>#N/A</v>
      </c>
      <c r="AK136" s="44" t="e">
        <f>HLOOKUP(I136,GasAvoidedCostsWOCC!$A$5:$Q$50,G136+1,FALSE)*J136*L136</f>
        <v>#N/A</v>
      </c>
      <c r="AL136" s="44" t="e">
        <f t="shared" si="71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72"/>
        <v>0</v>
      </c>
      <c r="AO136" s="47">
        <f t="shared" si="73"/>
        <v>0</v>
      </c>
      <c r="AP136" s="47" t="e">
        <f t="shared" si="74"/>
        <v>#DIV/0!</v>
      </c>
    </row>
    <row r="137" spans="2:42">
      <c r="B137" s="97"/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6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4">
        <f t="shared" si="60"/>
        <v>0</v>
      </c>
      <c r="Y137" s="44">
        <f t="shared" si="61"/>
        <v>0</v>
      </c>
      <c r="Z137" s="44">
        <f t="shared" si="62"/>
        <v>0</v>
      </c>
      <c r="AA137" s="50">
        <f t="shared" si="63"/>
        <v>0</v>
      </c>
      <c r="AB137" s="51">
        <f t="shared" si="64"/>
        <v>0</v>
      </c>
      <c r="AC137" s="44">
        <f t="shared" si="65"/>
        <v>0</v>
      </c>
      <c r="AD137" s="44">
        <f t="shared" si="66"/>
        <v>0</v>
      </c>
      <c r="AE137" s="44">
        <f t="shared" si="67"/>
        <v>0</v>
      </c>
      <c r="AF137" s="52" t="e">
        <f>HLOOKUP(I137,GasAvoidedCostsWOCC!$A$5:$G$50,G137+1,FALSE)</f>
        <v>#N/A</v>
      </c>
      <c r="AG137" s="44" t="e">
        <f t="shared" si="68"/>
        <v>#N/A</v>
      </c>
      <c r="AH137" s="52" t="e">
        <f>HLOOKUP(I137,GasAvoidedCostsWOCC!$A$5:$Q$50,T137+1,FALSE)</f>
        <v>#N/A</v>
      </c>
      <c r="AI137" s="44" t="e">
        <f t="shared" si="69"/>
        <v>#N/A</v>
      </c>
      <c r="AJ137" s="44" t="e">
        <f t="shared" si="70"/>
        <v>#N/A</v>
      </c>
      <c r="AK137" s="44" t="e">
        <f>HLOOKUP(I137,GasAvoidedCostsWOCC!$A$5:$Q$50,G137+1,FALSE)*J137*L137</f>
        <v>#N/A</v>
      </c>
      <c r="AL137" s="44" t="e">
        <f t="shared" si="71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72"/>
        <v>0</v>
      </c>
      <c r="AO137" s="47">
        <f t="shared" si="73"/>
        <v>0</v>
      </c>
      <c r="AP137" s="47" t="e">
        <f t="shared" si="74"/>
        <v>#DIV/0!</v>
      </c>
    </row>
    <row r="138" spans="2:42">
      <c r="B138" s="97"/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6"/>
        <v>0</v>
      </c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4">
        <f t="shared" si="60"/>
        <v>0</v>
      </c>
      <c r="Y138" s="44">
        <f t="shared" si="61"/>
        <v>0</v>
      </c>
      <c r="Z138" s="44">
        <f t="shared" si="62"/>
        <v>0</v>
      </c>
      <c r="AA138" s="50">
        <f t="shared" si="63"/>
        <v>0</v>
      </c>
      <c r="AB138" s="51">
        <f t="shared" si="64"/>
        <v>0</v>
      </c>
      <c r="AC138" s="44">
        <f t="shared" si="65"/>
        <v>0</v>
      </c>
      <c r="AD138" s="44">
        <f t="shared" si="66"/>
        <v>0</v>
      </c>
      <c r="AE138" s="44">
        <f t="shared" si="67"/>
        <v>0</v>
      </c>
      <c r="AF138" s="52" t="e">
        <f>HLOOKUP(I138,GasAvoidedCostsWOCC!$A$5:$G$50,G138+1,FALSE)</f>
        <v>#N/A</v>
      </c>
      <c r="AG138" s="44" t="e">
        <f t="shared" si="68"/>
        <v>#N/A</v>
      </c>
      <c r="AH138" s="52" t="e">
        <f>HLOOKUP(I138,GasAvoidedCostsWOCC!$A$5:$Q$50,T138+1,FALSE)</f>
        <v>#N/A</v>
      </c>
      <c r="AI138" s="44" t="e">
        <f t="shared" si="69"/>
        <v>#N/A</v>
      </c>
      <c r="AJ138" s="44" t="e">
        <f t="shared" si="70"/>
        <v>#N/A</v>
      </c>
      <c r="AK138" s="44" t="e">
        <f>HLOOKUP(I138,GasAvoidedCostsWOCC!$A$5:$Q$50,G138+1,FALSE)*J138*L138</f>
        <v>#N/A</v>
      </c>
      <c r="AL138" s="44" t="e">
        <f t="shared" si="71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72"/>
        <v>0</v>
      </c>
      <c r="AO138" s="47">
        <f t="shared" si="73"/>
        <v>0</v>
      </c>
      <c r="AP138" s="47" t="e">
        <f t="shared" si="74"/>
        <v>#DIV/0!</v>
      </c>
    </row>
    <row r="139" spans="2:42">
      <c r="B139" s="97"/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6"/>
        <v>0</v>
      </c>
      <c r="U139" s="47">
        <f t="shared" si="57"/>
        <v>0</v>
      </c>
      <c r="V139" s="48">
        <f t="shared" si="58"/>
        <v>0</v>
      </c>
      <c r="W139" s="49">
        <f t="shared" si="59"/>
        <v>0</v>
      </c>
      <c r="X139" s="44">
        <f t="shared" si="60"/>
        <v>0</v>
      </c>
      <c r="Y139" s="44">
        <f t="shared" si="61"/>
        <v>0</v>
      </c>
      <c r="Z139" s="44">
        <f t="shared" si="62"/>
        <v>0</v>
      </c>
      <c r="AA139" s="50">
        <f t="shared" si="63"/>
        <v>0</v>
      </c>
      <c r="AB139" s="51">
        <f t="shared" si="64"/>
        <v>0</v>
      </c>
      <c r="AC139" s="44">
        <f t="shared" si="65"/>
        <v>0</v>
      </c>
      <c r="AD139" s="44">
        <f t="shared" si="66"/>
        <v>0</v>
      </c>
      <c r="AE139" s="44">
        <f t="shared" si="67"/>
        <v>0</v>
      </c>
      <c r="AF139" s="52" t="e">
        <f>HLOOKUP(I139,GasAvoidedCostsWOCC!$A$5:$G$50,G139+1,FALSE)</f>
        <v>#N/A</v>
      </c>
      <c r="AG139" s="44" t="e">
        <f t="shared" si="68"/>
        <v>#N/A</v>
      </c>
      <c r="AH139" s="52" t="e">
        <f>HLOOKUP(I139,GasAvoidedCostsWOCC!$A$5:$Q$50,T139+1,FALSE)</f>
        <v>#N/A</v>
      </c>
      <c r="AI139" s="44" t="e">
        <f t="shared" si="69"/>
        <v>#N/A</v>
      </c>
      <c r="AJ139" s="44" t="e">
        <f t="shared" si="70"/>
        <v>#N/A</v>
      </c>
      <c r="AK139" s="44" t="e">
        <f>HLOOKUP(I139,GasAvoidedCostsWOCC!$A$5:$Q$50,G139+1,FALSE)*J139*L139</f>
        <v>#N/A</v>
      </c>
      <c r="AL139" s="44" t="e">
        <f t="shared" si="71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72"/>
        <v>0</v>
      </c>
      <c r="AO139" s="47">
        <f t="shared" si="73"/>
        <v>0</v>
      </c>
      <c r="AP139" s="47" t="e">
        <f t="shared" si="74"/>
        <v>#DIV/0!</v>
      </c>
    </row>
    <row r="140" spans="2:42">
      <c r="B140" s="97"/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6"/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4">
        <f t="shared" si="60"/>
        <v>0</v>
      </c>
      <c r="Y140" s="44">
        <f t="shared" si="61"/>
        <v>0</v>
      </c>
      <c r="Z140" s="44">
        <f t="shared" si="62"/>
        <v>0</v>
      </c>
      <c r="AA140" s="50">
        <f t="shared" si="63"/>
        <v>0</v>
      </c>
      <c r="AB140" s="51">
        <f t="shared" si="64"/>
        <v>0</v>
      </c>
      <c r="AC140" s="44">
        <f t="shared" si="65"/>
        <v>0</v>
      </c>
      <c r="AD140" s="44">
        <f t="shared" si="66"/>
        <v>0</v>
      </c>
      <c r="AE140" s="44">
        <f t="shared" si="67"/>
        <v>0</v>
      </c>
      <c r="AF140" s="52" t="e">
        <f>HLOOKUP(I140,GasAvoidedCostsWOCC!$A$5:$G$50,G140+1,FALSE)</f>
        <v>#N/A</v>
      </c>
      <c r="AG140" s="44" t="e">
        <f t="shared" si="68"/>
        <v>#N/A</v>
      </c>
      <c r="AH140" s="52" t="e">
        <f>HLOOKUP(I140,GasAvoidedCostsWOCC!$A$5:$Q$50,T140+1,FALSE)</f>
        <v>#N/A</v>
      </c>
      <c r="AI140" s="44" t="e">
        <f t="shared" si="69"/>
        <v>#N/A</v>
      </c>
      <c r="AJ140" s="44" t="e">
        <f t="shared" si="70"/>
        <v>#N/A</v>
      </c>
      <c r="AK140" s="44" t="e">
        <f>HLOOKUP(I140,GasAvoidedCostsWOCC!$A$5:$Q$50,G140+1,FALSE)*J140*L140</f>
        <v>#N/A</v>
      </c>
      <c r="AL140" s="44" t="e">
        <f t="shared" si="71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72"/>
        <v>0</v>
      </c>
      <c r="AO140" s="47">
        <f t="shared" si="73"/>
        <v>0</v>
      </c>
      <c r="AP140" s="47" t="e">
        <f t="shared" si="74"/>
        <v>#DIV/0!</v>
      </c>
    </row>
    <row r="141" spans="2:42">
      <c r="B141" s="97"/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4">
        <f t="shared" si="60"/>
        <v>0</v>
      </c>
      <c r="Y141" s="44">
        <f t="shared" si="61"/>
        <v>0</v>
      </c>
      <c r="Z141" s="44">
        <f t="shared" si="62"/>
        <v>0</v>
      </c>
      <c r="AA141" s="50">
        <f t="shared" si="63"/>
        <v>0</v>
      </c>
      <c r="AB141" s="51">
        <f t="shared" si="64"/>
        <v>0</v>
      </c>
      <c r="AC141" s="44">
        <f t="shared" si="65"/>
        <v>0</v>
      </c>
      <c r="AD141" s="44">
        <f t="shared" si="66"/>
        <v>0</v>
      </c>
      <c r="AE141" s="44">
        <f t="shared" si="67"/>
        <v>0</v>
      </c>
      <c r="AF141" s="52" t="e">
        <f>HLOOKUP(I141,GasAvoidedCostsWOCC!$A$5:$G$50,G141+1,FALSE)</f>
        <v>#N/A</v>
      </c>
      <c r="AG141" s="44" t="e">
        <f t="shared" si="68"/>
        <v>#N/A</v>
      </c>
      <c r="AH141" s="52" t="e">
        <f>HLOOKUP(I141,GasAvoidedCostsWOCC!$A$5:$Q$50,T141+1,FALSE)</f>
        <v>#N/A</v>
      </c>
      <c r="AI141" s="44" t="e">
        <f t="shared" si="69"/>
        <v>#N/A</v>
      </c>
      <c r="AJ141" s="44" t="e">
        <f t="shared" si="70"/>
        <v>#N/A</v>
      </c>
      <c r="AK141" s="44" t="e">
        <f>HLOOKUP(I141,GasAvoidedCostsWOCC!$A$5:$Q$50,G141+1,FALSE)*J141*L141</f>
        <v>#N/A</v>
      </c>
      <c r="AL141" s="44" t="e">
        <f t="shared" si="71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72"/>
        <v>0</v>
      </c>
      <c r="AO141" s="47">
        <f t="shared" si="73"/>
        <v>0</v>
      </c>
      <c r="AP141" s="47" t="e">
        <f t="shared" si="74"/>
        <v>#DIV/0!</v>
      </c>
    </row>
    <row r="142" spans="2:42">
      <c r="B142" s="97"/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4">
        <f t="shared" si="60"/>
        <v>0</v>
      </c>
      <c r="Y142" s="44">
        <f t="shared" si="61"/>
        <v>0</v>
      </c>
      <c r="Z142" s="44">
        <f t="shared" si="62"/>
        <v>0</v>
      </c>
      <c r="AA142" s="50">
        <f t="shared" si="63"/>
        <v>0</v>
      </c>
      <c r="AB142" s="51">
        <f t="shared" si="64"/>
        <v>0</v>
      </c>
      <c r="AC142" s="44">
        <f t="shared" si="65"/>
        <v>0</v>
      </c>
      <c r="AD142" s="44">
        <f t="shared" si="66"/>
        <v>0</v>
      </c>
      <c r="AE142" s="44">
        <f t="shared" si="67"/>
        <v>0</v>
      </c>
      <c r="AF142" s="52" t="e">
        <f>HLOOKUP(I142,GasAvoidedCostsWOCC!$A$5:$G$50,G142+1,FALSE)</f>
        <v>#N/A</v>
      </c>
      <c r="AG142" s="44" t="e">
        <f t="shared" si="68"/>
        <v>#N/A</v>
      </c>
      <c r="AH142" s="52" t="e">
        <f>HLOOKUP(I142,GasAvoidedCostsWOCC!$A$5:$Q$50,T142+1,FALSE)</f>
        <v>#N/A</v>
      </c>
      <c r="AI142" s="44" t="e">
        <f t="shared" si="69"/>
        <v>#N/A</v>
      </c>
      <c r="AJ142" s="44" t="e">
        <f t="shared" si="70"/>
        <v>#N/A</v>
      </c>
      <c r="AK142" s="44" t="e">
        <f>HLOOKUP(I142,GasAvoidedCostsWOCC!$A$5:$Q$50,G142+1,FALSE)*J142*L142</f>
        <v>#N/A</v>
      </c>
      <c r="AL142" s="44" t="e">
        <f t="shared" si="71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72"/>
        <v>0</v>
      </c>
      <c r="AO142" s="47">
        <f t="shared" si="73"/>
        <v>0</v>
      </c>
      <c r="AP142" s="47" t="e">
        <f t="shared" si="74"/>
        <v>#DIV/0!</v>
      </c>
    </row>
    <row r="143" spans="2:42">
      <c r="B143" s="97"/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4">
        <f t="shared" si="60"/>
        <v>0</v>
      </c>
      <c r="Y143" s="44">
        <f t="shared" si="61"/>
        <v>0</v>
      </c>
      <c r="Z143" s="44">
        <f t="shared" si="62"/>
        <v>0</v>
      </c>
      <c r="AA143" s="50">
        <f t="shared" si="63"/>
        <v>0</v>
      </c>
      <c r="AB143" s="51">
        <f t="shared" si="64"/>
        <v>0</v>
      </c>
      <c r="AC143" s="44">
        <f t="shared" si="65"/>
        <v>0</v>
      </c>
      <c r="AD143" s="44">
        <f t="shared" si="66"/>
        <v>0</v>
      </c>
      <c r="AE143" s="44">
        <f t="shared" si="67"/>
        <v>0</v>
      </c>
      <c r="AF143" s="52" t="e">
        <f>HLOOKUP(I143,GasAvoidedCostsWOCC!$A$5:$G$50,G143+1,FALSE)</f>
        <v>#N/A</v>
      </c>
      <c r="AG143" s="44" t="e">
        <f t="shared" si="68"/>
        <v>#N/A</v>
      </c>
      <c r="AH143" s="52" t="e">
        <f>HLOOKUP(I143,GasAvoidedCostsWOCC!$A$5:$Q$50,T143+1,FALSE)</f>
        <v>#N/A</v>
      </c>
      <c r="AI143" s="44" t="e">
        <f t="shared" si="69"/>
        <v>#N/A</v>
      </c>
      <c r="AJ143" s="44" t="e">
        <f t="shared" si="70"/>
        <v>#N/A</v>
      </c>
      <c r="AK143" s="44" t="e">
        <f>HLOOKUP(I143,GasAvoidedCostsWOCC!$A$5:$Q$50,G143+1,FALSE)*J143*L143</f>
        <v>#N/A</v>
      </c>
      <c r="AL143" s="44" t="e">
        <f t="shared" si="71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72"/>
        <v>0</v>
      </c>
      <c r="AO143" s="47">
        <f t="shared" si="73"/>
        <v>0</v>
      </c>
      <c r="AP143" s="47" t="e">
        <f t="shared" si="74"/>
        <v>#DIV/0!</v>
      </c>
    </row>
    <row r="144" spans="2:42">
      <c r="B144" s="97"/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6"/>
        <v>0</v>
      </c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4">
        <f t="shared" si="60"/>
        <v>0</v>
      </c>
      <c r="Y144" s="44">
        <f t="shared" si="61"/>
        <v>0</v>
      </c>
      <c r="Z144" s="44">
        <f t="shared" si="62"/>
        <v>0</v>
      </c>
      <c r="AA144" s="50">
        <f t="shared" si="63"/>
        <v>0</v>
      </c>
      <c r="AB144" s="51">
        <f t="shared" si="64"/>
        <v>0</v>
      </c>
      <c r="AC144" s="44">
        <f t="shared" si="65"/>
        <v>0</v>
      </c>
      <c r="AD144" s="44">
        <f t="shared" si="66"/>
        <v>0</v>
      </c>
      <c r="AE144" s="44">
        <f t="shared" si="67"/>
        <v>0</v>
      </c>
      <c r="AF144" s="52" t="e">
        <f>HLOOKUP(I144,GasAvoidedCostsWOCC!$A$5:$G$50,G144+1,FALSE)</f>
        <v>#N/A</v>
      </c>
      <c r="AG144" s="44" t="e">
        <f t="shared" si="68"/>
        <v>#N/A</v>
      </c>
      <c r="AH144" s="52" t="e">
        <f>HLOOKUP(I144,GasAvoidedCostsWOCC!$A$5:$Q$50,T144+1,FALSE)</f>
        <v>#N/A</v>
      </c>
      <c r="AI144" s="44" t="e">
        <f t="shared" si="69"/>
        <v>#N/A</v>
      </c>
      <c r="AJ144" s="44" t="e">
        <f t="shared" si="70"/>
        <v>#N/A</v>
      </c>
      <c r="AK144" s="44" t="e">
        <f>HLOOKUP(I144,GasAvoidedCostsWOCC!$A$5:$Q$50,G144+1,FALSE)*J144*L144</f>
        <v>#N/A</v>
      </c>
      <c r="AL144" s="44" t="e">
        <f t="shared" si="71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72"/>
        <v>0</v>
      </c>
      <c r="AO144" s="47">
        <f t="shared" si="73"/>
        <v>0</v>
      </c>
      <c r="AP144" s="47" t="e">
        <f t="shared" si="74"/>
        <v>#DIV/0!</v>
      </c>
    </row>
    <row r="145" spans="2:42">
      <c r="B145" s="97"/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6"/>
        <v>0</v>
      </c>
      <c r="U145" s="47">
        <f t="shared" si="57"/>
        <v>0</v>
      </c>
      <c r="V145" s="48">
        <f t="shared" si="58"/>
        <v>0</v>
      </c>
      <c r="W145" s="49">
        <f t="shared" si="59"/>
        <v>0</v>
      </c>
      <c r="X145" s="44">
        <f t="shared" si="60"/>
        <v>0</v>
      </c>
      <c r="Y145" s="44">
        <f t="shared" si="61"/>
        <v>0</v>
      </c>
      <c r="Z145" s="44">
        <f t="shared" si="62"/>
        <v>0</v>
      </c>
      <c r="AA145" s="50">
        <f t="shared" si="63"/>
        <v>0</v>
      </c>
      <c r="AB145" s="51">
        <f t="shared" si="64"/>
        <v>0</v>
      </c>
      <c r="AC145" s="44">
        <f t="shared" si="65"/>
        <v>0</v>
      </c>
      <c r="AD145" s="44">
        <f t="shared" si="66"/>
        <v>0</v>
      </c>
      <c r="AE145" s="44">
        <f t="shared" si="67"/>
        <v>0</v>
      </c>
      <c r="AF145" s="52" t="e">
        <f>HLOOKUP(I145,GasAvoidedCostsWOCC!$A$5:$G$50,G145+1,FALSE)</f>
        <v>#N/A</v>
      </c>
      <c r="AG145" s="44" t="e">
        <f t="shared" si="68"/>
        <v>#N/A</v>
      </c>
      <c r="AH145" s="52" t="e">
        <f>HLOOKUP(I145,GasAvoidedCostsWOCC!$A$5:$Q$50,T145+1,FALSE)</f>
        <v>#N/A</v>
      </c>
      <c r="AI145" s="44" t="e">
        <f t="shared" si="69"/>
        <v>#N/A</v>
      </c>
      <c r="AJ145" s="44" t="e">
        <f t="shared" si="70"/>
        <v>#N/A</v>
      </c>
      <c r="AK145" s="44" t="e">
        <f>HLOOKUP(I145,GasAvoidedCostsWOCC!$A$5:$Q$50,G145+1,FALSE)*J145*L145</f>
        <v>#N/A</v>
      </c>
      <c r="AL145" s="44" t="e">
        <f t="shared" si="71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72"/>
        <v>0</v>
      </c>
      <c r="AO145" s="47">
        <f t="shared" si="73"/>
        <v>0</v>
      </c>
      <c r="AP145" s="47" t="e">
        <f t="shared" si="74"/>
        <v>#DIV/0!</v>
      </c>
    </row>
    <row r="146" spans="2:42">
      <c r="B146" s="97"/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6"/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4">
        <f t="shared" si="60"/>
        <v>0</v>
      </c>
      <c r="Y146" s="44">
        <f t="shared" si="61"/>
        <v>0</v>
      </c>
      <c r="Z146" s="44">
        <f t="shared" si="62"/>
        <v>0</v>
      </c>
      <c r="AA146" s="50">
        <f t="shared" si="63"/>
        <v>0</v>
      </c>
      <c r="AB146" s="51">
        <f t="shared" si="64"/>
        <v>0</v>
      </c>
      <c r="AC146" s="44">
        <f t="shared" si="65"/>
        <v>0</v>
      </c>
      <c r="AD146" s="44">
        <f t="shared" si="66"/>
        <v>0</v>
      </c>
      <c r="AE146" s="44">
        <f t="shared" si="67"/>
        <v>0</v>
      </c>
      <c r="AF146" s="52" t="e">
        <f>HLOOKUP(I146,GasAvoidedCostsWOCC!$A$5:$G$50,G146+1,FALSE)</f>
        <v>#N/A</v>
      </c>
      <c r="AG146" s="44" t="e">
        <f t="shared" si="68"/>
        <v>#N/A</v>
      </c>
      <c r="AH146" s="52" t="e">
        <f>HLOOKUP(I146,GasAvoidedCostsWOCC!$A$5:$Q$50,T146+1,FALSE)</f>
        <v>#N/A</v>
      </c>
      <c r="AI146" s="44" t="e">
        <f t="shared" si="69"/>
        <v>#N/A</v>
      </c>
      <c r="AJ146" s="44" t="e">
        <f t="shared" si="70"/>
        <v>#N/A</v>
      </c>
      <c r="AK146" s="44" t="e">
        <f>HLOOKUP(I146,GasAvoidedCostsWOCC!$A$5:$Q$50,G146+1,FALSE)*J146*L146</f>
        <v>#N/A</v>
      </c>
      <c r="AL146" s="44" t="e">
        <f t="shared" si="71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72"/>
        <v>0</v>
      </c>
      <c r="AO146" s="47">
        <f t="shared" si="73"/>
        <v>0</v>
      </c>
      <c r="AP146" s="47" t="e">
        <f t="shared" si="74"/>
        <v>#DIV/0!</v>
      </c>
    </row>
    <row r="147" spans="2:42">
      <c r="B147" s="97"/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6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4">
        <f t="shared" si="60"/>
        <v>0</v>
      </c>
      <c r="Y147" s="44">
        <f t="shared" si="61"/>
        <v>0</v>
      </c>
      <c r="Z147" s="44">
        <f t="shared" si="62"/>
        <v>0</v>
      </c>
      <c r="AA147" s="50">
        <f t="shared" si="63"/>
        <v>0</v>
      </c>
      <c r="AB147" s="51">
        <f t="shared" si="64"/>
        <v>0</v>
      </c>
      <c r="AC147" s="44">
        <f t="shared" si="65"/>
        <v>0</v>
      </c>
      <c r="AD147" s="44">
        <f t="shared" si="66"/>
        <v>0</v>
      </c>
      <c r="AE147" s="44">
        <f t="shared" si="67"/>
        <v>0</v>
      </c>
      <c r="AF147" s="52" t="e">
        <f>HLOOKUP(I147,GasAvoidedCostsWOCC!$A$5:$G$50,G147+1,FALSE)</f>
        <v>#N/A</v>
      </c>
      <c r="AG147" s="44" t="e">
        <f t="shared" si="68"/>
        <v>#N/A</v>
      </c>
      <c r="AH147" s="52" t="e">
        <f>HLOOKUP(I147,GasAvoidedCostsWOCC!$A$5:$Q$50,T147+1,FALSE)</f>
        <v>#N/A</v>
      </c>
      <c r="AI147" s="44" t="e">
        <f t="shared" si="69"/>
        <v>#N/A</v>
      </c>
      <c r="AJ147" s="44" t="e">
        <f t="shared" si="70"/>
        <v>#N/A</v>
      </c>
      <c r="AK147" s="44" t="e">
        <f>HLOOKUP(I147,GasAvoidedCostsWOCC!$A$5:$Q$50,G147+1,FALSE)*J147*L147</f>
        <v>#N/A</v>
      </c>
      <c r="AL147" s="44" t="e">
        <f t="shared" si="71"/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si="72"/>
        <v>0</v>
      </c>
      <c r="AO147" s="47">
        <f t="shared" si="73"/>
        <v>0</v>
      </c>
      <c r="AP147" s="47" t="e">
        <f t="shared" si="74"/>
        <v>#DIV/0!</v>
      </c>
    </row>
    <row r="148" spans="2:42">
      <c r="B148" s="97"/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6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4">
        <f t="shared" si="60"/>
        <v>0</v>
      </c>
      <c r="Y148" s="44">
        <f t="shared" si="61"/>
        <v>0</v>
      </c>
      <c r="Z148" s="44">
        <f t="shared" si="62"/>
        <v>0</v>
      </c>
      <c r="AA148" s="50">
        <f t="shared" si="63"/>
        <v>0</v>
      </c>
      <c r="AB148" s="51">
        <f t="shared" si="64"/>
        <v>0</v>
      </c>
      <c r="AC148" s="44">
        <f t="shared" si="65"/>
        <v>0</v>
      </c>
      <c r="AD148" s="44">
        <f t="shared" si="66"/>
        <v>0</v>
      </c>
      <c r="AE148" s="44">
        <f t="shared" si="67"/>
        <v>0</v>
      </c>
      <c r="AF148" s="52" t="e">
        <f>HLOOKUP(I148,GasAvoidedCostsWOCC!$A$5:$G$50,G148+1,FALSE)</f>
        <v>#N/A</v>
      </c>
      <c r="AG148" s="44" t="e">
        <f t="shared" si="68"/>
        <v>#N/A</v>
      </c>
      <c r="AH148" s="52" t="e">
        <f>HLOOKUP(I148,GasAvoidedCostsWOCC!$A$5:$Q$50,T148+1,FALSE)</f>
        <v>#N/A</v>
      </c>
      <c r="AI148" s="44" t="e">
        <f t="shared" si="69"/>
        <v>#N/A</v>
      </c>
      <c r="AJ148" s="44" t="e">
        <f t="shared" si="70"/>
        <v>#N/A</v>
      </c>
      <c r="AK148" s="44" t="e">
        <f>HLOOKUP(I148,GasAvoidedCostsWOCC!$A$5:$Q$50,G148+1,FALSE)*J148*L148</f>
        <v>#N/A</v>
      </c>
      <c r="AL148" s="44" t="e">
        <f t="shared" si="71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2"/>
        <v>0</v>
      </c>
      <c r="AO148" s="47">
        <f t="shared" si="73"/>
        <v>0</v>
      </c>
      <c r="AP148" s="47" t="e">
        <f t="shared" si="74"/>
        <v>#DIV/0!</v>
      </c>
    </row>
    <row r="149" spans="2:42">
      <c r="B149" s="97"/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6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4">
        <f t="shared" si="60"/>
        <v>0</v>
      </c>
      <c r="Y149" s="44">
        <f t="shared" si="61"/>
        <v>0</v>
      </c>
      <c r="Z149" s="44">
        <f t="shared" si="62"/>
        <v>0</v>
      </c>
      <c r="AA149" s="50">
        <f t="shared" si="63"/>
        <v>0</v>
      </c>
      <c r="AB149" s="51">
        <f t="shared" si="64"/>
        <v>0</v>
      </c>
      <c r="AC149" s="44">
        <f t="shared" si="65"/>
        <v>0</v>
      </c>
      <c r="AD149" s="44">
        <f t="shared" si="66"/>
        <v>0</v>
      </c>
      <c r="AE149" s="44">
        <f t="shared" si="67"/>
        <v>0</v>
      </c>
      <c r="AF149" s="52" t="e">
        <f>HLOOKUP(I149,GasAvoidedCostsWOCC!$A$5:$G$50,G149+1,FALSE)</f>
        <v>#N/A</v>
      </c>
      <c r="AG149" s="44" t="e">
        <f t="shared" si="68"/>
        <v>#N/A</v>
      </c>
      <c r="AH149" s="52" t="e">
        <f>HLOOKUP(I149,GasAvoidedCostsWOCC!$A$5:$Q$50,T149+1,FALSE)</f>
        <v>#N/A</v>
      </c>
      <c r="AI149" s="44" t="e">
        <f t="shared" si="69"/>
        <v>#N/A</v>
      </c>
      <c r="AJ149" s="44" t="e">
        <f t="shared" si="70"/>
        <v>#N/A</v>
      </c>
      <c r="AK149" s="44" t="e">
        <f>HLOOKUP(I149,GasAvoidedCostsWOCC!$A$5:$Q$50,G149+1,FALSE)*J149*L149</f>
        <v>#N/A</v>
      </c>
      <c r="AL149" s="44" t="e">
        <f t="shared" si="71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2"/>
        <v>0</v>
      </c>
      <c r="AO149" s="47">
        <f t="shared" si="73"/>
        <v>0</v>
      </c>
      <c r="AP149" s="47" t="e">
        <f t="shared" si="74"/>
        <v>#DIV/0!</v>
      </c>
    </row>
    <row r="150" spans="2:42">
      <c r="B150" s="97"/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6"/>
        <v>0</v>
      </c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4">
        <f t="shared" si="60"/>
        <v>0</v>
      </c>
      <c r="Y150" s="44">
        <f t="shared" si="61"/>
        <v>0</v>
      </c>
      <c r="Z150" s="44">
        <f t="shared" si="62"/>
        <v>0</v>
      </c>
      <c r="AA150" s="50">
        <f t="shared" si="63"/>
        <v>0</v>
      </c>
      <c r="AB150" s="51">
        <f t="shared" si="64"/>
        <v>0</v>
      </c>
      <c r="AC150" s="44">
        <f t="shared" si="65"/>
        <v>0</v>
      </c>
      <c r="AD150" s="44">
        <f t="shared" si="66"/>
        <v>0</v>
      </c>
      <c r="AE150" s="44">
        <f t="shared" si="67"/>
        <v>0</v>
      </c>
      <c r="AF150" s="52" t="e">
        <f>HLOOKUP(I150,GasAvoidedCostsWOCC!$A$5:$G$50,G150+1,FALSE)</f>
        <v>#N/A</v>
      </c>
      <c r="AG150" s="44" t="e">
        <f t="shared" si="68"/>
        <v>#N/A</v>
      </c>
      <c r="AH150" s="52" t="e">
        <f>HLOOKUP(I150,GasAvoidedCostsWOCC!$A$5:$Q$50,T150+1,FALSE)</f>
        <v>#N/A</v>
      </c>
      <c r="AI150" s="44" t="e">
        <f t="shared" si="69"/>
        <v>#N/A</v>
      </c>
      <c r="AJ150" s="44" t="e">
        <f t="shared" si="70"/>
        <v>#N/A</v>
      </c>
      <c r="AK150" s="44" t="e">
        <f>HLOOKUP(I150,GasAvoidedCostsWOCC!$A$5:$Q$50,G150+1,FALSE)*J150*L150</f>
        <v>#N/A</v>
      </c>
      <c r="AL150" s="44" t="e">
        <f t="shared" si="71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2"/>
        <v>0</v>
      </c>
      <c r="AO150" s="47">
        <f t="shared" si="73"/>
        <v>0</v>
      </c>
      <c r="AP150" s="47" t="e">
        <f t="shared" si="74"/>
        <v>#DIV/0!</v>
      </c>
    </row>
    <row r="151" spans="2:42">
      <c r="B151" s="97"/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6"/>
        <v>0</v>
      </c>
      <c r="U151" s="47">
        <f t="shared" si="57"/>
        <v>0</v>
      </c>
      <c r="V151" s="48">
        <f t="shared" si="58"/>
        <v>0</v>
      </c>
      <c r="W151" s="49">
        <f t="shared" si="59"/>
        <v>0</v>
      </c>
      <c r="X151" s="44">
        <f t="shared" si="60"/>
        <v>0</v>
      </c>
      <c r="Y151" s="44">
        <f t="shared" si="61"/>
        <v>0</v>
      </c>
      <c r="Z151" s="44">
        <f t="shared" si="62"/>
        <v>0</v>
      </c>
      <c r="AA151" s="50">
        <f t="shared" si="63"/>
        <v>0</v>
      </c>
      <c r="AB151" s="51">
        <f t="shared" si="64"/>
        <v>0</v>
      </c>
      <c r="AC151" s="44">
        <f t="shared" si="65"/>
        <v>0</v>
      </c>
      <c r="AD151" s="44">
        <f t="shared" si="66"/>
        <v>0</v>
      </c>
      <c r="AE151" s="44">
        <f t="shared" si="67"/>
        <v>0</v>
      </c>
      <c r="AF151" s="52" t="e">
        <f>HLOOKUP(I151,GasAvoidedCostsWOCC!$A$5:$G$50,G151+1,FALSE)</f>
        <v>#N/A</v>
      </c>
      <c r="AG151" s="44" t="e">
        <f t="shared" si="68"/>
        <v>#N/A</v>
      </c>
      <c r="AH151" s="52" t="e">
        <f>HLOOKUP(I151,GasAvoidedCostsWOCC!$A$5:$Q$50,T151+1,FALSE)</f>
        <v>#N/A</v>
      </c>
      <c r="AI151" s="44" t="e">
        <f t="shared" si="69"/>
        <v>#N/A</v>
      </c>
      <c r="AJ151" s="44" t="e">
        <f t="shared" si="70"/>
        <v>#N/A</v>
      </c>
      <c r="AK151" s="44" t="e">
        <f>HLOOKUP(I151,GasAvoidedCostsWOCC!$A$5:$Q$50,G151+1,FALSE)*J151*L151</f>
        <v>#N/A</v>
      </c>
      <c r="AL151" s="44" t="e">
        <f t="shared" si="71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2"/>
        <v>0</v>
      </c>
      <c r="AO151" s="47">
        <f t="shared" si="73"/>
        <v>0</v>
      </c>
      <c r="AP151" s="47" t="e">
        <f t="shared" si="74"/>
        <v>#DIV/0!</v>
      </c>
    </row>
    <row r="152" spans="2:42">
      <c r="B152" s="97"/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6"/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4">
        <f t="shared" si="60"/>
        <v>0</v>
      </c>
      <c r="Y152" s="44">
        <f t="shared" si="61"/>
        <v>0</v>
      </c>
      <c r="Z152" s="44">
        <f t="shared" si="62"/>
        <v>0</v>
      </c>
      <c r="AA152" s="50">
        <f t="shared" si="63"/>
        <v>0</v>
      </c>
      <c r="AB152" s="51">
        <f t="shared" si="64"/>
        <v>0</v>
      </c>
      <c r="AC152" s="44">
        <f t="shared" si="65"/>
        <v>0</v>
      </c>
      <c r="AD152" s="44">
        <f t="shared" si="66"/>
        <v>0</v>
      </c>
      <c r="AE152" s="44">
        <f t="shared" si="67"/>
        <v>0</v>
      </c>
      <c r="AF152" s="52" t="e">
        <f>HLOOKUP(I152,GasAvoidedCostsWOCC!$A$5:$G$50,G152+1,FALSE)</f>
        <v>#N/A</v>
      </c>
      <c r="AG152" s="44" t="e">
        <f t="shared" si="68"/>
        <v>#N/A</v>
      </c>
      <c r="AH152" s="52" t="e">
        <f>HLOOKUP(I152,GasAvoidedCostsWOCC!$A$5:$Q$50,T152+1,FALSE)</f>
        <v>#N/A</v>
      </c>
      <c r="AI152" s="44" t="e">
        <f t="shared" si="69"/>
        <v>#N/A</v>
      </c>
      <c r="AJ152" s="44" t="e">
        <f t="shared" si="70"/>
        <v>#N/A</v>
      </c>
      <c r="AK152" s="44" t="e">
        <f>HLOOKUP(I152,GasAvoidedCostsWOCC!$A$5:$Q$50,G152+1,FALSE)*J152*L152</f>
        <v>#N/A</v>
      </c>
      <c r="AL152" s="44" t="e">
        <f t="shared" si="71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2"/>
        <v>0</v>
      </c>
      <c r="AO152" s="47">
        <f t="shared" si="73"/>
        <v>0</v>
      </c>
      <c r="AP152" s="47" t="e">
        <f t="shared" si="74"/>
        <v>#DIV/0!</v>
      </c>
    </row>
    <row r="153" spans="2:42">
      <c r="B153" s="97"/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6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4">
        <f t="shared" si="60"/>
        <v>0</v>
      </c>
      <c r="Y153" s="44">
        <f t="shared" si="61"/>
        <v>0</v>
      </c>
      <c r="Z153" s="44">
        <f t="shared" si="62"/>
        <v>0</v>
      </c>
      <c r="AA153" s="50">
        <f t="shared" si="63"/>
        <v>0</v>
      </c>
      <c r="AB153" s="51">
        <f t="shared" si="64"/>
        <v>0</v>
      </c>
      <c r="AC153" s="44">
        <f t="shared" si="65"/>
        <v>0</v>
      </c>
      <c r="AD153" s="44">
        <f t="shared" si="66"/>
        <v>0</v>
      </c>
      <c r="AE153" s="44">
        <f t="shared" si="67"/>
        <v>0</v>
      </c>
      <c r="AF153" s="52" t="e">
        <f>HLOOKUP(I153,GasAvoidedCostsWOCC!$A$5:$G$50,G153+1,FALSE)</f>
        <v>#N/A</v>
      </c>
      <c r="AG153" s="44" t="e">
        <f t="shared" si="68"/>
        <v>#N/A</v>
      </c>
      <c r="AH153" s="52" t="e">
        <f>HLOOKUP(I153,GasAvoidedCostsWOCC!$A$5:$Q$50,T153+1,FALSE)</f>
        <v>#N/A</v>
      </c>
      <c r="AI153" s="44" t="e">
        <f t="shared" si="69"/>
        <v>#N/A</v>
      </c>
      <c r="AJ153" s="44" t="e">
        <f t="shared" si="70"/>
        <v>#N/A</v>
      </c>
      <c r="AK153" s="44" t="e">
        <f>HLOOKUP(I153,GasAvoidedCostsWOCC!$A$5:$Q$50,G153+1,FALSE)*J153*L153</f>
        <v>#N/A</v>
      </c>
      <c r="AL153" s="44" t="e">
        <f t="shared" si="71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 t="e">
        <f t="shared" si="74"/>
        <v>#DIV/0!</v>
      </c>
    </row>
    <row r="154" spans="2:42">
      <c r="B154" s="97"/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6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4">
        <f t="shared" si="60"/>
        <v>0</v>
      </c>
      <c r="Y154" s="44">
        <f t="shared" si="61"/>
        <v>0</v>
      </c>
      <c r="Z154" s="44">
        <f t="shared" si="62"/>
        <v>0</v>
      </c>
      <c r="AA154" s="50">
        <f t="shared" si="63"/>
        <v>0</v>
      </c>
      <c r="AB154" s="51">
        <f t="shared" si="64"/>
        <v>0</v>
      </c>
      <c r="AC154" s="44">
        <f t="shared" si="65"/>
        <v>0</v>
      </c>
      <c r="AD154" s="44">
        <f t="shared" si="66"/>
        <v>0</v>
      </c>
      <c r="AE154" s="44">
        <f t="shared" si="67"/>
        <v>0</v>
      </c>
      <c r="AF154" s="52" t="e">
        <f>HLOOKUP(I154,GasAvoidedCostsWOCC!$A$5:$G$50,G154+1,FALSE)</f>
        <v>#N/A</v>
      </c>
      <c r="AG154" s="44" t="e">
        <f t="shared" si="68"/>
        <v>#N/A</v>
      </c>
      <c r="AH154" s="52" t="e">
        <f>HLOOKUP(I154,GasAvoidedCostsWOCC!$A$5:$Q$50,T154+1,FALSE)</f>
        <v>#N/A</v>
      </c>
      <c r="AI154" s="44" t="e">
        <f t="shared" si="69"/>
        <v>#N/A</v>
      </c>
      <c r="AJ154" s="44" t="e">
        <f t="shared" si="70"/>
        <v>#N/A</v>
      </c>
      <c r="AK154" s="44" t="e">
        <f>HLOOKUP(I154,GasAvoidedCostsWOCC!$A$5:$Q$50,G154+1,FALSE)*J154*L154</f>
        <v>#N/A</v>
      </c>
      <c r="AL154" s="44" t="e">
        <f t="shared" si="71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2"/>
        <v>0</v>
      </c>
      <c r="AO154" s="47">
        <f t="shared" si="73"/>
        <v>0</v>
      </c>
      <c r="AP154" s="47" t="e">
        <f t="shared" si="74"/>
        <v>#DIV/0!</v>
      </c>
    </row>
    <row r="155" spans="2:42">
      <c r="B155" s="97"/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6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4">
        <f t="shared" si="60"/>
        <v>0</v>
      </c>
      <c r="Y155" s="44">
        <f t="shared" si="61"/>
        <v>0</v>
      </c>
      <c r="Z155" s="44">
        <f t="shared" si="62"/>
        <v>0</v>
      </c>
      <c r="AA155" s="50">
        <f t="shared" si="63"/>
        <v>0</v>
      </c>
      <c r="AB155" s="51">
        <f t="shared" si="64"/>
        <v>0</v>
      </c>
      <c r="AC155" s="44">
        <f t="shared" si="65"/>
        <v>0</v>
      </c>
      <c r="AD155" s="44">
        <f t="shared" si="66"/>
        <v>0</v>
      </c>
      <c r="AE155" s="44">
        <f t="shared" si="67"/>
        <v>0</v>
      </c>
      <c r="AF155" s="52" t="e">
        <f>HLOOKUP(I155,GasAvoidedCostsWOCC!$A$5:$G$50,G155+1,FALSE)</f>
        <v>#N/A</v>
      </c>
      <c r="AG155" s="44" t="e">
        <f t="shared" si="68"/>
        <v>#N/A</v>
      </c>
      <c r="AH155" s="52" t="e">
        <f>HLOOKUP(I155,GasAvoidedCostsWOCC!$A$5:$Q$50,T155+1,FALSE)</f>
        <v>#N/A</v>
      </c>
      <c r="AI155" s="44" t="e">
        <f t="shared" si="69"/>
        <v>#N/A</v>
      </c>
      <c r="AJ155" s="44" t="e">
        <f t="shared" si="70"/>
        <v>#N/A</v>
      </c>
      <c r="AK155" s="44" t="e">
        <f>HLOOKUP(I155,GasAvoidedCostsWOCC!$A$5:$Q$50,G155+1,FALSE)*J155*L155</f>
        <v>#N/A</v>
      </c>
      <c r="AL155" s="44" t="e">
        <f t="shared" si="71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2"/>
        <v>0</v>
      </c>
      <c r="AO155" s="47">
        <f t="shared" si="73"/>
        <v>0</v>
      </c>
      <c r="AP155" s="47" t="e">
        <f t="shared" si="74"/>
        <v>#DIV/0!</v>
      </c>
    </row>
    <row r="156" spans="2:42">
      <c r="B156" s="97"/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6"/>
        <v>0</v>
      </c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4">
        <f t="shared" si="60"/>
        <v>0</v>
      </c>
      <c r="Y156" s="44">
        <f t="shared" si="61"/>
        <v>0</v>
      </c>
      <c r="Z156" s="44">
        <f t="shared" si="62"/>
        <v>0</v>
      </c>
      <c r="AA156" s="50">
        <f t="shared" si="63"/>
        <v>0</v>
      </c>
      <c r="AB156" s="51">
        <f t="shared" si="64"/>
        <v>0</v>
      </c>
      <c r="AC156" s="44">
        <f t="shared" si="65"/>
        <v>0</v>
      </c>
      <c r="AD156" s="44">
        <f t="shared" si="66"/>
        <v>0</v>
      </c>
      <c r="AE156" s="44">
        <f t="shared" si="67"/>
        <v>0</v>
      </c>
      <c r="AF156" s="52" t="e">
        <f>HLOOKUP(I156,GasAvoidedCostsWOCC!$A$5:$G$50,G156+1,FALSE)</f>
        <v>#N/A</v>
      </c>
      <c r="AG156" s="44" t="e">
        <f t="shared" si="68"/>
        <v>#N/A</v>
      </c>
      <c r="AH156" s="52" t="e">
        <f>HLOOKUP(I156,GasAvoidedCostsWOCC!$A$5:$Q$50,T156+1,FALSE)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HLOOKUP(I156,GasAvoidedCostsWOCC!$A$5:$Q$50,G156+1,FALSE)*J156*L156</f>
        <v>#N/A</v>
      </c>
      <c r="AL156" s="44" t="e">
        <f t="shared" si="71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 t="e">
        <f t="shared" si="74"/>
        <v>#DIV/0!</v>
      </c>
    </row>
    <row r="157" spans="2:42">
      <c r="B157" s="97"/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6"/>
        <v>0</v>
      </c>
      <c r="U157" s="47">
        <f t="shared" si="57"/>
        <v>0</v>
      </c>
      <c r="V157" s="48">
        <f t="shared" si="58"/>
        <v>0</v>
      </c>
      <c r="W157" s="49">
        <f t="shared" si="59"/>
        <v>0</v>
      </c>
      <c r="X157" s="44">
        <f t="shared" si="60"/>
        <v>0</v>
      </c>
      <c r="Y157" s="44">
        <f t="shared" si="61"/>
        <v>0</v>
      </c>
      <c r="Z157" s="44">
        <f t="shared" si="62"/>
        <v>0</v>
      </c>
      <c r="AA157" s="50">
        <f t="shared" si="63"/>
        <v>0</v>
      </c>
      <c r="AB157" s="51">
        <f t="shared" si="64"/>
        <v>0</v>
      </c>
      <c r="AC157" s="44">
        <f t="shared" si="65"/>
        <v>0</v>
      </c>
      <c r="AD157" s="44">
        <f t="shared" si="66"/>
        <v>0</v>
      </c>
      <c r="AE157" s="44">
        <f t="shared" si="67"/>
        <v>0</v>
      </c>
      <c r="AF157" s="52" t="e">
        <f>HLOOKUP(I157,GasAvoidedCostsWOCC!$A$5:$G$50,G157+1,FALSE)</f>
        <v>#N/A</v>
      </c>
      <c r="AG157" s="44" t="e">
        <f t="shared" si="68"/>
        <v>#N/A</v>
      </c>
      <c r="AH157" s="52" t="e">
        <f>HLOOKUP(I157,GasAvoidedCostsWOCC!$A$5:$Q$50,T157+1,FALSE)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HLOOKUP(I157,GasAvoidedCostsWOCC!$A$5:$Q$50,G157+1,FALSE)*J157*L157</f>
        <v>#N/A</v>
      </c>
      <c r="AL157" s="44" t="e">
        <f t="shared" si="71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 t="e">
        <f t="shared" si="74"/>
        <v>#DIV/0!</v>
      </c>
    </row>
    <row r="158" spans="2:42">
      <c r="B158" s="97"/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6"/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4">
        <f t="shared" si="60"/>
        <v>0</v>
      </c>
      <c r="Y158" s="44">
        <f t="shared" si="61"/>
        <v>0</v>
      </c>
      <c r="Z158" s="44">
        <f t="shared" si="62"/>
        <v>0</v>
      </c>
      <c r="AA158" s="50">
        <f t="shared" si="63"/>
        <v>0</v>
      </c>
      <c r="AB158" s="51">
        <f t="shared" si="64"/>
        <v>0</v>
      </c>
      <c r="AC158" s="44">
        <f t="shared" si="65"/>
        <v>0</v>
      </c>
      <c r="AD158" s="44">
        <f t="shared" si="66"/>
        <v>0</v>
      </c>
      <c r="AE158" s="44">
        <f t="shared" si="67"/>
        <v>0</v>
      </c>
      <c r="AF158" s="52" t="e">
        <f>HLOOKUP(I158,GasAvoidedCostsWOCC!$A$5:$G$50,G158+1,FALSE)</f>
        <v>#N/A</v>
      </c>
      <c r="AG158" s="44" t="e">
        <f t="shared" si="68"/>
        <v>#N/A</v>
      </c>
      <c r="AH158" s="52" t="e">
        <f>HLOOKUP(I158,GasAvoidedCostsWOCC!$A$5:$Q$50,T158+1,FALSE)</f>
        <v>#N/A</v>
      </c>
      <c r="AI158" s="44" t="e">
        <f t="shared" si="69"/>
        <v>#N/A</v>
      </c>
      <c r="AJ158" s="44" t="e">
        <f t="shared" si="70"/>
        <v>#N/A</v>
      </c>
      <c r="AK158" s="44" t="e">
        <f>HLOOKUP(I158,GasAvoidedCostsWOCC!$A$5:$Q$50,G158+1,FALSE)*J158*L158</f>
        <v>#N/A</v>
      </c>
      <c r="AL158" s="44" t="e">
        <f t="shared" si="71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2"/>
        <v>0</v>
      </c>
      <c r="AO158" s="47">
        <f t="shared" si="73"/>
        <v>0</v>
      </c>
      <c r="AP158" s="47" t="e">
        <f t="shared" si="74"/>
        <v>#DIV/0!</v>
      </c>
    </row>
    <row r="159" spans="2:42">
      <c r="B159" s="97"/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6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4">
        <f t="shared" si="60"/>
        <v>0</v>
      </c>
      <c r="Y159" s="44">
        <f t="shared" si="61"/>
        <v>0</v>
      </c>
      <c r="Z159" s="44">
        <f t="shared" si="62"/>
        <v>0</v>
      </c>
      <c r="AA159" s="50">
        <f t="shared" si="63"/>
        <v>0</v>
      </c>
      <c r="AB159" s="51">
        <f t="shared" si="64"/>
        <v>0</v>
      </c>
      <c r="AC159" s="44">
        <f t="shared" si="65"/>
        <v>0</v>
      </c>
      <c r="AD159" s="44">
        <f t="shared" si="66"/>
        <v>0</v>
      </c>
      <c r="AE159" s="44">
        <f t="shared" si="67"/>
        <v>0</v>
      </c>
      <c r="AF159" s="52" t="e">
        <f>HLOOKUP(I159,GasAvoidedCostsWOCC!$A$5:$G$50,G159+1,FALSE)</f>
        <v>#N/A</v>
      </c>
      <c r="AG159" s="44" t="e">
        <f t="shared" si="68"/>
        <v>#N/A</v>
      </c>
      <c r="AH159" s="52" t="e">
        <f>HLOOKUP(I159,GasAvoidedCostsWOCC!$A$5:$Q$50,T159+1,FALSE)</f>
        <v>#N/A</v>
      </c>
      <c r="AI159" s="44" t="e">
        <f t="shared" si="69"/>
        <v>#N/A</v>
      </c>
      <c r="AJ159" s="44" t="e">
        <f t="shared" si="70"/>
        <v>#N/A</v>
      </c>
      <c r="AK159" s="44" t="e">
        <f>HLOOKUP(I159,GasAvoidedCostsWOCC!$A$5:$Q$50,G159+1,FALSE)*J159*L159</f>
        <v>#N/A</v>
      </c>
      <c r="AL159" s="44" t="e">
        <f t="shared" si="71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2"/>
        <v>0</v>
      </c>
      <c r="AO159" s="47">
        <f t="shared" si="73"/>
        <v>0</v>
      </c>
      <c r="AP159" s="47" t="e">
        <f t="shared" si="74"/>
        <v>#DIV/0!</v>
      </c>
    </row>
    <row r="160" spans="2:42">
      <c r="B160" s="97"/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6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4">
        <f t="shared" si="60"/>
        <v>0</v>
      </c>
      <c r="Y160" s="44">
        <f t="shared" si="61"/>
        <v>0</v>
      </c>
      <c r="Z160" s="44">
        <f t="shared" si="62"/>
        <v>0</v>
      </c>
      <c r="AA160" s="50">
        <f t="shared" si="63"/>
        <v>0</v>
      </c>
      <c r="AB160" s="51">
        <f t="shared" si="64"/>
        <v>0</v>
      </c>
      <c r="AC160" s="44">
        <f t="shared" si="65"/>
        <v>0</v>
      </c>
      <c r="AD160" s="44">
        <f t="shared" si="66"/>
        <v>0</v>
      </c>
      <c r="AE160" s="44">
        <f t="shared" si="67"/>
        <v>0</v>
      </c>
      <c r="AF160" s="52" t="e">
        <f>HLOOKUP(I160,GasAvoidedCostsWOCC!$A$5:$G$50,G160+1,FALSE)</f>
        <v>#N/A</v>
      </c>
      <c r="AG160" s="44" t="e">
        <f t="shared" si="68"/>
        <v>#N/A</v>
      </c>
      <c r="AH160" s="52" t="e">
        <f>HLOOKUP(I160,GasAvoidedCostsWOCC!$A$5:$Q$50,T160+1,FALSE)</f>
        <v>#N/A</v>
      </c>
      <c r="AI160" s="44" t="e">
        <f t="shared" si="69"/>
        <v>#N/A</v>
      </c>
      <c r="AJ160" s="44" t="e">
        <f t="shared" si="70"/>
        <v>#N/A</v>
      </c>
      <c r="AK160" s="44" t="e">
        <f>HLOOKUP(I160,GasAvoidedCostsWOCC!$A$5:$Q$50,G160+1,FALSE)*J160*L160</f>
        <v>#N/A</v>
      </c>
      <c r="AL160" s="44" t="e">
        <f t="shared" si="71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2"/>
        <v>0</v>
      </c>
      <c r="AO160" s="47">
        <f t="shared" si="73"/>
        <v>0</v>
      </c>
      <c r="AP160" s="47" t="e">
        <f t="shared" si="74"/>
        <v>#DIV/0!</v>
      </c>
    </row>
    <row r="161" spans="2:42">
      <c r="B161" s="97"/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6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4">
        <f t="shared" si="60"/>
        <v>0</v>
      </c>
      <c r="Y161" s="44">
        <f t="shared" si="61"/>
        <v>0</v>
      </c>
      <c r="Z161" s="44">
        <f t="shared" si="62"/>
        <v>0</v>
      </c>
      <c r="AA161" s="50">
        <f t="shared" si="63"/>
        <v>0</v>
      </c>
      <c r="AB161" s="51">
        <f t="shared" si="64"/>
        <v>0</v>
      </c>
      <c r="AC161" s="44">
        <f t="shared" si="65"/>
        <v>0</v>
      </c>
      <c r="AD161" s="44">
        <f t="shared" si="66"/>
        <v>0</v>
      </c>
      <c r="AE161" s="44">
        <f t="shared" si="67"/>
        <v>0</v>
      </c>
      <c r="AF161" s="52" t="e">
        <f>HLOOKUP(I161,GasAvoidedCostsWOCC!$A$5:$G$50,G161+1,FALSE)</f>
        <v>#N/A</v>
      </c>
      <c r="AG161" s="44" t="e">
        <f t="shared" si="68"/>
        <v>#N/A</v>
      </c>
      <c r="AH161" s="52" t="e">
        <f>HLOOKUP(I161,GasAvoidedCostsWOCC!$A$5:$Q$50,T161+1,FALSE)</f>
        <v>#N/A</v>
      </c>
      <c r="AI161" s="44" t="e">
        <f t="shared" si="69"/>
        <v>#N/A</v>
      </c>
      <c r="AJ161" s="44" t="e">
        <f t="shared" si="70"/>
        <v>#N/A</v>
      </c>
      <c r="AK161" s="44" t="e">
        <f>HLOOKUP(I161,GasAvoidedCostsWOCC!$A$5:$Q$50,G161+1,FALSE)*J161*L161</f>
        <v>#N/A</v>
      </c>
      <c r="AL161" s="44" t="e">
        <f t="shared" si="71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2"/>
        <v>0</v>
      </c>
      <c r="AO161" s="47">
        <f t="shared" si="73"/>
        <v>0</v>
      </c>
      <c r="AP161" s="47" t="e">
        <f t="shared" si="74"/>
        <v>#DIV/0!</v>
      </c>
    </row>
    <row r="162" spans="2:42">
      <c r="B162" s="97"/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6"/>
        <v>0</v>
      </c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4">
        <f t="shared" si="60"/>
        <v>0</v>
      </c>
      <c r="Y162" s="44">
        <f t="shared" si="61"/>
        <v>0</v>
      </c>
      <c r="Z162" s="44">
        <f t="shared" si="62"/>
        <v>0</v>
      </c>
      <c r="AA162" s="50">
        <f t="shared" si="63"/>
        <v>0</v>
      </c>
      <c r="AB162" s="51">
        <f t="shared" si="64"/>
        <v>0</v>
      </c>
      <c r="AC162" s="44">
        <f t="shared" si="65"/>
        <v>0</v>
      </c>
      <c r="AD162" s="44">
        <f t="shared" si="66"/>
        <v>0</v>
      </c>
      <c r="AE162" s="44">
        <f t="shared" si="67"/>
        <v>0</v>
      </c>
      <c r="AF162" s="52" t="e">
        <f>HLOOKUP(I162,GasAvoidedCostsWOCC!$A$5:$G$50,G162+1,FALSE)</f>
        <v>#N/A</v>
      </c>
      <c r="AG162" s="44" t="e">
        <f t="shared" si="68"/>
        <v>#N/A</v>
      </c>
      <c r="AH162" s="52" t="e">
        <f>HLOOKUP(I162,GasAvoidedCostsWOCC!$A$5:$Q$50,T162+1,FALSE)</f>
        <v>#N/A</v>
      </c>
      <c r="AI162" s="44" t="e">
        <f t="shared" si="69"/>
        <v>#N/A</v>
      </c>
      <c r="AJ162" s="44" t="e">
        <f t="shared" si="70"/>
        <v>#N/A</v>
      </c>
      <c r="AK162" s="44" t="e">
        <f>HLOOKUP(I162,GasAvoidedCostsWOCC!$A$5:$Q$50,G162+1,FALSE)*J162*L162</f>
        <v>#N/A</v>
      </c>
      <c r="AL162" s="44" t="e">
        <f t="shared" si="71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2"/>
        <v>0</v>
      </c>
      <c r="AO162" s="47">
        <f t="shared" si="73"/>
        <v>0</v>
      </c>
      <c r="AP162" s="47" t="e">
        <f t="shared" si="74"/>
        <v>#DIV/0!</v>
      </c>
    </row>
    <row r="163" spans="2:42">
      <c r="B163" s="97"/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6"/>
        <v>0</v>
      </c>
      <c r="U163" s="47">
        <f t="shared" si="57"/>
        <v>0</v>
      </c>
      <c r="V163" s="48">
        <f t="shared" si="58"/>
        <v>0</v>
      </c>
      <c r="W163" s="49">
        <f t="shared" si="59"/>
        <v>0</v>
      </c>
      <c r="X163" s="44">
        <f t="shared" si="60"/>
        <v>0</v>
      </c>
      <c r="Y163" s="44">
        <f t="shared" si="61"/>
        <v>0</v>
      </c>
      <c r="Z163" s="44">
        <f t="shared" si="62"/>
        <v>0</v>
      </c>
      <c r="AA163" s="50">
        <f t="shared" si="63"/>
        <v>0</v>
      </c>
      <c r="AB163" s="51">
        <f t="shared" si="64"/>
        <v>0</v>
      </c>
      <c r="AC163" s="44">
        <f t="shared" si="65"/>
        <v>0</v>
      </c>
      <c r="AD163" s="44">
        <f t="shared" si="66"/>
        <v>0</v>
      </c>
      <c r="AE163" s="44">
        <f t="shared" si="67"/>
        <v>0</v>
      </c>
      <c r="AF163" s="52" t="e">
        <f>HLOOKUP(I163,GasAvoidedCostsWOCC!$A$5:$G$50,G163+1,FALSE)</f>
        <v>#N/A</v>
      </c>
      <c r="AG163" s="44" t="e">
        <f t="shared" si="68"/>
        <v>#N/A</v>
      </c>
      <c r="AH163" s="52" t="e">
        <f>HLOOKUP(I163,GasAvoidedCostsWOCC!$A$5:$Q$50,T163+1,FALSE)</f>
        <v>#N/A</v>
      </c>
      <c r="AI163" s="44" t="e">
        <f t="shared" si="69"/>
        <v>#N/A</v>
      </c>
      <c r="AJ163" s="44" t="e">
        <f t="shared" si="70"/>
        <v>#N/A</v>
      </c>
      <c r="AK163" s="44" t="e">
        <f>HLOOKUP(I163,GasAvoidedCostsWOCC!$A$5:$Q$50,G163+1,FALSE)*J163*L163</f>
        <v>#N/A</v>
      </c>
      <c r="AL163" s="44" t="e">
        <f t="shared" si="71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2"/>
        <v>0</v>
      </c>
      <c r="AO163" s="47">
        <f t="shared" si="73"/>
        <v>0</v>
      </c>
      <c r="AP163" s="47" t="e">
        <f t="shared" si="74"/>
        <v>#DIV/0!</v>
      </c>
    </row>
    <row r="164" spans="2:42">
      <c r="B164" s="97"/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6"/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4">
        <f t="shared" si="60"/>
        <v>0</v>
      </c>
      <c r="Y164" s="44">
        <f t="shared" si="61"/>
        <v>0</v>
      </c>
      <c r="Z164" s="44">
        <f t="shared" si="62"/>
        <v>0</v>
      </c>
      <c r="AA164" s="50">
        <f t="shared" si="63"/>
        <v>0</v>
      </c>
      <c r="AB164" s="51">
        <f t="shared" si="64"/>
        <v>0</v>
      </c>
      <c r="AC164" s="44">
        <f t="shared" si="65"/>
        <v>0</v>
      </c>
      <c r="AD164" s="44">
        <f t="shared" si="66"/>
        <v>0</v>
      </c>
      <c r="AE164" s="44">
        <f t="shared" si="67"/>
        <v>0</v>
      </c>
      <c r="AF164" s="52" t="e">
        <f>HLOOKUP(I164,GasAvoidedCostsWOCC!$A$5:$G$50,G164+1,FALSE)</f>
        <v>#N/A</v>
      </c>
      <c r="AG164" s="44" t="e">
        <f t="shared" si="68"/>
        <v>#N/A</v>
      </c>
      <c r="AH164" s="52" t="e">
        <f>HLOOKUP(I164,GasAvoidedCostsWOCC!$A$5:$Q$50,T164+1,FALSE)</f>
        <v>#N/A</v>
      </c>
      <c r="AI164" s="44" t="e">
        <f t="shared" si="69"/>
        <v>#N/A</v>
      </c>
      <c r="AJ164" s="44" t="e">
        <f t="shared" si="70"/>
        <v>#N/A</v>
      </c>
      <c r="AK164" s="44" t="e">
        <f>HLOOKUP(I164,GasAvoidedCostsWOCC!$A$5:$Q$50,G164+1,FALSE)*J164*L164</f>
        <v>#N/A</v>
      </c>
      <c r="AL164" s="44" t="e">
        <f t="shared" si="71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2"/>
        <v>0</v>
      </c>
      <c r="AO164" s="47">
        <f t="shared" si="73"/>
        <v>0</v>
      </c>
      <c r="AP164" s="47" t="e">
        <f t="shared" si="74"/>
        <v>#DIV/0!</v>
      </c>
    </row>
    <row r="165" spans="2:42">
      <c r="B165" s="97"/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6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4">
        <f t="shared" si="60"/>
        <v>0</v>
      </c>
      <c r="Y165" s="44">
        <f t="shared" si="61"/>
        <v>0</v>
      </c>
      <c r="Z165" s="44">
        <f t="shared" si="62"/>
        <v>0</v>
      </c>
      <c r="AA165" s="50">
        <f t="shared" si="63"/>
        <v>0</v>
      </c>
      <c r="AB165" s="51">
        <f t="shared" si="64"/>
        <v>0</v>
      </c>
      <c r="AC165" s="44">
        <f t="shared" si="65"/>
        <v>0</v>
      </c>
      <c r="AD165" s="44">
        <f t="shared" si="66"/>
        <v>0</v>
      </c>
      <c r="AE165" s="44">
        <f t="shared" si="67"/>
        <v>0</v>
      </c>
      <c r="AF165" s="52" t="e">
        <f>HLOOKUP(I165,GasAvoidedCostsWOCC!$A$5:$G$50,G165+1,FALSE)</f>
        <v>#N/A</v>
      </c>
      <c r="AG165" s="44" t="e">
        <f t="shared" si="68"/>
        <v>#N/A</v>
      </c>
      <c r="AH165" s="52" t="e">
        <f>HLOOKUP(I165,GasAvoidedCostsWOCC!$A$5:$Q$50,T165+1,FALSE)</f>
        <v>#N/A</v>
      </c>
      <c r="AI165" s="44" t="e">
        <f t="shared" si="69"/>
        <v>#N/A</v>
      </c>
      <c r="AJ165" s="44" t="e">
        <f t="shared" si="70"/>
        <v>#N/A</v>
      </c>
      <c r="AK165" s="44" t="e">
        <f>HLOOKUP(I165,GasAvoidedCostsWOCC!$A$5:$Q$50,G165+1,FALSE)*J165*L165</f>
        <v>#N/A</v>
      </c>
      <c r="AL165" s="44" t="e">
        <f t="shared" si="71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2"/>
        <v>0</v>
      </c>
      <c r="AO165" s="47">
        <f t="shared" si="73"/>
        <v>0</v>
      </c>
      <c r="AP165" s="47" t="e">
        <f t="shared" si="74"/>
        <v>#DIV/0!</v>
      </c>
    </row>
    <row r="166" spans="2:42">
      <c r="B166" s="97"/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6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4">
        <f t="shared" si="60"/>
        <v>0</v>
      </c>
      <c r="Y166" s="44">
        <f t="shared" si="61"/>
        <v>0</v>
      </c>
      <c r="Z166" s="44">
        <f t="shared" si="62"/>
        <v>0</v>
      </c>
      <c r="AA166" s="50">
        <f t="shared" si="63"/>
        <v>0</v>
      </c>
      <c r="AB166" s="51">
        <f t="shared" si="64"/>
        <v>0</v>
      </c>
      <c r="AC166" s="44">
        <f t="shared" si="65"/>
        <v>0</v>
      </c>
      <c r="AD166" s="44">
        <f t="shared" si="66"/>
        <v>0</v>
      </c>
      <c r="AE166" s="44">
        <f t="shared" si="67"/>
        <v>0</v>
      </c>
      <c r="AF166" s="52" t="e">
        <f>HLOOKUP(I166,GasAvoidedCostsWOCC!$A$5:$G$50,G166+1,FALSE)</f>
        <v>#N/A</v>
      </c>
      <c r="AG166" s="44" t="e">
        <f t="shared" si="68"/>
        <v>#N/A</v>
      </c>
      <c r="AH166" s="52" t="e">
        <f>HLOOKUP(I166,GasAvoidedCostsWOCC!$A$5:$Q$50,T166+1,FALSE)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HLOOKUP(I166,GasAvoidedCostsWOCC!$A$5:$Q$50,G166+1,FALSE)*J166*L166</f>
        <v>#N/A</v>
      </c>
      <c r="AL166" s="44" t="e">
        <f t="shared" si="71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 t="e">
        <f t="shared" si="74"/>
        <v>#DIV/0!</v>
      </c>
    </row>
    <row r="167" spans="2:42">
      <c r="B167" s="97"/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6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4">
        <f t="shared" si="60"/>
        <v>0</v>
      </c>
      <c r="Y167" s="44">
        <f t="shared" si="61"/>
        <v>0</v>
      </c>
      <c r="Z167" s="44">
        <f t="shared" si="62"/>
        <v>0</v>
      </c>
      <c r="AA167" s="50">
        <f t="shared" si="63"/>
        <v>0</v>
      </c>
      <c r="AB167" s="51">
        <f t="shared" si="64"/>
        <v>0</v>
      </c>
      <c r="AC167" s="44">
        <f t="shared" si="65"/>
        <v>0</v>
      </c>
      <c r="AD167" s="44">
        <f t="shared" si="66"/>
        <v>0</v>
      </c>
      <c r="AE167" s="44">
        <f t="shared" si="67"/>
        <v>0</v>
      </c>
      <c r="AF167" s="52" t="e">
        <f>HLOOKUP(I167,GasAvoidedCostsWOCC!$A$5:$G$50,G167+1,FALSE)</f>
        <v>#N/A</v>
      </c>
      <c r="AG167" s="44" t="e">
        <f t="shared" si="68"/>
        <v>#N/A</v>
      </c>
      <c r="AH167" s="52" t="e">
        <f>HLOOKUP(I167,GasAvoidedCostsWOCC!$A$5:$Q$50,T167+1,FALSE)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HLOOKUP(I167,GasAvoidedCostsWOCC!$A$5:$Q$50,G167+1,FALSE)*J167*L167</f>
        <v>#N/A</v>
      </c>
      <c r="AL167" s="44" t="e">
        <f t="shared" si="71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 t="e">
        <f t="shared" si="74"/>
        <v>#DIV/0!</v>
      </c>
    </row>
    <row r="168" spans="2:42">
      <c r="B168" s="97"/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6"/>
        <v>0</v>
      </c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4">
        <f t="shared" si="60"/>
        <v>0</v>
      </c>
      <c r="Y168" s="44">
        <f t="shared" si="61"/>
        <v>0</v>
      </c>
      <c r="Z168" s="44">
        <f t="shared" si="62"/>
        <v>0</v>
      </c>
      <c r="AA168" s="50">
        <f t="shared" si="63"/>
        <v>0</v>
      </c>
      <c r="AB168" s="51">
        <f t="shared" si="64"/>
        <v>0</v>
      </c>
      <c r="AC168" s="44">
        <f t="shared" si="65"/>
        <v>0</v>
      </c>
      <c r="AD168" s="44">
        <f t="shared" si="66"/>
        <v>0</v>
      </c>
      <c r="AE168" s="44">
        <f t="shared" si="67"/>
        <v>0</v>
      </c>
      <c r="AF168" s="52" t="e">
        <f>HLOOKUP(I168,GasAvoidedCostsWOCC!$A$5:$G$50,G168+1,FALSE)</f>
        <v>#N/A</v>
      </c>
      <c r="AG168" s="44" t="e">
        <f t="shared" si="68"/>
        <v>#N/A</v>
      </c>
      <c r="AH168" s="52" t="e">
        <f>HLOOKUP(I168,GasAvoidedCostsWOCC!$A$5:$Q$50,T168+1,FALSE)</f>
        <v>#N/A</v>
      </c>
      <c r="AI168" s="44" t="e">
        <f t="shared" si="69"/>
        <v>#N/A</v>
      </c>
      <c r="AJ168" s="44" t="e">
        <f t="shared" si="70"/>
        <v>#N/A</v>
      </c>
      <c r="AK168" s="44" t="e">
        <f>HLOOKUP(I168,GasAvoidedCostsWOCC!$A$5:$Q$50,G168+1,FALSE)*J168*L168</f>
        <v>#N/A</v>
      </c>
      <c r="AL168" s="44" t="e">
        <f t="shared" si="71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2"/>
        <v>0</v>
      </c>
      <c r="AO168" s="47">
        <f t="shared" si="73"/>
        <v>0</v>
      </c>
      <c r="AP168" s="47" t="e">
        <f t="shared" si="74"/>
        <v>#DIV/0!</v>
      </c>
    </row>
    <row r="169" spans="2:42">
      <c r="B169" s="97"/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6"/>
        <v>0</v>
      </c>
      <c r="U169" s="47">
        <f t="shared" si="57"/>
        <v>0</v>
      </c>
      <c r="V169" s="48">
        <f t="shared" si="58"/>
        <v>0</v>
      </c>
      <c r="W169" s="49">
        <f t="shared" si="59"/>
        <v>0</v>
      </c>
      <c r="X169" s="44">
        <f t="shared" si="60"/>
        <v>0</v>
      </c>
      <c r="Y169" s="44">
        <f t="shared" si="61"/>
        <v>0</v>
      </c>
      <c r="Z169" s="44">
        <f t="shared" si="62"/>
        <v>0</v>
      </c>
      <c r="AA169" s="50">
        <f t="shared" si="63"/>
        <v>0</v>
      </c>
      <c r="AB169" s="51">
        <f t="shared" si="64"/>
        <v>0</v>
      </c>
      <c r="AC169" s="44">
        <f t="shared" si="65"/>
        <v>0</v>
      </c>
      <c r="AD169" s="44">
        <f t="shared" si="66"/>
        <v>0</v>
      </c>
      <c r="AE169" s="44">
        <f t="shared" si="67"/>
        <v>0</v>
      </c>
      <c r="AF169" s="52" t="e">
        <f>HLOOKUP(I169,GasAvoidedCostsWOCC!$A$5:$G$50,G169+1,FALSE)</f>
        <v>#N/A</v>
      </c>
      <c r="AG169" s="44" t="e">
        <f t="shared" si="68"/>
        <v>#N/A</v>
      </c>
      <c r="AH169" s="52" t="e">
        <f>HLOOKUP(I169,GasAvoidedCostsWOCC!$A$5:$Q$50,T169+1,FALSE)</f>
        <v>#N/A</v>
      </c>
      <c r="AI169" s="44" t="e">
        <f t="shared" si="69"/>
        <v>#N/A</v>
      </c>
      <c r="AJ169" s="44" t="e">
        <f t="shared" si="70"/>
        <v>#N/A</v>
      </c>
      <c r="AK169" s="44" t="e">
        <f>HLOOKUP(I169,GasAvoidedCostsWOCC!$A$5:$Q$50,G169+1,FALSE)*J169*L169</f>
        <v>#N/A</v>
      </c>
      <c r="AL169" s="44" t="e">
        <f t="shared" si="71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2"/>
        <v>0</v>
      </c>
      <c r="AO169" s="47">
        <f t="shared" si="73"/>
        <v>0</v>
      </c>
      <c r="AP169" s="47" t="e">
        <f t="shared" si="74"/>
        <v>#DIV/0!</v>
      </c>
    </row>
    <row r="170" spans="2:42">
      <c r="B170" s="97"/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6"/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4">
        <f t="shared" si="60"/>
        <v>0</v>
      </c>
      <c r="Y170" s="44">
        <f t="shared" si="61"/>
        <v>0</v>
      </c>
      <c r="Z170" s="44">
        <f t="shared" si="62"/>
        <v>0</v>
      </c>
      <c r="AA170" s="50">
        <f t="shared" si="63"/>
        <v>0</v>
      </c>
      <c r="AB170" s="51">
        <f t="shared" si="64"/>
        <v>0</v>
      </c>
      <c r="AC170" s="44">
        <f t="shared" si="65"/>
        <v>0</v>
      </c>
      <c r="AD170" s="44">
        <f t="shared" si="66"/>
        <v>0</v>
      </c>
      <c r="AE170" s="44">
        <f t="shared" si="67"/>
        <v>0</v>
      </c>
      <c r="AF170" s="52" t="e">
        <f>HLOOKUP(I170,GasAvoidedCostsWOCC!$A$5:$G$50,G170+1,FALSE)</f>
        <v>#N/A</v>
      </c>
      <c r="AG170" s="44" t="e">
        <f t="shared" si="68"/>
        <v>#N/A</v>
      </c>
      <c r="AH170" s="52" t="e">
        <f>HLOOKUP(I170,GasAvoidedCostsWOCC!$A$5:$Q$50,T170+1,FALSE)</f>
        <v>#N/A</v>
      </c>
      <c r="AI170" s="44" t="e">
        <f t="shared" si="69"/>
        <v>#N/A</v>
      </c>
      <c r="AJ170" s="44" t="e">
        <f t="shared" si="70"/>
        <v>#N/A</v>
      </c>
      <c r="AK170" s="44" t="e">
        <f>HLOOKUP(I170,GasAvoidedCostsWOCC!$A$5:$Q$50,G170+1,FALSE)*J170*L170</f>
        <v>#N/A</v>
      </c>
      <c r="AL170" s="44" t="e">
        <f t="shared" si="71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2"/>
        <v>0</v>
      </c>
      <c r="AO170" s="47">
        <f t="shared" si="73"/>
        <v>0</v>
      </c>
      <c r="AP170" s="47" t="e">
        <f t="shared" si="74"/>
        <v>#DIV/0!</v>
      </c>
    </row>
    <row r="171" spans="2:42">
      <c r="B171" s="97"/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6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4">
        <f t="shared" si="60"/>
        <v>0</v>
      </c>
      <c r="Y171" s="44">
        <f t="shared" si="61"/>
        <v>0</v>
      </c>
      <c r="Z171" s="44">
        <f t="shared" si="62"/>
        <v>0</v>
      </c>
      <c r="AA171" s="50">
        <f t="shared" si="63"/>
        <v>0</v>
      </c>
      <c r="AB171" s="51">
        <f t="shared" si="64"/>
        <v>0</v>
      </c>
      <c r="AC171" s="44">
        <f t="shared" si="65"/>
        <v>0</v>
      </c>
      <c r="AD171" s="44">
        <f t="shared" si="66"/>
        <v>0</v>
      </c>
      <c r="AE171" s="44">
        <f t="shared" si="67"/>
        <v>0</v>
      </c>
      <c r="AF171" s="52" t="e">
        <f>HLOOKUP(I171,GasAvoidedCostsWOCC!$A$5:$G$50,G171+1,FALSE)</f>
        <v>#N/A</v>
      </c>
      <c r="AG171" s="44" t="e">
        <f t="shared" si="68"/>
        <v>#N/A</v>
      </c>
      <c r="AH171" s="52" t="e">
        <f>HLOOKUP(I171,GasAvoidedCostsWOCC!$A$5:$Q$50,T171+1,FALSE)</f>
        <v>#N/A</v>
      </c>
      <c r="AI171" s="44" t="e">
        <f t="shared" si="69"/>
        <v>#N/A</v>
      </c>
      <c r="AJ171" s="44" t="e">
        <f t="shared" si="70"/>
        <v>#N/A</v>
      </c>
      <c r="AK171" s="44" t="e">
        <f>HLOOKUP(I171,GasAvoidedCostsWOCC!$A$5:$Q$50,G171+1,FALSE)*J171*L171</f>
        <v>#N/A</v>
      </c>
      <c r="AL171" s="44" t="e">
        <f t="shared" si="71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2"/>
        <v>0</v>
      </c>
      <c r="AO171" s="47">
        <f t="shared" si="73"/>
        <v>0</v>
      </c>
      <c r="AP171" s="47" t="e">
        <f t="shared" si="74"/>
        <v>#DIV/0!</v>
      </c>
    </row>
    <row r="172" spans="2:42">
      <c r="B172" s="97"/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6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4">
        <f t="shared" si="60"/>
        <v>0</v>
      </c>
      <c r="Y172" s="44">
        <f t="shared" si="61"/>
        <v>0</v>
      </c>
      <c r="Z172" s="44">
        <f t="shared" si="62"/>
        <v>0</v>
      </c>
      <c r="AA172" s="50">
        <f t="shared" si="63"/>
        <v>0</v>
      </c>
      <c r="AB172" s="51">
        <f t="shared" si="64"/>
        <v>0</v>
      </c>
      <c r="AC172" s="44">
        <f t="shared" si="65"/>
        <v>0</v>
      </c>
      <c r="AD172" s="44">
        <f t="shared" si="66"/>
        <v>0</v>
      </c>
      <c r="AE172" s="44">
        <f t="shared" si="67"/>
        <v>0</v>
      </c>
      <c r="AF172" s="52" t="e">
        <f>HLOOKUP(I172,GasAvoidedCostsWOCC!$A$5:$G$50,G172+1,FALSE)</f>
        <v>#N/A</v>
      </c>
      <c r="AG172" s="44" t="e">
        <f t="shared" si="68"/>
        <v>#N/A</v>
      </c>
      <c r="AH172" s="52" t="e">
        <f>HLOOKUP(I172,GasAvoidedCostsWOCC!$A$5:$Q$50,T172+1,FALSE)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HLOOKUP(I172,GasAvoidedCostsWOCC!$A$5:$Q$50,G172+1,FALSE)*J172*L172</f>
        <v>#N/A</v>
      </c>
      <c r="AL172" s="44" t="e">
        <f t="shared" si="71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 t="e">
        <f t="shared" si="74"/>
        <v>#DIV/0!</v>
      </c>
    </row>
    <row r="173" spans="2:42">
      <c r="B173" s="97"/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6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4">
        <f t="shared" si="60"/>
        <v>0</v>
      </c>
      <c r="Y173" s="44">
        <f t="shared" si="61"/>
        <v>0</v>
      </c>
      <c r="Z173" s="44">
        <f t="shared" si="62"/>
        <v>0</v>
      </c>
      <c r="AA173" s="50">
        <f t="shared" si="63"/>
        <v>0</v>
      </c>
      <c r="AB173" s="51">
        <f t="shared" si="64"/>
        <v>0</v>
      </c>
      <c r="AC173" s="44">
        <f t="shared" si="65"/>
        <v>0</v>
      </c>
      <c r="AD173" s="44">
        <f t="shared" si="66"/>
        <v>0</v>
      </c>
      <c r="AE173" s="44">
        <f t="shared" si="67"/>
        <v>0</v>
      </c>
      <c r="AF173" s="52" t="e">
        <f>HLOOKUP(I173,GasAvoidedCostsWOCC!$A$5:$G$50,G173+1,FALSE)</f>
        <v>#N/A</v>
      </c>
      <c r="AG173" s="44" t="e">
        <f t="shared" si="68"/>
        <v>#N/A</v>
      </c>
      <c r="AH173" s="52" t="e">
        <f>HLOOKUP(I173,GasAvoidedCostsWOCC!$A$5:$Q$50,T173+1,FALSE)</f>
        <v>#N/A</v>
      </c>
      <c r="AI173" s="44" t="e">
        <f t="shared" si="69"/>
        <v>#N/A</v>
      </c>
      <c r="AJ173" s="44" t="e">
        <f t="shared" si="70"/>
        <v>#N/A</v>
      </c>
      <c r="AK173" s="44" t="e">
        <f>HLOOKUP(I173,GasAvoidedCostsWOCC!$A$5:$Q$50,G173+1,FALSE)*J173*L173</f>
        <v>#N/A</v>
      </c>
      <c r="AL173" s="44" t="e">
        <f t="shared" si="71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2"/>
        <v>0</v>
      </c>
      <c r="AO173" s="47">
        <f t="shared" si="73"/>
        <v>0</v>
      </c>
      <c r="AP173" s="47" t="e">
        <f t="shared" si="74"/>
        <v>#DIV/0!</v>
      </c>
    </row>
    <row r="174" spans="2:42">
      <c r="B174" s="97"/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6"/>
        <v>0</v>
      </c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4">
        <f t="shared" si="60"/>
        <v>0</v>
      </c>
      <c r="Y174" s="44">
        <f t="shared" si="61"/>
        <v>0</v>
      </c>
      <c r="Z174" s="44">
        <f t="shared" si="62"/>
        <v>0</v>
      </c>
      <c r="AA174" s="50">
        <f t="shared" si="63"/>
        <v>0</v>
      </c>
      <c r="AB174" s="51">
        <f t="shared" si="64"/>
        <v>0</v>
      </c>
      <c r="AC174" s="44">
        <f t="shared" si="65"/>
        <v>0</v>
      </c>
      <c r="AD174" s="44">
        <f t="shared" si="66"/>
        <v>0</v>
      </c>
      <c r="AE174" s="44">
        <f t="shared" si="67"/>
        <v>0</v>
      </c>
      <c r="AF174" s="52" t="e">
        <f>HLOOKUP(I174,GasAvoidedCostsWOCC!$A$5:$G$50,G174+1,FALSE)</f>
        <v>#N/A</v>
      </c>
      <c r="AG174" s="44" t="e">
        <f t="shared" si="68"/>
        <v>#N/A</v>
      </c>
      <c r="AH174" s="52" t="e">
        <f>HLOOKUP(I174,GasAvoidedCostsWOCC!$A$5:$Q$50,T174+1,FALSE)</f>
        <v>#N/A</v>
      </c>
      <c r="AI174" s="44" t="e">
        <f t="shared" si="69"/>
        <v>#N/A</v>
      </c>
      <c r="AJ174" s="44" t="e">
        <f t="shared" si="70"/>
        <v>#N/A</v>
      </c>
      <c r="AK174" s="44" t="e">
        <f>HLOOKUP(I174,GasAvoidedCostsWOCC!$A$5:$Q$50,G174+1,FALSE)*J174*L174</f>
        <v>#N/A</v>
      </c>
      <c r="AL174" s="44" t="e">
        <f t="shared" si="71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2"/>
        <v>0</v>
      </c>
      <c r="AO174" s="47">
        <f t="shared" si="73"/>
        <v>0</v>
      </c>
      <c r="AP174" s="47" t="e">
        <f t="shared" si="74"/>
        <v>#DIV/0!</v>
      </c>
    </row>
    <row r="175" spans="2:42">
      <c r="B175" s="97"/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6"/>
        <v>0</v>
      </c>
      <c r="U175" s="47">
        <f t="shared" si="57"/>
        <v>0</v>
      </c>
      <c r="V175" s="48">
        <f t="shared" si="58"/>
        <v>0</v>
      </c>
      <c r="W175" s="49">
        <f t="shared" si="59"/>
        <v>0</v>
      </c>
      <c r="X175" s="44">
        <f t="shared" si="60"/>
        <v>0</v>
      </c>
      <c r="Y175" s="44">
        <f t="shared" si="61"/>
        <v>0</v>
      </c>
      <c r="Z175" s="44">
        <f t="shared" si="62"/>
        <v>0</v>
      </c>
      <c r="AA175" s="50">
        <f t="shared" si="63"/>
        <v>0</v>
      </c>
      <c r="AB175" s="51">
        <f t="shared" si="64"/>
        <v>0</v>
      </c>
      <c r="AC175" s="44">
        <f t="shared" si="65"/>
        <v>0</v>
      </c>
      <c r="AD175" s="44">
        <f t="shared" si="66"/>
        <v>0</v>
      </c>
      <c r="AE175" s="44">
        <f t="shared" si="67"/>
        <v>0</v>
      </c>
      <c r="AF175" s="52" t="e">
        <f>HLOOKUP(I175,GasAvoidedCostsWOCC!$A$5:$G$50,G175+1,FALSE)</f>
        <v>#N/A</v>
      </c>
      <c r="AG175" s="44" t="e">
        <f t="shared" si="68"/>
        <v>#N/A</v>
      </c>
      <c r="AH175" s="52" t="e">
        <f>HLOOKUP(I175,GasAvoidedCostsWOCC!$A$5:$Q$50,T175+1,FALSE)</f>
        <v>#N/A</v>
      </c>
      <c r="AI175" s="44" t="e">
        <f t="shared" si="69"/>
        <v>#N/A</v>
      </c>
      <c r="AJ175" s="44" t="e">
        <f t="shared" si="70"/>
        <v>#N/A</v>
      </c>
      <c r="AK175" s="44" t="e">
        <f>HLOOKUP(I175,GasAvoidedCostsWOCC!$A$5:$Q$50,G175+1,FALSE)*J175*L175</f>
        <v>#N/A</v>
      </c>
      <c r="AL175" s="44" t="e">
        <f t="shared" si="71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2"/>
        <v>0</v>
      </c>
      <c r="AO175" s="47">
        <f t="shared" si="73"/>
        <v>0</v>
      </c>
      <c r="AP175" s="47" t="e">
        <f t="shared" si="74"/>
        <v>#DIV/0!</v>
      </c>
    </row>
    <row r="176" spans="2:42">
      <c r="B176" s="97"/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6"/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4">
        <f t="shared" si="60"/>
        <v>0</v>
      </c>
      <c r="Y176" s="44">
        <f t="shared" si="61"/>
        <v>0</v>
      </c>
      <c r="Z176" s="44">
        <f t="shared" si="62"/>
        <v>0</v>
      </c>
      <c r="AA176" s="50">
        <f t="shared" si="63"/>
        <v>0</v>
      </c>
      <c r="AB176" s="51">
        <f t="shared" si="64"/>
        <v>0</v>
      </c>
      <c r="AC176" s="44">
        <f t="shared" si="65"/>
        <v>0</v>
      </c>
      <c r="AD176" s="44">
        <f t="shared" si="66"/>
        <v>0</v>
      </c>
      <c r="AE176" s="44">
        <f t="shared" si="67"/>
        <v>0</v>
      </c>
      <c r="AF176" s="52" t="e">
        <f>HLOOKUP(I176,GasAvoidedCostsWOCC!$A$5:$G$50,G176+1,FALSE)</f>
        <v>#N/A</v>
      </c>
      <c r="AG176" s="44" t="e">
        <f t="shared" si="68"/>
        <v>#N/A</v>
      </c>
      <c r="AH176" s="52" t="e">
        <f>HLOOKUP(I176,GasAvoidedCostsWOCC!$A$5:$Q$50,T176+1,FALSE)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HLOOKUP(I176,GasAvoidedCostsWOCC!$A$5:$Q$50,G176+1,FALSE)*J176*L176</f>
        <v>#N/A</v>
      </c>
      <c r="AL176" s="44" t="e">
        <f t="shared" si="71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 t="e">
        <f t="shared" si="74"/>
        <v>#DIV/0!</v>
      </c>
    </row>
    <row r="177" spans="2:42">
      <c r="B177" s="97"/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6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4">
        <f t="shared" si="60"/>
        <v>0</v>
      </c>
      <c r="Y177" s="44">
        <f t="shared" si="61"/>
        <v>0</v>
      </c>
      <c r="Z177" s="44">
        <f t="shared" si="62"/>
        <v>0</v>
      </c>
      <c r="AA177" s="50">
        <f t="shared" si="63"/>
        <v>0</v>
      </c>
      <c r="AB177" s="51">
        <f t="shared" si="64"/>
        <v>0</v>
      </c>
      <c r="AC177" s="44">
        <f t="shared" si="65"/>
        <v>0</v>
      </c>
      <c r="AD177" s="44">
        <f t="shared" si="66"/>
        <v>0</v>
      </c>
      <c r="AE177" s="44">
        <f t="shared" si="67"/>
        <v>0</v>
      </c>
      <c r="AF177" s="52" t="e">
        <f>HLOOKUP(I177,GasAvoidedCostsWOCC!$A$5:$G$50,G177+1,FALSE)</f>
        <v>#N/A</v>
      </c>
      <c r="AG177" s="44" t="e">
        <f t="shared" si="68"/>
        <v>#N/A</v>
      </c>
      <c r="AH177" s="52" t="e">
        <f>HLOOKUP(I177,GasAvoidedCostsWOCC!$A$5:$Q$50,T177+1,FALSE)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HLOOKUP(I177,GasAvoidedCostsWOCC!$A$5:$Q$50,G177+1,FALSE)*J177*L177</f>
        <v>#N/A</v>
      </c>
      <c r="AL177" s="44" t="e">
        <f t="shared" si="71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 t="e">
        <f t="shared" si="74"/>
        <v>#DIV/0!</v>
      </c>
    </row>
    <row r="178" spans="2:42">
      <c r="B178" s="97"/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6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4">
        <f t="shared" si="60"/>
        <v>0</v>
      </c>
      <c r="Y178" s="44">
        <f t="shared" si="61"/>
        <v>0</v>
      </c>
      <c r="Z178" s="44">
        <f t="shared" si="62"/>
        <v>0</v>
      </c>
      <c r="AA178" s="50">
        <f t="shared" si="63"/>
        <v>0</v>
      </c>
      <c r="AB178" s="51">
        <f t="shared" si="64"/>
        <v>0</v>
      </c>
      <c r="AC178" s="44">
        <f t="shared" si="65"/>
        <v>0</v>
      </c>
      <c r="AD178" s="44">
        <f t="shared" si="66"/>
        <v>0</v>
      </c>
      <c r="AE178" s="44">
        <f t="shared" si="67"/>
        <v>0</v>
      </c>
      <c r="AF178" s="52" t="e">
        <f>HLOOKUP(I178,GasAvoidedCostsWOCC!$A$5:$G$50,G178+1,FALSE)</f>
        <v>#N/A</v>
      </c>
      <c r="AG178" s="44" t="e">
        <f t="shared" si="68"/>
        <v>#N/A</v>
      </c>
      <c r="AH178" s="52" t="e">
        <f>HLOOKUP(I178,GasAvoidedCostsWOCC!$A$5:$Q$50,T178+1,FALSE)</f>
        <v>#N/A</v>
      </c>
      <c r="AI178" s="44" t="e">
        <f t="shared" si="69"/>
        <v>#N/A</v>
      </c>
      <c r="AJ178" s="44" t="e">
        <f t="shared" si="70"/>
        <v>#N/A</v>
      </c>
      <c r="AK178" s="44" t="e">
        <f>HLOOKUP(I178,GasAvoidedCostsWOCC!$A$5:$Q$50,G178+1,FALSE)*J178*L178</f>
        <v>#N/A</v>
      </c>
      <c r="AL178" s="44" t="e">
        <f t="shared" si="71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2"/>
        <v>0</v>
      </c>
      <c r="AO178" s="47">
        <f t="shared" si="73"/>
        <v>0</v>
      </c>
      <c r="AP178" s="47" t="e">
        <f t="shared" si="74"/>
        <v>#DIV/0!</v>
      </c>
    </row>
    <row r="179" spans="2:42">
      <c r="B179" s="97"/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6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4">
        <f t="shared" si="60"/>
        <v>0</v>
      </c>
      <c r="Y179" s="44">
        <f t="shared" si="61"/>
        <v>0</v>
      </c>
      <c r="Z179" s="44">
        <f t="shared" si="62"/>
        <v>0</v>
      </c>
      <c r="AA179" s="50">
        <f t="shared" si="63"/>
        <v>0</v>
      </c>
      <c r="AB179" s="51">
        <f t="shared" si="64"/>
        <v>0</v>
      </c>
      <c r="AC179" s="44">
        <f t="shared" si="65"/>
        <v>0</v>
      </c>
      <c r="AD179" s="44">
        <f t="shared" si="66"/>
        <v>0</v>
      </c>
      <c r="AE179" s="44">
        <f t="shared" si="67"/>
        <v>0</v>
      </c>
      <c r="AF179" s="52" t="e">
        <f>HLOOKUP(I179,GasAvoidedCostsWOCC!$A$5:$G$50,G179+1,FALSE)</f>
        <v>#N/A</v>
      </c>
      <c r="AG179" s="44" t="e">
        <f t="shared" si="68"/>
        <v>#N/A</v>
      </c>
      <c r="AH179" s="52" t="e">
        <f>HLOOKUP(I179,GasAvoidedCostsWOCC!$A$5:$Q$50,T179+1,FALSE)</f>
        <v>#N/A</v>
      </c>
      <c r="AI179" s="44" t="e">
        <f t="shared" si="69"/>
        <v>#N/A</v>
      </c>
      <c r="AJ179" s="44" t="e">
        <f t="shared" si="70"/>
        <v>#N/A</v>
      </c>
      <c r="AK179" s="44" t="e">
        <f>HLOOKUP(I179,GasAvoidedCostsWOCC!$A$5:$Q$50,G179+1,FALSE)*J179*L179</f>
        <v>#N/A</v>
      </c>
      <c r="AL179" s="44" t="e">
        <f t="shared" si="71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2"/>
        <v>0</v>
      </c>
      <c r="AO179" s="47">
        <f t="shared" si="73"/>
        <v>0</v>
      </c>
      <c r="AP179" s="47" t="e">
        <f t="shared" si="74"/>
        <v>#DIV/0!</v>
      </c>
    </row>
    <row r="180" spans="2:42">
      <c r="B180" s="97"/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6"/>
        <v>0</v>
      </c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4">
        <f t="shared" si="60"/>
        <v>0</v>
      </c>
      <c r="Y180" s="44">
        <f t="shared" si="61"/>
        <v>0</v>
      </c>
      <c r="Z180" s="44">
        <f t="shared" si="62"/>
        <v>0</v>
      </c>
      <c r="AA180" s="50">
        <f t="shared" si="63"/>
        <v>0</v>
      </c>
      <c r="AB180" s="51">
        <f t="shared" si="64"/>
        <v>0</v>
      </c>
      <c r="AC180" s="44">
        <f t="shared" si="65"/>
        <v>0</v>
      </c>
      <c r="AD180" s="44">
        <f t="shared" si="66"/>
        <v>0</v>
      </c>
      <c r="AE180" s="44">
        <f t="shared" si="67"/>
        <v>0</v>
      </c>
      <c r="AF180" s="52" t="e">
        <f>HLOOKUP(I180,GasAvoidedCostsWOCC!$A$5:$G$50,G180+1,FALSE)</f>
        <v>#N/A</v>
      </c>
      <c r="AG180" s="44" t="e">
        <f t="shared" si="68"/>
        <v>#N/A</v>
      </c>
      <c r="AH180" s="52" t="e">
        <f>HLOOKUP(I180,GasAvoidedCostsWOCC!$A$5:$Q$50,T180+1,FALSE)</f>
        <v>#N/A</v>
      </c>
      <c r="AI180" s="44" t="e">
        <f t="shared" si="69"/>
        <v>#N/A</v>
      </c>
      <c r="AJ180" s="44" t="e">
        <f t="shared" si="70"/>
        <v>#N/A</v>
      </c>
      <c r="AK180" s="44" t="e">
        <f>HLOOKUP(I180,GasAvoidedCostsWOCC!$A$5:$Q$50,G180+1,FALSE)*J180*L180</f>
        <v>#N/A</v>
      </c>
      <c r="AL180" s="44" t="e">
        <f t="shared" si="71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2"/>
        <v>0</v>
      </c>
      <c r="AO180" s="47">
        <f t="shared" si="73"/>
        <v>0</v>
      </c>
      <c r="AP180" s="47" t="e">
        <f t="shared" si="74"/>
        <v>#DIV/0!</v>
      </c>
    </row>
    <row r="181" spans="2:42">
      <c r="B181" s="97"/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6"/>
        <v>0</v>
      </c>
      <c r="U181" s="47">
        <f t="shared" si="57"/>
        <v>0</v>
      </c>
      <c r="V181" s="48">
        <f t="shared" si="58"/>
        <v>0</v>
      </c>
      <c r="W181" s="49">
        <f t="shared" si="59"/>
        <v>0</v>
      </c>
      <c r="X181" s="44">
        <f t="shared" si="60"/>
        <v>0</v>
      </c>
      <c r="Y181" s="44">
        <f t="shared" si="61"/>
        <v>0</v>
      </c>
      <c r="Z181" s="44">
        <f t="shared" si="62"/>
        <v>0</v>
      </c>
      <c r="AA181" s="50">
        <f t="shared" si="63"/>
        <v>0</v>
      </c>
      <c r="AB181" s="51">
        <f t="shared" si="64"/>
        <v>0</v>
      </c>
      <c r="AC181" s="44">
        <f t="shared" si="65"/>
        <v>0</v>
      </c>
      <c r="AD181" s="44">
        <f t="shared" si="66"/>
        <v>0</v>
      </c>
      <c r="AE181" s="44">
        <f t="shared" si="67"/>
        <v>0</v>
      </c>
      <c r="AF181" s="52" t="e">
        <f>HLOOKUP(I181,GasAvoidedCostsWOCC!$A$5:$G$50,G181+1,FALSE)</f>
        <v>#N/A</v>
      </c>
      <c r="AG181" s="44" t="e">
        <f t="shared" si="68"/>
        <v>#N/A</v>
      </c>
      <c r="AH181" s="52" t="e">
        <f>HLOOKUP(I181,GasAvoidedCostsWOCC!$A$5:$Q$50,T181+1,FALSE)</f>
        <v>#N/A</v>
      </c>
      <c r="AI181" s="44" t="e">
        <f t="shared" si="69"/>
        <v>#N/A</v>
      </c>
      <c r="AJ181" s="44" t="e">
        <f t="shared" si="70"/>
        <v>#N/A</v>
      </c>
      <c r="AK181" s="44" t="e">
        <f>HLOOKUP(I181,GasAvoidedCostsWOCC!$A$5:$Q$50,G181+1,FALSE)*J181*L181</f>
        <v>#N/A</v>
      </c>
      <c r="AL181" s="44" t="e">
        <f t="shared" si="71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2"/>
        <v>0</v>
      </c>
      <c r="AO181" s="47">
        <f t="shared" si="73"/>
        <v>0</v>
      </c>
      <c r="AP181" s="47" t="e">
        <f t="shared" si="74"/>
        <v>#DIV/0!</v>
      </c>
    </row>
    <row r="182" spans="2:42">
      <c r="B182" s="97"/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6"/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4">
        <f t="shared" si="60"/>
        <v>0</v>
      </c>
      <c r="Y182" s="44">
        <f t="shared" si="61"/>
        <v>0</v>
      </c>
      <c r="Z182" s="44">
        <f t="shared" si="62"/>
        <v>0</v>
      </c>
      <c r="AA182" s="50">
        <f t="shared" si="63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HLOOKUP(I182,GasAvoidedCostsWOCC!$A$5:$G$50,G182+1,FALSE)</f>
        <v>#N/A</v>
      </c>
      <c r="AG182" s="44" t="e">
        <f t="shared" si="68"/>
        <v>#N/A</v>
      </c>
      <c r="AH182" s="52" t="e">
        <f>HLOOKUP(I182,GasAvoidedCostsWOCC!$A$5:$Q$50,T182+1,FALSE)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HLOOKUP(I182,GasAvoidedCostsWOCC!$A$5:$Q$50,G182+1,FALSE)*J182*L182</f>
        <v>#N/A</v>
      </c>
      <c r="AL182" s="44" t="e">
        <f t="shared" si="71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2">
      <c r="B183" s="97"/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6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4">
        <f t="shared" si="60"/>
        <v>0</v>
      </c>
      <c r="Y183" s="44">
        <f t="shared" si="61"/>
        <v>0</v>
      </c>
      <c r="Z183" s="44">
        <f t="shared" si="62"/>
        <v>0</v>
      </c>
      <c r="AA183" s="50">
        <f t="shared" si="63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HLOOKUP(I183,GasAvoidedCostsWOCC!$A$5:$G$50,G183+1,FALSE)</f>
        <v>#N/A</v>
      </c>
      <c r="AG183" s="44" t="e">
        <f t="shared" si="68"/>
        <v>#N/A</v>
      </c>
      <c r="AH183" s="52" t="e">
        <f>HLOOKUP(I183,GasAvoidedCostsWOCC!$A$5:$Q$50,T183+1,FALSE)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HLOOKUP(I183,GasAvoidedCostsWOCC!$A$5:$Q$50,G183+1,FALSE)*J183*L183</f>
        <v>#N/A</v>
      </c>
      <c r="AL183" s="44" t="e">
        <f t="shared" si="71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2">
      <c r="B184" s="97"/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6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4">
        <f t="shared" si="60"/>
        <v>0</v>
      </c>
      <c r="Y184" s="44">
        <f t="shared" si="61"/>
        <v>0</v>
      </c>
      <c r="Z184" s="44">
        <f t="shared" si="62"/>
        <v>0</v>
      </c>
      <c r="AA184" s="50">
        <f t="shared" si="63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HLOOKUP(I184,GasAvoidedCostsWOCC!$A$5:$G$50,G184+1,FALSE)</f>
        <v>#N/A</v>
      </c>
      <c r="AG184" s="44" t="e">
        <f t="shared" si="68"/>
        <v>#N/A</v>
      </c>
      <c r="AH184" s="52" t="e">
        <f>HLOOKUP(I184,GasAvoidedCostsWOCC!$A$5:$Q$50,T184+1,FALSE)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HLOOKUP(I184,GasAvoidedCostsWOCC!$A$5:$Q$50,G184+1,FALSE)*J184*L184</f>
        <v>#N/A</v>
      </c>
      <c r="AL184" s="44" t="e">
        <f t="shared" si="71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2">
      <c r="B185" s="97"/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6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4">
        <f t="shared" si="60"/>
        <v>0</v>
      </c>
      <c r="Y185" s="44">
        <f t="shared" si="61"/>
        <v>0</v>
      </c>
      <c r="Z185" s="44">
        <f t="shared" si="62"/>
        <v>0</v>
      </c>
      <c r="AA185" s="50">
        <f t="shared" si="63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HLOOKUP(I185,GasAvoidedCostsWOCC!$A$5:$G$50,G185+1,FALSE)</f>
        <v>#N/A</v>
      </c>
      <c r="AG185" s="44" t="e">
        <f t="shared" si="68"/>
        <v>#N/A</v>
      </c>
      <c r="AH185" s="52" t="e">
        <f>HLOOKUP(I185,GasAvoidedCostsWOCC!$A$5:$Q$50,T185+1,FALSE)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HLOOKUP(I185,GasAvoidedCostsWOCC!$A$5:$Q$50,G185+1,FALSE)*J185*L185</f>
        <v>#N/A</v>
      </c>
      <c r="AL185" s="44" t="e">
        <f t="shared" si="71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2">
      <c r="B186" s="97"/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6"/>
        <v>0</v>
      </c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4">
        <f t="shared" si="60"/>
        <v>0</v>
      </c>
      <c r="Y186" s="44">
        <f t="shared" si="61"/>
        <v>0</v>
      </c>
      <c r="Z186" s="44">
        <f t="shared" si="62"/>
        <v>0</v>
      </c>
      <c r="AA186" s="50">
        <f t="shared" si="63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HLOOKUP(I186,GasAvoidedCostsWOCC!$A$5:$G$50,G186+1,FALSE)</f>
        <v>#N/A</v>
      </c>
      <c r="AG186" s="44" t="e">
        <f t="shared" si="68"/>
        <v>#N/A</v>
      </c>
      <c r="AH186" s="52" t="e">
        <f>HLOOKUP(I186,GasAvoidedCostsWOCC!$A$5:$Q$50,T186+1,FALSE)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HLOOKUP(I186,GasAvoidedCostsWOCC!$A$5:$Q$50,G186+1,FALSE)*J186*L186</f>
        <v>#N/A</v>
      </c>
      <c r="AL186" s="44" t="e">
        <f t="shared" si="71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2">
      <c r="B187" s="97"/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6"/>
        <v>0</v>
      </c>
      <c r="U187" s="47">
        <f t="shared" si="57"/>
        <v>0</v>
      </c>
      <c r="V187" s="48">
        <f t="shared" si="58"/>
        <v>0</v>
      </c>
      <c r="W187" s="49">
        <f t="shared" si="59"/>
        <v>0</v>
      </c>
      <c r="X187" s="44">
        <f t="shared" si="60"/>
        <v>0</v>
      </c>
      <c r="Y187" s="44">
        <f t="shared" si="61"/>
        <v>0</v>
      </c>
      <c r="Z187" s="44">
        <f t="shared" si="62"/>
        <v>0</v>
      </c>
      <c r="AA187" s="50">
        <f t="shared" si="63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HLOOKUP(I187,GasAvoidedCostsWOCC!$A$5:$G$50,G187+1,FALSE)</f>
        <v>#N/A</v>
      </c>
      <c r="AG187" s="44" t="e">
        <f t="shared" si="68"/>
        <v>#N/A</v>
      </c>
      <c r="AH187" s="52" t="e">
        <f>HLOOKUP(I187,GasAvoidedCostsWOCC!$A$5:$Q$50,T187+1,FALSE)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HLOOKUP(I187,GasAvoidedCostsWOCC!$A$5:$Q$50,G187+1,FALSE)*J187*L187</f>
        <v>#N/A</v>
      </c>
      <c r="AL187" s="44" t="e">
        <f t="shared" si="71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</sheetData>
  <conditionalFormatting sqref="J5:L187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87 R5:S187">
    <cfRule type="expression" dxfId="142" priority="2">
      <formula>ISTEXT(M5)</formula>
    </cfRule>
  </conditionalFormatting>
  <conditionalFormatting sqref="M5:N187 R5:S187">
    <cfRule type="notContainsBlanks" dxfId="141" priority="3">
      <formula>LEN(TRIM(M5))&gt;0</formula>
    </cfRule>
  </conditionalFormatting>
  <conditionalFormatting sqref="R5:S187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0"/>
  <sheetViews>
    <sheetView zoomScale="85" zoomScaleNormal="85" workbookViewId="0">
      <selection activeCell="B22" sqref="B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937</v>
      </c>
      <c r="F5" s="39" t="s">
        <v>938</v>
      </c>
      <c r="G5" s="39">
        <v>18</v>
      </c>
      <c r="H5" s="39"/>
      <c r="I5" s="40" t="s">
        <v>269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5.9766904513518224E-2</v>
      </c>
      <c r="V5" s="48">
        <f t="shared" ref="V5:V24" si="2">N5-M5</f>
        <v>187</v>
      </c>
      <c r="W5" s="49">
        <f t="shared" ref="W5:W24" si="3">(O5/A$10)</f>
        <v>3.3203835840843457E-3</v>
      </c>
      <c r="X5" s="44">
        <f t="shared" ref="X5:X24" si="4">W5*A$8</f>
        <v>859.81279783726734</v>
      </c>
      <c r="Y5" s="44">
        <f t="shared" ref="Y5:Y24" si="5">Q5-P5</f>
        <v>3553</v>
      </c>
      <c r="Z5" s="44">
        <f t="shared" ref="Z5:Z24" si="6">X5+(A$6*W5)</f>
        <v>12092.469546383936</v>
      </c>
      <c r="AA5" s="50">
        <f t="shared" ref="AA5:AA24" si="7">Q5+X5</f>
        <v>19612.812797837269</v>
      </c>
      <c r="AB5" s="51">
        <f t="shared" ref="AB5:AB24" si="8">Z5/(1+GasDiscountRate)^1</f>
        <v>11304.542905846438</v>
      </c>
      <c r="AC5" s="44">
        <f t="shared" ref="AC5:AC24" si="9">AA5/(1+GasDiscountRate)^1</f>
        <v>18334.872205139072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3.8962472329439626</v>
      </c>
      <c r="AP5" s="47">
        <f>AN5/AC5</f>
        <v>2.6424958339595386</v>
      </c>
      <c r="AQ5">
        <v>2021</v>
      </c>
    </row>
    <row r="6" spans="1:43" ht="13.5" customHeight="1">
      <c r="A6" s="53">
        <f>SUMIF('Program Costs'!D:D,C2,'Program Costs'!L:L)</f>
        <v>3382939.49</v>
      </c>
      <c r="B6" s="97" t="s">
        <v>33</v>
      </c>
      <c r="C6" s="98">
        <v>18230638</v>
      </c>
      <c r="D6" s="61" t="s">
        <v>83</v>
      </c>
      <c r="E6" s="38" t="s">
        <v>939</v>
      </c>
      <c r="F6" s="39" t="s">
        <v>938</v>
      </c>
      <c r="G6" s="39">
        <v>20</v>
      </c>
      <c r="H6" s="39"/>
      <c r="I6" s="40" t="s">
        <v>269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0.23067928057849135</v>
      </c>
      <c r="V6" s="48">
        <f t="shared" si="2"/>
        <v>187</v>
      </c>
      <c r="W6" s="49">
        <f t="shared" si="3"/>
        <v>1.1533964028924568E-2</v>
      </c>
      <c r="X6" s="44">
        <f t="shared" si="4"/>
        <v>2986.7181398557705</v>
      </c>
      <c r="Y6" s="44">
        <f t="shared" si="5"/>
        <v>12342</v>
      </c>
      <c r="Z6" s="44">
        <f t="shared" si="6"/>
        <v>42005.420529544201</v>
      </c>
      <c r="AA6" s="50">
        <f t="shared" si="7"/>
        <v>68128.718139855773</v>
      </c>
      <c r="AB6" s="51">
        <f t="shared" si="8"/>
        <v>39268.412199256047</v>
      </c>
      <c r="AC6" s="44">
        <f t="shared" si="9"/>
        <v>63689.55608100941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4.2570601172253113</v>
      </c>
      <c r="AP6" s="47">
        <f t="shared" ref="AP6:AP24" si="17">AN6/AC6</f>
        <v>2.8872047773476033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940</v>
      </c>
      <c r="F7" s="39" t="s">
        <v>941</v>
      </c>
      <c r="G7" s="39">
        <v>20</v>
      </c>
      <c r="H7" s="39"/>
      <c r="I7" s="40" t="s">
        <v>269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8.8009160307663556</v>
      </c>
      <c r="V7" s="48">
        <f t="shared" si="2"/>
        <v>253</v>
      </c>
      <c r="W7" s="49">
        <f t="shared" si="3"/>
        <v>0.44004580153831779</v>
      </c>
      <c r="X7" s="44">
        <f t="shared" si="4"/>
        <v>113949.78990101907</v>
      </c>
      <c r="Y7" s="44">
        <f t="shared" si="5"/>
        <v>1065636</v>
      </c>
      <c r="Z7" s="44">
        <f t="shared" si="6"/>
        <v>1602598.1093336972</v>
      </c>
      <c r="AA7" s="50">
        <f t="shared" si="7"/>
        <v>2653785.7899010191</v>
      </c>
      <c r="AB7" s="51">
        <f t="shared" si="8"/>
        <v>1498175.2915150949</v>
      </c>
      <c r="AC7" s="44">
        <f t="shared" si="9"/>
        <v>2480869.2062269971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4.2570601172253113</v>
      </c>
      <c r="AP7" s="47">
        <f t="shared" si="17"/>
        <v>2.8278816524161114</v>
      </c>
      <c r="AQ7">
        <v>2021</v>
      </c>
    </row>
    <row r="8" spans="1:43" ht="13.5" customHeight="1">
      <c r="A8" s="53">
        <f>SUMIF('Program Costs'!D:D,C2,'Program Costs'!O:O)</f>
        <v>258949.83999999985</v>
      </c>
      <c r="B8" s="97" t="s">
        <v>33</v>
      </c>
      <c r="C8" s="98">
        <v>18230638</v>
      </c>
      <c r="D8" s="61" t="s">
        <v>83</v>
      </c>
      <c r="E8" s="38" t="s">
        <v>1686</v>
      </c>
      <c r="F8" s="39" t="s">
        <v>1687</v>
      </c>
      <c r="G8" s="39">
        <v>20</v>
      </c>
      <c r="H8" s="39"/>
      <c r="I8" s="40" t="s">
        <v>269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2.9252807319736226E-2</v>
      </c>
      <c r="V8" s="48">
        <f t="shared" si="2"/>
        <v>3</v>
      </c>
      <c r="W8" s="49">
        <f t="shared" si="3"/>
        <v>1.4626403659868112E-3</v>
      </c>
      <c r="X8" s="44">
        <f t="shared" si="4"/>
        <v>378.75048874982599</v>
      </c>
      <c r="Y8" s="44">
        <f t="shared" si="5"/>
        <v>42</v>
      </c>
      <c r="Z8" s="44">
        <f t="shared" si="6"/>
        <v>5326.7743425146627</v>
      </c>
      <c r="AA8" s="50">
        <f t="shared" si="7"/>
        <v>8820.7504887498253</v>
      </c>
      <c r="AB8" s="51">
        <f t="shared" si="8"/>
        <v>4979.6899528042086</v>
      </c>
      <c r="AC8" s="44">
        <f t="shared" si="9"/>
        <v>8246.0040093015086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4.2570601172253113</v>
      </c>
      <c r="AP8" s="47">
        <f t="shared" si="17"/>
        <v>2.8278816524161114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18230638</v>
      </c>
      <c r="D9" s="61" t="s">
        <v>83</v>
      </c>
      <c r="E9" s="38" t="s">
        <v>1688</v>
      </c>
      <c r="F9" s="39" t="s">
        <v>1689</v>
      </c>
      <c r="G9" s="39">
        <v>20</v>
      </c>
      <c r="H9" s="39"/>
      <c r="I9" s="40" t="s">
        <v>269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0.14014754052273629</v>
      </c>
      <c r="V9" s="48">
        <f t="shared" si="2"/>
        <v>889</v>
      </c>
      <c r="W9" s="49">
        <f t="shared" si="3"/>
        <v>7.0073770261368145E-3</v>
      </c>
      <c r="X9" s="44">
        <f t="shared" si="4"/>
        <v>1814.5591597378029</v>
      </c>
      <c r="Y9" s="44">
        <f t="shared" si="5"/>
        <v>55118</v>
      </c>
      <c r="Z9" s="44">
        <f t="shared" si="6"/>
        <v>25520.091622774798</v>
      </c>
      <c r="AA9" s="50">
        <f t="shared" si="7"/>
        <v>78632.559159737808</v>
      </c>
      <c r="AB9" s="51">
        <f t="shared" si="8"/>
        <v>23857.24186479835</v>
      </c>
      <c r="AC9" s="44">
        <f t="shared" si="9"/>
        <v>73508.983041729269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4.2570601172253104</v>
      </c>
      <c r="AP9" s="47">
        <f t="shared" si="17"/>
        <v>1.5197854671880664</v>
      </c>
      <c r="AQ9">
        <v>2021</v>
      </c>
    </row>
    <row r="10" spans="1:43" ht="13.5" customHeight="1">
      <c r="A10" s="54">
        <f>SUM(O5:O999)</f>
        <v>1052890.3999999999</v>
      </c>
      <c r="B10" s="97" t="s">
        <v>33</v>
      </c>
      <c r="C10">
        <v>18230638</v>
      </c>
      <c r="D10" s="100" t="s">
        <v>83</v>
      </c>
      <c r="E10" s="38" t="s">
        <v>2439</v>
      </c>
      <c r="F10" s="39" t="s">
        <v>2440</v>
      </c>
      <c r="G10" s="39">
        <v>20</v>
      </c>
      <c r="H10" s="39"/>
      <c r="I10" s="40" t="s">
        <v>269</v>
      </c>
      <c r="J10" s="41">
        <v>10</v>
      </c>
      <c r="K10" s="41">
        <v>119</v>
      </c>
      <c r="L10" s="41"/>
      <c r="M10" s="42">
        <v>350</v>
      </c>
      <c r="N10" s="42">
        <v>1393</v>
      </c>
      <c r="O10" s="43">
        <v>1190</v>
      </c>
      <c r="P10" s="44">
        <v>3500</v>
      </c>
      <c r="Q10" s="44">
        <v>13930</v>
      </c>
      <c r="R10" s="45">
        <v>0</v>
      </c>
      <c r="S10" s="46">
        <v>0</v>
      </c>
      <c r="T10" s="39">
        <f t="shared" si="0"/>
        <v>20</v>
      </c>
      <c r="U10" s="47">
        <f t="shared" si="1"/>
        <v>2.2604442019796174E-2</v>
      </c>
      <c r="V10" s="48">
        <f t="shared" si="2"/>
        <v>1043</v>
      </c>
      <c r="W10" s="49">
        <f t="shared" si="3"/>
        <v>1.1302221009898087E-3</v>
      </c>
      <c r="X10" s="44">
        <f t="shared" si="4"/>
        <v>292.67083221577462</v>
      </c>
      <c r="Y10" s="44">
        <f t="shared" si="5"/>
        <v>10430</v>
      </c>
      <c r="Z10" s="44">
        <f t="shared" si="6"/>
        <v>4116.1438101249669</v>
      </c>
      <c r="AA10" s="50">
        <f t="shared" si="7"/>
        <v>14222.670832215774</v>
      </c>
      <c r="AB10" s="51">
        <f t="shared" si="8"/>
        <v>3847.942236257798</v>
      </c>
      <c r="AC10" s="44">
        <f t="shared" si="9"/>
        <v>13295.943565687363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16380.921427359846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16380.921427359846</v>
      </c>
      <c r="AK10" s="44">
        <f>HLOOKUP(I10,GasAvoidedCostsWOCC!$A$5:$Q$50,G10+1,FALSE)*J10*L10</f>
        <v>0</v>
      </c>
      <c r="AL10" s="44">
        <f t="shared" si="14"/>
        <v>16380.921427359846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16380.921427359846</v>
      </c>
      <c r="AN10" s="48">
        <f t="shared" si="15"/>
        <v>18019.013570095831</v>
      </c>
      <c r="AO10" s="47">
        <f t="shared" si="16"/>
        <v>4.2570601172253113</v>
      </c>
      <c r="AP10" s="47">
        <f t="shared" si="17"/>
        <v>1.3552263877380784</v>
      </c>
      <c r="AQ10">
        <v>2020</v>
      </c>
    </row>
    <row r="11" spans="1:43" ht="13.5" customHeight="1">
      <c r="A11" s="36" t="s">
        <v>251</v>
      </c>
      <c r="B11" s="97" t="s">
        <v>33</v>
      </c>
      <c r="C11">
        <v>18230638</v>
      </c>
      <c r="D11" s="100" t="s">
        <v>83</v>
      </c>
      <c r="E11" s="38" t="s">
        <v>2441</v>
      </c>
      <c r="F11" s="39" t="s">
        <v>2442</v>
      </c>
      <c r="G11" s="39">
        <v>18</v>
      </c>
      <c r="H11" s="39"/>
      <c r="I11" s="40" t="s">
        <v>269</v>
      </c>
      <c r="J11" s="41">
        <v>6</v>
      </c>
      <c r="K11" s="41">
        <v>110</v>
      </c>
      <c r="L11" s="41"/>
      <c r="M11" s="42">
        <v>350</v>
      </c>
      <c r="N11" s="42">
        <v>603</v>
      </c>
      <c r="O11" s="43">
        <v>660</v>
      </c>
      <c r="P11" s="44">
        <v>2100</v>
      </c>
      <c r="Q11" s="44">
        <v>3618</v>
      </c>
      <c r="R11" s="45">
        <v>0</v>
      </c>
      <c r="S11" s="46">
        <v>0</v>
      </c>
      <c r="T11" s="39">
        <f t="shared" si="0"/>
        <v>18</v>
      </c>
      <c r="U11" s="47">
        <f t="shared" si="1"/>
        <v>1.1283225680469687E-2</v>
      </c>
      <c r="V11" s="48">
        <f t="shared" si="2"/>
        <v>253</v>
      </c>
      <c r="W11" s="49">
        <f t="shared" si="3"/>
        <v>6.268458711372048E-4</v>
      </c>
      <c r="X11" s="44">
        <f t="shared" si="4"/>
        <v>162.32163803563972</v>
      </c>
      <c r="Y11" s="44">
        <f t="shared" si="5"/>
        <v>1518</v>
      </c>
      <c r="Z11" s="44">
        <f t="shared" si="6"/>
        <v>2282.9032896491412</v>
      </c>
      <c r="AA11" s="50">
        <f t="shared" si="7"/>
        <v>3780.3216380356398</v>
      </c>
      <c r="AB11" s="51">
        <f t="shared" si="8"/>
        <v>2134.1528369160897</v>
      </c>
      <c r="AC11" s="44">
        <f t="shared" si="9"/>
        <v>3534.0017182720758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12.598768311384578</v>
      </c>
      <c r="AG11" s="44">
        <f t="shared" si="11"/>
        <v>8315.1870855138222</v>
      </c>
      <c r="AH11" s="52">
        <f>HLOOKUP(I11,GasAvoidedCostsWOCC!$A$5:$Q$50,T11+1,FALSE)</f>
        <v>12.598768311384578</v>
      </c>
      <c r="AI11" s="44">
        <f t="shared" si="12"/>
        <v>0</v>
      </c>
      <c r="AJ11" s="44">
        <f t="shared" si="13"/>
        <v>8315.1870855138222</v>
      </c>
      <c r="AK11" s="44">
        <f>HLOOKUP(I11,GasAvoidedCostsWOCC!$A$5:$Q$50,G11+1,FALSE)*J11*L11</f>
        <v>0</v>
      </c>
      <c r="AL11" s="44">
        <f t="shared" si="14"/>
        <v>8315.1870855138222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8315.1870855138222</v>
      </c>
      <c r="AN11" s="48">
        <f t="shared" si="15"/>
        <v>9146.7057940652048</v>
      </c>
      <c r="AO11" s="47">
        <f t="shared" si="16"/>
        <v>3.8962472329439626</v>
      </c>
      <c r="AP11" s="47">
        <f t="shared" si="17"/>
        <v>2.5882007206655859</v>
      </c>
      <c r="AQ11">
        <v>2020</v>
      </c>
    </row>
    <row r="12" spans="1:43" ht="13.5" customHeight="1">
      <c r="A12" s="55">
        <f>SUM(P5:P1000)</f>
        <v>3382248.2199999997</v>
      </c>
      <c r="B12" s="97" t="s">
        <v>33</v>
      </c>
      <c r="C12">
        <v>18230638</v>
      </c>
      <c r="D12" s="100" t="s">
        <v>83</v>
      </c>
      <c r="E12" s="38" t="s">
        <v>2443</v>
      </c>
      <c r="F12" s="39" t="s">
        <v>2442</v>
      </c>
      <c r="G12" s="39">
        <v>20</v>
      </c>
      <c r="H12" s="39"/>
      <c r="I12" s="40" t="s">
        <v>269</v>
      </c>
      <c r="J12" s="41">
        <v>874</v>
      </c>
      <c r="K12" s="41">
        <v>110</v>
      </c>
      <c r="L12" s="41"/>
      <c r="M12" s="42">
        <v>350</v>
      </c>
      <c r="N12" s="42">
        <v>603</v>
      </c>
      <c r="O12" s="43">
        <v>96140</v>
      </c>
      <c r="P12" s="44">
        <v>305900</v>
      </c>
      <c r="Q12" s="44">
        <v>527022</v>
      </c>
      <c r="R12" s="45">
        <v>0</v>
      </c>
      <c r="S12" s="46">
        <v>0</v>
      </c>
      <c r="T12" s="39">
        <f t="shared" si="0"/>
        <v>20</v>
      </c>
      <c r="U12" s="47">
        <f t="shared" si="1"/>
        <v>1.8262109712463901</v>
      </c>
      <c r="V12" s="48">
        <f t="shared" si="2"/>
        <v>253</v>
      </c>
      <c r="W12" s="49">
        <f t="shared" si="3"/>
        <v>9.1310548562319502E-2</v>
      </c>
      <c r="X12" s="44">
        <f t="shared" si="4"/>
        <v>23644.851940524852</v>
      </c>
      <c r="Y12" s="44">
        <f t="shared" si="5"/>
        <v>221122</v>
      </c>
      <c r="Z12" s="44">
        <f t="shared" si="6"/>
        <v>332542.91252555826</v>
      </c>
      <c r="AA12" s="50">
        <f t="shared" si="7"/>
        <v>550666.85194052488</v>
      </c>
      <c r="AB12" s="51">
        <f t="shared" si="8"/>
        <v>310874.92991077708</v>
      </c>
      <c r="AC12" s="44">
        <f t="shared" si="9"/>
        <v>514786.25029496575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13.765480191058694</v>
      </c>
      <c r="AG12" s="44">
        <f t="shared" si="11"/>
        <v>1323413.2655683828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3"/>
        <v>1323413.2655683828</v>
      </c>
      <c r="AK12" s="44">
        <f>HLOOKUP(I12,GasAvoidedCostsWOCC!$A$5:$Q$50,G12+1,FALSE)*J12*L12</f>
        <v>0</v>
      </c>
      <c r="AL12" s="44">
        <f t="shared" si="14"/>
        <v>1323413.2655683828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1323413.265568383</v>
      </c>
      <c r="AN12" s="48">
        <f t="shared" si="15"/>
        <v>1455754.5921252214</v>
      </c>
      <c r="AO12" s="47">
        <f t="shared" si="16"/>
        <v>4.2570601172253113</v>
      </c>
      <c r="AP12" s="47">
        <f t="shared" si="17"/>
        <v>2.827881652416111</v>
      </c>
      <c r="AQ12">
        <v>2020</v>
      </c>
    </row>
    <row r="13" spans="1:43" ht="13.5" customHeight="1">
      <c r="A13" s="56" t="s">
        <v>252</v>
      </c>
      <c r="B13" s="97" t="s">
        <v>33</v>
      </c>
      <c r="C13">
        <v>18230638</v>
      </c>
      <c r="D13" s="100" t="s">
        <v>83</v>
      </c>
      <c r="E13" s="38" t="s">
        <v>2444</v>
      </c>
      <c r="F13" s="39" t="s">
        <v>2445</v>
      </c>
      <c r="G13" s="39">
        <v>18</v>
      </c>
      <c r="H13" s="39"/>
      <c r="I13" s="40" t="s">
        <v>269</v>
      </c>
      <c r="J13" s="41">
        <v>26</v>
      </c>
      <c r="K13" s="41">
        <v>173</v>
      </c>
      <c r="L13" s="41"/>
      <c r="M13" s="42">
        <v>800</v>
      </c>
      <c r="N13" s="42">
        <v>1526</v>
      </c>
      <c r="O13" s="43">
        <v>4498</v>
      </c>
      <c r="P13" s="44">
        <v>20800</v>
      </c>
      <c r="Q13" s="44">
        <v>39676</v>
      </c>
      <c r="R13" s="45">
        <v>0</v>
      </c>
      <c r="S13" s="46">
        <v>0</v>
      </c>
      <c r="T13" s="39">
        <f t="shared" si="0"/>
        <v>18</v>
      </c>
      <c r="U13" s="47">
        <f t="shared" si="1"/>
        <v>7.6896892592049473E-2</v>
      </c>
      <c r="V13" s="48">
        <f t="shared" si="2"/>
        <v>726</v>
      </c>
      <c r="W13" s="49">
        <f t="shared" si="3"/>
        <v>4.2720495884471929E-3</v>
      </c>
      <c r="X13" s="44">
        <f t="shared" si="4"/>
        <v>1106.2465574004659</v>
      </c>
      <c r="Y13" s="44">
        <f t="shared" si="5"/>
        <v>18876</v>
      </c>
      <c r="Z13" s="44">
        <f t="shared" si="6"/>
        <v>15558.331813396722</v>
      </c>
      <c r="AA13" s="50">
        <f t="shared" si="7"/>
        <v>40782.246557400467</v>
      </c>
      <c r="AB13" s="51">
        <f t="shared" si="8"/>
        <v>14544.574940073591</v>
      </c>
      <c r="AC13" s="44">
        <f t="shared" si="9"/>
        <v>38124.938354118407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12.598768311384578</v>
      </c>
      <c r="AG13" s="44">
        <f t="shared" si="11"/>
        <v>56669.259864607833</v>
      </c>
      <c r="AH13" s="52">
        <f>HLOOKUP(I13,GasAvoidedCostsWOCC!$A$5:$Q$50,T13+1,FALSE)</f>
        <v>12.598768311384578</v>
      </c>
      <c r="AI13" s="44">
        <f t="shared" si="12"/>
        <v>0</v>
      </c>
      <c r="AJ13" s="44">
        <f t="shared" si="13"/>
        <v>56669.259864607833</v>
      </c>
      <c r="AK13" s="44">
        <f>HLOOKUP(I13,GasAvoidedCostsWOCC!$A$5:$Q$50,G13+1,FALSE)*J13*L13</f>
        <v>0</v>
      </c>
      <c r="AL13" s="44">
        <f t="shared" si="14"/>
        <v>56669.259864607833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56669.259864607833</v>
      </c>
      <c r="AN13" s="48">
        <f t="shared" si="15"/>
        <v>62336.185851068622</v>
      </c>
      <c r="AO13" s="47">
        <f t="shared" si="16"/>
        <v>3.8962472329439626</v>
      </c>
      <c r="AP13" s="47">
        <f t="shared" si="17"/>
        <v>1.6350501415128142</v>
      </c>
      <c r="AQ13">
        <v>2020</v>
      </c>
    </row>
    <row r="14" spans="1:43" ht="13.5" customHeight="1">
      <c r="A14" s="55">
        <f>SUM(Y5:Y1000)</f>
        <v>2451632.13</v>
      </c>
      <c r="B14" s="97" t="s">
        <v>33</v>
      </c>
      <c r="C14">
        <v>18230638</v>
      </c>
      <c r="D14" s="100" t="s">
        <v>83</v>
      </c>
      <c r="E14" s="38" t="s">
        <v>937</v>
      </c>
      <c r="F14" s="39" t="s">
        <v>938</v>
      </c>
      <c r="G14" s="39">
        <v>18</v>
      </c>
      <c r="H14" s="39"/>
      <c r="I14" s="40" t="s">
        <v>269</v>
      </c>
      <c r="J14" s="41">
        <v>73</v>
      </c>
      <c r="K14" s="41">
        <v>184</v>
      </c>
      <c r="L14" s="41"/>
      <c r="M14" s="42">
        <v>800</v>
      </c>
      <c r="N14" s="42">
        <v>987</v>
      </c>
      <c r="O14" s="43">
        <v>13432</v>
      </c>
      <c r="P14" s="44">
        <v>58400</v>
      </c>
      <c r="Q14" s="44">
        <v>72051</v>
      </c>
      <c r="R14" s="45">
        <v>0</v>
      </c>
      <c r="S14" s="46">
        <v>0</v>
      </c>
      <c r="T14" s="39">
        <f t="shared" si="0"/>
        <v>18</v>
      </c>
      <c r="U14" s="47">
        <f t="shared" si="1"/>
        <v>0.22963073839404369</v>
      </c>
      <c r="V14" s="48">
        <f t="shared" si="2"/>
        <v>187</v>
      </c>
      <c r="W14" s="49">
        <f t="shared" si="3"/>
        <v>1.2757263244113538E-2</v>
      </c>
      <c r="X14" s="44">
        <f t="shared" si="4"/>
        <v>3303.4912759010799</v>
      </c>
      <c r="Y14" s="44">
        <f t="shared" si="5"/>
        <v>13651</v>
      </c>
      <c r="Z14" s="44">
        <f t="shared" si="6"/>
        <v>46460.54088873828</v>
      </c>
      <c r="AA14" s="50">
        <f t="shared" si="7"/>
        <v>75354.491275901077</v>
      </c>
      <c r="AB14" s="51">
        <f t="shared" si="8"/>
        <v>43433.243796146839</v>
      </c>
      <c r="AC14" s="44">
        <f t="shared" si="9"/>
        <v>70444.508998692225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12.598768311384578</v>
      </c>
      <c r="AG14" s="44">
        <f t="shared" si="11"/>
        <v>169226.65595851766</v>
      </c>
      <c r="AH14" s="52">
        <f>HLOOKUP(I14,GasAvoidedCostsWOCC!$A$5:$Q$50,T14+1,FALSE)</f>
        <v>12.598768311384578</v>
      </c>
      <c r="AI14" s="44">
        <f t="shared" si="12"/>
        <v>0</v>
      </c>
      <c r="AJ14" s="44">
        <f t="shared" si="13"/>
        <v>169226.65595851766</v>
      </c>
      <c r="AK14" s="44">
        <f>HLOOKUP(I14,GasAvoidedCostsWOCC!$A$5:$Q$50,G14+1,FALSE)*J14*L14</f>
        <v>0</v>
      </c>
      <c r="AL14" s="44">
        <f t="shared" si="14"/>
        <v>169226.65595851766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169226.65595851766</v>
      </c>
      <c r="AN14" s="48">
        <f t="shared" si="15"/>
        <v>186149.32155436944</v>
      </c>
      <c r="AO14" s="47">
        <f t="shared" si="16"/>
        <v>3.8962472329439626</v>
      </c>
      <c r="AP14" s="47">
        <f t="shared" si="17"/>
        <v>2.6424958339595386</v>
      </c>
      <c r="AQ14">
        <v>2020</v>
      </c>
    </row>
    <row r="15" spans="1:43" ht="13.5" customHeight="1">
      <c r="A15" s="57" t="s">
        <v>253</v>
      </c>
      <c r="B15" s="97" t="s">
        <v>33</v>
      </c>
      <c r="C15">
        <v>18230638</v>
      </c>
      <c r="D15" s="100" t="s">
        <v>83</v>
      </c>
      <c r="E15" s="38" t="s">
        <v>940</v>
      </c>
      <c r="F15" s="39" t="s">
        <v>941</v>
      </c>
      <c r="G15" s="39">
        <v>20</v>
      </c>
      <c r="H15" s="39"/>
      <c r="I15" s="40" t="s">
        <v>269</v>
      </c>
      <c r="J15" s="41">
        <v>3973</v>
      </c>
      <c r="K15" s="41">
        <v>110</v>
      </c>
      <c r="L15" s="41"/>
      <c r="M15" s="42">
        <v>350</v>
      </c>
      <c r="N15" s="42">
        <v>603</v>
      </c>
      <c r="O15" s="43">
        <v>437030</v>
      </c>
      <c r="P15" s="44">
        <v>1390550</v>
      </c>
      <c r="Q15" s="44">
        <v>2395719</v>
      </c>
      <c r="R15" s="45">
        <v>0</v>
      </c>
      <c r="S15" s="46">
        <v>0</v>
      </c>
      <c r="T15" s="39">
        <f t="shared" si="0"/>
        <v>20</v>
      </c>
      <c r="U15" s="47">
        <f t="shared" si="1"/>
        <v>8.3015288200937167</v>
      </c>
      <c r="V15" s="48">
        <f t="shared" si="2"/>
        <v>253</v>
      </c>
      <c r="W15" s="49">
        <f t="shared" si="3"/>
        <v>0.41507644100468583</v>
      </c>
      <c r="X15" s="44">
        <f t="shared" si="4"/>
        <v>107483.97798593277</v>
      </c>
      <c r="Y15" s="44">
        <f t="shared" si="5"/>
        <v>1005169</v>
      </c>
      <c r="Z15" s="44">
        <f t="shared" si="6"/>
        <v>1511662.4616293397</v>
      </c>
      <c r="AA15" s="50">
        <f t="shared" si="7"/>
        <v>2503202.977985933</v>
      </c>
      <c r="AB15" s="51">
        <f t="shared" si="8"/>
        <v>1413164.8701779374</v>
      </c>
      <c r="AC15" s="44">
        <f t="shared" si="9"/>
        <v>2340098.1377824931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13.765480191058694</v>
      </c>
      <c r="AG15" s="44">
        <f t="shared" si="11"/>
        <v>6015927.8078983817</v>
      </c>
      <c r="AH15" s="52">
        <f>HLOOKUP(I15,GasAvoidedCostsWOCC!$A$5:$Q$50,T15+1,FALSE)</f>
        <v>13.765480191058694</v>
      </c>
      <c r="AI15" s="44">
        <f t="shared" si="12"/>
        <v>0</v>
      </c>
      <c r="AJ15" s="44">
        <f t="shared" si="13"/>
        <v>6015927.8078983817</v>
      </c>
      <c r="AK15" s="44">
        <f>HLOOKUP(I15,GasAvoidedCostsWOCC!$A$5:$Q$50,G15+1,FALSE)*J15*L15</f>
        <v>0</v>
      </c>
      <c r="AL15" s="44">
        <f t="shared" si="14"/>
        <v>6015927.8078983817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6015927.8078983817</v>
      </c>
      <c r="AN15" s="48">
        <f t="shared" si="15"/>
        <v>6617520.5886882208</v>
      </c>
      <c r="AO15" s="47">
        <f t="shared" si="16"/>
        <v>4.2570601172253113</v>
      </c>
      <c r="AP15" s="47">
        <f t="shared" si="17"/>
        <v>2.827881652416111</v>
      </c>
      <c r="AQ15">
        <v>2020</v>
      </c>
    </row>
    <row r="16" spans="1:43" ht="13.5" customHeight="1">
      <c r="A16" s="54">
        <f>SUM(U5:U999)</f>
        <v>19.903915925152326</v>
      </c>
      <c r="B16" s="97" t="s">
        <v>33</v>
      </c>
      <c r="C16">
        <v>18230638</v>
      </c>
      <c r="D16" s="100" t="s">
        <v>83</v>
      </c>
      <c r="E16" s="38" t="s">
        <v>1686</v>
      </c>
      <c r="F16" s="39" t="s">
        <v>1687</v>
      </c>
      <c r="G16" s="39">
        <v>20</v>
      </c>
      <c r="H16" s="39"/>
      <c r="I16" s="40" t="s">
        <v>269</v>
      </c>
      <c r="J16" s="41">
        <v>7</v>
      </c>
      <c r="K16" s="41">
        <v>110</v>
      </c>
      <c r="L16" s="41"/>
      <c r="M16" s="42">
        <v>600</v>
      </c>
      <c r="N16" s="42">
        <v>603</v>
      </c>
      <c r="O16" s="43">
        <v>770</v>
      </c>
      <c r="P16" s="44">
        <v>4200</v>
      </c>
      <c r="Q16" s="44">
        <v>4221</v>
      </c>
      <c r="R16" s="45">
        <v>0</v>
      </c>
      <c r="S16" s="46">
        <v>0</v>
      </c>
      <c r="T16" s="39">
        <f t="shared" si="0"/>
        <v>20</v>
      </c>
      <c r="U16" s="47">
        <f t="shared" si="1"/>
        <v>1.4626403659868113E-2</v>
      </c>
      <c r="V16" s="48">
        <f t="shared" si="2"/>
        <v>3</v>
      </c>
      <c r="W16" s="49">
        <f t="shared" si="3"/>
        <v>7.3132018299340562E-4</v>
      </c>
      <c r="X16" s="44">
        <f t="shared" si="4"/>
        <v>189.375244374913</v>
      </c>
      <c r="Y16" s="44">
        <f t="shared" si="5"/>
        <v>21</v>
      </c>
      <c r="Z16" s="44">
        <f t="shared" si="6"/>
        <v>2663.3871712573314</v>
      </c>
      <c r="AA16" s="50">
        <f t="shared" si="7"/>
        <v>4410.3752443749127</v>
      </c>
      <c r="AB16" s="51">
        <f t="shared" si="8"/>
        <v>2489.8449764021043</v>
      </c>
      <c r="AC16" s="44">
        <f t="shared" si="9"/>
        <v>4123.0020046507543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13.765480191058694</v>
      </c>
      <c r="AG16" s="44">
        <f t="shared" si="11"/>
        <v>10599.419747115195</v>
      </c>
      <c r="AH16" s="52">
        <f>HLOOKUP(I16,GasAvoidedCostsWOCC!$A$5:$Q$50,T16+1,FALSE)</f>
        <v>13.765480191058694</v>
      </c>
      <c r="AI16" s="44">
        <f t="shared" si="12"/>
        <v>0</v>
      </c>
      <c r="AJ16" s="44">
        <f t="shared" si="13"/>
        <v>10599.419747115195</v>
      </c>
      <c r="AK16" s="44">
        <f>HLOOKUP(I16,GasAvoidedCostsWOCC!$A$5:$Q$50,G16+1,FALSE)*J16*L16</f>
        <v>0</v>
      </c>
      <c r="AL16" s="44">
        <f t="shared" si="14"/>
        <v>10599.419747115195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10599.419747115195</v>
      </c>
      <c r="AN16" s="48">
        <f t="shared" si="15"/>
        <v>11659.361721826715</v>
      </c>
      <c r="AO16" s="47">
        <f t="shared" si="16"/>
        <v>4.2570601172253113</v>
      </c>
      <c r="AP16" s="47">
        <f t="shared" si="17"/>
        <v>2.8278816524161114</v>
      </c>
      <c r="AQ16">
        <v>2020</v>
      </c>
    </row>
    <row r="17" spans="1:43" ht="13.5" customHeight="1">
      <c r="A17" s="58" t="s">
        <v>254</v>
      </c>
      <c r="B17" s="97" t="s">
        <v>33</v>
      </c>
      <c r="C17">
        <v>18230638</v>
      </c>
      <c r="D17" s="100" t="s">
        <v>83</v>
      </c>
      <c r="E17" s="38" t="s">
        <v>1688</v>
      </c>
      <c r="F17" s="39" t="s">
        <v>1689</v>
      </c>
      <c r="G17" s="39">
        <v>20</v>
      </c>
      <c r="H17" s="39"/>
      <c r="I17" s="40" t="s">
        <v>269</v>
      </c>
      <c r="J17" s="41">
        <v>47</v>
      </c>
      <c r="K17" s="41">
        <v>119</v>
      </c>
      <c r="L17" s="41"/>
      <c r="M17" s="42">
        <v>350</v>
      </c>
      <c r="N17" s="42">
        <v>1239</v>
      </c>
      <c r="O17" s="43">
        <v>5593</v>
      </c>
      <c r="P17" s="44">
        <v>16450</v>
      </c>
      <c r="Q17" s="44">
        <v>58233</v>
      </c>
      <c r="R17" s="45">
        <v>0</v>
      </c>
      <c r="S17" s="46">
        <v>0</v>
      </c>
      <c r="T17" s="39">
        <f t="shared" si="0"/>
        <v>20</v>
      </c>
      <c r="U17" s="47">
        <f t="shared" si="1"/>
        <v>0.10624087749304204</v>
      </c>
      <c r="V17" s="48">
        <f t="shared" si="2"/>
        <v>889</v>
      </c>
      <c r="W17" s="49">
        <f t="shared" si="3"/>
        <v>5.3120438746521014E-3</v>
      </c>
      <c r="X17" s="44">
        <f t="shared" si="4"/>
        <v>1375.5529114141409</v>
      </c>
      <c r="Y17" s="44">
        <f t="shared" si="5"/>
        <v>41783</v>
      </c>
      <c r="Z17" s="44">
        <f t="shared" si="6"/>
        <v>19345.875907587346</v>
      </c>
      <c r="AA17" s="50">
        <f t="shared" si="7"/>
        <v>59608.552911414139</v>
      </c>
      <c r="AB17" s="51">
        <f t="shared" si="8"/>
        <v>18085.328510411651</v>
      </c>
      <c r="AC17" s="44">
        <f t="shared" si="9"/>
        <v>55724.551660665733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76990.330708591282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76990.330708591282</v>
      </c>
      <c r="AK17" s="44">
        <f>HLOOKUP(I17,GasAvoidedCostsWOCC!$A$5:$Q$50,G17+1,FALSE)*J17*L17</f>
        <v>0</v>
      </c>
      <c r="AL17" s="44">
        <f t="shared" si="14"/>
        <v>76990.330708591282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76990.330708591282</v>
      </c>
      <c r="AN17" s="48">
        <f t="shared" si="15"/>
        <v>84689.363779450417</v>
      </c>
      <c r="AO17" s="47">
        <f t="shared" si="16"/>
        <v>4.2570601172253113</v>
      </c>
      <c r="AP17" s="47">
        <f t="shared" si="17"/>
        <v>1.5197854671880664</v>
      </c>
      <c r="AQ17">
        <v>2020</v>
      </c>
    </row>
    <row r="18" spans="1:43" ht="13.5" customHeight="1">
      <c r="A18" s="59">
        <f>A6+A8</f>
        <v>3641889.33</v>
      </c>
      <c r="B18" s="97" t="s">
        <v>33</v>
      </c>
      <c r="C18">
        <v>18230638</v>
      </c>
      <c r="D18" s="100" t="s">
        <v>83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1322</v>
      </c>
      <c r="K18" s="41">
        <v>0.6</v>
      </c>
      <c r="L18" s="41"/>
      <c r="M18" s="42">
        <v>0.54</v>
      </c>
      <c r="N18" s="42">
        <v>0.54</v>
      </c>
      <c r="O18" s="43">
        <v>793.20000000000698</v>
      </c>
      <c r="P18" s="44">
        <v>198.300000000002</v>
      </c>
      <c r="Q18" s="44">
        <v>713.880000000005</v>
      </c>
      <c r="R18" s="45">
        <v>2.74</v>
      </c>
      <c r="S18" s="46">
        <v>0</v>
      </c>
      <c r="T18" s="39">
        <f t="shared" si="0"/>
        <v>10</v>
      </c>
      <c r="U18" s="47">
        <f t="shared" si="1"/>
        <v>7.5335476513035647E-3</v>
      </c>
      <c r="V18" s="48">
        <f t="shared" si="2"/>
        <v>0</v>
      </c>
      <c r="W18" s="49">
        <f t="shared" si="3"/>
        <v>7.5335476513035645E-4</v>
      </c>
      <c r="X18" s="44">
        <f t="shared" si="4"/>
        <v>195.08109589374328</v>
      </c>
      <c r="Y18" s="44">
        <f t="shared" si="5"/>
        <v>515.580000000003</v>
      </c>
      <c r="Z18" s="44">
        <f t="shared" si="6"/>
        <v>2743.6346808329013</v>
      </c>
      <c r="AA18" s="50">
        <f t="shared" si="7"/>
        <v>908.96109589374828</v>
      </c>
      <c r="AB18" s="51">
        <f t="shared" si="8"/>
        <v>2564.8636821846321</v>
      </c>
      <c r="AC18" s="44">
        <f t="shared" si="9"/>
        <v>849.73459464686198</v>
      </c>
      <c r="AD18" s="44">
        <f t="shared" si="10"/>
        <v>25476.697252290996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5663.4840805955328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5663.4840805955328</v>
      </c>
      <c r="AK18" s="44">
        <f>HLOOKUP(I18,GasAvoidedCostsWOCC!$A$5:$Q$50,G18+1,FALSE)*J18*L18</f>
        <v>0</v>
      </c>
      <c r="AL18" s="44">
        <f t="shared" si="14"/>
        <v>5663.4840805955328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5663.4840805955319</v>
      </c>
      <c r="AN18" s="48">
        <f t="shared" si="15"/>
        <v>31706.529740946084</v>
      </c>
      <c r="AO18" s="47">
        <f t="shared" si="16"/>
        <v>2.208103346752385</v>
      </c>
      <c r="AP18" s="47">
        <f t="shared" si="17"/>
        <v>37.313450506417105</v>
      </c>
      <c r="AQ18">
        <v>2020</v>
      </c>
    </row>
    <row r="19" spans="1:43" ht="13.5" customHeight="1">
      <c r="A19" s="58" t="s">
        <v>231</v>
      </c>
      <c r="B19" s="97" t="s">
        <v>33</v>
      </c>
      <c r="C19">
        <v>18230638</v>
      </c>
      <c r="D19" s="100" t="s">
        <v>83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1258</v>
      </c>
      <c r="K19" s="41">
        <v>0.8</v>
      </c>
      <c r="L19" s="41"/>
      <c r="M19" s="42">
        <v>1.81</v>
      </c>
      <c r="N19" s="42">
        <v>1.81</v>
      </c>
      <c r="O19" s="43">
        <v>1006.40000000001</v>
      </c>
      <c r="P19" s="44">
        <v>1258</v>
      </c>
      <c r="Q19" s="44">
        <v>2276.97999999996</v>
      </c>
      <c r="R19" s="45">
        <v>2.74</v>
      </c>
      <c r="S19" s="46">
        <v>0</v>
      </c>
      <c r="T19" s="39">
        <f t="shared" si="0"/>
        <v>10</v>
      </c>
      <c r="U19" s="47">
        <f t="shared" si="1"/>
        <v>9.5584497683710492E-3</v>
      </c>
      <c r="V19" s="48">
        <f t="shared" si="2"/>
        <v>0</v>
      </c>
      <c r="W19" s="49">
        <f t="shared" si="3"/>
        <v>9.5584497683710488E-4</v>
      </c>
      <c r="X19" s="44">
        <f t="shared" si="4"/>
        <v>247.51590381677187</v>
      </c>
      <c r="Y19" s="44">
        <f t="shared" si="5"/>
        <v>1018.97999999996</v>
      </c>
      <c r="Z19" s="44">
        <f t="shared" si="6"/>
        <v>3481.0816222771491</v>
      </c>
      <c r="AA19" s="50">
        <f t="shared" si="7"/>
        <v>2524.4959038167317</v>
      </c>
      <c r="AB19" s="51">
        <f t="shared" si="8"/>
        <v>3254.2597198066269</v>
      </c>
      <c r="AC19" s="44">
        <f t="shared" si="9"/>
        <v>2360.0036494500623</v>
      </c>
      <c r="AD19" s="44">
        <f t="shared" si="10"/>
        <v>24243.332181075697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7185.7417785064863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7185.7417785064863</v>
      </c>
      <c r="AK19" s="44">
        <f>HLOOKUP(I19,GasAvoidedCostsWOCC!$A$5:$Q$50,G19+1,FALSE)*J19*L19</f>
        <v>0</v>
      </c>
      <c r="AL19" s="44">
        <f t="shared" si="14"/>
        <v>7185.7417785064863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7185.7417785064854</v>
      </c>
      <c r="AN19" s="48">
        <f t="shared" si="15"/>
        <v>32147.648137432832</v>
      </c>
      <c r="AO19" s="47">
        <f t="shared" si="16"/>
        <v>2.2081033467523832</v>
      </c>
      <c r="AP19" s="47">
        <f t="shared" si="17"/>
        <v>13.621863739458203</v>
      </c>
      <c r="AQ19">
        <v>2020</v>
      </c>
    </row>
    <row r="20" spans="1:43" ht="13.5" customHeight="1">
      <c r="A20" s="59">
        <f>A8+SUM(Q5:Q906)</f>
        <v>6092830.1899999995</v>
      </c>
      <c r="B20" s="97" t="s">
        <v>33</v>
      </c>
      <c r="C20">
        <v>18230638</v>
      </c>
      <c r="D20" s="100" t="s">
        <v>83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629</v>
      </c>
      <c r="K20" s="41">
        <v>1.3</v>
      </c>
      <c r="L20" s="41"/>
      <c r="M20" s="42">
        <v>1.81</v>
      </c>
      <c r="N20" s="42">
        <v>1.81</v>
      </c>
      <c r="O20" s="43">
        <v>817.69999999999197</v>
      </c>
      <c r="P20" s="44">
        <v>1258</v>
      </c>
      <c r="Q20" s="44">
        <v>1138.48999999998</v>
      </c>
      <c r="R20" s="45">
        <v>3.8</v>
      </c>
      <c r="S20" s="46">
        <v>0</v>
      </c>
      <c r="T20" s="39">
        <f t="shared" si="0"/>
        <v>10</v>
      </c>
      <c r="U20" s="47">
        <f t="shared" si="1"/>
        <v>7.7662404368013241E-3</v>
      </c>
      <c r="V20" s="48">
        <f t="shared" si="2"/>
        <v>0</v>
      </c>
      <c r="W20" s="49">
        <f t="shared" si="3"/>
        <v>7.7662404368013238E-4</v>
      </c>
      <c r="X20" s="44">
        <f t="shared" si="4"/>
        <v>201.10667185112317</v>
      </c>
      <c r="Y20" s="44">
        <f t="shared" si="5"/>
        <v>-119.51000000002</v>
      </c>
      <c r="Z20" s="44">
        <f t="shared" si="6"/>
        <v>2828.3788181001282</v>
      </c>
      <c r="AA20" s="50">
        <f t="shared" si="7"/>
        <v>1339.5966718511031</v>
      </c>
      <c r="AB20" s="51">
        <f t="shared" si="8"/>
        <v>2644.0860223428326</v>
      </c>
      <c r="AC20" s="44">
        <f t="shared" si="9"/>
        <v>1252.3106215304319</v>
      </c>
      <c r="AD20" s="44">
        <f t="shared" si="10"/>
        <v>16811.069760599934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5838.4151950365194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5838.4151950365194</v>
      </c>
      <c r="AK20" s="44">
        <f>HLOOKUP(I20,GasAvoidedCostsWOCC!$A$5:$Q$50,G20+1,FALSE)*J20*L20</f>
        <v>0</v>
      </c>
      <c r="AL20" s="44">
        <f t="shared" si="14"/>
        <v>5838.4151950365194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5838.4151950365185</v>
      </c>
      <c r="AN20" s="48">
        <f t="shared" si="15"/>
        <v>23233.326475140104</v>
      </c>
      <c r="AO20" s="47">
        <f t="shared" si="16"/>
        <v>2.2081033467524258</v>
      </c>
      <c r="AP20" s="47">
        <f t="shared" si="17"/>
        <v>18.552367180873201</v>
      </c>
      <c r="AQ20">
        <v>2020</v>
      </c>
    </row>
    <row r="21" spans="1:43" ht="13.5" customHeight="1">
      <c r="A21" s="58" t="s">
        <v>245</v>
      </c>
      <c r="B21" s="97" t="s">
        <v>33</v>
      </c>
      <c r="C21">
        <v>18230638</v>
      </c>
      <c r="D21" s="100" t="s">
        <v>83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629</v>
      </c>
      <c r="K21" s="41">
        <v>4.9000000000000004</v>
      </c>
      <c r="L21" s="41"/>
      <c r="M21" s="42">
        <v>10</v>
      </c>
      <c r="N21" s="42">
        <v>10</v>
      </c>
      <c r="O21" s="43">
        <v>3082.1000000000299</v>
      </c>
      <c r="P21" s="44">
        <v>5333.91999999994</v>
      </c>
      <c r="Q21" s="44">
        <v>6290</v>
      </c>
      <c r="R21" s="45">
        <v>14.31</v>
      </c>
      <c r="S21" s="46">
        <v>0</v>
      </c>
      <c r="T21" s="39">
        <f t="shared" si="0"/>
        <v>10</v>
      </c>
      <c r="U21" s="47">
        <f t="shared" si="1"/>
        <v>2.927275241563633E-2</v>
      </c>
      <c r="V21" s="48">
        <f t="shared" si="2"/>
        <v>0</v>
      </c>
      <c r="W21" s="49">
        <f t="shared" si="3"/>
        <v>2.9272752415636328E-3</v>
      </c>
      <c r="X21" s="44">
        <f t="shared" si="4"/>
        <v>758.01745543886364</v>
      </c>
      <c r="Y21" s="44">
        <f t="shared" si="5"/>
        <v>956.08000000005995</v>
      </c>
      <c r="Z21" s="44">
        <f t="shared" si="6"/>
        <v>10660.812468223767</v>
      </c>
      <c r="AA21" s="50">
        <f t="shared" si="7"/>
        <v>7048.0174554388632</v>
      </c>
      <c r="AB21" s="51">
        <f t="shared" si="8"/>
        <v>9966.1703919077918</v>
      </c>
      <c r="AC21" s="44">
        <f t="shared" si="9"/>
        <v>6588.7795227062379</v>
      </c>
      <c r="AD21" s="44">
        <f t="shared" si="10"/>
        <v>63306.949545838179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22006.334196676115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22006.334196676115</v>
      </c>
      <c r="AK21" s="44">
        <f>HLOOKUP(I21,GasAvoidedCostsWOCC!$A$5:$Q$50,G21+1,FALSE)*J21*L21</f>
        <v>0</v>
      </c>
      <c r="AL21" s="44">
        <f t="shared" si="14"/>
        <v>22006.334196676115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22006.334196676115</v>
      </c>
      <c r="AN21" s="48">
        <f t="shared" si="15"/>
        <v>87513.917162181911</v>
      </c>
      <c r="AO21" s="47">
        <f t="shared" si="16"/>
        <v>2.2081033467523841</v>
      </c>
      <c r="AP21" s="47">
        <f t="shared" si="17"/>
        <v>13.282265229940027</v>
      </c>
      <c r="AQ21">
        <v>2020</v>
      </c>
    </row>
    <row r="22" spans="1:43" ht="13.5" customHeight="1">
      <c r="A22" s="60">
        <f>(SUM(AM5:AM1000)/(SUM(AB5:AB1000)))</f>
        <v>4.2384003045991623</v>
      </c>
      <c r="B22" s="97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2.8095729828446538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1690</v>
      </c>
      <c r="F5" s="39" t="s">
        <v>1691</v>
      </c>
      <c r="G5" s="39">
        <v>13</v>
      </c>
      <c r="H5" s="39"/>
      <c r="I5" s="40" t="s">
        <v>265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4.9620389585812483E-2</v>
      </c>
      <c r="V5" s="48">
        <f t="shared" ref="V5:V24" si="2">N5-M5</f>
        <v>116</v>
      </c>
      <c r="W5" s="49">
        <f t="shared" ref="W5:W24" si="3">(O5/A$10)</f>
        <v>3.8169530450624985E-3</v>
      </c>
      <c r="X5" s="44">
        <f t="shared" ref="X5:X24" si="4">W5*A$8</f>
        <v>481.94154544900533</v>
      </c>
      <c r="Y5" s="44">
        <f t="shared" ref="Y5:Y24" si="5">Q5-P5</f>
        <v>1972</v>
      </c>
      <c r="Z5" s="44">
        <f t="shared" ref="Z5:Z24" si="6">X5+(A$6*W5)</f>
        <v>2935.5917919471917</v>
      </c>
      <c r="AA5" s="50">
        <f t="shared" ref="AA5:AA24" si="7">Q5+X5</f>
        <v>3303.9415454490054</v>
      </c>
      <c r="AB5" s="51">
        <f t="shared" ref="AB5:AB24" si="8">Z5/(1+GasDiscountRate)^1</f>
        <v>2744.3131643892602</v>
      </c>
      <c r="AC5" s="44">
        <f t="shared" ref="AC5:AC24" si="9">AA5/(1+GasDiscountRate)^1</f>
        <v>3088.6618168168693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1.5619882795059656</v>
      </c>
      <c r="AP5" s="47">
        <f>AN5/AC5</f>
        <v>1.5266299056127846</v>
      </c>
      <c r="AQ5">
        <v>2021</v>
      </c>
    </row>
    <row r="6" spans="1:43" ht="13.5" customHeight="1">
      <c r="A6" s="53">
        <f>SUMIF('Program Costs'!D:D,C2,'Program Costs'!L:L)</f>
        <v>642829.56000000006</v>
      </c>
      <c r="B6" s="97" t="s">
        <v>33</v>
      </c>
      <c r="C6" s="98">
        <v>18230249</v>
      </c>
      <c r="D6" s="61" t="s">
        <v>34</v>
      </c>
      <c r="E6" s="38" t="s">
        <v>1692</v>
      </c>
      <c r="F6" s="39" t="s">
        <v>1691</v>
      </c>
      <c r="G6" s="39">
        <v>13</v>
      </c>
      <c r="H6" s="39"/>
      <c r="I6" s="40" t="s">
        <v>265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0.1235297513848483</v>
      </c>
      <c r="V6" s="48">
        <f t="shared" si="2"/>
        <v>136.6</v>
      </c>
      <c r="W6" s="49">
        <f t="shared" si="3"/>
        <v>9.5022885680652539E-3</v>
      </c>
      <c r="X6" s="44">
        <f t="shared" si="4"/>
        <v>1199.7914524308221</v>
      </c>
      <c r="Y6" s="44">
        <f t="shared" si="5"/>
        <v>10791.4</v>
      </c>
      <c r="Z6" s="44">
        <f t="shared" si="6"/>
        <v>7308.1434316332397</v>
      </c>
      <c r="AA6" s="50">
        <f t="shared" si="7"/>
        <v>15941.191452430821</v>
      </c>
      <c r="AB6" s="51">
        <f t="shared" si="8"/>
        <v>6831.9560920194808</v>
      </c>
      <c r="AC6" s="44">
        <f t="shared" si="9"/>
        <v>14902.488036300663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1.5619882795059659</v>
      </c>
      <c r="AP6" s="47">
        <f t="shared" ref="AP6:AP24" si="17">AN6/AC6</f>
        <v>0.78769255492260293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1693</v>
      </c>
      <c r="F7" s="39" t="s">
        <v>1694</v>
      </c>
      <c r="G7" s="39">
        <v>13</v>
      </c>
      <c r="H7" s="39"/>
      <c r="I7" s="40" t="s">
        <v>265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1.5636677390487126E-3</v>
      </c>
      <c r="V7" s="48">
        <f t="shared" si="2"/>
        <v>36.599999999999994</v>
      </c>
      <c r="W7" s="49">
        <f t="shared" si="3"/>
        <v>1.202821337729779E-4</v>
      </c>
      <c r="X7" s="44">
        <f t="shared" si="4"/>
        <v>15.187233575073698</v>
      </c>
      <c r="Y7" s="44">
        <f t="shared" si="5"/>
        <v>36.599999999999994</v>
      </c>
      <c r="Z7" s="44">
        <f t="shared" si="6"/>
        <v>92.508144704218239</v>
      </c>
      <c r="AA7" s="50">
        <f t="shared" si="7"/>
        <v>201.78723357507369</v>
      </c>
      <c r="AB7" s="51">
        <f t="shared" si="8"/>
        <v>86.480456861006104</v>
      </c>
      <c r="AC7" s="44">
        <f t="shared" si="9"/>
        <v>188.63908906709702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1.5619882795059656</v>
      </c>
      <c r="AP7" s="47">
        <f t="shared" si="17"/>
        <v>0.78769255492260293</v>
      </c>
      <c r="AQ7">
        <v>2021</v>
      </c>
    </row>
    <row r="8" spans="1:43" ht="13.5" customHeight="1">
      <c r="A8" s="53">
        <f>SUMIF('Program Costs'!D:D,C2,'Program Costs'!O:O)</f>
        <v>126263.42000000004</v>
      </c>
      <c r="B8" s="97" t="s">
        <v>33</v>
      </c>
      <c r="C8" s="98">
        <v>18230249</v>
      </c>
      <c r="D8" s="61" t="s">
        <v>34</v>
      </c>
      <c r="E8" s="38" t="s">
        <v>1695</v>
      </c>
      <c r="F8" s="39" t="s">
        <v>943</v>
      </c>
      <c r="G8" s="39">
        <v>20</v>
      </c>
      <c r="H8" s="39"/>
      <c r="I8" s="40" t="s">
        <v>265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1.3904614664156245</v>
      </c>
      <c r="V8" s="48">
        <f t="shared" si="2"/>
        <v>558.33000000000004</v>
      </c>
      <c r="W8" s="49">
        <f t="shared" si="3"/>
        <v>6.9523073320781226E-2</v>
      </c>
      <c r="X8" s="44">
        <f t="shared" si="4"/>
        <v>8778.2210063925977</v>
      </c>
      <c r="Y8" s="44">
        <f t="shared" si="5"/>
        <v>94967.1</v>
      </c>
      <c r="Z8" s="44">
        <f t="shared" si="6"/>
        <v>53469.707639038133</v>
      </c>
      <c r="AA8" s="50">
        <f t="shared" si="7"/>
        <v>146194.32100639259</v>
      </c>
      <c r="AB8" s="51">
        <f t="shared" si="8"/>
        <v>49985.704065661521</v>
      </c>
      <c r="AC8" s="44">
        <f t="shared" si="9"/>
        <v>136668.52482601904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2.2747173709049453</v>
      </c>
      <c r="AP8" s="47">
        <f t="shared" si="17"/>
        <v>1.0671909583040895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18230249</v>
      </c>
      <c r="D9" s="61" t="s">
        <v>34</v>
      </c>
      <c r="E9" s="38" t="s">
        <v>942</v>
      </c>
      <c r="F9" s="39" t="s">
        <v>943</v>
      </c>
      <c r="G9" s="39">
        <v>20</v>
      </c>
      <c r="H9" s="39"/>
      <c r="I9" s="40" t="s">
        <v>265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7.3420214455025707</v>
      </c>
      <c r="V9" s="48">
        <f t="shared" si="2"/>
        <v>675.6</v>
      </c>
      <c r="W9" s="49">
        <f t="shared" si="3"/>
        <v>0.36710107227512856</v>
      </c>
      <c r="X9" s="44">
        <f t="shared" si="4"/>
        <v>46351.436871124926</v>
      </c>
      <c r="Y9" s="44">
        <f t="shared" si="5"/>
        <v>736403.99999997998</v>
      </c>
      <c r="Z9" s="44">
        <f t="shared" si="6"/>
        <v>282334.85763727408</v>
      </c>
      <c r="AA9" s="50">
        <f t="shared" si="7"/>
        <v>1055255.4368711049</v>
      </c>
      <c r="AB9" s="51">
        <f t="shared" si="8"/>
        <v>263938.35433979065</v>
      </c>
      <c r="AC9" s="44">
        <f t="shared" si="9"/>
        <v>986496.62229700363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2.2747173709049453</v>
      </c>
      <c r="AP9" s="47">
        <f t="shared" si="17"/>
        <v>0.84580892919896566</v>
      </c>
      <c r="AQ9">
        <v>2021</v>
      </c>
    </row>
    <row r="10" spans="1:43" ht="13.5" customHeight="1">
      <c r="A10" s="54">
        <f>SUM(O5:O999)</f>
        <v>124706.8</v>
      </c>
      <c r="B10" s="97" t="s">
        <v>33</v>
      </c>
      <c r="C10" s="98">
        <v>18230249</v>
      </c>
      <c r="D10" s="61" t="s">
        <v>34</v>
      </c>
      <c r="E10" s="38" t="s">
        <v>1696</v>
      </c>
      <c r="F10" s="39" t="s">
        <v>1697</v>
      </c>
      <c r="G10" s="39">
        <v>20</v>
      </c>
      <c r="H10" s="39"/>
      <c r="I10" s="40" t="s">
        <v>269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8.1791850965624961E-3</v>
      </c>
      <c r="V10" s="48">
        <f t="shared" si="2"/>
        <v>308.33000000000004</v>
      </c>
      <c r="W10" s="49">
        <f t="shared" si="3"/>
        <v>4.0895925482812483E-4</v>
      </c>
      <c r="X10" s="44">
        <f t="shared" si="4"/>
        <v>51.63659415525057</v>
      </c>
      <c r="Y10" s="44">
        <f t="shared" si="5"/>
        <v>308.33000000000004</v>
      </c>
      <c r="Z10" s="44">
        <f t="shared" si="6"/>
        <v>314.52769199434198</v>
      </c>
      <c r="AA10" s="50">
        <f t="shared" si="7"/>
        <v>859.96659415525062</v>
      </c>
      <c r="AB10" s="51">
        <f t="shared" si="8"/>
        <v>294.03355332742075</v>
      </c>
      <c r="AC10" s="44">
        <f t="shared" si="9"/>
        <v>803.93249897658268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2.3876169294265477</v>
      </c>
      <c r="AP10" s="47">
        <f t="shared" si="17"/>
        <v>1.1126125381553946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18230249</v>
      </c>
      <c r="D11" s="61" t="s">
        <v>34</v>
      </c>
      <c r="E11" s="38" t="s">
        <v>1698</v>
      </c>
      <c r="F11" s="39" t="s">
        <v>1697</v>
      </c>
      <c r="G11" s="39">
        <v>20</v>
      </c>
      <c r="H11" s="39"/>
      <c r="I11" s="40" t="s">
        <v>269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2.6943197965147051E-2</v>
      </c>
      <c r="V11" s="48">
        <f t="shared" si="2"/>
        <v>425.6</v>
      </c>
      <c r="W11" s="49">
        <f t="shared" si="3"/>
        <v>1.3471598982573525E-3</v>
      </c>
      <c r="X11" s="44">
        <f t="shared" si="4"/>
        <v>170.09701604082542</v>
      </c>
      <c r="Y11" s="44">
        <f t="shared" si="5"/>
        <v>1702.4</v>
      </c>
      <c r="Z11" s="44">
        <f t="shared" si="6"/>
        <v>1036.0912206872442</v>
      </c>
      <c r="AA11" s="50">
        <f t="shared" si="7"/>
        <v>3872.4970160408257</v>
      </c>
      <c r="AB11" s="51">
        <f t="shared" si="8"/>
        <v>968.58111684326832</v>
      </c>
      <c r="AC11" s="44">
        <f t="shared" si="9"/>
        <v>3620.1710909982476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2.3876169294265481</v>
      </c>
      <c r="AP11" s="47">
        <f t="shared" si="17"/>
        <v>0.87903598270243277</v>
      </c>
      <c r="AQ11">
        <v>2021</v>
      </c>
    </row>
    <row r="12" spans="1:43" ht="13.5" customHeight="1">
      <c r="A12" s="55">
        <f>SUM(P5:P1000)</f>
        <v>642665.56000000006</v>
      </c>
      <c r="B12" s="97" t="s">
        <v>33</v>
      </c>
      <c r="C12" s="100">
        <v>18230249</v>
      </c>
      <c r="D12" s="100" t="s">
        <v>34</v>
      </c>
      <c r="E12" s="38" t="s">
        <v>2446</v>
      </c>
      <c r="F12" s="39" t="s">
        <v>2447</v>
      </c>
      <c r="G12" s="39">
        <v>13</v>
      </c>
      <c r="H12" s="39">
        <v>0</v>
      </c>
      <c r="I12" s="40" t="s">
        <v>265</v>
      </c>
      <c r="J12" s="41">
        <v>138</v>
      </c>
      <c r="K12" s="41">
        <v>51</v>
      </c>
      <c r="L12" s="41"/>
      <c r="M12" s="42">
        <v>250</v>
      </c>
      <c r="N12" s="42">
        <v>811</v>
      </c>
      <c r="O12" s="43">
        <v>7038</v>
      </c>
      <c r="P12" s="44">
        <v>34500</v>
      </c>
      <c r="Q12" s="44">
        <v>111918</v>
      </c>
      <c r="R12" s="45">
        <v>0</v>
      </c>
      <c r="S12" s="46">
        <v>0</v>
      </c>
      <c r="T12" s="39">
        <f t="shared" si="0"/>
        <v>13</v>
      </c>
      <c r="U12" s="47">
        <f t="shared" si="1"/>
        <v>0.73367290316165601</v>
      </c>
      <c r="V12" s="48">
        <f t="shared" si="2"/>
        <v>561</v>
      </c>
      <c r="W12" s="49">
        <f t="shared" si="3"/>
        <v>5.6436377166281228E-2</v>
      </c>
      <c r="X12" s="44">
        <f t="shared" si="4"/>
        <v>7125.8499934245792</v>
      </c>
      <c r="Y12" s="44">
        <f t="shared" si="5"/>
        <v>77418</v>
      </c>
      <c r="Z12" s="44">
        <f t="shared" si="6"/>
        <v>43404.821495219192</v>
      </c>
      <c r="AA12" s="50">
        <f t="shared" si="7"/>
        <v>119043.84999342458</v>
      </c>
      <c r="AB12" s="51">
        <f t="shared" si="8"/>
        <v>40576.630359184062</v>
      </c>
      <c r="AC12" s="44">
        <f t="shared" si="9"/>
        <v>111287.13657420264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9.0054306682141867</v>
      </c>
      <c r="AG12" s="44">
        <f t="shared" si="11"/>
        <v>63380.221042891448</v>
      </c>
      <c r="AH12" s="52">
        <f>HLOOKUP(I12,GasAvoidedCostsWOCC!$A$5:$Q$50,T12+1,FALSE)</f>
        <v>9.0054306682141867</v>
      </c>
      <c r="AI12" s="44">
        <f t="shared" si="12"/>
        <v>0</v>
      </c>
      <c r="AJ12" s="44">
        <f t="shared" si="13"/>
        <v>63380.221042891448</v>
      </c>
      <c r="AK12" s="44">
        <f>HLOOKUP(I12,GasAvoidedCostsWOCC!$A$5:$Q$50,G12+1,FALSE)*J12*L12</f>
        <v>0</v>
      </c>
      <c r="AL12" s="44">
        <f t="shared" si="14"/>
        <v>63380.221042891448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63380.221042891448</v>
      </c>
      <c r="AN12" s="48">
        <f t="shared" si="15"/>
        <v>69718.243147180605</v>
      </c>
      <c r="AO12" s="47">
        <f t="shared" si="16"/>
        <v>1.5619882795059656</v>
      </c>
      <c r="AP12" s="47">
        <f t="shared" si="17"/>
        <v>0.6264717135631821</v>
      </c>
      <c r="AQ12">
        <v>2020</v>
      </c>
    </row>
    <row r="13" spans="1:43" ht="13.5" customHeight="1">
      <c r="A13" s="56" t="s">
        <v>252</v>
      </c>
      <c r="B13" s="97" t="s">
        <v>33</v>
      </c>
      <c r="C13" s="100">
        <v>18230249</v>
      </c>
      <c r="D13" s="100" t="s">
        <v>34</v>
      </c>
      <c r="E13" s="38" t="s">
        <v>2448</v>
      </c>
      <c r="F13" s="39" t="s">
        <v>2449</v>
      </c>
      <c r="G13" s="39">
        <v>13</v>
      </c>
      <c r="H13" s="39">
        <v>0</v>
      </c>
      <c r="I13" s="40" t="s">
        <v>265</v>
      </c>
      <c r="J13" s="41">
        <v>21</v>
      </c>
      <c r="K13" s="41">
        <v>28</v>
      </c>
      <c r="L13" s="41"/>
      <c r="M13" s="42">
        <v>50</v>
      </c>
      <c r="N13" s="42">
        <v>166</v>
      </c>
      <c r="O13" s="43">
        <v>588</v>
      </c>
      <c r="P13" s="44">
        <v>1050</v>
      </c>
      <c r="Q13" s="44">
        <v>3486</v>
      </c>
      <c r="R13" s="45">
        <v>0</v>
      </c>
      <c r="S13" s="46">
        <v>0</v>
      </c>
      <c r="T13" s="39">
        <f t="shared" si="0"/>
        <v>13</v>
      </c>
      <c r="U13" s="47">
        <f t="shared" si="1"/>
        <v>6.1295775370709536E-2</v>
      </c>
      <c r="V13" s="48">
        <f t="shared" si="2"/>
        <v>116</v>
      </c>
      <c r="W13" s="49">
        <f t="shared" si="3"/>
        <v>4.7150596439007337E-3</v>
      </c>
      <c r="X13" s="44">
        <f t="shared" si="4"/>
        <v>595.33955614288902</v>
      </c>
      <c r="Y13" s="44">
        <f t="shared" si="5"/>
        <v>2436</v>
      </c>
      <c r="Z13" s="44">
        <f t="shared" si="6"/>
        <v>3626.3192724053542</v>
      </c>
      <c r="AA13" s="50">
        <f t="shared" si="7"/>
        <v>4081.3395561428888</v>
      </c>
      <c r="AB13" s="51">
        <f t="shared" si="8"/>
        <v>3390.0339089514387</v>
      </c>
      <c r="AC13" s="44">
        <f t="shared" si="9"/>
        <v>3815.405773714956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9.0054306682141867</v>
      </c>
      <c r="AG13" s="44">
        <f t="shared" si="11"/>
        <v>5295.1932329099418</v>
      </c>
      <c r="AH13" s="52">
        <f>HLOOKUP(I13,GasAvoidedCostsWOCC!$A$5:$Q$50,T13+1,FALSE)</f>
        <v>9.0054306682141867</v>
      </c>
      <c r="AI13" s="44">
        <f t="shared" si="12"/>
        <v>0</v>
      </c>
      <c r="AJ13" s="44">
        <f t="shared" si="13"/>
        <v>5295.1932329099418</v>
      </c>
      <c r="AK13" s="44">
        <f>HLOOKUP(I13,GasAvoidedCostsWOCC!$A$5:$Q$50,G13+1,FALSE)*J13*L13</f>
        <v>0</v>
      </c>
      <c r="AL13" s="44">
        <f t="shared" si="14"/>
        <v>5295.1932329099418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5295.1932329099418</v>
      </c>
      <c r="AN13" s="48">
        <f t="shared" si="15"/>
        <v>5824.7125562009369</v>
      </c>
      <c r="AO13" s="47">
        <f t="shared" si="16"/>
        <v>1.5619882795059659</v>
      </c>
      <c r="AP13" s="47">
        <f t="shared" si="17"/>
        <v>1.5266299056127846</v>
      </c>
      <c r="AQ13">
        <v>2020</v>
      </c>
    </row>
    <row r="14" spans="1:43" ht="13.5" customHeight="1">
      <c r="A14" s="55">
        <f>SUM(Y5:Y1000)</f>
        <v>1559641.3899999638</v>
      </c>
      <c r="B14" s="97" t="s">
        <v>33</v>
      </c>
      <c r="C14" s="100">
        <v>18230249</v>
      </c>
      <c r="D14" s="100" t="s">
        <v>34</v>
      </c>
      <c r="E14" s="38" t="s">
        <v>1690</v>
      </c>
      <c r="F14" s="39" t="s">
        <v>1691</v>
      </c>
      <c r="G14" s="39">
        <v>13</v>
      </c>
      <c r="H14" s="39"/>
      <c r="I14" s="40" t="s">
        <v>265</v>
      </c>
      <c r="J14" s="41">
        <v>100</v>
      </c>
      <c r="K14" s="41">
        <v>28</v>
      </c>
      <c r="L14" s="41"/>
      <c r="M14" s="42">
        <v>50</v>
      </c>
      <c r="N14" s="42">
        <v>166</v>
      </c>
      <c r="O14" s="43">
        <v>2800</v>
      </c>
      <c r="P14" s="44">
        <v>5000</v>
      </c>
      <c r="Q14" s="44">
        <v>16600</v>
      </c>
      <c r="R14" s="45">
        <v>0</v>
      </c>
      <c r="S14" s="46">
        <v>0</v>
      </c>
      <c r="T14" s="39">
        <f t="shared" si="0"/>
        <v>13</v>
      </c>
      <c r="U14" s="47">
        <f t="shared" si="1"/>
        <v>0.29188464462242636</v>
      </c>
      <c r="V14" s="48">
        <f t="shared" si="2"/>
        <v>116</v>
      </c>
      <c r="W14" s="49">
        <f t="shared" si="3"/>
        <v>2.2452664970955872E-2</v>
      </c>
      <c r="X14" s="44">
        <f t="shared" si="4"/>
        <v>2834.9502673470902</v>
      </c>
      <c r="Y14" s="44">
        <f t="shared" si="5"/>
        <v>11600</v>
      </c>
      <c r="Z14" s="44">
        <f t="shared" si="6"/>
        <v>17268.187011454065</v>
      </c>
      <c r="AA14" s="50">
        <f t="shared" si="7"/>
        <v>19434.950267347089</v>
      </c>
      <c r="AB14" s="51">
        <f t="shared" si="8"/>
        <v>16143.018614054467</v>
      </c>
      <c r="AC14" s="44">
        <f t="shared" si="9"/>
        <v>18168.598922452169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9.0054306682141867</v>
      </c>
      <c r="AG14" s="44">
        <f t="shared" si="11"/>
        <v>25215.205870999722</v>
      </c>
      <c r="AH14" s="52">
        <f>HLOOKUP(I14,GasAvoidedCostsWOCC!$A$5:$Q$50,T14+1,FALSE)</f>
        <v>9.0054306682141867</v>
      </c>
      <c r="AI14" s="44">
        <f t="shared" si="12"/>
        <v>0</v>
      </c>
      <c r="AJ14" s="44">
        <f t="shared" si="13"/>
        <v>25215.205870999722</v>
      </c>
      <c r="AK14" s="44">
        <f>HLOOKUP(I14,GasAvoidedCostsWOCC!$A$5:$Q$50,G14+1,FALSE)*J14*L14</f>
        <v>0</v>
      </c>
      <c r="AL14" s="44">
        <f t="shared" si="14"/>
        <v>25215.205870999722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25215.205870999722</v>
      </c>
      <c r="AN14" s="48">
        <f t="shared" si="15"/>
        <v>27736.726458099696</v>
      </c>
      <c r="AO14" s="47">
        <f t="shared" si="16"/>
        <v>1.5619882795059661</v>
      </c>
      <c r="AP14" s="47">
        <f t="shared" si="17"/>
        <v>1.5266299056127848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18230249</v>
      </c>
      <c r="D15" s="100" t="s">
        <v>34</v>
      </c>
      <c r="E15" s="38" t="s">
        <v>2450</v>
      </c>
      <c r="F15" s="39" t="s">
        <v>1694</v>
      </c>
      <c r="G15" s="39">
        <v>13</v>
      </c>
      <c r="H15" s="39"/>
      <c r="I15" s="40" t="s">
        <v>265</v>
      </c>
      <c r="J15" s="41">
        <v>1</v>
      </c>
      <c r="K15" s="41">
        <v>28</v>
      </c>
      <c r="L15" s="41"/>
      <c r="M15" s="42">
        <v>150</v>
      </c>
      <c r="N15" s="42">
        <v>166</v>
      </c>
      <c r="O15" s="43">
        <v>28</v>
      </c>
      <c r="P15" s="44">
        <v>150</v>
      </c>
      <c r="Q15" s="44">
        <v>166</v>
      </c>
      <c r="R15" s="45">
        <v>0</v>
      </c>
      <c r="S15" s="46">
        <v>0</v>
      </c>
      <c r="T15" s="39">
        <f t="shared" si="0"/>
        <v>13</v>
      </c>
      <c r="U15" s="47">
        <f t="shared" si="1"/>
        <v>2.9188464462242634E-3</v>
      </c>
      <c r="V15" s="48">
        <f t="shared" si="2"/>
        <v>16</v>
      </c>
      <c r="W15" s="49">
        <f t="shared" si="3"/>
        <v>2.2452664970955873E-4</v>
      </c>
      <c r="X15" s="44">
        <f t="shared" si="4"/>
        <v>28.349502673470901</v>
      </c>
      <c r="Y15" s="44">
        <f t="shared" si="5"/>
        <v>16</v>
      </c>
      <c r="Z15" s="44">
        <f t="shared" si="6"/>
        <v>172.68187011454069</v>
      </c>
      <c r="AA15" s="50">
        <f t="shared" si="7"/>
        <v>194.34950267347091</v>
      </c>
      <c r="AB15" s="51">
        <f t="shared" si="8"/>
        <v>161.43018614054469</v>
      </c>
      <c r="AC15" s="44">
        <f t="shared" si="9"/>
        <v>181.68598922452173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9.0054306682141867</v>
      </c>
      <c r="AG15" s="44">
        <f t="shared" si="11"/>
        <v>252.15205870999722</v>
      </c>
      <c r="AH15" s="52">
        <f>HLOOKUP(I15,GasAvoidedCostsWOCC!$A$5:$Q$50,T15+1,FALSE)</f>
        <v>9.0054306682141867</v>
      </c>
      <c r="AI15" s="44">
        <f t="shared" si="12"/>
        <v>0</v>
      </c>
      <c r="AJ15" s="44">
        <f t="shared" si="13"/>
        <v>252.15205870999722</v>
      </c>
      <c r="AK15" s="44">
        <f>HLOOKUP(I15,GasAvoidedCostsWOCC!$A$5:$Q$50,G15+1,FALSE)*J15*L15</f>
        <v>0</v>
      </c>
      <c r="AL15" s="44">
        <f t="shared" si="14"/>
        <v>252.15205870999722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252.15205870999722</v>
      </c>
      <c r="AN15" s="48">
        <f t="shared" si="15"/>
        <v>277.36726458099696</v>
      </c>
      <c r="AO15" s="47">
        <f t="shared" si="16"/>
        <v>1.5619882795059659</v>
      </c>
      <c r="AP15" s="47">
        <f t="shared" si="17"/>
        <v>1.5266299056127843</v>
      </c>
      <c r="AQ15">
        <v>2020</v>
      </c>
    </row>
    <row r="16" spans="1:43" ht="13.5" customHeight="1">
      <c r="A16" s="54">
        <f>SUM(U5:U999)</f>
        <v>19.202786054970538</v>
      </c>
      <c r="B16" s="97" t="s">
        <v>33</v>
      </c>
      <c r="C16" s="100">
        <v>18230249</v>
      </c>
      <c r="D16" s="100" t="s">
        <v>34</v>
      </c>
      <c r="E16" s="38" t="s">
        <v>1695</v>
      </c>
      <c r="F16" s="39" t="s">
        <v>943</v>
      </c>
      <c r="G16" s="39">
        <v>20</v>
      </c>
      <c r="H16" s="39"/>
      <c r="I16" s="40" t="s">
        <v>265</v>
      </c>
      <c r="J16" s="41">
        <v>1104</v>
      </c>
      <c r="K16" s="41">
        <v>51</v>
      </c>
      <c r="L16" s="41"/>
      <c r="M16" s="42">
        <v>250</v>
      </c>
      <c r="N16" s="42">
        <v>808.33</v>
      </c>
      <c r="O16" s="43">
        <v>56304</v>
      </c>
      <c r="P16" s="44">
        <v>275998</v>
      </c>
      <c r="Q16" s="44">
        <v>896462.98999998404</v>
      </c>
      <c r="R16" s="45">
        <v>11.51</v>
      </c>
      <c r="S16" s="46">
        <v>0</v>
      </c>
      <c r="T16" s="39">
        <f t="shared" si="0"/>
        <v>20</v>
      </c>
      <c r="U16" s="47">
        <f t="shared" si="1"/>
        <v>9.0298203466049962</v>
      </c>
      <c r="V16" s="48">
        <f t="shared" si="2"/>
        <v>558.33000000000004</v>
      </c>
      <c r="W16" s="49">
        <f t="shared" si="3"/>
        <v>0.45149101733024982</v>
      </c>
      <c r="X16" s="44">
        <f t="shared" si="4"/>
        <v>57006.799947396634</v>
      </c>
      <c r="Y16" s="44">
        <f t="shared" si="5"/>
        <v>620464.98999998404</v>
      </c>
      <c r="Z16" s="44">
        <f t="shared" si="6"/>
        <v>347238.57196175354</v>
      </c>
      <c r="AA16" s="50">
        <f t="shared" si="7"/>
        <v>953469.78994738066</v>
      </c>
      <c r="AB16" s="51">
        <f t="shared" si="8"/>
        <v>324613.0428734725</v>
      </c>
      <c r="AC16" s="44">
        <f t="shared" si="9"/>
        <v>891343.17093332764</v>
      </c>
      <c r="AD16" s="44">
        <f t="shared" si="10"/>
        <v>134933.02117880143</v>
      </c>
      <c r="AE16" s="44">
        <f t="shared" si="18"/>
        <v>0</v>
      </c>
      <c r="AF16" s="52">
        <f>HLOOKUP(I16,GasAvoidedCostsWOCC!$A$5:$G$50,G16+1,FALSE)</f>
        <v>13.114573164368423</v>
      </c>
      <c r="AG16" s="44">
        <f t="shared" si="11"/>
        <v>738402.9274465997</v>
      </c>
      <c r="AH16" s="52">
        <f>HLOOKUP(I16,GasAvoidedCostsWOCC!$A$5:$Q$50,T16+1,FALSE)</f>
        <v>13.114573164368423</v>
      </c>
      <c r="AI16" s="44">
        <f t="shared" si="12"/>
        <v>0</v>
      </c>
      <c r="AJ16" s="44">
        <f t="shared" si="13"/>
        <v>738402.9274465997</v>
      </c>
      <c r="AK16" s="44">
        <f>HLOOKUP(I16,GasAvoidedCostsWOCC!$A$5:$Q$50,G16+1,FALSE)*J16*L16</f>
        <v>0</v>
      </c>
      <c r="AL16" s="44">
        <f t="shared" si="14"/>
        <v>738402.9274465997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738402.9274465997</v>
      </c>
      <c r="AN16" s="48">
        <f t="shared" si="15"/>
        <v>947176.24137006118</v>
      </c>
      <c r="AO16" s="47">
        <f t="shared" si="16"/>
        <v>2.2747173709049453</v>
      </c>
      <c r="AP16" s="47">
        <f t="shared" si="17"/>
        <v>1.0626392530480382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18230249</v>
      </c>
      <c r="D17" s="100" t="s">
        <v>34</v>
      </c>
      <c r="E17" s="38" t="s">
        <v>1696</v>
      </c>
      <c r="F17" s="39" t="s">
        <v>1697</v>
      </c>
      <c r="G17" s="39">
        <v>20</v>
      </c>
      <c r="H17" s="39"/>
      <c r="I17" s="40" t="s">
        <v>269</v>
      </c>
      <c r="J17" s="41">
        <v>3</v>
      </c>
      <c r="K17" s="41">
        <v>51</v>
      </c>
      <c r="L17" s="41"/>
      <c r="M17" s="42">
        <v>500</v>
      </c>
      <c r="N17" s="42">
        <v>808.33</v>
      </c>
      <c r="O17" s="43">
        <v>153</v>
      </c>
      <c r="P17" s="44">
        <v>1500</v>
      </c>
      <c r="Q17" s="44">
        <v>2424.9899999999998</v>
      </c>
      <c r="R17" s="45">
        <v>11.51</v>
      </c>
      <c r="S17" s="46">
        <v>0</v>
      </c>
      <c r="T17" s="39">
        <f t="shared" si="0"/>
        <v>20</v>
      </c>
      <c r="U17" s="47">
        <f t="shared" si="1"/>
        <v>2.4537555289687492E-2</v>
      </c>
      <c r="V17" s="48">
        <f t="shared" si="2"/>
        <v>308.33000000000004</v>
      </c>
      <c r="W17" s="49">
        <f t="shared" si="3"/>
        <v>1.2268777644843746E-3</v>
      </c>
      <c r="X17" s="44">
        <f t="shared" si="4"/>
        <v>154.90978246575173</v>
      </c>
      <c r="Y17" s="44">
        <f t="shared" si="5"/>
        <v>924.98999999999978</v>
      </c>
      <c r="Z17" s="44">
        <f t="shared" si="6"/>
        <v>943.58307598302599</v>
      </c>
      <c r="AA17" s="50">
        <f t="shared" si="7"/>
        <v>2579.8997824657517</v>
      </c>
      <c r="AB17" s="51">
        <f t="shared" si="8"/>
        <v>882.10065998226219</v>
      </c>
      <c r="AC17" s="44">
        <f t="shared" si="9"/>
        <v>2411.7974969297479</v>
      </c>
      <c r="AD17" s="44">
        <f t="shared" si="10"/>
        <v>366.66581842065608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2106.1184692319803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2106.1184692319803</v>
      </c>
      <c r="AK17" s="44">
        <f>HLOOKUP(I17,GasAvoidedCostsWOCC!$A$5:$Q$50,G17+1,FALSE)*J17*L17</f>
        <v>0</v>
      </c>
      <c r="AL17" s="44">
        <f t="shared" si="14"/>
        <v>2106.1184692319803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2106.1184692319803</v>
      </c>
      <c r="AN17" s="48">
        <f t="shared" si="15"/>
        <v>2683.3961345758348</v>
      </c>
      <c r="AO17" s="47">
        <f t="shared" si="16"/>
        <v>2.3876169294265481</v>
      </c>
      <c r="AP17" s="47">
        <f t="shared" si="17"/>
        <v>1.1126125381553948</v>
      </c>
      <c r="AQ17">
        <v>2020</v>
      </c>
    </row>
    <row r="18" spans="1:43" ht="13.5" customHeight="1">
      <c r="A18" s="59">
        <f>A6+A8</f>
        <v>769092.9800000001</v>
      </c>
      <c r="B18" s="97" t="s">
        <v>33</v>
      </c>
      <c r="C18" s="100">
        <v>18230249</v>
      </c>
      <c r="D18" s="100" t="s">
        <v>34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0.6</v>
      </c>
      <c r="L18" s="41"/>
      <c r="M18" s="42">
        <v>0.54</v>
      </c>
      <c r="N18" s="42">
        <v>0.54</v>
      </c>
      <c r="O18" s="43">
        <v>187.2</v>
      </c>
      <c r="P18" s="44">
        <v>46.799999999999898</v>
      </c>
      <c r="Q18" s="44">
        <v>168.48</v>
      </c>
      <c r="R18" s="45">
        <v>2.74</v>
      </c>
      <c r="S18" s="46">
        <v>0</v>
      </c>
      <c r="T18" s="39">
        <f t="shared" si="0"/>
        <v>10</v>
      </c>
      <c r="U18" s="47">
        <f t="shared" si="1"/>
        <v>1.501121029486764E-2</v>
      </c>
      <c r="V18" s="48">
        <f t="shared" si="2"/>
        <v>0</v>
      </c>
      <c r="W18" s="49">
        <f t="shared" si="3"/>
        <v>1.501121029486764E-3</v>
      </c>
      <c r="X18" s="44">
        <f t="shared" si="4"/>
        <v>189.53667501691973</v>
      </c>
      <c r="Y18" s="44">
        <f t="shared" si="5"/>
        <v>121.68000000000009</v>
      </c>
      <c r="Z18" s="44">
        <f t="shared" si="6"/>
        <v>1154.5016459086432</v>
      </c>
      <c r="AA18" s="50">
        <f t="shared" si="7"/>
        <v>358.01667501691975</v>
      </c>
      <c r="AB18" s="51">
        <f t="shared" si="8"/>
        <v>1079.2761016253558</v>
      </c>
      <c r="AC18" s="44">
        <f t="shared" si="9"/>
        <v>334.68886137881623</v>
      </c>
      <c r="AD18" s="44">
        <f t="shared" si="10"/>
        <v>6012.6547221745768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1336.6165152388851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1336.6165152388851</v>
      </c>
      <c r="AK18" s="44">
        <f>HLOOKUP(I18,GasAvoidedCostsWOCC!$A$5:$Q$50,G18+1,FALSE)*J18*L18</f>
        <v>0</v>
      </c>
      <c r="AL18" s="44">
        <f t="shared" si="14"/>
        <v>1336.6165152388851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1336.6165152388851</v>
      </c>
      <c r="AN18" s="48">
        <f t="shared" si="15"/>
        <v>7482.9328889373501</v>
      </c>
      <c r="AO18" s="47">
        <f t="shared" si="16"/>
        <v>1.2384379800738503</v>
      </c>
      <c r="AP18" s="47">
        <f t="shared" si="17"/>
        <v>22.357878472889549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18230249</v>
      </c>
      <c r="D19" s="100" t="s">
        <v>34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324</v>
      </c>
      <c r="K19" s="41">
        <v>0.8</v>
      </c>
      <c r="L19" s="41"/>
      <c r="M19" s="42">
        <v>1.81</v>
      </c>
      <c r="N19" s="42">
        <v>1.81</v>
      </c>
      <c r="O19" s="43">
        <v>259.19999999999902</v>
      </c>
      <c r="P19" s="44">
        <v>324</v>
      </c>
      <c r="Q19" s="44">
        <v>586.44000000000096</v>
      </c>
      <c r="R19" s="45">
        <v>2.74</v>
      </c>
      <c r="S19" s="46">
        <v>0</v>
      </c>
      <c r="T19" s="39">
        <f t="shared" si="0"/>
        <v>10</v>
      </c>
      <c r="U19" s="47">
        <f t="shared" si="1"/>
        <v>2.0784752715970502E-2</v>
      </c>
      <c r="V19" s="48">
        <f t="shared" si="2"/>
        <v>0</v>
      </c>
      <c r="W19" s="49">
        <f t="shared" si="3"/>
        <v>2.0784752715970502E-3</v>
      </c>
      <c r="X19" s="44">
        <f t="shared" si="4"/>
        <v>262.43539617727248</v>
      </c>
      <c r="Y19" s="44">
        <f t="shared" si="5"/>
        <v>262.44000000000096</v>
      </c>
      <c r="Z19" s="44">
        <f t="shared" si="6"/>
        <v>1598.5407404888847</v>
      </c>
      <c r="AA19" s="50">
        <f t="shared" si="7"/>
        <v>848.87539617727339</v>
      </c>
      <c r="AB19" s="51">
        <f t="shared" si="8"/>
        <v>1494.3822945581794</v>
      </c>
      <c r="AC19" s="44">
        <f t="shared" si="9"/>
        <v>793.56398633006756</v>
      </c>
      <c r="AD19" s="44">
        <f t="shared" si="10"/>
        <v>6243.9106730274452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1850.6997903307642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1850.6997903307642</v>
      </c>
      <c r="AK19" s="44">
        <f>HLOOKUP(I19,GasAvoidedCostsWOCC!$A$5:$Q$50,G19+1,FALSE)*J19*L19</f>
        <v>0</v>
      </c>
      <c r="AL19" s="44">
        <f t="shared" si="14"/>
        <v>1850.6997903307642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1850.6997903307642</v>
      </c>
      <c r="AN19" s="48">
        <f t="shared" si="15"/>
        <v>8279.6804423912854</v>
      </c>
      <c r="AO19" s="47">
        <f t="shared" si="16"/>
        <v>1.238437980073855</v>
      </c>
      <c r="AP19" s="47">
        <f t="shared" si="17"/>
        <v>10.433538548897193</v>
      </c>
      <c r="AQ19">
        <v>2020</v>
      </c>
    </row>
    <row r="20" spans="1:43" ht="13.5" customHeight="1">
      <c r="A20" s="59">
        <f>A8+SUM(Q5:Q906)</f>
        <v>2328570.3699999643</v>
      </c>
      <c r="B20" s="97" t="s">
        <v>33</v>
      </c>
      <c r="C20" s="100">
        <v>18230249</v>
      </c>
      <c r="D20" s="100" t="s">
        <v>34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162</v>
      </c>
      <c r="K20" s="41">
        <v>1.3</v>
      </c>
      <c r="L20" s="41"/>
      <c r="M20" s="42">
        <v>1.81</v>
      </c>
      <c r="N20" s="42">
        <v>1.81</v>
      </c>
      <c r="O20" s="43">
        <v>210.60000000000099</v>
      </c>
      <c r="P20" s="44">
        <v>324</v>
      </c>
      <c r="Q20" s="44">
        <v>293.22000000000003</v>
      </c>
      <c r="R20" s="45">
        <v>3.8</v>
      </c>
      <c r="S20" s="46">
        <v>0</v>
      </c>
      <c r="T20" s="39">
        <f t="shared" si="0"/>
        <v>10</v>
      </c>
      <c r="U20" s="47">
        <f t="shared" si="1"/>
        <v>1.6887611581726174E-2</v>
      </c>
      <c r="V20" s="48">
        <f t="shared" si="2"/>
        <v>0</v>
      </c>
      <c r="W20" s="49">
        <f t="shared" si="3"/>
        <v>1.6887611581726176E-3</v>
      </c>
      <c r="X20" s="44">
        <f t="shared" si="4"/>
        <v>213.22875939403571</v>
      </c>
      <c r="Y20" s="44">
        <f t="shared" si="5"/>
        <v>-30.779999999999973</v>
      </c>
      <c r="Z20" s="44">
        <f t="shared" si="6"/>
        <v>1298.8143516472301</v>
      </c>
      <c r="AA20" s="50">
        <f t="shared" si="7"/>
        <v>506.44875939403573</v>
      </c>
      <c r="AB20" s="51">
        <f t="shared" si="8"/>
        <v>1214.1856143285313</v>
      </c>
      <c r="AC20" s="44">
        <f t="shared" si="9"/>
        <v>473.44934037023063</v>
      </c>
      <c r="AD20" s="44">
        <f t="shared" si="10"/>
        <v>4329.7190798365491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1503.693579643746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1503.693579643746</v>
      </c>
      <c r="AK20" s="44">
        <f>HLOOKUP(I20,GasAvoidedCostsWOCC!$A$5:$Q$50,G20+1,FALSE)*J20*L20</f>
        <v>0</v>
      </c>
      <c r="AL20" s="44">
        <f t="shared" si="14"/>
        <v>1503.693579643746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1503.6935796437458</v>
      </c>
      <c r="AN20" s="48">
        <f t="shared" si="15"/>
        <v>5983.7820174446697</v>
      </c>
      <c r="AO20" s="47">
        <f t="shared" si="16"/>
        <v>1.2384379800738441</v>
      </c>
      <c r="AP20" s="47">
        <f t="shared" si="17"/>
        <v>12.638695436275057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18230249</v>
      </c>
      <c r="D21" s="100" t="s">
        <v>34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162</v>
      </c>
      <c r="K21" s="41">
        <v>4.9000000000000004</v>
      </c>
      <c r="L21" s="41"/>
      <c r="M21" s="42">
        <v>10</v>
      </c>
      <c r="N21" s="42">
        <v>10</v>
      </c>
      <c r="O21" s="43">
        <v>793.79999999999802</v>
      </c>
      <c r="P21" s="44">
        <v>1373.76</v>
      </c>
      <c r="Q21" s="44">
        <v>1620</v>
      </c>
      <c r="R21" s="45">
        <v>14.31</v>
      </c>
      <c r="S21" s="46">
        <v>0</v>
      </c>
      <c r="T21" s="39">
        <f t="shared" si="0"/>
        <v>10</v>
      </c>
      <c r="U21" s="47">
        <f t="shared" si="1"/>
        <v>6.3653305192659743E-2</v>
      </c>
      <c r="V21" s="48">
        <f t="shared" si="2"/>
        <v>0</v>
      </c>
      <c r="W21" s="49">
        <f t="shared" si="3"/>
        <v>6.3653305192659746E-3</v>
      </c>
      <c r="X21" s="44">
        <f t="shared" si="4"/>
        <v>803.70840079289815</v>
      </c>
      <c r="Y21" s="44">
        <f t="shared" si="5"/>
        <v>246.24</v>
      </c>
      <c r="Z21" s="44">
        <f t="shared" si="6"/>
        <v>4895.5310177472165</v>
      </c>
      <c r="AA21" s="50">
        <f t="shared" si="7"/>
        <v>2423.7084007928979</v>
      </c>
      <c r="AB21" s="51">
        <f t="shared" si="8"/>
        <v>4576.5457770844314</v>
      </c>
      <c r="AC21" s="44">
        <f t="shared" si="9"/>
        <v>2265.7833044712515</v>
      </c>
      <c r="AD21" s="44">
        <f t="shared" si="10"/>
        <v>16304.810534858163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5667.7681078879659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5667.7681078879659</v>
      </c>
      <c r="AK21" s="44">
        <f>HLOOKUP(I21,GasAvoidedCostsWOCC!$A$5:$Q$50,G21+1,FALSE)*J21*L21</f>
        <v>0</v>
      </c>
      <c r="AL21" s="44">
        <f t="shared" si="14"/>
        <v>5667.7681078879659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5667.7681078879659</v>
      </c>
      <c r="AN21" s="48">
        <f t="shared" si="15"/>
        <v>22539.355453534925</v>
      </c>
      <c r="AO21" s="47">
        <f t="shared" si="16"/>
        <v>1.2384379800738532</v>
      </c>
      <c r="AP21" s="47">
        <f t="shared" si="17"/>
        <v>9.9477100961315283</v>
      </c>
      <c r="AQ21">
        <v>2020</v>
      </c>
    </row>
    <row r="22" spans="1:43" ht="13.5" customHeight="1">
      <c r="A22" s="60">
        <f>(SUM(AM5:AM1000)/(SUM(AB5:AB1000)))</f>
        <v>2.1936725571248035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0.9640655610497082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8" si="19">G25+H25</f>
        <v>0</v>
      </c>
      <c r="U25" s="47">
        <f t="shared" ref="U25:U28" si="20">(O25/$A$10)*T25</f>
        <v>0</v>
      </c>
      <c r="V25" s="48">
        <f t="shared" ref="V25:V28" si="21">N25-M25</f>
        <v>0</v>
      </c>
      <c r="W25" s="49">
        <f t="shared" ref="W25:W28" si="22">(O25/A$10)</f>
        <v>0</v>
      </c>
      <c r="X25" s="44">
        <f t="shared" ref="X25:X28" si="23">W25*A$8</f>
        <v>0</v>
      </c>
      <c r="Y25" s="44">
        <f t="shared" ref="Y25:Y28" si="24">Q25-P25</f>
        <v>0</v>
      </c>
      <c r="Z25" s="44">
        <f t="shared" ref="Z25:Z28" si="25">X25+(A$6*W25)</f>
        <v>0</v>
      </c>
      <c r="AA25" s="50">
        <f t="shared" ref="AA25:AA28" si="26">Q25+X25</f>
        <v>0</v>
      </c>
      <c r="AB25" s="51">
        <f t="shared" ref="AB25:AB28" si="27">Z25/(1+GasDiscountRate)^1</f>
        <v>0</v>
      </c>
      <c r="AC25" s="44">
        <f t="shared" ref="AC25:AC28" si="28">AA25/(1+GasDiscountRate)^1</f>
        <v>0</v>
      </c>
      <c r="AD25" s="44">
        <f t="shared" ref="AD25:AD28" si="29">-PV(GasDiscountRate,T25,R25)*J25</f>
        <v>0</v>
      </c>
      <c r="AE25" s="44">
        <f t="shared" ref="AE25:AE28" si="30">-PV(GasDiscountRate,T25,S25)*J25</f>
        <v>0</v>
      </c>
      <c r="AF25" s="52" t="e">
        <f>HLOOKUP(I25,GasAvoidedCostsWOCC!$A$5:$G$50,G25+1,FALSE)</f>
        <v>#N/A</v>
      </c>
      <c r="AG25" s="44" t="e">
        <f t="shared" ref="AG25:AG28" si="31">AF25*J25*K25</f>
        <v>#N/A</v>
      </c>
      <c r="AH25" s="52" t="e">
        <f>HLOOKUP(I25,GasAvoidedCostsWOCC!$A$5:$Q$50,T25+1,FALSE)</f>
        <v>#N/A</v>
      </c>
      <c r="AI25" s="44" t="e">
        <f t="shared" ref="AI25:AI28" si="32">AH25*J25*L25</f>
        <v>#N/A</v>
      </c>
      <c r="AJ25" s="44" t="e">
        <f t="shared" ref="AJ25:AJ28" si="33">AG25+AI25</f>
        <v>#N/A</v>
      </c>
      <c r="AK25" s="44" t="e">
        <f>HLOOKUP(I25,GasAvoidedCostsWOCC!$A$5:$Q$50,G25+1,FALSE)*J25*L25</f>
        <v>#N/A</v>
      </c>
      <c r="AL25" s="44" t="e">
        <f t="shared" ref="AL25:AL2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28" si="35">AM25*1.1+AD25+AE25</f>
        <v>0</v>
      </c>
      <c r="AO25" s="47">
        <f t="shared" ref="AO25:AO28" si="36">IFERROR(AM25/AB25,0)</f>
        <v>0</v>
      </c>
      <c r="AP25" s="47" t="e">
        <f t="shared" ref="AP25:AP28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8 R5:S28">
    <cfRule type="expression" dxfId="132" priority="2">
      <formula>ISTEXT(M5)</formula>
    </cfRule>
  </conditionalFormatting>
  <conditionalFormatting sqref="M5:N28 R5:S28">
    <cfRule type="notContainsBlanks" dxfId="131" priority="3">
      <formula>LEN(TRIM(M5))&gt;0</formula>
    </cfRule>
  </conditionalFormatting>
  <conditionalFormatting sqref="R5:S28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315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18230625</v>
      </c>
      <c r="D5" s="61" t="s">
        <v>315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330871.53999999998</v>
      </c>
      <c r="B6" s="97" t="s">
        <v>33</v>
      </c>
      <c r="C6" s="99">
        <v>18230625</v>
      </c>
      <c r="D6" s="100" t="s">
        <v>315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268789.84999999992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599661.3899999999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268789.84999999992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B6" sqref="B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18230247</v>
      </c>
      <c r="D2" s="20" t="s">
        <v>316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18230247</v>
      </c>
      <c r="D5" s="61" t="s">
        <v>316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1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317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18230434</v>
      </c>
      <c r="D5" s="61" t="s">
        <v>317</v>
      </c>
      <c r="E5" s="38" t="s">
        <v>614</v>
      </c>
      <c r="F5" s="39" t="s">
        <v>615</v>
      </c>
      <c r="G5" s="39">
        <v>14</v>
      </c>
      <c r="H5" s="39"/>
      <c r="I5" s="40" t="s">
        <v>265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2.1063189568706073E-3</v>
      </c>
      <c r="V5" s="48">
        <f t="shared" ref="V5:V24" si="2">N5-M5</f>
        <v>0</v>
      </c>
      <c r="W5" s="49">
        <f t="shared" ref="W5:W24" si="3">(O5/A$10)</f>
        <v>1.5045135406218624E-4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/>
      <c r="B6" s="97" t="s">
        <v>33</v>
      </c>
      <c r="C6" s="98">
        <v>18230434</v>
      </c>
      <c r="D6" s="61" t="s">
        <v>317</v>
      </c>
      <c r="E6" s="38" t="s">
        <v>616</v>
      </c>
      <c r="F6" s="39" t="s">
        <v>615</v>
      </c>
      <c r="G6" s="39">
        <v>14</v>
      </c>
      <c r="H6" s="39"/>
      <c r="I6" s="40" t="s">
        <v>265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1.1268806419257749</v>
      </c>
      <c r="V6" s="48">
        <f t="shared" si="2"/>
        <v>0</v>
      </c>
      <c r="W6" s="49">
        <f t="shared" si="3"/>
        <v>8.0491474423269635E-2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18230434</v>
      </c>
      <c r="D7" s="61" t="s">
        <v>317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/>
      <c r="B8" s="97" t="s">
        <v>33</v>
      </c>
      <c r="C8" s="98">
        <v>18230434</v>
      </c>
      <c r="D8" s="61" t="s">
        <v>317</v>
      </c>
      <c r="E8" s="38" t="s">
        <v>619</v>
      </c>
      <c r="F8" s="39" t="s">
        <v>620</v>
      </c>
      <c r="G8" s="39"/>
      <c r="H8" s="39"/>
      <c r="I8" s="40" t="s">
        <v>265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18230434</v>
      </c>
      <c r="D9" s="61" t="s">
        <v>317</v>
      </c>
      <c r="E9" s="38" t="s">
        <v>633</v>
      </c>
      <c r="F9" s="39" t="s">
        <v>634</v>
      </c>
      <c r="G9" s="39">
        <v>14</v>
      </c>
      <c r="H9" s="39"/>
      <c r="I9" s="40" t="s">
        <v>265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0.59297893681043101</v>
      </c>
      <c r="V9" s="48">
        <f t="shared" si="2"/>
        <v>0</v>
      </c>
      <c r="W9" s="49">
        <f t="shared" si="3"/>
        <v>4.2355638343602217E-2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13958.000000000029</v>
      </c>
      <c r="B10" s="97" t="s">
        <v>33</v>
      </c>
      <c r="C10" s="98">
        <v>18230434</v>
      </c>
      <c r="D10" s="61" t="s">
        <v>317</v>
      </c>
      <c r="E10" s="38" t="s">
        <v>635</v>
      </c>
      <c r="F10" s="39" t="s">
        <v>636</v>
      </c>
      <c r="G10" s="39">
        <v>14</v>
      </c>
      <c r="H10" s="39"/>
      <c r="I10" s="40" t="s">
        <v>265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18230434</v>
      </c>
      <c r="D11" s="61" t="s">
        <v>317</v>
      </c>
      <c r="E11" s="38" t="s">
        <v>637</v>
      </c>
      <c r="F11" s="39" t="s">
        <v>638</v>
      </c>
      <c r="G11" s="39"/>
      <c r="H11" s="39"/>
      <c r="I11" s="40" t="s">
        <v>265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2021</v>
      </c>
    </row>
    <row r="12" spans="1:43" ht="13.5" customHeight="1">
      <c r="A12" s="55">
        <f>SUM(P5:P1000)</f>
        <v>0</v>
      </c>
      <c r="B12" s="97" t="s">
        <v>33</v>
      </c>
      <c r="C12" s="98">
        <v>18230434</v>
      </c>
      <c r="D12" s="61" t="s">
        <v>317</v>
      </c>
      <c r="E12" s="38" t="s">
        <v>639</v>
      </c>
      <c r="F12" s="39" t="s">
        <v>640</v>
      </c>
      <c r="G12" s="39">
        <v>14</v>
      </c>
      <c r="H12" s="39"/>
      <c r="I12" s="40" t="s">
        <v>265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5.5838515546641112</v>
      </c>
      <c r="V12" s="48">
        <f t="shared" si="2"/>
        <v>0</v>
      </c>
      <c r="W12" s="49">
        <f t="shared" si="3"/>
        <v>0.39884653961886507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18230434</v>
      </c>
      <c r="D13" s="61" t="s">
        <v>317</v>
      </c>
      <c r="E13" s="38" t="s">
        <v>641</v>
      </c>
      <c r="F13" s="39" t="s">
        <v>642</v>
      </c>
      <c r="G13" s="39">
        <v>14</v>
      </c>
      <c r="H13" s="39"/>
      <c r="I13" s="40" t="s">
        <v>265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0.46970912738214748</v>
      </c>
      <c r="V13" s="48">
        <f t="shared" si="2"/>
        <v>0</v>
      </c>
      <c r="W13" s="49">
        <f t="shared" si="3"/>
        <v>3.3550651955867677E-2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1922.0600000000011</v>
      </c>
      <c r="B14" s="97" t="s">
        <v>33</v>
      </c>
      <c r="C14" s="98">
        <v>18230434</v>
      </c>
      <c r="D14" s="61" t="s">
        <v>317</v>
      </c>
      <c r="E14" s="38" t="s">
        <v>643</v>
      </c>
      <c r="F14" s="39" t="s">
        <v>644</v>
      </c>
      <c r="G14" s="39">
        <v>14</v>
      </c>
      <c r="H14" s="39"/>
      <c r="I14" s="40" t="s">
        <v>265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18230434</v>
      </c>
      <c r="D15" s="61" t="s">
        <v>317</v>
      </c>
      <c r="E15" s="38" t="s">
        <v>645</v>
      </c>
      <c r="F15" s="39" t="s">
        <v>646</v>
      </c>
      <c r="G15" s="39">
        <v>14</v>
      </c>
      <c r="H15" s="39"/>
      <c r="I15" s="40" t="s">
        <v>265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13.537125662702394</v>
      </c>
      <c r="B16" s="97" t="s">
        <v>33</v>
      </c>
      <c r="C16" s="100">
        <v>18230434</v>
      </c>
      <c r="D16" s="100" t="s">
        <v>317</v>
      </c>
      <c r="E16" s="38" t="s">
        <v>1888</v>
      </c>
      <c r="F16" s="39" t="s">
        <v>1889</v>
      </c>
      <c r="G16" s="39">
        <v>10</v>
      </c>
      <c r="H16" s="39"/>
      <c r="I16" s="40" t="s">
        <v>265</v>
      </c>
      <c r="J16" s="41">
        <v>59</v>
      </c>
      <c r="K16" s="41">
        <v>2.7</v>
      </c>
      <c r="L16" s="41"/>
      <c r="M16" s="42">
        <v>0</v>
      </c>
      <c r="N16" s="42">
        <v>0</v>
      </c>
      <c r="O16" s="43">
        <v>159.30000000000001</v>
      </c>
      <c r="P16" s="44">
        <v>0</v>
      </c>
      <c r="Q16" s="44">
        <v>0</v>
      </c>
      <c r="R16" s="45"/>
      <c r="S16" s="46"/>
      <c r="T16" s="39">
        <f t="shared" si="0"/>
        <v>10</v>
      </c>
      <c r="U16" s="47">
        <f t="shared" si="1"/>
        <v>0.11412809858145843</v>
      </c>
      <c r="V16" s="48">
        <f t="shared" si="2"/>
        <v>0</v>
      </c>
      <c r="W16" s="49">
        <f t="shared" si="3"/>
        <v>1.1412809858145844E-2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1137.4092461407822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1137.4092461407822</v>
      </c>
      <c r="AK16" s="44">
        <f>HLOOKUP(I16,GasAvoidedCostsWOCC!$A$5:$Q$50,G16+1,FALSE)*J16*L16</f>
        <v>0</v>
      </c>
      <c r="AL16" s="44">
        <f t="shared" si="14"/>
        <v>1137.4092461407822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1137.409246140782</v>
      </c>
      <c r="AN16" s="48">
        <f t="shared" si="15"/>
        <v>1251.1501707548603</v>
      </c>
      <c r="AO16" s="47">
        <f t="shared" si="16"/>
        <v>0</v>
      </c>
      <c r="AP16" s="47" t="e">
        <f t="shared" si="17"/>
        <v>#DIV/0!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18230434</v>
      </c>
      <c r="D17" s="100" t="s">
        <v>317</v>
      </c>
      <c r="E17" s="38" t="s">
        <v>1894</v>
      </c>
      <c r="F17" s="39" t="s">
        <v>1895</v>
      </c>
      <c r="G17" s="39">
        <v>10</v>
      </c>
      <c r="H17" s="39"/>
      <c r="I17" s="40" t="s">
        <v>265</v>
      </c>
      <c r="J17" s="41">
        <v>118</v>
      </c>
      <c r="K17" s="41">
        <v>0.6</v>
      </c>
      <c r="L17" s="41"/>
      <c r="M17" s="42">
        <v>0</v>
      </c>
      <c r="N17" s="42">
        <v>0</v>
      </c>
      <c r="O17" s="43">
        <v>70.800000000000097</v>
      </c>
      <c r="P17" s="44">
        <v>0</v>
      </c>
      <c r="Q17" s="44">
        <v>0</v>
      </c>
      <c r="R17" s="45"/>
      <c r="S17" s="46"/>
      <c r="T17" s="39">
        <f t="shared" si="0"/>
        <v>10</v>
      </c>
      <c r="U17" s="47">
        <f t="shared" si="1"/>
        <v>5.0723599369537145E-2</v>
      </c>
      <c r="V17" s="48">
        <f t="shared" si="2"/>
        <v>0</v>
      </c>
      <c r="W17" s="49">
        <f t="shared" si="3"/>
        <v>5.0723599369537145E-3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505.51522050701425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505.51522050701425</v>
      </c>
      <c r="AK17" s="44">
        <f>HLOOKUP(I17,GasAvoidedCostsWOCC!$A$5:$Q$50,G17+1,FALSE)*J17*L17</f>
        <v>0</v>
      </c>
      <c r="AL17" s="44">
        <f t="shared" si="14"/>
        <v>505.51522050701425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505.51522050701419</v>
      </c>
      <c r="AN17" s="48">
        <f t="shared" si="15"/>
        <v>556.06674255771566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0</v>
      </c>
      <c r="B18" s="97" t="s">
        <v>33</v>
      </c>
      <c r="C18" s="100">
        <v>18230434</v>
      </c>
      <c r="D18" s="100" t="s">
        <v>317</v>
      </c>
      <c r="E18" s="38" t="s">
        <v>1898</v>
      </c>
      <c r="F18" s="39" t="s">
        <v>1899</v>
      </c>
      <c r="G18" s="39">
        <v>10</v>
      </c>
      <c r="H18" s="39"/>
      <c r="I18" s="40" t="s">
        <v>265</v>
      </c>
      <c r="J18" s="41">
        <v>59</v>
      </c>
      <c r="K18" s="41">
        <v>0.9</v>
      </c>
      <c r="L18" s="41"/>
      <c r="M18" s="42">
        <v>0</v>
      </c>
      <c r="N18" s="42">
        <v>0</v>
      </c>
      <c r="O18" s="43">
        <v>53.099999999999902</v>
      </c>
      <c r="P18" s="44">
        <v>0</v>
      </c>
      <c r="Q18" s="44">
        <v>0</v>
      </c>
      <c r="R18" s="45"/>
      <c r="S18" s="46"/>
      <c r="T18" s="39">
        <f t="shared" si="0"/>
        <v>10</v>
      </c>
      <c r="U18" s="47">
        <f t="shared" si="1"/>
        <v>3.8042699527152737E-2</v>
      </c>
      <c r="V18" s="48">
        <f t="shared" si="2"/>
        <v>0</v>
      </c>
      <c r="W18" s="49">
        <f t="shared" si="3"/>
        <v>3.8042699527152737E-3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379.1364153802607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379.1364153802607</v>
      </c>
      <c r="AK18" s="44">
        <f>HLOOKUP(I18,GasAvoidedCostsWOCC!$A$5:$Q$50,G18+1,FALSE)*J18*L18</f>
        <v>0</v>
      </c>
      <c r="AL18" s="44">
        <f t="shared" si="14"/>
        <v>379.1364153802607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379.1364153802607</v>
      </c>
      <c r="AN18" s="48">
        <f t="shared" si="15"/>
        <v>417.05005691828683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18230434</v>
      </c>
      <c r="D19" s="100" t="s">
        <v>317</v>
      </c>
      <c r="E19" s="38" t="s">
        <v>1903</v>
      </c>
      <c r="F19" s="39" t="s">
        <v>1904</v>
      </c>
      <c r="G19" s="39">
        <v>14</v>
      </c>
      <c r="H19" s="39"/>
      <c r="I19" s="40" t="s">
        <v>265</v>
      </c>
      <c r="J19" s="41">
        <v>0</v>
      </c>
      <c r="K19" s="41">
        <v>2.1</v>
      </c>
      <c r="L19" s="41"/>
      <c r="M19" s="42">
        <v>0</v>
      </c>
      <c r="N19" s="42">
        <v>0</v>
      </c>
      <c r="O19" s="43">
        <v>-3.6415315207705103E-14</v>
      </c>
      <c r="P19" s="44">
        <v>0</v>
      </c>
      <c r="Q19" s="44">
        <v>0</v>
      </c>
      <c r="R19" s="45"/>
      <c r="S19" s="46"/>
      <c r="T19" s="39">
        <f t="shared" si="0"/>
        <v>14</v>
      </c>
      <c r="U19" s="47">
        <f t="shared" si="1"/>
        <v>-3.6524889877337036E-17</v>
      </c>
      <c r="V19" s="48">
        <f t="shared" si="2"/>
        <v>0</v>
      </c>
      <c r="W19" s="49">
        <f t="shared" si="3"/>
        <v>-2.6089207055240741E-18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9.6059277231229743</v>
      </c>
      <c r="AG19" s="44">
        <f t="shared" si="11"/>
        <v>0</v>
      </c>
      <c r="AH19" s="52">
        <f>HLOOKUP(I19,GasAvoidedCostsWOCC!$A$5:$Q$50,T19+1,FALSE)</f>
        <v>9.6059277231229743</v>
      </c>
      <c r="AI19" s="44">
        <f t="shared" si="12"/>
        <v>0</v>
      </c>
      <c r="AJ19" s="44">
        <f t="shared" si="13"/>
        <v>0</v>
      </c>
      <c r="AK19" s="44">
        <f>HLOOKUP(I19,GasAvoidedCostsWOCC!$A$5:$Q$50,G19+1,FALSE)*J19*L19</f>
        <v>0</v>
      </c>
      <c r="AL19" s="44">
        <f t="shared" si="14"/>
        <v>0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1922.0600000000011</v>
      </c>
      <c r="B20" s="97" t="s">
        <v>33</v>
      </c>
      <c r="C20" s="100">
        <v>18230434</v>
      </c>
      <c r="D20" s="100" t="s">
        <v>317</v>
      </c>
      <c r="E20" s="38" t="s">
        <v>1905</v>
      </c>
      <c r="F20" s="39" t="s">
        <v>1904</v>
      </c>
      <c r="G20" s="39">
        <v>14</v>
      </c>
      <c r="H20" s="39"/>
      <c r="I20" s="40" t="s">
        <v>265</v>
      </c>
      <c r="J20" s="41">
        <v>0</v>
      </c>
      <c r="K20" s="41">
        <v>2.1</v>
      </c>
      <c r="L20" s="41"/>
      <c r="M20" s="42">
        <v>0</v>
      </c>
      <c r="N20" s="42">
        <v>0</v>
      </c>
      <c r="O20" s="43">
        <v>-7.9936057773011302E-15</v>
      </c>
      <c r="P20" s="44">
        <v>0</v>
      </c>
      <c r="Q20" s="44">
        <v>0</v>
      </c>
      <c r="R20" s="45"/>
      <c r="S20" s="46"/>
      <c r="T20" s="39">
        <f t="shared" si="0"/>
        <v>14</v>
      </c>
      <c r="U20" s="47">
        <f t="shared" si="1"/>
        <v>-8.0176587535617993E-18</v>
      </c>
      <c r="V20" s="48">
        <f t="shared" si="2"/>
        <v>0</v>
      </c>
      <c r="W20" s="49">
        <f t="shared" si="3"/>
        <v>-5.7268991096869997E-19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9.6059277231229743</v>
      </c>
      <c r="AG20" s="44">
        <f t="shared" si="11"/>
        <v>0</v>
      </c>
      <c r="AH20" s="52">
        <f>HLOOKUP(I20,GasAvoidedCostsWOCC!$A$5:$Q$50,T20+1,FALSE)</f>
        <v>9.6059277231229743</v>
      </c>
      <c r="AI20" s="44">
        <f t="shared" si="12"/>
        <v>0</v>
      </c>
      <c r="AJ20" s="44">
        <f t="shared" si="13"/>
        <v>0</v>
      </c>
      <c r="AK20" s="44">
        <f>HLOOKUP(I20,GasAvoidedCostsWOCC!$A$5:$Q$50,G20+1,FALSE)*J20*L20</f>
        <v>0</v>
      </c>
      <c r="AL20" s="44">
        <f t="shared" si="14"/>
        <v>0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18230434</v>
      </c>
      <c r="D21" s="100" t="s">
        <v>317</v>
      </c>
      <c r="E21" s="38" t="s">
        <v>1873</v>
      </c>
      <c r="F21" s="39" t="s">
        <v>1874</v>
      </c>
      <c r="G21" s="39">
        <v>10</v>
      </c>
      <c r="H21" s="39"/>
      <c r="I21" s="40" t="s">
        <v>265</v>
      </c>
      <c r="J21" s="41">
        <v>1102</v>
      </c>
      <c r="K21" s="41">
        <v>0.6</v>
      </c>
      <c r="L21" s="41"/>
      <c r="M21" s="42">
        <v>0.54</v>
      </c>
      <c r="N21" s="42">
        <v>0.54</v>
      </c>
      <c r="O21" s="43">
        <v>661.20000000000198</v>
      </c>
      <c r="P21" s="44">
        <v>0</v>
      </c>
      <c r="Q21" s="44">
        <v>595.08000000000095</v>
      </c>
      <c r="R21" s="45"/>
      <c r="S21" s="46"/>
      <c r="T21" s="39">
        <f t="shared" si="0"/>
        <v>10</v>
      </c>
      <c r="U21" s="47">
        <f t="shared" si="1"/>
        <v>0.47370683479008496</v>
      </c>
      <c r="V21" s="48">
        <f t="shared" si="2"/>
        <v>0</v>
      </c>
      <c r="W21" s="49">
        <f t="shared" si="3"/>
        <v>4.7370683479008496E-2</v>
      </c>
      <c r="X21" s="44">
        <f t="shared" si="4"/>
        <v>0</v>
      </c>
      <c r="Y21" s="44">
        <f t="shared" si="5"/>
        <v>595.08000000000095</v>
      </c>
      <c r="Z21" s="44">
        <f t="shared" si="6"/>
        <v>0</v>
      </c>
      <c r="AA21" s="50">
        <f t="shared" si="7"/>
        <v>595.08000000000095</v>
      </c>
      <c r="AB21" s="51">
        <f t="shared" si="8"/>
        <v>0</v>
      </c>
      <c r="AC21" s="44">
        <f t="shared" si="9"/>
        <v>556.30550621669715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4720.9980762604209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4720.9980762604209</v>
      </c>
      <c r="AK21" s="44">
        <f>HLOOKUP(I21,GasAvoidedCostsWOCC!$A$5:$Q$50,G21+1,FALSE)*J21*L21</f>
        <v>0</v>
      </c>
      <c r="AL21" s="44">
        <f t="shared" si="14"/>
        <v>4720.9980762604209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4720.9980762604209</v>
      </c>
      <c r="AN21" s="48">
        <f t="shared" si="15"/>
        <v>5193.097883886463</v>
      </c>
      <c r="AO21" s="47">
        <f t="shared" si="16"/>
        <v>0</v>
      </c>
      <c r="AP21" s="47">
        <f t="shared" si="17"/>
        <v>9.3349748040487679</v>
      </c>
      <c r="AQ21">
        <v>2020</v>
      </c>
    </row>
    <row r="22" spans="1:43" ht="13.5" customHeight="1">
      <c r="A22" s="60" t="e">
        <f>(SUM(AM5:AM1000)/(SUM(AB5:AB1000)))</f>
        <v>#DIV/0!</v>
      </c>
      <c r="B22" s="97" t="s">
        <v>33</v>
      </c>
      <c r="C22" s="100">
        <v>18230434</v>
      </c>
      <c r="D22" s="100" t="s">
        <v>317</v>
      </c>
      <c r="E22" s="38" t="s">
        <v>1877</v>
      </c>
      <c r="F22" s="39" t="s">
        <v>1878</v>
      </c>
      <c r="G22" s="39">
        <v>10</v>
      </c>
      <c r="H22" s="39"/>
      <c r="I22" s="40" t="s">
        <v>265</v>
      </c>
      <c r="J22" s="41">
        <v>172</v>
      </c>
      <c r="K22" s="41">
        <v>0.8</v>
      </c>
      <c r="L22" s="41"/>
      <c r="M22" s="42">
        <v>1.81</v>
      </c>
      <c r="N22" s="42">
        <v>1.81</v>
      </c>
      <c r="O22" s="43">
        <v>137.6</v>
      </c>
      <c r="P22" s="44">
        <v>0</v>
      </c>
      <c r="Q22" s="44">
        <v>311.32</v>
      </c>
      <c r="R22" s="45"/>
      <c r="S22" s="46"/>
      <c r="T22" s="39">
        <f t="shared" si="0"/>
        <v>10</v>
      </c>
      <c r="U22" s="47">
        <f t="shared" si="1"/>
        <v>9.8581458661699178E-2</v>
      </c>
      <c r="V22" s="48">
        <f t="shared" si="2"/>
        <v>0</v>
      </c>
      <c r="W22" s="49">
        <f t="shared" si="3"/>
        <v>9.8581458661699175E-3</v>
      </c>
      <c r="X22" s="44">
        <f t="shared" si="4"/>
        <v>0</v>
      </c>
      <c r="Y22" s="44">
        <f t="shared" si="5"/>
        <v>311.32</v>
      </c>
      <c r="Z22" s="44">
        <f t="shared" si="6"/>
        <v>0</v>
      </c>
      <c r="AA22" s="50">
        <f t="shared" si="7"/>
        <v>311.32</v>
      </c>
      <c r="AB22" s="51">
        <f t="shared" si="8"/>
        <v>0</v>
      </c>
      <c r="AC22" s="44">
        <f t="shared" si="9"/>
        <v>291.03486958960451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982.47025906447971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982.47025906447971</v>
      </c>
      <c r="AK22" s="44">
        <f>HLOOKUP(I22,GasAvoidedCostsWOCC!$A$5:$Q$50,G22+1,FALSE)*J22*L22</f>
        <v>0</v>
      </c>
      <c r="AL22" s="44">
        <f t="shared" si="14"/>
        <v>982.47025906447971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982.47025906447982</v>
      </c>
      <c r="AN22" s="48">
        <f t="shared" si="15"/>
        <v>1080.7172849709279</v>
      </c>
      <c r="AO22" s="47">
        <f t="shared" si="16"/>
        <v>0</v>
      </c>
      <c r="AP22" s="47">
        <f t="shared" si="17"/>
        <v>3.7133601430470313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18230434</v>
      </c>
      <c r="D23" s="100" t="s">
        <v>317</v>
      </c>
      <c r="E23" s="38" t="s">
        <v>1879</v>
      </c>
      <c r="F23" s="39" t="s">
        <v>1880</v>
      </c>
      <c r="G23" s="39">
        <v>10</v>
      </c>
      <c r="H23" s="39"/>
      <c r="I23" s="40" t="s">
        <v>265</v>
      </c>
      <c r="J23" s="41">
        <v>86</v>
      </c>
      <c r="K23" s="41">
        <v>1.3</v>
      </c>
      <c r="L23" s="41"/>
      <c r="M23" s="42">
        <v>1.81</v>
      </c>
      <c r="N23" s="42">
        <v>1.81</v>
      </c>
      <c r="O23" s="43">
        <v>111.8</v>
      </c>
      <c r="P23" s="44">
        <v>0</v>
      </c>
      <c r="Q23" s="44">
        <v>155.66</v>
      </c>
      <c r="R23" s="45"/>
      <c r="S23" s="46"/>
      <c r="T23" s="39">
        <f t="shared" si="0"/>
        <v>10</v>
      </c>
      <c r="U23" s="47">
        <f t="shared" si="1"/>
        <v>8.0097435162630584E-2</v>
      </c>
      <c r="V23" s="48">
        <f t="shared" si="2"/>
        <v>0</v>
      </c>
      <c r="W23" s="49">
        <f t="shared" si="3"/>
        <v>8.0097435162630581E-3</v>
      </c>
      <c r="X23" s="44">
        <f t="shared" si="4"/>
        <v>0</v>
      </c>
      <c r="Y23" s="44">
        <f t="shared" si="5"/>
        <v>155.66</v>
      </c>
      <c r="Z23" s="44">
        <f t="shared" si="6"/>
        <v>0</v>
      </c>
      <c r="AA23" s="50">
        <f t="shared" si="7"/>
        <v>155.66</v>
      </c>
      <c r="AB23" s="51">
        <f t="shared" si="8"/>
        <v>0</v>
      </c>
      <c r="AC23" s="44">
        <f t="shared" si="9"/>
        <v>145.51743479480226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798.25708548988973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798.25708548988973</v>
      </c>
      <c r="AK23" s="44">
        <f>HLOOKUP(I23,GasAvoidedCostsWOCC!$A$5:$Q$50,G23+1,FALSE)*J23*L23</f>
        <v>0</v>
      </c>
      <c r="AL23" s="44">
        <f t="shared" si="14"/>
        <v>798.25708548988973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798.25708548988973</v>
      </c>
      <c r="AN23" s="48">
        <f t="shared" si="15"/>
        <v>878.08279403887877</v>
      </c>
      <c r="AO23" s="47">
        <f t="shared" si="16"/>
        <v>0</v>
      </c>
      <c r="AP23" s="47">
        <f t="shared" si="17"/>
        <v>6.0342102324514251</v>
      </c>
      <c r="AQ23">
        <v>2020</v>
      </c>
    </row>
    <row r="24" spans="1:43" ht="13.5" customHeight="1">
      <c r="A24" s="60">
        <f>(SUM(AN5:AN1000)/SUM(AC5:AC1000))</f>
        <v>662.3646239879389</v>
      </c>
      <c r="B24" s="97" t="s">
        <v>33</v>
      </c>
      <c r="C24" s="61">
        <v>18230434</v>
      </c>
      <c r="D24" s="61" t="s">
        <v>317</v>
      </c>
      <c r="E24" s="38" t="s">
        <v>1881</v>
      </c>
      <c r="F24" s="39" t="s">
        <v>1882</v>
      </c>
      <c r="G24" s="39">
        <v>10</v>
      </c>
      <c r="H24" s="39"/>
      <c r="I24" s="40" t="s">
        <v>265</v>
      </c>
      <c r="J24" s="41">
        <v>86</v>
      </c>
      <c r="K24" s="41">
        <v>4.9000000000000004</v>
      </c>
      <c r="L24" s="41"/>
      <c r="M24" s="42">
        <v>10</v>
      </c>
      <c r="N24" s="42">
        <v>10</v>
      </c>
      <c r="O24" s="43">
        <v>421.39999999999901</v>
      </c>
      <c r="P24" s="44">
        <v>0</v>
      </c>
      <c r="Q24" s="44">
        <v>860</v>
      </c>
      <c r="R24" s="45"/>
      <c r="S24" s="46"/>
      <c r="T24" s="39">
        <f t="shared" si="0"/>
        <v>10</v>
      </c>
      <c r="U24" s="47">
        <f t="shared" si="1"/>
        <v>0.30190571715145303</v>
      </c>
      <c r="V24" s="48">
        <f t="shared" si="2"/>
        <v>0</v>
      </c>
      <c r="W24" s="49">
        <f t="shared" si="3"/>
        <v>3.0190571715145303E-2</v>
      </c>
      <c r="X24" s="44">
        <f t="shared" si="4"/>
        <v>0</v>
      </c>
      <c r="Y24" s="44">
        <f t="shared" si="5"/>
        <v>860</v>
      </c>
      <c r="Z24" s="44">
        <f t="shared" si="6"/>
        <v>0</v>
      </c>
      <c r="AA24" s="50">
        <f t="shared" si="7"/>
        <v>860</v>
      </c>
      <c r="AB24" s="51">
        <f t="shared" si="8"/>
        <v>0</v>
      </c>
      <c r="AC24" s="44">
        <f t="shared" si="9"/>
        <v>803.96372814807887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3008.8151683849692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3008.8151683849692</v>
      </c>
      <c r="AK24" s="44">
        <f>HLOOKUP(I24,GasAvoidedCostsWOCC!$A$5:$Q$50,G24+1,FALSE)*J24*L24</f>
        <v>0</v>
      </c>
      <c r="AL24" s="44">
        <f t="shared" si="14"/>
        <v>3008.8151683849692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3008.8151683849692</v>
      </c>
      <c r="AN24" s="48">
        <f t="shared" si="15"/>
        <v>3309.6966852234664</v>
      </c>
      <c r="AO24" s="47">
        <f t="shared" si="16"/>
        <v>0</v>
      </c>
      <c r="AP24" s="47">
        <f t="shared" si="17"/>
        <v>4.116723888585514</v>
      </c>
      <c r="AQ24">
        <v>2020</v>
      </c>
    </row>
    <row r="25" spans="1:43" ht="13.5" customHeight="1">
      <c r="B25" s="97" t="s">
        <v>33</v>
      </c>
      <c r="C25" s="61">
        <v>18230434</v>
      </c>
      <c r="D25" s="61" t="s">
        <v>317</v>
      </c>
      <c r="E25" s="38" t="s">
        <v>614</v>
      </c>
      <c r="F25" s="39" t="s">
        <v>615</v>
      </c>
      <c r="G25" s="39">
        <v>14</v>
      </c>
      <c r="H25" s="39"/>
      <c r="I25" s="40" t="s">
        <v>265</v>
      </c>
      <c r="J25" s="41">
        <v>411</v>
      </c>
      <c r="K25" s="41">
        <v>2.1</v>
      </c>
      <c r="L25" s="41"/>
      <c r="M25" s="42">
        <v>0</v>
      </c>
      <c r="N25" s="42">
        <v>0</v>
      </c>
      <c r="O25" s="43">
        <v>863.10000000000605</v>
      </c>
      <c r="P25" s="44">
        <v>0</v>
      </c>
      <c r="Q25" s="44">
        <v>0</v>
      </c>
      <c r="R25" s="45"/>
      <c r="S25" s="46"/>
      <c r="T25" s="39">
        <f t="shared" ref="T25:T51" si="19">G25+H25</f>
        <v>14</v>
      </c>
      <c r="U25" s="47">
        <f t="shared" ref="U25:U51" si="20">(O25/$A$10)*T25</f>
        <v>0.86569709127382566</v>
      </c>
      <c r="V25" s="48">
        <f t="shared" ref="V25:V51" si="21">N25-M25</f>
        <v>0</v>
      </c>
      <c r="W25" s="49">
        <f t="shared" ref="W25:W51" si="22">(O25/A$10)</f>
        <v>6.1835506519558978E-2</v>
      </c>
      <c r="X25" s="44">
        <f t="shared" ref="X25:X51" si="23">W25*A$8</f>
        <v>0</v>
      </c>
      <c r="Y25" s="44">
        <f t="shared" ref="Y25:Y51" si="24">Q25-P25</f>
        <v>0</v>
      </c>
      <c r="Z25" s="44">
        <f t="shared" ref="Z25:Z51" si="25">X25+(A$6*W25)</f>
        <v>0</v>
      </c>
      <c r="AA25" s="50">
        <f t="shared" ref="AA25:AA51" si="26">Q25+X25</f>
        <v>0</v>
      </c>
      <c r="AB25" s="51">
        <f t="shared" ref="AB25:AB51" si="27">Z25/(1+GasDiscountRate)^1</f>
        <v>0</v>
      </c>
      <c r="AC25" s="44">
        <f t="shared" ref="AC25:AC51" si="28">AA25/(1+GasDiscountRate)^1</f>
        <v>0</v>
      </c>
      <c r="AD25" s="44">
        <f t="shared" ref="AD25:AD51" si="29">-PV(GasDiscountRate,T25,R25)*J25</f>
        <v>0</v>
      </c>
      <c r="AE25" s="44">
        <f t="shared" ref="AE25:AE51" si="30">-PV(GasDiscountRate,T25,S25)*J25</f>
        <v>0</v>
      </c>
      <c r="AF25" s="52">
        <f>HLOOKUP(I25,GasAvoidedCostsWOCC!$A$5:$G$50,G25+1,FALSE)</f>
        <v>9.6059277231229743</v>
      </c>
      <c r="AG25" s="44">
        <f t="shared" ref="AG25:AG51" si="31">AF25*J25*K25</f>
        <v>8290.8762178274392</v>
      </c>
      <c r="AH25" s="52">
        <f>HLOOKUP(I25,GasAvoidedCostsWOCC!$A$5:$Q$50,T25+1,FALSE)</f>
        <v>9.6059277231229743</v>
      </c>
      <c r="AI25" s="44">
        <f t="shared" ref="AI25:AI51" si="32">AH25*J25*L25</f>
        <v>0</v>
      </c>
      <c r="AJ25" s="44">
        <f t="shared" ref="AJ25:AJ51" si="33">AG25+AI25</f>
        <v>8290.8762178274392</v>
      </c>
      <c r="AK25" s="44">
        <f>HLOOKUP(I25,GasAvoidedCostsWOCC!$A$5:$Q$50,G25+1,FALSE)*J25*L25</f>
        <v>0</v>
      </c>
      <c r="AL25" s="44">
        <f t="shared" ref="AL25:AL51" si="34">AG25+AI25-AK25</f>
        <v>8290.8762178274392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8290.8762178274392</v>
      </c>
      <c r="AN25" s="48">
        <f t="shared" ref="AN25:AN51" si="35">AM25*1.1+AD25+AE25</f>
        <v>9119.9638396101836</v>
      </c>
      <c r="AO25" s="47">
        <f t="shared" ref="AO25:AO51" si="36">IFERROR(AM25/AB25,0)</f>
        <v>0</v>
      </c>
      <c r="AP25" s="47" t="e">
        <f t="shared" ref="AP25:AP51" si="37">AN25/AC25</f>
        <v>#DIV/0!</v>
      </c>
      <c r="AQ25">
        <v>2020</v>
      </c>
    </row>
    <row r="26" spans="1:43" ht="13.5" customHeight="1">
      <c r="B26" s="97" t="s">
        <v>33</v>
      </c>
      <c r="C26" s="61">
        <v>18230434</v>
      </c>
      <c r="D26" s="61" t="s">
        <v>317</v>
      </c>
      <c r="E26" s="38" t="s">
        <v>616</v>
      </c>
      <c r="F26" s="39" t="s">
        <v>615</v>
      </c>
      <c r="G26" s="39">
        <v>14</v>
      </c>
      <c r="H26" s="39"/>
      <c r="I26" s="40" t="s">
        <v>265</v>
      </c>
      <c r="J26" s="41">
        <v>1775</v>
      </c>
      <c r="K26" s="41">
        <v>2.1</v>
      </c>
      <c r="L26" s="41"/>
      <c r="M26" s="42">
        <v>0</v>
      </c>
      <c r="N26" s="42">
        <v>0</v>
      </c>
      <c r="O26" s="43">
        <v>3727.49999999989</v>
      </c>
      <c r="P26" s="44">
        <v>0</v>
      </c>
      <c r="Q26" s="44">
        <v>0</v>
      </c>
      <c r="R26" s="45"/>
      <c r="S26" s="46"/>
      <c r="T26" s="39">
        <f t="shared" si="19"/>
        <v>14</v>
      </c>
      <c r="U26" s="47">
        <f t="shared" si="20"/>
        <v>3.738716148445218</v>
      </c>
      <c r="V26" s="48">
        <f t="shared" si="21"/>
        <v>0</v>
      </c>
      <c r="W26" s="49">
        <f t="shared" si="22"/>
        <v>0.26705115346037273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9.6059277231229743</v>
      </c>
      <c r="AG26" s="44">
        <f t="shared" si="31"/>
        <v>35806.095587940887</v>
      </c>
      <c r="AH26" s="52">
        <f>HLOOKUP(I26,GasAvoidedCostsWOCC!$A$5:$Q$50,T26+1,FALSE)</f>
        <v>9.6059277231229743</v>
      </c>
      <c r="AI26" s="44">
        <f t="shared" si="32"/>
        <v>0</v>
      </c>
      <c r="AJ26" s="44">
        <f t="shared" si="33"/>
        <v>35806.095587940887</v>
      </c>
      <c r="AK26" s="44">
        <f>HLOOKUP(I26,GasAvoidedCostsWOCC!$A$5:$Q$50,G26+1,FALSE)*J26*L26</f>
        <v>0</v>
      </c>
      <c r="AL26" s="44">
        <f t="shared" si="34"/>
        <v>35806.095587940887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35806.095587940894</v>
      </c>
      <c r="AN26" s="48">
        <f t="shared" si="35"/>
        <v>39386.705146734988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33</v>
      </c>
      <c r="C27" s="61">
        <v>18230434</v>
      </c>
      <c r="D27" s="61" t="s">
        <v>317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2020</v>
      </c>
    </row>
    <row r="28" spans="1:43" ht="13.5" customHeight="1">
      <c r="B28" s="97" t="s">
        <v>33</v>
      </c>
      <c r="C28" s="61">
        <v>18230434</v>
      </c>
      <c r="D28" s="61" t="s">
        <v>317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2020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</sheetData>
  <conditionalFormatting sqref="J5:L51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51 R5:S51">
    <cfRule type="expression" dxfId="117" priority="2">
      <formula>ISTEXT(M5)</formula>
    </cfRule>
  </conditionalFormatting>
  <conditionalFormatting sqref="M5:N51 R5:S51">
    <cfRule type="notContainsBlanks" dxfId="116" priority="3">
      <formula>LEN(TRIM(M5))&gt;0</formula>
    </cfRule>
  </conditionalFormatting>
  <conditionalFormatting sqref="R5:S51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36"/>
  <sheetViews>
    <sheetView zoomScale="85" zoomScaleNormal="85" workbookViewId="0">
      <selection activeCell="C22" sqref="C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18230687</v>
      </c>
      <c r="D2" s="20" t="s">
        <v>318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18230687</v>
      </c>
      <c r="D5" s="61" t="s">
        <v>318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1528508.64</v>
      </c>
      <c r="B6" s="97" t="s">
        <v>33</v>
      </c>
      <c r="C6" s="98">
        <v>18230687</v>
      </c>
      <c r="D6" s="61" t="s">
        <v>318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18230687</v>
      </c>
      <c r="D7" s="61" t="s">
        <v>318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0.33098674070001172</v>
      </c>
      <c r="V7" s="48">
        <f t="shared" si="2"/>
        <v>70.28</v>
      </c>
      <c r="W7" s="49">
        <f t="shared" si="3"/>
        <v>2.7582228391667643E-2</v>
      </c>
      <c r="X7" s="44">
        <f t="shared" si="4"/>
        <v>12333.170285106497</v>
      </c>
      <c r="Y7" s="44">
        <f t="shared" si="5"/>
        <v>32258.519999999597</v>
      </c>
      <c r="Z7" s="44">
        <f t="shared" si="6"/>
        <v>54492.844692223793</v>
      </c>
      <c r="AA7" s="50">
        <f t="shared" si="7"/>
        <v>79016.690285106088</v>
      </c>
      <c r="AB7" s="51">
        <f t="shared" si="8"/>
        <v>50942.175088551732</v>
      </c>
      <c r="AC7" s="44">
        <f t="shared" si="9"/>
        <v>73868.084776204618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2.8850269236271111</v>
      </c>
      <c r="AP7" s="47">
        <f t="shared" si="17"/>
        <v>2.188583903809783</v>
      </c>
      <c r="AQ7">
        <v>2021</v>
      </c>
    </row>
    <row r="8" spans="1:43" ht="13.5" customHeight="1">
      <c r="A8" s="53">
        <f>SUMIF('Program Costs'!D:D,C2,'Program Costs'!O:O)</f>
        <v>447141.90999999992</v>
      </c>
      <c r="B8" s="97" t="s">
        <v>33</v>
      </c>
      <c r="C8" s="98">
        <v>18230687</v>
      </c>
      <c r="D8" s="61" t="s">
        <v>318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1.5148191881770991E-2</v>
      </c>
      <c r="V8" s="48">
        <f t="shared" si="2"/>
        <v>76.830000000000013</v>
      </c>
      <c r="W8" s="49">
        <f t="shared" si="3"/>
        <v>1.3771083528882719E-3</v>
      </c>
      <c r="X8" s="44">
        <f t="shared" si="4"/>
        <v>615.76285918741576</v>
      </c>
      <c r="Y8" s="44">
        <f t="shared" si="5"/>
        <v>1920.75</v>
      </c>
      <c r="Z8" s="44">
        <f t="shared" si="6"/>
        <v>2720.6848747933082</v>
      </c>
      <c r="AA8" s="50">
        <f t="shared" si="7"/>
        <v>4411.5128591874154</v>
      </c>
      <c r="AB8" s="51">
        <f t="shared" si="8"/>
        <v>2543.4092500638571</v>
      </c>
      <c r="AC8" s="44">
        <f t="shared" si="9"/>
        <v>4124.0654942389592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2.6753105301029807</v>
      </c>
      <c r="AP8" s="47">
        <f t="shared" si="17"/>
        <v>1.814920377578559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18230687</v>
      </c>
      <c r="D9" s="61" t="s">
        <v>318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599081.4</v>
      </c>
      <c r="B10" s="97" t="s">
        <v>33</v>
      </c>
      <c r="C10" s="98">
        <v>18230687</v>
      </c>
      <c r="D10" s="61" t="s">
        <v>318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18230687</v>
      </c>
      <c r="D11" s="61" t="s">
        <v>318</v>
      </c>
      <c r="E11" s="38" t="s">
        <v>661</v>
      </c>
      <c r="F11" s="39" t="s">
        <v>662</v>
      </c>
      <c r="G11" s="39">
        <v>11</v>
      </c>
      <c r="H11" s="39"/>
      <c r="I11" s="40" t="s">
        <v>269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1.1979190140104499</v>
      </c>
      <c r="V11" s="48">
        <f t="shared" si="2"/>
        <v>97.38</v>
      </c>
      <c r="W11" s="49">
        <f t="shared" si="3"/>
        <v>0.10890172854640454</v>
      </c>
      <c r="X11" s="44">
        <f t="shared" si="4"/>
        <v>48694.526904540842</v>
      </c>
      <c r="Y11" s="44">
        <f t="shared" si="5"/>
        <v>192645.85000000699</v>
      </c>
      <c r="Z11" s="44">
        <f t="shared" si="6"/>
        <v>215151.7598986548</v>
      </c>
      <c r="AA11" s="50">
        <f t="shared" si="7"/>
        <v>389489.78690454783</v>
      </c>
      <c r="AB11" s="51">
        <f t="shared" si="8"/>
        <v>201132.8034950498</v>
      </c>
      <c r="AC11" s="44">
        <f t="shared" si="9"/>
        <v>364111.23390160588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2.6753105301029807</v>
      </c>
      <c r="AP11" s="47">
        <f t="shared" si="17"/>
        <v>1.6256075691785292</v>
      </c>
      <c r="AQ11">
        <v>2021</v>
      </c>
    </row>
    <row r="12" spans="1:43" ht="13.5" customHeight="1">
      <c r="A12" s="55">
        <f>SUM(P5:P1000)</f>
        <v>1353667.0499999991</v>
      </c>
      <c r="B12" s="97" t="s">
        <v>33</v>
      </c>
      <c r="C12" s="98">
        <v>18230687</v>
      </c>
      <c r="D12" s="61" t="s">
        <v>318</v>
      </c>
      <c r="E12" s="38" t="s">
        <v>663</v>
      </c>
      <c r="F12" s="39" t="s">
        <v>662</v>
      </c>
      <c r="G12" s="39">
        <v>11</v>
      </c>
      <c r="H12" s="39"/>
      <c r="I12" s="40" t="s">
        <v>269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6.4858498360990673</v>
      </c>
      <c r="V12" s="48">
        <f t="shared" si="2"/>
        <v>114</v>
      </c>
      <c r="W12" s="49">
        <f t="shared" si="3"/>
        <v>0.58962271237264252</v>
      </c>
      <c r="X12" s="44">
        <f t="shared" si="4"/>
        <v>263645.02578968398</v>
      </c>
      <c r="Y12" s="44">
        <f t="shared" si="5"/>
        <v>1221734.0200000009</v>
      </c>
      <c r="Z12" s="44">
        <f t="shared" si="6"/>
        <v>1164888.4359915028</v>
      </c>
      <c r="AA12" s="50">
        <f t="shared" si="7"/>
        <v>2286701.0257896842</v>
      </c>
      <c r="AB12" s="51">
        <f t="shared" si="8"/>
        <v>1088986.104507341</v>
      </c>
      <c r="AC12" s="44">
        <f t="shared" si="9"/>
        <v>2137703.1184347798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2.6753105301029807</v>
      </c>
      <c r="AP12" s="47">
        <f t="shared" si="17"/>
        <v>1.4991387551154571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18230687</v>
      </c>
      <c r="D13" s="61" t="s">
        <v>318</v>
      </c>
      <c r="E13" s="38" t="s">
        <v>664</v>
      </c>
      <c r="F13" s="39" t="s">
        <v>665</v>
      </c>
      <c r="G13" s="39">
        <v>15</v>
      </c>
      <c r="H13" s="39"/>
      <c r="I13" s="40" t="s">
        <v>269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1880691.1300000115</v>
      </c>
      <c r="B14" s="97" t="s">
        <v>33</v>
      </c>
      <c r="C14" s="100">
        <v>18230687</v>
      </c>
      <c r="D14" s="100" t="s">
        <v>318</v>
      </c>
      <c r="E14" s="38" t="s">
        <v>1910</v>
      </c>
      <c r="F14" s="39" t="s">
        <v>653</v>
      </c>
      <c r="G14" s="39">
        <v>20</v>
      </c>
      <c r="H14" s="39"/>
      <c r="I14" s="40" t="s">
        <v>269</v>
      </c>
      <c r="J14" s="41">
        <v>2</v>
      </c>
      <c r="K14" s="41">
        <v>36</v>
      </c>
      <c r="L14" s="41"/>
      <c r="M14" s="42">
        <v>75</v>
      </c>
      <c r="N14" s="42">
        <v>187.35</v>
      </c>
      <c r="O14" s="43">
        <v>72</v>
      </c>
      <c r="P14" s="44">
        <v>150</v>
      </c>
      <c r="Q14" s="44">
        <v>374.7</v>
      </c>
      <c r="R14" s="45">
        <v>0</v>
      </c>
      <c r="S14" s="46"/>
      <c r="T14" s="39">
        <f t="shared" si="0"/>
        <v>20</v>
      </c>
      <c r="U14" s="47">
        <f t="shared" si="1"/>
        <v>2.4036800341322565E-3</v>
      </c>
      <c r="V14" s="48">
        <f t="shared" si="2"/>
        <v>112.35</v>
      </c>
      <c r="W14" s="49">
        <f t="shared" si="3"/>
        <v>1.2018400170661282E-4</v>
      </c>
      <c r="X14" s="44">
        <f t="shared" si="4"/>
        <v>53.739304074538104</v>
      </c>
      <c r="Y14" s="44">
        <f t="shared" si="5"/>
        <v>224.7</v>
      </c>
      <c r="Z14" s="44">
        <f t="shared" si="6"/>
        <v>237.44158907287053</v>
      </c>
      <c r="AA14" s="50">
        <f t="shared" si="7"/>
        <v>428.43930407453809</v>
      </c>
      <c r="AB14" s="51">
        <f t="shared" si="8"/>
        <v>221.97026182375481</v>
      </c>
      <c r="AC14" s="44">
        <f t="shared" si="9"/>
        <v>400.52286068480697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13.765480191058694</v>
      </c>
      <c r="AG14" s="44">
        <f t="shared" si="11"/>
        <v>991.11457375622604</v>
      </c>
      <c r="AH14" s="52">
        <f>HLOOKUP(I14,GasAvoidedCostsWOCC!$A$5:$Q$50,T14+1,FALSE)</f>
        <v>13.765480191058694</v>
      </c>
      <c r="AI14" s="44">
        <f t="shared" si="12"/>
        <v>0</v>
      </c>
      <c r="AJ14" s="44">
        <f t="shared" si="13"/>
        <v>991.11457375622604</v>
      </c>
      <c r="AK14" s="44">
        <f>HLOOKUP(I14,GasAvoidedCostsWOCC!$A$5:$Q$50,G14+1,FALSE)*J14*L14</f>
        <v>0</v>
      </c>
      <c r="AL14" s="44">
        <f t="shared" si="14"/>
        <v>991.11457375622604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991.11457375622604</v>
      </c>
      <c r="AN14" s="48">
        <f t="shared" si="15"/>
        <v>1090.2260311318487</v>
      </c>
      <c r="AO14" s="47">
        <f t="shared" si="16"/>
        <v>4.4650781848569183</v>
      </c>
      <c r="AP14" s="47">
        <f t="shared" si="17"/>
        <v>2.7220070017172038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18230687</v>
      </c>
      <c r="D15" s="100" t="s">
        <v>318</v>
      </c>
      <c r="E15" s="38" t="s">
        <v>652</v>
      </c>
      <c r="F15" s="39" t="s">
        <v>653</v>
      </c>
      <c r="G15" s="39">
        <v>12</v>
      </c>
      <c r="H15" s="39"/>
      <c r="I15" s="40" t="s">
        <v>269</v>
      </c>
      <c r="J15" s="41">
        <v>2</v>
      </c>
      <c r="K15" s="41">
        <v>36</v>
      </c>
      <c r="L15" s="41"/>
      <c r="M15" s="42">
        <v>75</v>
      </c>
      <c r="N15" s="42">
        <v>145.28</v>
      </c>
      <c r="O15" s="43">
        <v>72</v>
      </c>
      <c r="P15" s="44">
        <v>150</v>
      </c>
      <c r="Q15" s="44">
        <v>290.56</v>
      </c>
      <c r="R15" s="45">
        <v>0</v>
      </c>
      <c r="S15" s="46">
        <v>0</v>
      </c>
      <c r="T15" s="39">
        <f t="shared" si="0"/>
        <v>12</v>
      </c>
      <c r="U15" s="47">
        <f t="shared" si="1"/>
        <v>1.4422080204793538E-3</v>
      </c>
      <c r="V15" s="48">
        <f t="shared" si="2"/>
        <v>70.28</v>
      </c>
      <c r="W15" s="49">
        <f t="shared" si="3"/>
        <v>1.2018400170661282E-4</v>
      </c>
      <c r="X15" s="44">
        <f t="shared" si="4"/>
        <v>53.739304074538104</v>
      </c>
      <c r="Y15" s="44">
        <f t="shared" si="5"/>
        <v>140.56</v>
      </c>
      <c r="Z15" s="44">
        <f t="shared" si="6"/>
        <v>237.44158907287053</v>
      </c>
      <c r="AA15" s="50">
        <f t="shared" si="7"/>
        <v>344.2993040745381</v>
      </c>
      <c r="AB15" s="51">
        <f t="shared" si="8"/>
        <v>221.97026182375481</v>
      </c>
      <c r="AC15" s="44">
        <f t="shared" si="9"/>
        <v>321.86529314250544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8.8943080778623855</v>
      </c>
      <c r="AG15" s="44">
        <f t="shared" si="11"/>
        <v>640.3901816060918</v>
      </c>
      <c r="AH15" s="52">
        <f>HLOOKUP(I15,GasAvoidedCostsWOCC!$A$5:$Q$50,T15+1,FALSE)</f>
        <v>8.8943080778623855</v>
      </c>
      <c r="AI15" s="44">
        <f t="shared" si="12"/>
        <v>0</v>
      </c>
      <c r="AJ15" s="44">
        <f t="shared" si="13"/>
        <v>640.3901816060918</v>
      </c>
      <c r="AK15" s="44">
        <f>HLOOKUP(I15,GasAvoidedCostsWOCC!$A$5:$Q$50,G15+1,FALSE)*J15*L15</f>
        <v>0</v>
      </c>
      <c r="AL15" s="44">
        <f t="shared" si="14"/>
        <v>640.3901816060918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640.3901816060918</v>
      </c>
      <c r="AN15" s="48">
        <f t="shared" si="15"/>
        <v>704.429199766701</v>
      </c>
      <c r="AO15" s="47">
        <f t="shared" si="16"/>
        <v>2.8850269236271116</v>
      </c>
      <c r="AP15" s="47">
        <f t="shared" si="17"/>
        <v>2.1885839038097714</v>
      </c>
      <c r="AQ15">
        <v>2020</v>
      </c>
    </row>
    <row r="16" spans="1:43" ht="13.5" customHeight="1">
      <c r="A16" s="54">
        <f>SUM(U5:U999)</f>
        <v>11.021243523834992</v>
      </c>
      <c r="B16" s="97" t="s">
        <v>33</v>
      </c>
      <c r="C16" s="100">
        <v>18230687</v>
      </c>
      <c r="D16" s="100" t="s">
        <v>318</v>
      </c>
      <c r="E16" s="38" t="s">
        <v>654</v>
      </c>
      <c r="F16" s="39" t="s">
        <v>653</v>
      </c>
      <c r="G16" s="39">
        <v>11</v>
      </c>
      <c r="H16" s="39"/>
      <c r="I16" s="40" t="s">
        <v>269</v>
      </c>
      <c r="J16" s="41">
        <v>1804</v>
      </c>
      <c r="K16" s="41">
        <v>33</v>
      </c>
      <c r="L16" s="41"/>
      <c r="M16" s="42">
        <v>75</v>
      </c>
      <c r="N16" s="42">
        <v>151.83000000000001</v>
      </c>
      <c r="O16" s="43">
        <v>59532</v>
      </c>
      <c r="P16" s="44">
        <v>135161.68</v>
      </c>
      <c r="Q16" s="44">
        <v>273901.31999999197</v>
      </c>
      <c r="R16" s="45">
        <v>0</v>
      </c>
      <c r="S16" s="46">
        <v>0</v>
      </c>
      <c r="T16" s="39">
        <f t="shared" si="0"/>
        <v>11</v>
      </c>
      <c r="U16" s="47">
        <f t="shared" si="1"/>
        <v>1.0930935261885946</v>
      </c>
      <c r="V16" s="48">
        <f t="shared" si="2"/>
        <v>76.830000000000013</v>
      </c>
      <c r="W16" s="49">
        <f t="shared" si="3"/>
        <v>9.9372138744417693E-2</v>
      </c>
      <c r="X16" s="44">
        <f t="shared" si="4"/>
        <v>44433.447918963924</v>
      </c>
      <c r="Y16" s="44">
        <f t="shared" si="5"/>
        <v>138739.63999999198</v>
      </c>
      <c r="Z16" s="44">
        <f t="shared" si="6"/>
        <v>196324.62056508509</v>
      </c>
      <c r="AA16" s="50">
        <f t="shared" si="7"/>
        <v>318334.76791895588</v>
      </c>
      <c r="AB16" s="51">
        <f t="shared" si="8"/>
        <v>183532.4114846079</v>
      </c>
      <c r="AC16" s="44">
        <f t="shared" si="9"/>
        <v>297592.5660642758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8.2477691503723172</v>
      </c>
      <c r="AG16" s="44">
        <f t="shared" si="11"/>
        <v>491006.1930599648</v>
      </c>
      <c r="AH16" s="52">
        <f>HLOOKUP(I16,GasAvoidedCostsWOCC!$A$5:$Q$50,T16+1,FALSE)</f>
        <v>8.2477691503723172</v>
      </c>
      <c r="AI16" s="44">
        <f t="shared" si="12"/>
        <v>0</v>
      </c>
      <c r="AJ16" s="44">
        <f t="shared" si="13"/>
        <v>491006.1930599648</v>
      </c>
      <c r="AK16" s="44">
        <f>HLOOKUP(I16,GasAvoidedCostsWOCC!$A$5:$Q$50,G16+1,FALSE)*J16*L16</f>
        <v>0</v>
      </c>
      <c r="AL16" s="44">
        <f t="shared" si="14"/>
        <v>491006.1930599648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491006.1930599648</v>
      </c>
      <c r="AN16" s="48">
        <f t="shared" si="15"/>
        <v>540106.81236596138</v>
      </c>
      <c r="AO16" s="47">
        <f t="shared" si="16"/>
        <v>2.6753105301029811</v>
      </c>
      <c r="AP16" s="47">
        <f t="shared" si="17"/>
        <v>1.8149203775786049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18230687</v>
      </c>
      <c r="D17" s="100" t="s">
        <v>318</v>
      </c>
      <c r="E17" s="38" t="s">
        <v>1873</v>
      </c>
      <c r="F17" s="39" t="s">
        <v>1874</v>
      </c>
      <c r="G17" s="39">
        <v>10</v>
      </c>
      <c r="H17" s="39"/>
      <c r="I17" s="40" t="s">
        <v>265</v>
      </c>
      <c r="J17" s="41">
        <v>1484</v>
      </c>
      <c r="K17" s="41">
        <v>0.6</v>
      </c>
      <c r="L17" s="41"/>
      <c r="M17" s="42">
        <v>0.54</v>
      </c>
      <c r="N17" s="42">
        <v>0.54</v>
      </c>
      <c r="O17" s="43">
        <v>890.400000000011</v>
      </c>
      <c r="P17" s="44">
        <v>222.60000000000301</v>
      </c>
      <c r="Q17" s="44">
        <v>801.36000000000899</v>
      </c>
      <c r="R17" s="45"/>
      <c r="S17" s="46">
        <v>0</v>
      </c>
      <c r="T17" s="39">
        <f t="shared" si="0"/>
        <v>10</v>
      </c>
      <c r="U17" s="47">
        <f t="shared" si="1"/>
        <v>1.486275487771797E-2</v>
      </c>
      <c r="V17" s="48">
        <f t="shared" si="2"/>
        <v>0</v>
      </c>
      <c r="W17" s="49">
        <f t="shared" si="3"/>
        <v>1.4862754877717969E-3</v>
      </c>
      <c r="X17" s="44">
        <f t="shared" si="4"/>
        <v>664.57606038846279</v>
      </c>
      <c r="Y17" s="44">
        <f t="shared" si="5"/>
        <v>578.76000000000602</v>
      </c>
      <c r="Z17" s="44">
        <f t="shared" si="6"/>
        <v>2936.3609848678684</v>
      </c>
      <c r="AA17" s="50">
        <f t="shared" si="7"/>
        <v>1465.9360603884718</v>
      </c>
      <c r="AB17" s="51">
        <f t="shared" si="8"/>
        <v>2745.0322378871347</v>
      </c>
      <c r="AC17" s="44">
        <f t="shared" si="9"/>
        <v>1370.4179306239803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6357.4965019695692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6357.4965019695692</v>
      </c>
      <c r="AK17" s="44">
        <f>HLOOKUP(I17,GasAvoidedCostsWOCC!$A$5:$Q$50,G17+1,FALSE)*J17*L17</f>
        <v>0</v>
      </c>
      <c r="AL17" s="44">
        <f t="shared" si="14"/>
        <v>6357.4965019695692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6357.4965019695683</v>
      </c>
      <c r="AN17" s="48">
        <f t="shared" si="15"/>
        <v>6993.2461521665255</v>
      </c>
      <c r="AO17" s="47">
        <f t="shared" si="16"/>
        <v>2.3160006699458533</v>
      </c>
      <c r="AP17" s="47">
        <f t="shared" si="17"/>
        <v>5.1030025190799657</v>
      </c>
      <c r="AQ17">
        <v>2020</v>
      </c>
    </row>
    <row r="18" spans="1:43" ht="13.5" customHeight="1">
      <c r="A18" s="59">
        <f>A6+A8</f>
        <v>1975650.5499999998</v>
      </c>
      <c r="B18" s="97" t="s">
        <v>33</v>
      </c>
      <c r="C18" s="100">
        <v>18230687</v>
      </c>
      <c r="D18" s="100" t="s">
        <v>318</v>
      </c>
      <c r="E18" s="38" t="s">
        <v>1877</v>
      </c>
      <c r="F18" s="39" t="s">
        <v>1878</v>
      </c>
      <c r="G18" s="39">
        <v>10</v>
      </c>
      <c r="H18" s="39"/>
      <c r="I18" s="40" t="s">
        <v>265</v>
      </c>
      <c r="J18" s="41">
        <v>930</v>
      </c>
      <c r="K18" s="41">
        <v>0.8</v>
      </c>
      <c r="L18" s="41"/>
      <c r="M18" s="42">
        <v>1.81</v>
      </c>
      <c r="N18" s="42">
        <v>1.81</v>
      </c>
      <c r="O18" s="43">
        <v>744.00000000000603</v>
      </c>
      <c r="P18" s="44">
        <v>930</v>
      </c>
      <c r="Q18" s="44">
        <v>1683.2999999999799</v>
      </c>
      <c r="R18" s="45">
        <v>2.74</v>
      </c>
      <c r="S18" s="46">
        <v>0</v>
      </c>
      <c r="T18" s="39">
        <f t="shared" si="0"/>
        <v>10</v>
      </c>
      <c r="U18" s="47">
        <f t="shared" si="1"/>
        <v>1.2419013509683427E-2</v>
      </c>
      <c r="V18" s="48">
        <f t="shared" si="2"/>
        <v>0</v>
      </c>
      <c r="W18" s="49">
        <f t="shared" si="3"/>
        <v>1.2419013509683426E-3</v>
      </c>
      <c r="X18" s="44">
        <f t="shared" si="4"/>
        <v>555.30614210356498</v>
      </c>
      <c r="Y18" s="44">
        <f t="shared" si="5"/>
        <v>753.29999999997995</v>
      </c>
      <c r="Z18" s="44">
        <f t="shared" si="6"/>
        <v>2453.5630870863488</v>
      </c>
      <c r="AA18" s="50">
        <f t="shared" si="7"/>
        <v>2238.6061421035447</v>
      </c>
      <c r="AB18" s="51">
        <f t="shared" si="8"/>
        <v>2293.6927055121514</v>
      </c>
      <c r="AC18" s="44">
        <f t="shared" si="9"/>
        <v>2092.7420230938997</v>
      </c>
      <c r="AD18" s="44">
        <f t="shared" si="10"/>
        <v>17922.336191097296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5312.1938426160823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5312.1938426160823</v>
      </c>
      <c r="AK18" s="44">
        <f>HLOOKUP(I18,GasAvoidedCostsWOCC!$A$5:$Q$50,G18+1,FALSE)*J18*L18</f>
        <v>0</v>
      </c>
      <c r="AL18" s="44">
        <f t="shared" si="14"/>
        <v>5312.1938426160823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5312.1938426160823</v>
      </c>
      <c r="AN18" s="48">
        <f t="shared" si="15"/>
        <v>23765.749417974988</v>
      </c>
      <c r="AO18" s="47">
        <f t="shared" si="16"/>
        <v>2.3160006699458631</v>
      </c>
      <c r="AP18" s="47">
        <f t="shared" si="17"/>
        <v>11.356272849550667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18230687</v>
      </c>
      <c r="D19" s="100" t="s">
        <v>318</v>
      </c>
      <c r="E19" s="38" t="s">
        <v>1879</v>
      </c>
      <c r="F19" s="39" t="s">
        <v>1880</v>
      </c>
      <c r="G19" s="39">
        <v>10</v>
      </c>
      <c r="H19" s="39"/>
      <c r="I19" s="40" t="s">
        <v>265</v>
      </c>
      <c r="J19" s="41">
        <v>465</v>
      </c>
      <c r="K19" s="41">
        <v>1.3</v>
      </c>
      <c r="L19" s="41"/>
      <c r="M19" s="42">
        <v>1.81</v>
      </c>
      <c r="N19" s="42">
        <v>1.81</v>
      </c>
      <c r="O19" s="43">
        <v>604.5</v>
      </c>
      <c r="P19" s="44">
        <v>930</v>
      </c>
      <c r="Q19" s="44">
        <v>841.649999999991</v>
      </c>
      <c r="R19" s="45">
        <v>3.8</v>
      </c>
      <c r="S19" s="46">
        <v>0</v>
      </c>
      <c r="T19" s="39">
        <f t="shared" si="0"/>
        <v>10</v>
      </c>
      <c r="U19" s="47">
        <f t="shared" si="1"/>
        <v>1.0090448476617702E-2</v>
      </c>
      <c r="V19" s="48">
        <f t="shared" si="2"/>
        <v>0</v>
      </c>
      <c r="W19" s="49">
        <f t="shared" si="3"/>
        <v>1.0090448476617702E-3</v>
      </c>
      <c r="X19" s="44">
        <f t="shared" si="4"/>
        <v>451.18624045914288</v>
      </c>
      <c r="Y19" s="44">
        <f t="shared" si="5"/>
        <v>-88.350000000009004</v>
      </c>
      <c r="Z19" s="44">
        <f t="shared" si="6"/>
        <v>1993.5200082576423</v>
      </c>
      <c r="AA19" s="50">
        <f t="shared" si="7"/>
        <v>1292.8362404591339</v>
      </c>
      <c r="AB19" s="51">
        <f t="shared" si="8"/>
        <v>1863.6253232286081</v>
      </c>
      <c r="AC19" s="44">
        <f t="shared" si="9"/>
        <v>1208.5970276331063</v>
      </c>
      <c r="AD19" s="44">
        <f t="shared" si="10"/>
        <v>12427.897358790095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4316.1574971255668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4316.1574971255668</v>
      </c>
      <c r="AK19" s="44">
        <f>HLOOKUP(I19,GasAvoidedCostsWOCC!$A$5:$Q$50,G19+1,FALSE)*J19*L19</f>
        <v>0</v>
      </c>
      <c r="AL19" s="44">
        <f t="shared" si="14"/>
        <v>4316.1574971255668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4316.1574971255668</v>
      </c>
      <c r="AN19" s="48">
        <f t="shared" si="15"/>
        <v>17175.67060562822</v>
      </c>
      <c r="AO19" s="47">
        <f t="shared" si="16"/>
        <v>2.3160006699458817</v>
      </c>
      <c r="AP19" s="47">
        <f t="shared" si="17"/>
        <v>14.211246770368723</v>
      </c>
      <c r="AQ19">
        <v>2020</v>
      </c>
    </row>
    <row r="20" spans="1:43" ht="13.5" customHeight="1">
      <c r="A20" s="59">
        <f>A8+SUM(Q5:Q906)</f>
        <v>3681500.0900000101</v>
      </c>
      <c r="B20" s="97" t="s">
        <v>33</v>
      </c>
      <c r="C20" s="100">
        <v>18230687</v>
      </c>
      <c r="D20" s="100" t="s">
        <v>318</v>
      </c>
      <c r="E20" s="38" t="s">
        <v>1881</v>
      </c>
      <c r="F20" s="39" t="s">
        <v>1882</v>
      </c>
      <c r="G20" s="39">
        <v>10</v>
      </c>
      <c r="H20" s="39"/>
      <c r="I20" s="40" t="s">
        <v>265</v>
      </c>
      <c r="J20" s="41">
        <v>465</v>
      </c>
      <c r="K20" s="41">
        <v>4.9000000000000004</v>
      </c>
      <c r="L20" s="41"/>
      <c r="M20" s="42">
        <v>10</v>
      </c>
      <c r="N20" s="42">
        <v>10</v>
      </c>
      <c r="O20" s="43">
        <v>2278.50000000002</v>
      </c>
      <c r="P20" s="44">
        <v>3943.2000000000098</v>
      </c>
      <c r="Q20" s="44">
        <v>4650</v>
      </c>
      <c r="R20" s="45">
        <v>14.31</v>
      </c>
      <c r="S20" s="46">
        <v>0</v>
      </c>
      <c r="T20" s="39">
        <f t="shared" si="0"/>
        <v>10</v>
      </c>
      <c r="U20" s="47">
        <f t="shared" si="1"/>
        <v>3.8033228873405517E-2</v>
      </c>
      <c r="V20" s="48">
        <f t="shared" si="2"/>
        <v>0</v>
      </c>
      <c r="W20" s="49">
        <f t="shared" si="3"/>
        <v>3.8033228873405518E-3</v>
      </c>
      <c r="X20" s="44">
        <f t="shared" si="4"/>
        <v>1700.6250601921688</v>
      </c>
      <c r="Y20" s="44">
        <f t="shared" si="5"/>
        <v>706.79999999999018</v>
      </c>
      <c r="Z20" s="44">
        <f t="shared" si="6"/>
        <v>7514.0369542019489</v>
      </c>
      <c r="AA20" s="50">
        <f t="shared" si="7"/>
        <v>6350.6250601921693</v>
      </c>
      <c r="AB20" s="51">
        <f t="shared" si="8"/>
        <v>7024.4339106309699</v>
      </c>
      <c r="AC20" s="44">
        <f t="shared" si="9"/>
        <v>5936.8281389101321</v>
      </c>
      <c r="AD20" s="44">
        <f t="shared" si="10"/>
        <v>46800.845053759542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16268.593643011753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16268.593643011753</v>
      </c>
      <c r="AK20" s="44">
        <f>HLOOKUP(I20,GasAvoidedCostsWOCC!$A$5:$Q$50,G20+1,FALSE)*J20*L20</f>
        <v>0</v>
      </c>
      <c r="AL20" s="44">
        <f t="shared" si="14"/>
        <v>16268.593643011753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16268.593643011753</v>
      </c>
      <c r="AN20" s="48">
        <f t="shared" si="15"/>
        <v>64696.29806107247</v>
      </c>
      <c r="AO20" s="47">
        <f t="shared" si="16"/>
        <v>2.3160006699458613</v>
      </c>
      <c r="AP20" s="47">
        <f t="shared" si="17"/>
        <v>10.897451727977636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18230687</v>
      </c>
      <c r="D21" s="100" t="s">
        <v>318</v>
      </c>
      <c r="E21" s="38" t="s">
        <v>661</v>
      </c>
      <c r="F21" s="39" t="s">
        <v>662</v>
      </c>
      <c r="G21" s="39">
        <v>11</v>
      </c>
      <c r="H21" s="39"/>
      <c r="I21" s="40" t="s">
        <v>269</v>
      </c>
      <c r="J21" s="41">
        <v>3002</v>
      </c>
      <c r="K21" s="41">
        <v>33</v>
      </c>
      <c r="L21" s="41"/>
      <c r="M21" s="42">
        <v>75</v>
      </c>
      <c r="N21" s="42">
        <v>172.38</v>
      </c>
      <c r="O21" s="43">
        <v>99066</v>
      </c>
      <c r="P21" s="44">
        <v>224833.18</v>
      </c>
      <c r="Q21" s="44">
        <v>517484.760000012</v>
      </c>
      <c r="R21" s="45">
        <v>0</v>
      </c>
      <c r="S21" s="46">
        <v>0</v>
      </c>
      <c r="T21" s="39">
        <f t="shared" si="0"/>
        <v>11</v>
      </c>
      <c r="U21" s="47">
        <f t="shared" si="1"/>
        <v>1.8189948811630607</v>
      </c>
      <c r="V21" s="48">
        <f t="shared" si="2"/>
        <v>97.38</v>
      </c>
      <c r="W21" s="49">
        <f t="shared" si="3"/>
        <v>0.1653631710148237</v>
      </c>
      <c r="X21" s="44">
        <f t="shared" si="4"/>
        <v>73940.804131224897</v>
      </c>
      <c r="Y21" s="44">
        <f t="shared" si="5"/>
        <v>292651.58000001201</v>
      </c>
      <c r="Z21" s="44">
        <f t="shared" si="6"/>
        <v>326699.83976518048</v>
      </c>
      <c r="AA21" s="50">
        <f t="shared" si="7"/>
        <v>591425.56413123687</v>
      </c>
      <c r="AB21" s="51">
        <f t="shared" si="8"/>
        <v>305412.58274766797</v>
      </c>
      <c r="AC21" s="44">
        <f t="shared" si="9"/>
        <v>552889.18774538359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8.2477691503723172</v>
      </c>
      <c r="AG21" s="44">
        <f t="shared" si="11"/>
        <v>817073.49865078391</v>
      </c>
      <c r="AH21" s="52">
        <f>HLOOKUP(I21,GasAvoidedCostsWOCC!$A$5:$Q$50,T21+1,FALSE)</f>
        <v>8.2477691503723172</v>
      </c>
      <c r="AI21" s="44">
        <f t="shared" si="12"/>
        <v>0</v>
      </c>
      <c r="AJ21" s="44">
        <f t="shared" si="13"/>
        <v>817073.49865078391</v>
      </c>
      <c r="AK21" s="44">
        <f>HLOOKUP(I21,GasAvoidedCostsWOCC!$A$5:$Q$50,G21+1,FALSE)*J21*L21</f>
        <v>0</v>
      </c>
      <c r="AL21" s="44">
        <f t="shared" si="14"/>
        <v>817073.49865078391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817073.49865078402</v>
      </c>
      <c r="AN21" s="48">
        <f t="shared" si="15"/>
        <v>898780.84851586248</v>
      </c>
      <c r="AO21" s="47">
        <f t="shared" si="16"/>
        <v>2.6753105301029807</v>
      </c>
      <c r="AP21" s="47">
        <f t="shared" si="17"/>
        <v>1.6256075691785257</v>
      </c>
      <c r="AQ21">
        <v>2020</v>
      </c>
    </row>
    <row r="22" spans="1:43" ht="13.5" customHeight="1">
      <c r="A22" s="60">
        <f>(SUM(AM5:AM1000)/(SUM(AB5:AB1000)))</f>
        <v>2.6786258895446107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1.6036289413475631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6" si="19">G25+H25</f>
        <v>0</v>
      </c>
      <c r="U25" s="47">
        <f t="shared" ref="U25:U36" si="20">(O25/$A$10)*T25</f>
        <v>0</v>
      </c>
      <c r="V25" s="48">
        <f t="shared" ref="V25:V36" si="21">N25-M25</f>
        <v>0</v>
      </c>
      <c r="W25" s="49">
        <f t="shared" ref="W25:W36" si="22">(O25/A$10)</f>
        <v>0</v>
      </c>
      <c r="X25" s="44">
        <f t="shared" ref="X25:X36" si="23">W25*A$8</f>
        <v>0</v>
      </c>
      <c r="Y25" s="44">
        <f t="shared" ref="Y25:Y36" si="24">Q25-P25</f>
        <v>0</v>
      </c>
      <c r="Z25" s="44">
        <f t="shared" ref="Z25:Z36" si="25">X25+(A$6*W25)</f>
        <v>0</v>
      </c>
      <c r="AA25" s="50">
        <f t="shared" ref="AA25:AA36" si="26">Q25+X25</f>
        <v>0</v>
      </c>
      <c r="AB25" s="51">
        <f t="shared" ref="AB25:AB36" si="27">Z25/(1+GasDiscountRate)^1</f>
        <v>0</v>
      </c>
      <c r="AC25" s="44">
        <f t="shared" ref="AC25:AC36" si="28">AA25/(1+GasDiscountRate)^1</f>
        <v>0</v>
      </c>
      <c r="AD25" s="44">
        <f t="shared" ref="AD25:AD36" si="29">-PV(GasDiscountRate,T25,R25)*J25</f>
        <v>0</v>
      </c>
      <c r="AE25" s="44">
        <f t="shared" ref="AE25:AE36" si="30">-PV(GasDiscountRate,T25,S25)*J25</f>
        <v>0</v>
      </c>
      <c r="AF25" s="52" t="e">
        <f>HLOOKUP(I25,GasAvoidedCostsWOCC!$A$5:$G$50,G25+1,FALSE)</f>
        <v>#N/A</v>
      </c>
      <c r="AG25" s="44" t="e">
        <f t="shared" ref="AG25:AG36" si="31">AF25*J25*K25</f>
        <v>#N/A</v>
      </c>
      <c r="AH25" s="52" t="e">
        <f>HLOOKUP(I25,GasAvoidedCostsWOCC!$A$5:$Q$50,T25+1,FALSE)</f>
        <v>#N/A</v>
      </c>
      <c r="AI25" s="44" t="e">
        <f t="shared" ref="AI25:AI36" si="32">AH25*J25*L25</f>
        <v>#N/A</v>
      </c>
      <c r="AJ25" s="44" t="e">
        <f t="shared" ref="AJ25:AJ36" si="33">AG25+AI25</f>
        <v>#N/A</v>
      </c>
      <c r="AK25" s="44" t="e">
        <f>HLOOKUP(I25,GasAvoidedCostsWOCC!$A$5:$Q$50,G25+1,FALSE)*J25*L25</f>
        <v>#N/A</v>
      </c>
      <c r="AL25" s="44" t="e">
        <f t="shared" ref="AL25:AL36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36" si="35">AM25*1.1+AD25+AE25</f>
        <v>0</v>
      </c>
      <c r="AO25" s="47">
        <f t="shared" ref="AO25:AO36" si="36">IFERROR(AM25/AB25,0)</f>
        <v>0</v>
      </c>
      <c r="AP25" s="47" t="e">
        <f t="shared" ref="AP25:AP3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</sheetData>
  <conditionalFormatting sqref="J5:L36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36 R5:S36">
    <cfRule type="expression" dxfId="112" priority="2">
      <formula>ISTEXT(M5)</formula>
    </cfRule>
  </conditionalFormatting>
  <conditionalFormatting sqref="M5:N36 R5:S36">
    <cfRule type="notContainsBlanks" dxfId="111" priority="3">
      <formula>LEN(TRIM(M5))&gt;0</formula>
    </cfRule>
  </conditionalFormatting>
  <conditionalFormatting sqref="R5:S36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1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9.1130117152479209E-4</v>
      </c>
      <c r="V5" s="48">
        <f t="shared" ref="V5:V24" si="2">N5-M5</f>
        <v>-1.42</v>
      </c>
      <c r="W5" s="49">
        <f t="shared" ref="W5:W24" si="3">(O5/A$10)</f>
        <v>9.1130117152479209E-5</v>
      </c>
      <c r="X5" s="44">
        <f t="shared" ref="X5:X24" si="4">W5*A$8</f>
        <v>11.048528829955284</v>
      </c>
      <c r="Y5" s="44">
        <f t="shared" ref="Y5:Y24" si="5">Q5-P5</f>
        <v>-1.42</v>
      </c>
      <c r="Z5" s="44">
        <f t="shared" ref="Z5:Z24" si="6">X5+(A$6*W5)</f>
        <v>16.872004859434934</v>
      </c>
      <c r="AA5" s="50">
        <f t="shared" ref="AA5:AA24" si="7">Q5+X5</f>
        <v>12.628528829955284</v>
      </c>
      <c r="AB5" s="51">
        <f t="shared" ref="AB5:AB24" si="8">Z5/(1+GasDiscountRate)^1</f>
        <v>15.772651079213736</v>
      </c>
      <c r="AC5" s="44">
        <f t="shared" ref="AC5:AC24" si="9">AA5/(1+GasDiscountRate)^1</f>
        <v>11.805673394367844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1.3127870393779799</v>
      </c>
      <c r="AP5" s="47">
        <f>AN5/AC5</f>
        <v>7.2196416912663706</v>
      </c>
      <c r="AQ5">
        <v>2021</v>
      </c>
    </row>
    <row r="6" spans="1:43" ht="13.5" customHeight="1">
      <c r="A6" s="53">
        <f>SUMIF('Program Costs'!D:D,C2,'Program Costs'!L:L)</f>
        <v>63902.87</v>
      </c>
      <c r="B6" s="97" t="s">
        <v>33</v>
      </c>
      <c r="C6" s="98">
        <v>18230700</v>
      </c>
      <c r="D6" s="61" t="s">
        <v>118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0.36756861390777562</v>
      </c>
      <c r="V6" s="48">
        <f t="shared" si="2"/>
        <v>-1.42</v>
      </c>
      <c r="W6" s="49">
        <f t="shared" si="3"/>
        <v>3.6756861390777565E-2</v>
      </c>
      <c r="X6" s="44">
        <f t="shared" si="4"/>
        <v>4456.3669559995506</v>
      </c>
      <c r="Y6" s="44">
        <f t="shared" si="5"/>
        <v>-790.94</v>
      </c>
      <c r="Z6" s="44">
        <f t="shared" si="6"/>
        <v>6805.235891062428</v>
      </c>
      <c r="AA6" s="50">
        <f t="shared" si="7"/>
        <v>5336.42695599955</v>
      </c>
      <c r="AB6" s="51">
        <f t="shared" si="8"/>
        <v>6361.8172301228642</v>
      </c>
      <c r="AC6" s="44">
        <f t="shared" si="9"/>
        <v>4988.7136169015139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1.3127870393779799</v>
      </c>
      <c r="AP6" s="47">
        <f t="shared" ref="AP6:AP24" si="17">AN6/AC6</f>
        <v>6.0349593489039961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3.205266189500993E-2</v>
      </c>
      <c r="V7" s="48">
        <f t="shared" si="2"/>
        <v>8.0000000000000071E-2</v>
      </c>
      <c r="W7" s="49">
        <f t="shared" si="3"/>
        <v>3.205266189500993E-3</v>
      </c>
      <c r="X7" s="44">
        <f t="shared" si="4"/>
        <v>388.60342781222033</v>
      </c>
      <c r="Y7" s="44">
        <f t="shared" si="5"/>
        <v>5.4399999999999977</v>
      </c>
      <c r="Z7" s="44">
        <f t="shared" si="6"/>
        <v>593.42913643529766</v>
      </c>
      <c r="AA7" s="50">
        <f t="shared" si="7"/>
        <v>496.04342781222033</v>
      </c>
      <c r="AB7" s="51">
        <f t="shared" si="8"/>
        <v>554.76221037234518</v>
      </c>
      <c r="AC7" s="44">
        <f t="shared" si="9"/>
        <v>463.72200412472682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1.3127870393779801</v>
      </c>
      <c r="AP7" s="47">
        <f t="shared" si="17"/>
        <v>4.3162976181677566</v>
      </c>
      <c r="AQ7">
        <v>2021</v>
      </c>
    </row>
    <row r="8" spans="1:43" ht="13.5" customHeight="1">
      <c r="A8" s="53">
        <f>SUMIF('Program Costs'!D:D,C2,'Program Costs'!O:O)</f>
        <v>121239.04999999999</v>
      </c>
      <c r="B8" s="97" t="s">
        <v>33</v>
      </c>
      <c r="C8" s="98">
        <v>18230700</v>
      </c>
      <c r="D8" s="61" t="s">
        <v>118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18230700</v>
      </c>
      <c r="D9" s="61" t="s">
        <v>118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31822.630000000005</v>
      </c>
      <c r="B10" s="97" t="s">
        <v>33</v>
      </c>
      <c r="C10" s="98">
        <v>18230700</v>
      </c>
      <c r="D10" s="61" t="s">
        <v>118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18230700</v>
      </c>
      <c r="D11" s="61" t="s">
        <v>118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4.0222948260404618E-3</v>
      </c>
      <c r="V11" s="48">
        <f t="shared" si="2"/>
        <v>3.6399999999999997</v>
      </c>
      <c r="W11" s="49">
        <f t="shared" si="3"/>
        <v>4.0222948260404618E-4</v>
      </c>
      <c r="X11" s="44">
        <f t="shared" si="4"/>
        <v>48.765920352906079</v>
      </c>
      <c r="Y11" s="44">
        <f t="shared" si="5"/>
        <v>116.47999999999999</v>
      </c>
      <c r="Z11" s="44">
        <f t="shared" si="6"/>
        <v>74.469538689919702</v>
      </c>
      <c r="AA11" s="50">
        <f t="shared" si="7"/>
        <v>213.24592035290607</v>
      </c>
      <c r="AB11" s="51">
        <f t="shared" si="8"/>
        <v>69.617218556529579</v>
      </c>
      <c r="AC11" s="44">
        <f t="shared" si="9"/>
        <v>199.35114551080306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1.3127870393779804</v>
      </c>
      <c r="AP11" s="47">
        <f t="shared" si="17"/>
        <v>4.0719222049152108</v>
      </c>
      <c r="AQ11">
        <v>2021</v>
      </c>
    </row>
    <row r="12" spans="1:43" ht="13.5" customHeight="1">
      <c r="A12" s="55">
        <f>SUM(P5:P1000)</f>
        <v>46461.399999999994</v>
      </c>
      <c r="B12" s="97" t="s">
        <v>33</v>
      </c>
      <c r="C12" s="98">
        <v>18230700</v>
      </c>
      <c r="D12" s="61" t="s">
        <v>118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18230700</v>
      </c>
      <c r="D13" s="61" t="s">
        <v>118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5.6563520991193992E-3</v>
      </c>
      <c r="V13" s="48">
        <f t="shared" si="2"/>
        <v>15.04</v>
      </c>
      <c r="W13" s="49">
        <f t="shared" si="3"/>
        <v>5.6563520991193992E-4</v>
      </c>
      <c r="X13" s="44">
        <f t="shared" si="4"/>
        <v>68.577075496274176</v>
      </c>
      <c r="Y13" s="44">
        <f t="shared" si="5"/>
        <v>-19.920000000000002</v>
      </c>
      <c r="Z13" s="44">
        <f t="shared" si="6"/>
        <v>104.72278878269958</v>
      </c>
      <c r="AA13" s="50">
        <f t="shared" si="7"/>
        <v>108.65707549627417</v>
      </c>
      <c r="AB13" s="51">
        <f t="shared" si="8"/>
        <v>97.899213595119733</v>
      </c>
      <c r="AC13" s="44">
        <f t="shared" si="9"/>
        <v>101.57714826238588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1.3127870393779801</v>
      </c>
      <c r="AP13" s="47">
        <f t="shared" si="17"/>
        <v>4.0603375539169919</v>
      </c>
      <c r="AQ13">
        <v>2021</v>
      </c>
    </row>
    <row r="14" spans="1:43" ht="13.5" customHeight="1">
      <c r="A14" s="55">
        <f>SUM(Y5:Y1000)</f>
        <v>-14946.339999999971</v>
      </c>
      <c r="B14" s="97" t="s">
        <v>33</v>
      </c>
      <c r="C14" s="98">
        <v>18230700</v>
      </c>
      <c r="D14" s="61" t="s">
        <v>118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0.11746357859171287</v>
      </c>
      <c r="V14" s="48">
        <f t="shared" si="2"/>
        <v>-0.99000000000000021</v>
      </c>
      <c r="W14" s="49">
        <f t="shared" si="3"/>
        <v>1.1746357859171287E-2</v>
      </c>
      <c r="X14" s="44">
        <f t="shared" si="4"/>
        <v>1424.1172678059604</v>
      </c>
      <c r="Y14" s="44">
        <f t="shared" si="5"/>
        <v>-265.22000000000003</v>
      </c>
      <c r="Z14" s="44">
        <f t="shared" si="6"/>
        <v>2174.7432470540616</v>
      </c>
      <c r="AA14" s="50">
        <f t="shared" si="7"/>
        <v>2493.8972678059604</v>
      </c>
      <c r="AB14" s="51">
        <f t="shared" si="8"/>
        <v>2033.0403356586532</v>
      </c>
      <c r="AC14" s="44">
        <f t="shared" si="9"/>
        <v>2331.3987733064973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1.3127870393779799</v>
      </c>
      <c r="AP14" s="47">
        <f t="shared" si="17"/>
        <v>11.607020823555784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18230700</v>
      </c>
      <c r="D15" s="61" t="s">
        <v>118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7.4035364141807877E-2</v>
      </c>
      <c r="V16" s="48">
        <f t="shared" si="2"/>
        <v>3.9000000000000004</v>
      </c>
      <c r="W16" s="49">
        <f t="shared" si="3"/>
        <v>7.4035364141807882E-3</v>
      </c>
      <c r="X16" s="44">
        <f t="shared" si="4"/>
        <v>897.59772149568516</v>
      </c>
      <c r="Y16" s="44">
        <f t="shared" si="5"/>
        <v>1778.1000000000199</v>
      </c>
      <c r="Z16" s="44">
        <f t="shared" si="6"/>
        <v>1370.7049465113462</v>
      </c>
      <c r="AA16" s="50">
        <f t="shared" si="7"/>
        <v>4078.1977214957051</v>
      </c>
      <c r="AB16" s="51">
        <f t="shared" si="8"/>
        <v>1281.3919290561334</v>
      </c>
      <c r="AC16" s="44">
        <f t="shared" si="9"/>
        <v>3812.4686561612648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1.3127870393779693</v>
      </c>
      <c r="AP16" s="47">
        <f t="shared" si="17"/>
        <v>4.527514445401609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18230700</v>
      </c>
      <c r="D17" s="61" t="s">
        <v>118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185141.91999999998</v>
      </c>
      <c r="B18" s="97" t="s">
        <v>33</v>
      </c>
      <c r="C18" s="98">
        <v>18230700</v>
      </c>
      <c r="D18" s="61" t="s">
        <v>118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0.17547261178601545</v>
      </c>
      <c r="V18" s="48">
        <f t="shared" si="2"/>
        <v>12.399999999999999</v>
      </c>
      <c r="W18" s="49">
        <f t="shared" si="3"/>
        <v>1.7547261178601545E-2</v>
      </c>
      <c r="X18" s="44">
        <f t="shared" si="4"/>
        <v>2127.4132753955314</v>
      </c>
      <c r="Y18" s="44">
        <f t="shared" si="5"/>
        <v>3072.6000000000004</v>
      </c>
      <c r="Z18" s="44">
        <f t="shared" si="6"/>
        <v>3248.7336253477524</v>
      </c>
      <c r="AA18" s="50">
        <f t="shared" si="7"/>
        <v>8200.0132753955313</v>
      </c>
      <c r="AB18" s="51">
        <f t="shared" si="8"/>
        <v>3037.051159528608</v>
      </c>
      <c r="AC18" s="44">
        <f t="shared" si="9"/>
        <v>7665.7130741287565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1.3127870393779781</v>
      </c>
      <c r="AP18" s="47">
        <f t="shared" si="17"/>
        <v>1.7632978783405293</v>
      </c>
      <c r="AQ18">
        <v>2021</v>
      </c>
    </row>
    <row r="19" spans="1:43" ht="13.5" customHeight="1">
      <c r="A19" s="58" t="s">
        <v>231</v>
      </c>
      <c r="B19" s="97" t="s">
        <v>33</v>
      </c>
      <c r="C19" s="100">
        <v>18230700</v>
      </c>
      <c r="D19" s="100" t="s">
        <v>118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2.7</v>
      </c>
      <c r="L19" s="41"/>
      <c r="M19" s="42">
        <v>3</v>
      </c>
      <c r="N19" s="42">
        <v>0.01</v>
      </c>
      <c r="O19" s="43">
        <v>1498.71000000001</v>
      </c>
      <c r="P19" s="44">
        <v>2501.1</v>
      </c>
      <c r="Q19" s="44">
        <v>5.6099999999999497</v>
      </c>
      <c r="R19" s="45"/>
      <c r="S19" s="46">
        <v>0</v>
      </c>
      <c r="T19" s="39">
        <f t="shared" si="0"/>
        <v>10</v>
      </c>
      <c r="U19" s="47">
        <f t="shared" si="1"/>
        <v>0.47095730302618288</v>
      </c>
      <c r="V19" s="48">
        <f t="shared" si="2"/>
        <v>-2.99</v>
      </c>
      <c r="W19" s="49">
        <f t="shared" si="3"/>
        <v>4.7095730302618287E-2</v>
      </c>
      <c r="X19" s="44">
        <f t="shared" si="4"/>
        <v>5709.8416009456532</v>
      </c>
      <c r="Y19" s="44">
        <f t="shared" si="5"/>
        <v>-2495.4899999999998</v>
      </c>
      <c r="Z19" s="44">
        <f t="shared" si="6"/>
        <v>8719.3939320289301</v>
      </c>
      <c r="AA19" s="50">
        <f t="shared" si="7"/>
        <v>5715.4516009456529</v>
      </c>
      <c r="AB19" s="51">
        <f t="shared" si="8"/>
        <v>8151.2516892857147</v>
      </c>
      <c r="AC19" s="44">
        <f t="shared" si="9"/>
        <v>5343.0416013327595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10700.707631446847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10700.707631446847</v>
      </c>
      <c r="AK19" s="44">
        <f>HLOOKUP(I19,GasAvoidedCostsWOCC!$A$5:$Q$50,G19+1,FALSE)*J19*L19</f>
        <v>0</v>
      </c>
      <c r="AL19" s="44">
        <f t="shared" si="14"/>
        <v>10700.707631446847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10700.707631446847</v>
      </c>
      <c r="AN19" s="48">
        <f t="shared" si="15"/>
        <v>11770.778394591533</v>
      </c>
      <c r="AO19" s="47">
        <f t="shared" si="16"/>
        <v>1.3127686445398594</v>
      </c>
      <c r="AP19" s="47">
        <f t="shared" si="17"/>
        <v>2.2030108078618458</v>
      </c>
      <c r="AQ19">
        <v>2020</v>
      </c>
    </row>
    <row r="20" spans="1:43" ht="13.5" customHeight="1">
      <c r="A20" s="59">
        <f>A8+SUM(Q5:Q906)</f>
        <v>152754.11000000002</v>
      </c>
      <c r="B20" s="97" t="s">
        <v>33</v>
      </c>
      <c r="C20" s="100">
        <v>18230700</v>
      </c>
      <c r="D20" s="100" t="s">
        <v>118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1.8</v>
      </c>
      <c r="L20" s="41"/>
      <c r="M20" s="42">
        <v>3</v>
      </c>
      <c r="N20" s="42">
        <v>0.01</v>
      </c>
      <c r="O20" s="43">
        <v>1830.6</v>
      </c>
      <c r="P20" s="44">
        <v>3051</v>
      </c>
      <c r="Q20" s="44">
        <v>10.17</v>
      </c>
      <c r="R20" s="45"/>
      <c r="S20" s="46">
        <v>0</v>
      </c>
      <c r="T20" s="39">
        <f t="shared" si="0"/>
        <v>10</v>
      </c>
      <c r="U20" s="47">
        <f t="shared" si="1"/>
        <v>0.57525100848044286</v>
      </c>
      <c r="V20" s="48">
        <f t="shared" si="2"/>
        <v>-2.99</v>
      </c>
      <c r="W20" s="49">
        <f t="shared" si="3"/>
        <v>5.752510084804429E-2</v>
      </c>
      <c r="X20" s="44">
        <f t="shared" si="4"/>
        <v>6974.2885779710832</v>
      </c>
      <c r="Y20" s="44">
        <f t="shared" si="5"/>
        <v>-3040.83</v>
      </c>
      <c r="Z20" s="44">
        <f t="shared" si="6"/>
        <v>10650.307619200546</v>
      </c>
      <c r="AA20" s="50">
        <f t="shared" si="7"/>
        <v>6984.4585779710833</v>
      </c>
      <c r="AB20" s="51">
        <f t="shared" si="8"/>
        <v>9956.3500226236756</v>
      </c>
      <c r="AC20" s="44">
        <f t="shared" si="9"/>
        <v>6529.3620435365829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13070.56726921102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13070.56726921102</v>
      </c>
      <c r="AK20" s="44">
        <f>HLOOKUP(I20,GasAvoidedCostsWOCC!$A$5:$Q$50,G20+1,FALSE)*J20*L20</f>
        <v>0</v>
      </c>
      <c r="AL20" s="44">
        <f t="shared" si="14"/>
        <v>13070.56726921102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13070.567269211022</v>
      </c>
      <c r="AN20" s="48">
        <f t="shared" si="15"/>
        <v>14377.623996132126</v>
      </c>
      <c r="AO20" s="47">
        <f t="shared" si="16"/>
        <v>1.3127870393779804</v>
      </c>
      <c r="AP20" s="47">
        <f t="shared" si="17"/>
        <v>2.2019952179500506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18230700</v>
      </c>
      <c r="D21" s="100" t="s">
        <v>118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0.1</v>
      </c>
      <c r="L21" s="41"/>
      <c r="M21" s="42">
        <v>0.9</v>
      </c>
      <c r="N21" s="42">
        <v>0.01</v>
      </c>
      <c r="O21" s="43">
        <v>156.979999999999</v>
      </c>
      <c r="P21" s="44">
        <v>3009.2999999999802</v>
      </c>
      <c r="Q21" s="44">
        <v>15.6999999999998</v>
      </c>
      <c r="R21" s="45"/>
      <c r="S21" s="46">
        <v>0</v>
      </c>
      <c r="T21" s="39">
        <f t="shared" si="0"/>
        <v>10</v>
      </c>
      <c r="U21" s="47">
        <f t="shared" si="1"/>
        <v>4.9329675139986533E-2</v>
      </c>
      <c r="V21" s="48">
        <f t="shared" si="2"/>
        <v>-0.89</v>
      </c>
      <c r="W21" s="49">
        <f t="shared" si="3"/>
        <v>4.9329675139986534E-3</v>
      </c>
      <c r="X21" s="44">
        <f t="shared" si="4"/>
        <v>598.06829507805844</v>
      </c>
      <c r="Y21" s="44">
        <f t="shared" si="5"/>
        <v>-2993.5999999999804</v>
      </c>
      <c r="Z21" s="44">
        <f t="shared" si="6"/>
        <v>913.29907683933766</v>
      </c>
      <c r="AA21" s="50">
        <f t="shared" si="7"/>
        <v>613.76829507805826</v>
      </c>
      <c r="AB21" s="51">
        <f t="shared" si="8"/>
        <v>853.7899194534333</v>
      </c>
      <c r="AC21" s="44">
        <f t="shared" si="9"/>
        <v>573.77610084889056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1120.8586207010185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1120.8586207010185</v>
      </c>
      <c r="AK21" s="44">
        <f>HLOOKUP(I21,GasAvoidedCostsWOCC!$A$5:$Q$50,G21+1,FALSE)*J21*L21</f>
        <v>0</v>
      </c>
      <c r="AL21" s="44">
        <f t="shared" si="14"/>
        <v>1120.8586207010185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1120.8586207010185</v>
      </c>
      <c r="AN21" s="48">
        <f t="shared" si="15"/>
        <v>1232.9444827711204</v>
      </c>
      <c r="AO21" s="47">
        <f t="shared" si="16"/>
        <v>1.3128037649104047</v>
      </c>
      <c r="AP21" s="47">
        <f t="shared" si="17"/>
        <v>2.1488250921343761</v>
      </c>
      <c r="AQ21">
        <v>2020</v>
      </c>
    </row>
    <row r="22" spans="1:43" ht="13.5" customHeight="1">
      <c r="A22" s="60">
        <f>(SUM(AM5:AM1000)/(SUM(AB5:AB1000)))</f>
        <v>1.3127713631414473</v>
      </c>
      <c r="B22" s="97" t="s">
        <v>33</v>
      </c>
      <c r="C22" s="100">
        <v>18230700</v>
      </c>
      <c r="D22" s="100" t="s">
        <v>118</v>
      </c>
      <c r="E22" s="38" t="s">
        <v>1923</v>
      </c>
      <c r="F22" s="39" t="s">
        <v>1924</v>
      </c>
      <c r="G22" s="39">
        <v>10</v>
      </c>
      <c r="H22" s="39"/>
      <c r="I22" s="40" t="s">
        <v>265</v>
      </c>
      <c r="J22" s="41">
        <v>53.77</v>
      </c>
      <c r="K22" s="41">
        <v>4.9000000000000004</v>
      </c>
      <c r="L22" s="41"/>
      <c r="M22" s="42">
        <v>10</v>
      </c>
      <c r="N22" s="42">
        <v>0.01</v>
      </c>
      <c r="O22" s="43">
        <v>263.52999999999997</v>
      </c>
      <c r="P22" s="44">
        <v>1645</v>
      </c>
      <c r="Q22" s="44">
        <v>0.54</v>
      </c>
      <c r="R22" s="45">
        <v>14.31</v>
      </c>
      <c r="S22" s="46">
        <v>0</v>
      </c>
      <c r="T22" s="39">
        <f t="shared" si="0"/>
        <v>10</v>
      </c>
      <c r="U22" s="47">
        <f t="shared" si="1"/>
        <v>8.281213714894084E-2</v>
      </c>
      <c r="V22" s="48">
        <f t="shared" si="2"/>
        <v>-9.99</v>
      </c>
      <c r="W22" s="49">
        <f t="shared" si="3"/>
        <v>8.281213714894084E-3</v>
      </c>
      <c r="X22" s="44">
        <f t="shared" si="4"/>
        <v>1004.0064836407295</v>
      </c>
      <c r="Y22" s="44">
        <f t="shared" si="5"/>
        <v>-1644.46</v>
      </c>
      <c r="Z22" s="44">
        <f t="shared" si="6"/>
        <v>1533.1998071058233</v>
      </c>
      <c r="AA22" s="50">
        <f t="shared" si="7"/>
        <v>1004.5464836407294</v>
      </c>
      <c r="AB22" s="51">
        <f t="shared" si="8"/>
        <v>1433.2988754845501</v>
      </c>
      <c r="AC22" s="44">
        <f t="shared" si="9"/>
        <v>939.09178614633015</v>
      </c>
      <c r="AD22" s="44">
        <f t="shared" si="10"/>
        <v>5411.7880398723673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1881.2092046983698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1881.2092046983698</v>
      </c>
      <c r="AK22" s="44">
        <f>HLOOKUP(I22,GasAvoidedCostsWOCC!$A$5:$Q$50,G22+1,FALSE)*J22*L22</f>
        <v>0</v>
      </c>
      <c r="AL22" s="44">
        <f t="shared" si="14"/>
        <v>1881.2092046983698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1881.2092046983698</v>
      </c>
      <c r="AN22" s="48">
        <f t="shared" si="15"/>
        <v>7481.1181650405742</v>
      </c>
      <c r="AO22" s="47">
        <f t="shared" si="16"/>
        <v>1.3125030912079634</v>
      </c>
      <c r="AP22" s="47">
        <f t="shared" si="17"/>
        <v>7.9663332971318948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18230700</v>
      </c>
      <c r="D23" s="100" t="s">
        <v>118</v>
      </c>
      <c r="E23" s="38" t="s">
        <v>1925</v>
      </c>
      <c r="F23" s="39" t="s">
        <v>1926</v>
      </c>
      <c r="G23" s="39">
        <v>10</v>
      </c>
      <c r="H23" s="39"/>
      <c r="I23" s="40" t="s">
        <v>265</v>
      </c>
      <c r="J23" s="41">
        <v>0.35</v>
      </c>
      <c r="K23" s="41">
        <v>2.8</v>
      </c>
      <c r="L23" s="41"/>
      <c r="M23" s="42">
        <v>3</v>
      </c>
      <c r="N23" s="42">
        <v>0.01</v>
      </c>
      <c r="O23" s="43">
        <v>0.98</v>
      </c>
      <c r="P23" s="44">
        <v>3</v>
      </c>
      <c r="Q23" s="44">
        <v>0</v>
      </c>
      <c r="R23" s="45">
        <v>3.41</v>
      </c>
      <c r="S23" s="46">
        <v>0</v>
      </c>
      <c r="T23" s="39">
        <f t="shared" si="0"/>
        <v>10</v>
      </c>
      <c r="U23" s="47">
        <f t="shared" si="1"/>
        <v>3.0795694761872287E-4</v>
      </c>
      <c r="V23" s="48">
        <f t="shared" si="2"/>
        <v>-2.99</v>
      </c>
      <c r="W23" s="49">
        <f t="shared" si="3"/>
        <v>3.0795694761872286E-5</v>
      </c>
      <c r="X23" s="44">
        <f t="shared" si="4"/>
        <v>3.7336407770193718</v>
      </c>
      <c r="Y23" s="44">
        <f t="shared" si="5"/>
        <v>-3</v>
      </c>
      <c r="Z23" s="44">
        <f t="shared" si="6"/>
        <v>5.7015740559469776</v>
      </c>
      <c r="AA23" s="50">
        <f t="shared" si="7"/>
        <v>3.7336407770193718</v>
      </c>
      <c r="AB23" s="51">
        <f t="shared" si="8"/>
        <v>5.3300682957342964</v>
      </c>
      <c r="AC23" s="44">
        <f t="shared" si="9"/>
        <v>3.4903625100676559</v>
      </c>
      <c r="AD23" s="44">
        <f t="shared" si="10"/>
        <v>8.3942815493582223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6.9972445776394609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6.9972445776394609</v>
      </c>
      <c r="AK23" s="44">
        <f>HLOOKUP(I23,GasAvoidedCostsWOCC!$A$5:$Q$50,G23+1,FALSE)*J23*L23</f>
        <v>0</v>
      </c>
      <c r="AL23" s="44">
        <f t="shared" si="14"/>
        <v>6.9972445776394609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6.9972445776394609</v>
      </c>
      <c r="AN23" s="48">
        <f t="shared" si="15"/>
        <v>16.091250584761632</v>
      </c>
      <c r="AO23" s="47">
        <f t="shared" si="16"/>
        <v>1.3127870393779797</v>
      </c>
      <c r="AP23" s="47">
        <f t="shared" si="17"/>
        <v>4.6101946540933154</v>
      </c>
      <c r="AQ23">
        <v>2020</v>
      </c>
    </row>
    <row r="24" spans="1:43" ht="13.5" customHeight="1">
      <c r="A24" s="60">
        <f>(SUM(AN5:AN1000)/SUM(AC5:AC1000))</f>
        <v>5.5388187576253607</v>
      </c>
      <c r="B24" s="97" t="s">
        <v>33</v>
      </c>
      <c r="C24" s="61">
        <v>18230700</v>
      </c>
      <c r="D24" s="61" t="s">
        <v>118</v>
      </c>
      <c r="E24" s="38" t="s">
        <v>1933</v>
      </c>
      <c r="F24" s="39" t="s">
        <v>1934</v>
      </c>
      <c r="G24" s="39">
        <v>10</v>
      </c>
      <c r="H24" s="39"/>
      <c r="I24" s="40" t="s">
        <v>265</v>
      </c>
      <c r="J24" s="41">
        <v>1020.24</v>
      </c>
      <c r="K24" s="41">
        <v>0.6</v>
      </c>
      <c r="L24" s="41"/>
      <c r="M24" s="42">
        <v>0.54</v>
      </c>
      <c r="N24" s="42">
        <v>0.54</v>
      </c>
      <c r="O24" s="43">
        <v>612.13</v>
      </c>
      <c r="P24" s="44">
        <v>192.240000000001</v>
      </c>
      <c r="Q24" s="44">
        <v>550.94000000000005</v>
      </c>
      <c r="R24" s="45"/>
      <c r="S24" s="46">
        <v>0</v>
      </c>
      <c r="T24" s="39">
        <f t="shared" si="0"/>
        <v>10</v>
      </c>
      <c r="U24" s="47">
        <f t="shared" si="1"/>
        <v>0.19235682280188654</v>
      </c>
      <c r="V24" s="48">
        <f t="shared" si="2"/>
        <v>0</v>
      </c>
      <c r="W24" s="49">
        <f t="shared" si="3"/>
        <v>1.9235682280188654E-2</v>
      </c>
      <c r="X24" s="44">
        <f t="shared" si="4"/>
        <v>2332.1158457519059</v>
      </c>
      <c r="Y24" s="44">
        <f t="shared" si="5"/>
        <v>358.69999999999902</v>
      </c>
      <c r="Z24" s="44">
        <f t="shared" si="6"/>
        <v>3561.3311498641051</v>
      </c>
      <c r="AA24" s="50">
        <f t="shared" si="7"/>
        <v>2883.055845751906</v>
      </c>
      <c r="AB24" s="51">
        <f t="shared" si="8"/>
        <v>3329.2803121100355</v>
      </c>
      <c r="AC24" s="44">
        <f t="shared" si="9"/>
        <v>2695.2003793137383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4370.7360048311548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4370.7360048311548</v>
      </c>
      <c r="AK24" s="44">
        <f>HLOOKUP(I24,GasAvoidedCostsWOCC!$A$5:$Q$50,G24+1,FALSE)*J24*L24</f>
        <v>0</v>
      </c>
      <c r="AL24" s="44">
        <f t="shared" si="14"/>
        <v>4370.7360048311548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4370.7360048311539</v>
      </c>
      <c r="AN24" s="48">
        <f t="shared" si="15"/>
        <v>4807.8096053142699</v>
      </c>
      <c r="AO24" s="47">
        <f t="shared" si="16"/>
        <v>1.3128170640762487</v>
      </c>
      <c r="AP24" s="47">
        <f t="shared" si="17"/>
        <v>1.7838412469125773</v>
      </c>
      <c r="AQ24">
        <v>2020</v>
      </c>
    </row>
    <row r="25" spans="1:43" ht="13.5" customHeight="1">
      <c r="B25" s="97" t="s">
        <v>33</v>
      </c>
      <c r="C25" s="61">
        <v>18230700</v>
      </c>
      <c r="D25" s="61" t="s">
        <v>118</v>
      </c>
      <c r="E25" s="38" t="s">
        <v>1935</v>
      </c>
      <c r="F25" s="39" t="s">
        <v>1934</v>
      </c>
      <c r="G25" s="39">
        <v>10</v>
      </c>
      <c r="H25" s="39"/>
      <c r="I25" s="40" t="s">
        <v>265</v>
      </c>
      <c r="J25" s="41">
        <v>487.55</v>
      </c>
      <c r="K25" s="41">
        <v>0.5</v>
      </c>
      <c r="L25" s="41"/>
      <c r="M25" s="42">
        <v>0.54</v>
      </c>
      <c r="N25" s="42">
        <v>0.54</v>
      </c>
      <c r="O25" s="43">
        <v>243.91</v>
      </c>
      <c r="P25" s="44">
        <v>114.34</v>
      </c>
      <c r="Q25" s="44">
        <v>263.37</v>
      </c>
      <c r="R25" s="45"/>
      <c r="S25" s="46">
        <v>0</v>
      </c>
      <c r="T25" s="39">
        <f t="shared" ref="T25:T61" si="19">G25+H25</f>
        <v>10</v>
      </c>
      <c r="U25" s="47">
        <f t="shared" ref="U25:U61" si="20">(O25/$A$10)*T25</f>
        <v>7.6646713360900703E-2</v>
      </c>
      <c r="V25" s="48">
        <f t="shared" ref="V25:V61" si="21">N25-M25</f>
        <v>0</v>
      </c>
      <c r="W25" s="49">
        <f t="shared" ref="W25:W61" si="22">(O25/A$10)</f>
        <v>7.6646713360900703E-3</v>
      </c>
      <c r="X25" s="44">
        <f t="shared" ref="X25:X61" si="23">W25*A$8</f>
        <v>929.25747134979076</v>
      </c>
      <c r="Y25" s="44">
        <f t="shared" ref="Y25:Y61" si="24">Q25-P25</f>
        <v>149.03</v>
      </c>
      <c r="Z25" s="44">
        <f t="shared" ref="Z25:Z61" si="25">X25+(A$6*W25)</f>
        <v>1419.0519673326808</v>
      </c>
      <c r="AA25" s="50">
        <f t="shared" ref="AA25:AA61" si="26">Q25+X25</f>
        <v>1192.6274713497908</v>
      </c>
      <c r="AB25" s="51">
        <f t="shared" ref="AB25:AB61" si="27">Z25/(1+GasDiscountRate)^1</f>
        <v>1326.5887326658694</v>
      </c>
      <c r="AC25" s="44">
        <f t="shared" ref="AC25:AC61" si="28">AA25/(1+GasDiscountRate)^1</f>
        <v>1114.9177071606905</v>
      </c>
      <c r="AD25" s="44">
        <f t="shared" ref="AD25:AD61" si="29">-PV(GasDiscountRate,T25,R25)*J25</f>
        <v>0</v>
      </c>
      <c r="AE25" s="44">
        <f t="shared" ref="AE25:AE61" si="30">-PV(GasDiscountRate,T25,S25)*J25</f>
        <v>0</v>
      </c>
      <c r="AF25" s="52">
        <f>HLOOKUP(I25,GasAvoidedCostsWOCC!$A$5:$G$50,G25+1,FALSE)</f>
        <v>7.1400454873872068</v>
      </c>
      <c r="AG25" s="44">
        <f t="shared" ref="AG25:AG61" si="31">AF25*J25*K25</f>
        <v>1740.5645886878165</v>
      </c>
      <c r="AH25" s="52">
        <f>HLOOKUP(I25,GasAvoidedCostsWOCC!$A$5:$Q$50,T25+1,FALSE)</f>
        <v>7.1400454873872068</v>
      </c>
      <c r="AI25" s="44">
        <f t="shared" ref="AI25:AI61" si="32">AH25*J25*L25</f>
        <v>0</v>
      </c>
      <c r="AJ25" s="44">
        <f t="shared" ref="AJ25:AJ61" si="33">AG25+AI25</f>
        <v>1740.5645886878165</v>
      </c>
      <c r="AK25" s="44">
        <f>HLOOKUP(I25,GasAvoidedCostsWOCC!$A$5:$Q$50,G25+1,FALSE)*J25*L25</f>
        <v>0</v>
      </c>
      <c r="AL25" s="44">
        <f t="shared" ref="AL25:AL61" si="34">AG25+AI25-AK25</f>
        <v>1740.5645886878165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1740.5645886878165</v>
      </c>
      <c r="AN25" s="48">
        <f t="shared" ref="AN25:AN61" si="35">AM25*1.1+AD25+AE25</f>
        <v>1914.6210475565983</v>
      </c>
      <c r="AO25" s="47">
        <f t="shared" ref="AO25:AO61" si="36">IFERROR(AM25/AB25,0)</f>
        <v>1.3120604342764428</v>
      </c>
      <c r="AP25" s="47">
        <f t="shared" ref="AP25:AP61" si="37">AN25/AC25</f>
        <v>1.7172756655129959</v>
      </c>
      <c r="AQ25">
        <v>2020</v>
      </c>
    </row>
    <row r="26" spans="1:43" ht="13.5" customHeight="1">
      <c r="B26" s="97" t="s">
        <v>33</v>
      </c>
      <c r="C26" s="61">
        <v>18230700</v>
      </c>
      <c r="D26" s="61" t="s">
        <v>118</v>
      </c>
      <c r="E26" s="38" t="s">
        <v>1936</v>
      </c>
      <c r="F26" s="39" t="s">
        <v>1937</v>
      </c>
      <c r="G26" s="39">
        <v>10</v>
      </c>
      <c r="H26" s="39"/>
      <c r="I26" s="40" t="s">
        <v>265</v>
      </c>
      <c r="J26" s="41">
        <v>168.33</v>
      </c>
      <c r="K26" s="41">
        <v>0.8</v>
      </c>
      <c r="L26" s="41"/>
      <c r="M26" s="42">
        <v>1.81</v>
      </c>
      <c r="N26" s="42">
        <v>1.81</v>
      </c>
      <c r="O26" s="43">
        <v>134.68</v>
      </c>
      <c r="P26" s="44">
        <v>216</v>
      </c>
      <c r="Q26" s="44">
        <v>304.72000000000003</v>
      </c>
      <c r="R26" s="45">
        <v>2.74</v>
      </c>
      <c r="S26" s="46">
        <v>0</v>
      </c>
      <c r="T26" s="39">
        <f t="shared" si="19"/>
        <v>10</v>
      </c>
      <c r="U26" s="47">
        <f t="shared" si="20"/>
        <v>4.2322083372744485E-2</v>
      </c>
      <c r="V26" s="48">
        <f t="shared" si="21"/>
        <v>0</v>
      </c>
      <c r="W26" s="49">
        <f t="shared" si="22"/>
        <v>4.2322083372744483E-3</v>
      </c>
      <c r="X26" s="44">
        <f t="shared" si="23"/>
        <v>513.10891821323366</v>
      </c>
      <c r="Y26" s="44">
        <f t="shared" si="24"/>
        <v>88.720000000000027</v>
      </c>
      <c r="Z26" s="44">
        <f t="shared" si="25"/>
        <v>783.5591774029989</v>
      </c>
      <c r="AA26" s="50">
        <f t="shared" si="26"/>
        <v>817.82891821323369</v>
      </c>
      <c r="AB26" s="51">
        <f t="shared" si="27"/>
        <v>732.50367149948477</v>
      </c>
      <c r="AC26" s="44">
        <f t="shared" si="28"/>
        <v>764.54044892328091</v>
      </c>
      <c r="AD26" s="44">
        <f t="shared" si="29"/>
        <v>3243.9428505886108</v>
      </c>
      <c r="AE26" s="44">
        <f t="shared" si="30"/>
        <v>0</v>
      </c>
      <c r="AF26" s="52">
        <f>HLOOKUP(I26,GasAvoidedCostsWOCC!$A$5:$G$50,G26+1,FALSE)</f>
        <v>7.1400454873872068</v>
      </c>
      <c r="AG26" s="44">
        <f t="shared" si="31"/>
        <v>961.5070855135109</v>
      </c>
      <c r="AH26" s="52">
        <f>HLOOKUP(I26,GasAvoidedCostsWOCC!$A$5:$Q$50,T26+1,FALSE)</f>
        <v>7.1400454873872068</v>
      </c>
      <c r="AI26" s="44">
        <f t="shared" si="32"/>
        <v>0</v>
      </c>
      <c r="AJ26" s="44">
        <f t="shared" si="33"/>
        <v>961.5070855135109</v>
      </c>
      <c r="AK26" s="44">
        <f>HLOOKUP(I26,GasAvoidedCostsWOCC!$A$5:$Q$50,G26+1,FALSE)*J26*L26</f>
        <v>0</v>
      </c>
      <c r="AL26" s="44">
        <f t="shared" si="34"/>
        <v>961.5070855135109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961.50708551351102</v>
      </c>
      <c r="AN26" s="48">
        <f t="shared" si="35"/>
        <v>4301.600644653473</v>
      </c>
      <c r="AO26" s="47">
        <f t="shared" si="36"/>
        <v>1.3126310801217429</v>
      </c>
      <c r="AP26" s="47">
        <f t="shared" si="37"/>
        <v>5.6263872640244363</v>
      </c>
      <c r="AQ26">
        <v>2020</v>
      </c>
    </row>
    <row r="27" spans="1:43" ht="13.5" customHeight="1">
      <c r="B27" s="97" t="s">
        <v>33</v>
      </c>
      <c r="C27" s="61">
        <v>18230700</v>
      </c>
      <c r="D27" s="61" t="s">
        <v>118</v>
      </c>
      <c r="E27" s="38" t="s">
        <v>1941</v>
      </c>
      <c r="F27" s="39" t="s">
        <v>1942</v>
      </c>
      <c r="G27" s="39">
        <v>10</v>
      </c>
      <c r="H27" s="39"/>
      <c r="I27" s="40" t="s">
        <v>265</v>
      </c>
      <c r="J27" s="41">
        <v>510.12</v>
      </c>
      <c r="K27" s="41">
        <v>0.9</v>
      </c>
      <c r="L27" s="41"/>
      <c r="M27" s="42">
        <v>0.54</v>
      </c>
      <c r="N27" s="42">
        <v>0.54</v>
      </c>
      <c r="O27" s="43">
        <v>459.08999999999799</v>
      </c>
      <c r="P27" s="44">
        <v>240.29999999999899</v>
      </c>
      <c r="Q27" s="44">
        <v>275.49</v>
      </c>
      <c r="R27" s="45">
        <v>3.8</v>
      </c>
      <c r="S27" s="46">
        <v>0</v>
      </c>
      <c r="T27" s="39">
        <f t="shared" si="19"/>
        <v>10</v>
      </c>
      <c r="U27" s="47">
        <f t="shared" si="20"/>
        <v>0.14426526028803965</v>
      </c>
      <c r="V27" s="48">
        <f t="shared" si="21"/>
        <v>0</v>
      </c>
      <c r="W27" s="49">
        <f t="shared" si="22"/>
        <v>1.4426526028803965E-2</v>
      </c>
      <c r="X27" s="44">
        <f t="shared" si="23"/>
        <v>1749.0583105324652</v>
      </c>
      <c r="Y27" s="44">
        <f t="shared" si="24"/>
        <v>35.190000000001021</v>
      </c>
      <c r="Z27" s="44">
        <f t="shared" si="25"/>
        <v>2670.9547279027411</v>
      </c>
      <c r="AA27" s="50">
        <f t="shared" si="26"/>
        <v>2024.5483105324652</v>
      </c>
      <c r="AB27" s="51">
        <f t="shared" si="27"/>
        <v>2496.9194427435177</v>
      </c>
      <c r="AC27" s="44">
        <f t="shared" si="28"/>
        <v>1892.6318692460175</v>
      </c>
      <c r="AD27" s="44">
        <f t="shared" si="29"/>
        <v>13633.804302507533</v>
      </c>
      <c r="AE27" s="44">
        <f t="shared" si="30"/>
        <v>0</v>
      </c>
      <c r="AF27" s="52">
        <f>HLOOKUP(I27,GasAvoidedCostsWOCC!$A$5:$G$50,G27+1,FALSE)</f>
        <v>7.1400454873872068</v>
      </c>
      <c r="AG27" s="44">
        <f t="shared" si="31"/>
        <v>3278.0520036233661</v>
      </c>
      <c r="AH27" s="52">
        <f>HLOOKUP(I27,GasAvoidedCostsWOCC!$A$5:$Q$50,T27+1,FALSE)</f>
        <v>7.1400454873872068</v>
      </c>
      <c r="AI27" s="44">
        <f t="shared" si="32"/>
        <v>0</v>
      </c>
      <c r="AJ27" s="44">
        <f t="shared" si="33"/>
        <v>3278.0520036233661</v>
      </c>
      <c r="AK27" s="44">
        <f>HLOOKUP(I27,GasAvoidedCostsWOCC!$A$5:$Q$50,G27+1,FALSE)*J27*L27</f>
        <v>0</v>
      </c>
      <c r="AL27" s="44">
        <f t="shared" si="34"/>
        <v>3278.0520036233661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3278.0520036233661</v>
      </c>
      <c r="AN27" s="48">
        <f t="shared" si="35"/>
        <v>17239.661506493238</v>
      </c>
      <c r="AO27" s="47">
        <f t="shared" si="36"/>
        <v>1.312838511130167</v>
      </c>
      <c r="AP27" s="47">
        <f t="shared" si="37"/>
        <v>9.1088297659074797</v>
      </c>
      <c r="AQ27">
        <v>2020</v>
      </c>
    </row>
    <row r="28" spans="1:43" ht="13.5" customHeight="1">
      <c r="B28" s="97" t="s">
        <v>33</v>
      </c>
      <c r="C28" s="61">
        <v>18230700</v>
      </c>
      <c r="D28" s="61" t="s">
        <v>118</v>
      </c>
      <c r="E28" s="38" t="s">
        <v>1943</v>
      </c>
      <c r="F28" s="39" t="s">
        <v>1942</v>
      </c>
      <c r="G28" s="39">
        <v>10</v>
      </c>
      <c r="H28" s="39"/>
      <c r="I28" s="40" t="s">
        <v>265</v>
      </c>
      <c r="J28" s="41">
        <v>243.88</v>
      </c>
      <c r="K28" s="41">
        <v>0.8</v>
      </c>
      <c r="L28" s="41"/>
      <c r="M28" s="42">
        <v>0.54</v>
      </c>
      <c r="N28" s="42">
        <v>0.54</v>
      </c>
      <c r="O28" s="43">
        <v>195.11</v>
      </c>
      <c r="P28" s="44">
        <v>142.22</v>
      </c>
      <c r="Q28" s="44">
        <v>131.63</v>
      </c>
      <c r="R28" s="45"/>
      <c r="S28" s="46">
        <v>0</v>
      </c>
      <c r="T28" s="39">
        <f t="shared" si="19"/>
        <v>10</v>
      </c>
      <c r="U28" s="47">
        <f t="shared" si="20"/>
        <v>6.1311714336621449E-2</v>
      </c>
      <c r="V28" s="48">
        <f t="shared" si="21"/>
        <v>0</v>
      </c>
      <c r="W28" s="49">
        <f t="shared" si="22"/>
        <v>6.1311714336621448E-3</v>
      </c>
      <c r="X28" s="44">
        <f t="shared" si="23"/>
        <v>743.33740000433636</v>
      </c>
      <c r="Y28" s="44">
        <f t="shared" si="24"/>
        <v>-10.590000000000003</v>
      </c>
      <c r="Z28" s="44">
        <f t="shared" si="25"/>
        <v>1135.1368510773621</v>
      </c>
      <c r="AA28" s="50">
        <f t="shared" si="26"/>
        <v>874.96740000433635</v>
      </c>
      <c r="AB28" s="51">
        <f t="shared" si="27"/>
        <v>1061.1730869191006</v>
      </c>
      <c r="AC28" s="44">
        <f t="shared" si="28"/>
        <v>817.95587548316007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7.1400454873872068</v>
      </c>
      <c r="AG28" s="44">
        <f t="shared" si="31"/>
        <v>1393.0514347711937</v>
      </c>
      <c r="AH28" s="52">
        <f>HLOOKUP(I28,GasAvoidedCostsWOCC!$A$5:$Q$50,T28+1,FALSE)</f>
        <v>7.1400454873872068</v>
      </c>
      <c r="AI28" s="44">
        <f t="shared" si="32"/>
        <v>0</v>
      </c>
      <c r="AJ28" s="44">
        <f t="shared" si="33"/>
        <v>1393.0514347711937</v>
      </c>
      <c r="AK28" s="44">
        <f>HLOOKUP(I28,GasAvoidedCostsWOCC!$A$5:$Q$50,G28+1,FALSE)*J28*L28</f>
        <v>0</v>
      </c>
      <c r="AL28" s="44">
        <f t="shared" si="34"/>
        <v>1393.0514347711937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1393.0514347711937</v>
      </c>
      <c r="AN28" s="48">
        <f t="shared" si="35"/>
        <v>1532.3565782483133</v>
      </c>
      <c r="AO28" s="47">
        <f t="shared" si="36"/>
        <v>1.3127466687038154</v>
      </c>
      <c r="AP28" s="47">
        <f t="shared" si="37"/>
        <v>1.8733976051497427</v>
      </c>
      <c r="AQ28">
        <v>2020</v>
      </c>
    </row>
    <row r="29" spans="1:43">
      <c r="B29" s="97" t="s">
        <v>33</v>
      </c>
      <c r="C29" s="61">
        <v>18230700</v>
      </c>
      <c r="D29" s="61" t="s">
        <v>118</v>
      </c>
      <c r="E29" s="38" t="s">
        <v>1944</v>
      </c>
      <c r="F29" s="39" t="s">
        <v>1945</v>
      </c>
      <c r="G29" s="39">
        <v>10</v>
      </c>
      <c r="H29" s="39"/>
      <c r="I29" s="40" t="s">
        <v>265</v>
      </c>
      <c r="J29" s="41">
        <v>84.31</v>
      </c>
      <c r="K29" s="41">
        <v>1.3</v>
      </c>
      <c r="L29" s="41"/>
      <c r="M29" s="42">
        <v>1.81</v>
      </c>
      <c r="N29" s="42">
        <v>1.81</v>
      </c>
      <c r="O29" s="43">
        <v>109.7</v>
      </c>
      <c r="P29" s="44">
        <v>270</v>
      </c>
      <c r="Q29" s="44">
        <v>152.54</v>
      </c>
      <c r="R29" s="45"/>
      <c r="S29" s="46">
        <v>0</v>
      </c>
      <c r="T29" s="39">
        <f t="shared" si="19"/>
        <v>10</v>
      </c>
      <c r="U29" s="47">
        <f t="shared" si="20"/>
        <v>3.4472323626299893E-2</v>
      </c>
      <c r="V29" s="48">
        <f t="shared" si="21"/>
        <v>0</v>
      </c>
      <c r="W29" s="49">
        <f t="shared" si="22"/>
        <v>3.4472323626299896E-3</v>
      </c>
      <c r="X29" s="44">
        <f t="shared" si="23"/>
        <v>417.93917677451537</v>
      </c>
      <c r="Y29" s="44">
        <f t="shared" si="24"/>
        <v>-117.46000000000001</v>
      </c>
      <c r="Z29" s="44">
        <f t="shared" si="25"/>
        <v>638.22721830345245</v>
      </c>
      <c r="AA29" s="50">
        <f t="shared" si="26"/>
        <v>570.47917677451539</v>
      </c>
      <c r="AB29" s="51">
        <f t="shared" si="27"/>
        <v>596.64131841025744</v>
      </c>
      <c r="AC29" s="44">
        <f t="shared" si="28"/>
        <v>533.30763464010033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7.1400454873872068</v>
      </c>
      <c r="AG29" s="44">
        <f t="shared" si="31"/>
        <v>782.57040555410015</v>
      </c>
      <c r="AH29" s="52">
        <f>HLOOKUP(I29,GasAvoidedCostsWOCC!$A$5:$Q$50,T29+1,FALSE)</f>
        <v>7.1400454873872068</v>
      </c>
      <c r="AI29" s="44">
        <f t="shared" si="32"/>
        <v>0</v>
      </c>
      <c r="AJ29" s="44">
        <f t="shared" si="33"/>
        <v>782.57040555410015</v>
      </c>
      <c r="AK29" s="44">
        <f>HLOOKUP(I29,GasAvoidedCostsWOCC!$A$5:$Q$50,G29+1,FALSE)*J29*L29</f>
        <v>0</v>
      </c>
      <c r="AL29" s="44">
        <f t="shared" si="34"/>
        <v>782.57040555410015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782.57040555410003</v>
      </c>
      <c r="AN29" s="48">
        <f t="shared" si="35"/>
        <v>860.82744610951011</v>
      </c>
      <c r="AO29" s="47">
        <f t="shared" si="36"/>
        <v>1.3116262340651299</v>
      </c>
      <c r="AP29" s="47">
        <f t="shared" si="37"/>
        <v>1.6141292383530843</v>
      </c>
      <c r="AQ29">
        <v>2020</v>
      </c>
    </row>
    <row r="30" spans="1:43">
      <c r="B30" s="97" t="s">
        <v>33</v>
      </c>
      <c r="C30" s="61">
        <v>18230700</v>
      </c>
      <c r="D30" s="61" t="s">
        <v>118</v>
      </c>
      <c r="E30" s="38" t="s">
        <v>1873</v>
      </c>
      <c r="F30" s="39" t="s">
        <v>1874</v>
      </c>
      <c r="G30" s="39">
        <v>10</v>
      </c>
      <c r="H30" s="39"/>
      <c r="I30" s="40" t="s">
        <v>265</v>
      </c>
      <c r="J30" s="41">
        <v>938</v>
      </c>
      <c r="K30" s="41">
        <v>0.6</v>
      </c>
      <c r="L30" s="41"/>
      <c r="M30" s="42">
        <v>0.54</v>
      </c>
      <c r="N30" s="42">
        <v>0.54</v>
      </c>
      <c r="O30" s="43">
        <v>562.79999999999802</v>
      </c>
      <c r="P30" s="44">
        <v>140.69999999999999</v>
      </c>
      <c r="Q30" s="44">
        <v>506.51999999999799</v>
      </c>
      <c r="R30" s="45">
        <v>2.74</v>
      </c>
      <c r="S30" s="46">
        <v>0</v>
      </c>
      <c r="T30" s="39">
        <f t="shared" si="19"/>
        <v>10</v>
      </c>
      <c r="U30" s="47">
        <f t="shared" si="20"/>
        <v>0.17685527563246595</v>
      </c>
      <c r="V30" s="48">
        <f t="shared" si="21"/>
        <v>0</v>
      </c>
      <c r="W30" s="49">
        <f t="shared" si="22"/>
        <v>1.7685527563246595E-2</v>
      </c>
      <c r="X30" s="44">
        <f t="shared" si="23"/>
        <v>2144.1765605168321</v>
      </c>
      <c r="Y30" s="44">
        <f t="shared" si="24"/>
        <v>365.819999999998</v>
      </c>
      <c r="Z30" s="44">
        <f t="shared" si="25"/>
        <v>3274.3325292723957</v>
      </c>
      <c r="AA30" s="50">
        <f t="shared" si="26"/>
        <v>2650.6965605168302</v>
      </c>
      <c r="AB30" s="51">
        <f t="shared" si="27"/>
        <v>3060.9820784073995</v>
      </c>
      <c r="AC30" s="44">
        <f t="shared" si="28"/>
        <v>2477.981266258605</v>
      </c>
      <c r="AD30" s="44">
        <f t="shared" si="29"/>
        <v>18076.506824999207</v>
      </c>
      <c r="AE30" s="44">
        <f t="shared" si="30"/>
        <v>0</v>
      </c>
      <c r="AF30" s="52">
        <f>HLOOKUP(I30,GasAvoidedCostsWOCC!$A$5:$G$50,G30+1,FALSE)</f>
        <v>7.1400454873872068</v>
      </c>
      <c r="AG30" s="44">
        <f t="shared" si="31"/>
        <v>4018.41760030152</v>
      </c>
      <c r="AH30" s="52">
        <f>HLOOKUP(I30,GasAvoidedCostsWOCC!$A$5:$Q$50,T30+1,FALSE)</f>
        <v>7.1400454873872068</v>
      </c>
      <c r="AI30" s="44">
        <f t="shared" si="32"/>
        <v>0</v>
      </c>
      <c r="AJ30" s="44">
        <f t="shared" si="33"/>
        <v>4018.41760030152</v>
      </c>
      <c r="AK30" s="44">
        <f>HLOOKUP(I30,GasAvoidedCostsWOCC!$A$5:$Q$50,G30+1,FALSE)*J30*L30</f>
        <v>0</v>
      </c>
      <c r="AL30" s="44">
        <f t="shared" si="34"/>
        <v>4018.41760030152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4018.4176003015195</v>
      </c>
      <c r="AN30" s="48">
        <f t="shared" si="35"/>
        <v>22496.766185330878</v>
      </c>
      <c r="AO30" s="47">
        <f t="shared" si="36"/>
        <v>1.3127870393779846</v>
      </c>
      <c r="AP30" s="47">
        <f t="shared" si="37"/>
        <v>9.0786667726902373</v>
      </c>
      <c r="AQ30">
        <v>2020</v>
      </c>
    </row>
    <row r="31" spans="1:43">
      <c r="B31" s="97" t="s">
        <v>33</v>
      </c>
      <c r="C31" s="61">
        <v>18230700</v>
      </c>
      <c r="D31" s="61" t="s">
        <v>118</v>
      </c>
      <c r="E31" s="38" t="s">
        <v>666</v>
      </c>
      <c r="F31" s="39" t="s">
        <v>667</v>
      </c>
      <c r="G31" s="39">
        <v>3</v>
      </c>
      <c r="H31" s="39">
        <v>7</v>
      </c>
      <c r="I31" s="40" t="s">
        <v>265</v>
      </c>
      <c r="J31" s="41">
        <v>247.88</v>
      </c>
      <c r="K31" s="41">
        <v>2.9</v>
      </c>
      <c r="L31" s="41">
        <v>2.9</v>
      </c>
      <c r="M31" s="42">
        <v>3</v>
      </c>
      <c r="N31" s="42">
        <v>1.58</v>
      </c>
      <c r="O31" s="43">
        <v>718.90999999999894</v>
      </c>
      <c r="P31" s="44">
        <v>1443</v>
      </c>
      <c r="Q31" s="44">
        <v>391.74</v>
      </c>
      <c r="R31" s="45">
        <v>8.8800000000000008</v>
      </c>
      <c r="S31" s="46">
        <v>0</v>
      </c>
      <c r="T31" s="39">
        <f t="shared" si="19"/>
        <v>10</v>
      </c>
      <c r="U31" s="47">
        <f t="shared" si="20"/>
        <v>0.22591156042099564</v>
      </c>
      <c r="V31" s="48">
        <f t="shared" si="21"/>
        <v>-1.42</v>
      </c>
      <c r="W31" s="49">
        <f t="shared" si="22"/>
        <v>2.2591156042099565E-2</v>
      </c>
      <c r="X31" s="44">
        <f t="shared" si="23"/>
        <v>2738.9302969459109</v>
      </c>
      <c r="Y31" s="44">
        <f t="shared" si="24"/>
        <v>-1051.26</v>
      </c>
      <c r="Z31" s="44">
        <f t="shared" si="25"/>
        <v>4182.5700046539141</v>
      </c>
      <c r="AA31" s="50">
        <f t="shared" si="26"/>
        <v>3130.6702969459111</v>
      </c>
      <c r="AB31" s="51">
        <f t="shared" si="27"/>
        <v>3910.0402025370795</v>
      </c>
      <c r="AC31" s="44">
        <f t="shared" si="28"/>
        <v>2926.6806552733578</v>
      </c>
      <c r="AD31" s="44">
        <f t="shared" si="29"/>
        <v>15481.589989811189</v>
      </c>
      <c r="AE31" s="44">
        <f t="shared" si="30"/>
        <v>0</v>
      </c>
      <c r="AF31" s="52">
        <f>HLOOKUP(I31,GasAvoidedCostsWOCC!$A$5:$G$50,G31+1,FALSE)</f>
        <v>2.3114255322367177</v>
      </c>
      <c r="AG31" s="44">
        <f t="shared" si="31"/>
        <v>1661.5728666994289</v>
      </c>
      <c r="AH31" s="52">
        <f>HLOOKUP(I31,GasAvoidedCostsWOCC!$A$5:$Q$50,T31+1,FALSE)</f>
        <v>7.1400454873872068</v>
      </c>
      <c r="AI31" s="44">
        <f t="shared" si="32"/>
        <v>5132.635978699268</v>
      </c>
      <c r="AJ31" s="44">
        <f t="shared" si="33"/>
        <v>6794.2088453986971</v>
      </c>
      <c r="AK31" s="44">
        <f>HLOOKUP(I31,GasAvoidedCostsWOCC!$A$5:$Q$50,G31+1,FALSE)*J31*L31</f>
        <v>1661.5728666994289</v>
      </c>
      <c r="AL31" s="44">
        <f t="shared" si="34"/>
        <v>5132.635978699268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5132.6359786992671</v>
      </c>
      <c r="AN31" s="48">
        <f t="shared" si="35"/>
        <v>21127.489566380384</v>
      </c>
      <c r="AO31" s="47">
        <f t="shared" si="36"/>
        <v>1.3126811267487457</v>
      </c>
      <c r="AP31" s="47">
        <f t="shared" si="37"/>
        <v>7.2189254841700636</v>
      </c>
      <c r="AQ31">
        <v>2020</v>
      </c>
    </row>
    <row r="32" spans="1:43">
      <c r="B32" s="97" t="s">
        <v>33</v>
      </c>
      <c r="C32" s="61">
        <v>18230700</v>
      </c>
      <c r="D32" s="61" t="s">
        <v>118</v>
      </c>
      <c r="E32" s="38" t="s">
        <v>668</v>
      </c>
      <c r="F32" s="39" t="s">
        <v>669</v>
      </c>
      <c r="G32" s="39">
        <v>3</v>
      </c>
      <c r="H32" s="39">
        <v>7</v>
      </c>
      <c r="I32" s="40" t="s">
        <v>265</v>
      </c>
      <c r="J32" s="41">
        <v>10058</v>
      </c>
      <c r="K32" s="41">
        <v>2.1</v>
      </c>
      <c r="L32" s="41">
        <v>2.1</v>
      </c>
      <c r="M32" s="42">
        <v>3</v>
      </c>
      <c r="N32" s="42">
        <v>1.58</v>
      </c>
      <c r="O32" s="43">
        <v>21121.8</v>
      </c>
      <c r="P32" s="44">
        <v>24097.5</v>
      </c>
      <c r="Q32" s="44">
        <v>15891.64</v>
      </c>
      <c r="R32" s="45">
        <v>5.34</v>
      </c>
      <c r="S32" s="46">
        <v>0</v>
      </c>
      <c r="T32" s="39">
        <f t="shared" si="19"/>
        <v>10</v>
      </c>
      <c r="U32" s="47">
        <f t="shared" si="20"/>
        <v>6.6373520981766729</v>
      </c>
      <c r="V32" s="48">
        <f t="shared" si="21"/>
        <v>-1.42</v>
      </c>
      <c r="W32" s="49">
        <f t="shared" si="22"/>
        <v>0.66373520981766732</v>
      </c>
      <c r="X32" s="44">
        <f t="shared" si="23"/>
        <v>80470.626289844644</v>
      </c>
      <c r="Y32" s="44">
        <f t="shared" si="24"/>
        <v>-8205.86</v>
      </c>
      <c r="Z32" s="44">
        <f t="shared" si="25"/>
        <v>122885.21111724577</v>
      </c>
      <c r="AA32" s="50">
        <f t="shared" si="26"/>
        <v>96362.266289844643</v>
      </c>
      <c r="AB32" s="51">
        <f t="shared" si="27"/>
        <v>114878.20053963331</v>
      </c>
      <c r="AC32" s="44">
        <f t="shared" si="28"/>
        <v>90083.449836257481</v>
      </c>
      <c r="AD32" s="44">
        <f t="shared" si="29"/>
        <v>377758.28371780168</v>
      </c>
      <c r="AE32" s="44">
        <f t="shared" si="30"/>
        <v>0</v>
      </c>
      <c r="AF32" s="52">
        <f>HLOOKUP(I32,GasAvoidedCostsWOCC!$A$5:$G$50,G32+1,FALSE)</f>
        <v>2.3114255322367177</v>
      </c>
      <c r="AG32" s="44">
        <f t="shared" si="31"/>
        <v>48821.467806797504</v>
      </c>
      <c r="AH32" s="52">
        <f>HLOOKUP(I32,GasAvoidedCostsWOCC!$A$5:$Q$50,T32+1,FALSE)</f>
        <v>7.1400454873872068</v>
      </c>
      <c r="AI32" s="44">
        <f t="shared" si="32"/>
        <v>150810.61277549513</v>
      </c>
      <c r="AJ32" s="44">
        <f t="shared" si="33"/>
        <v>199632.08058229263</v>
      </c>
      <c r="AK32" s="44">
        <f>HLOOKUP(I32,GasAvoidedCostsWOCC!$A$5:$Q$50,G32+1,FALSE)*J32*L32</f>
        <v>48821.467806797504</v>
      </c>
      <c r="AL32" s="44">
        <f t="shared" si="34"/>
        <v>150810.61277549513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150810.6127754951</v>
      </c>
      <c r="AN32" s="48">
        <f t="shared" si="35"/>
        <v>543649.95777084632</v>
      </c>
      <c r="AO32" s="47">
        <f t="shared" si="36"/>
        <v>1.3127870393779801</v>
      </c>
      <c r="AP32" s="47">
        <f t="shared" si="37"/>
        <v>6.034959348903997</v>
      </c>
      <c r="AQ32">
        <v>2020</v>
      </c>
    </row>
    <row r="33" spans="2:43">
      <c r="B33" s="97" t="s">
        <v>33</v>
      </c>
      <c r="C33" s="61">
        <v>18230700</v>
      </c>
      <c r="D33" s="61" t="s">
        <v>118</v>
      </c>
      <c r="E33" s="38" t="s">
        <v>670</v>
      </c>
      <c r="F33" s="39" t="s">
        <v>671</v>
      </c>
      <c r="G33" s="39">
        <v>3</v>
      </c>
      <c r="H33" s="39">
        <v>7</v>
      </c>
      <c r="I33" s="40" t="s">
        <v>265</v>
      </c>
      <c r="J33" s="41">
        <v>841</v>
      </c>
      <c r="K33" s="41">
        <v>1.5</v>
      </c>
      <c r="L33" s="41">
        <v>1.5</v>
      </c>
      <c r="M33" s="42">
        <v>1.5</v>
      </c>
      <c r="N33" s="42">
        <v>1.58</v>
      </c>
      <c r="O33" s="43">
        <v>1261.5</v>
      </c>
      <c r="P33" s="44">
        <v>689.20000000000903</v>
      </c>
      <c r="Q33" s="44">
        <v>1328.78</v>
      </c>
      <c r="R33" s="45">
        <v>2.5099999999999998</v>
      </c>
      <c r="S33" s="46">
        <v>0</v>
      </c>
      <c r="T33" s="39">
        <f t="shared" si="19"/>
        <v>10</v>
      </c>
      <c r="U33" s="47">
        <f t="shared" si="20"/>
        <v>0.3964160096132846</v>
      </c>
      <c r="V33" s="48">
        <f t="shared" si="21"/>
        <v>8.0000000000000071E-2</v>
      </c>
      <c r="W33" s="49">
        <f t="shared" si="22"/>
        <v>3.964160096132846E-2</v>
      </c>
      <c r="X33" s="44">
        <f t="shared" si="23"/>
        <v>4806.1100410305489</v>
      </c>
      <c r="Y33" s="44">
        <f t="shared" si="24"/>
        <v>639.57999999999095</v>
      </c>
      <c r="Z33" s="44">
        <f t="shared" si="25"/>
        <v>7339.3221138541967</v>
      </c>
      <c r="AA33" s="50">
        <f t="shared" si="26"/>
        <v>6134.8900410305487</v>
      </c>
      <c r="AB33" s="51">
        <f t="shared" si="27"/>
        <v>6861.1032194579748</v>
      </c>
      <c r="AC33" s="44">
        <f t="shared" si="28"/>
        <v>5735.1500804249308</v>
      </c>
      <c r="AD33" s="44">
        <f t="shared" si="29"/>
        <v>14846.730511399886</v>
      </c>
      <c r="AE33" s="44">
        <f t="shared" si="30"/>
        <v>0</v>
      </c>
      <c r="AF33" s="52">
        <f>HLOOKUP(I33,GasAvoidedCostsWOCC!$A$5:$G$50,G33+1,FALSE)</f>
        <v>2.3114255322367177</v>
      </c>
      <c r="AG33" s="44">
        <f t="shared" si="31"/>
        <v>2915.8633089166192</v>
      </c>
      <c r="AH33" s="52">
        <f>HLOOKUP(I33,GasAvoidedCostsWOCC!$A$5:$Q$50,T33+1,FALSE)</f>
        <v>7.1400454873872068</v>
      </c>
      <c r="AI33" s="44">
        <f t="shared" si="32"/>
        <v>9007.167382338961</v>
      </c>
      <c r="AJ33" s="44">
        <f t="shared" si="33"/>
        <v>11923.030691255581</v>
      </c>
      <c r="AK33" s="44">
        <f>HLOOKUP(I33,GasAvoidedCostsWOCC!$A$5:$Q$50,G33+1,FALSE)*J33*L33</f>
        <v>2915.8633089166192</v>
      </c>
      <c r="AL33" s="44">
        <f t="shared" si="34"/>
        <v>9007.167382338961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9007.1673823389629</v>
      </c>
      <c r="AN33" s="48">
        <f t="shared" si="35"/>
        <v>24754.614631972749</v>
      </c>
      <c r="AO33" s="47">
        <f t="shared" si="36"/>
        <v>1.3127870393779801</v>
      </c>
      <c r="AP33" s="47">
        <f t="shared" si="37"/>
        <v>4.3162976181677566</v>
      </c>
      <c r="AQ33">
        <v>2020</v>
      </c>
    </row>
    <row r="34" spans="2:43">
      <c r="B34" s="97" t="s">
        <v>33</v>
      </c>
      <c r="C34" s="61">
        <v>18230700</v>
      </c>
      <c r="D34" s="61" t="s">
        <v>118</v>
      </c>
      <c r="E34" s="38" t="s">
        <v>1952</v>
      </c>
      <c r="F34" s="39" t="s">
        <v>1953</v>
      </c>
      <c r="G34" s="39">
        <v>10</v>
      </c>
      <c r="H34" s="39"/>
      <c r="I34" s="40" t="s">
        <v>265</v>
      </c>
      <c r="J34" s="41">
        <v>31.96</v>
      </c>
      <c r="K34" s="41">
        <v>5.6</v>
      </c>
      <c r="L34" s="41"/>
      <c r="M34" s="42">
        <v>10</v>
      </c>
      <c r="N34" s="42">
        <v>5.29</v>
      </c>
      <c r="O34" s="43">
        <v>179</v>
      </c>
      <c r="P34" s="44">
        <v>1085</v>
      </c>
      <c r="Q34" s="44">
        <v>169.05</v>
      </c>
      <c r="R34" s="45"/>
      <c r="S34" s="46">
        <v>0</v>
      </c>
      <c r="T34" s="39">
        <f t="shared" si="19"/>
        <v>10</v>
      </c>
      <c r="U34" s="47">
        <f t="shared" si="20"/>
        <v>5.6249279207909585E-2</v>
      </c>
      <c r="V34" s="48">
        <f t="shared" si="21"/>
        <v>-4.71</v>
      </c>
      <c r="W34" s="49">
        <f t="shared" si="22"/>
        <v>5.6249279207909583E-3</v>
      </c>
      <c r="X34" s="44">
        <f t="shared" si="23"/>
        <v>681.96091743517093</v>
      </c>
      <c r="Y34" s="44">
        <f t="shared" si="24"/>
        <v>-915.95</v>
      </c>
      <c r="Z34" s="44">
        <f t="shared" si="25"/>
        <v>1041.4099551168458</v>
      </c>
      <c r="AA34" s="50">
        <f t="shared" si="26"/>
        <v>851.010917435171</v>
      </c>
      <c r="AB34" s="51">
        <f t="shared" si="27"/>
        <v>973.55329075146835</v>
      </c>
      <c r="AC34" s="44">
        <f t="shared" si="28"/>
        <v>795.56036032081045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7.1400454873872068</v>
      </c>
      <c r="AG34" s="44">
        <f t="shared" si="31"/>
        <v>1277.8967811506127</v>
      </c>
      <c r="AH34" s="52">
        <f>HLOOKUP(I34,GasAvoidedCostsWOCC!$A$5:$Q$50,T34+1,FALSE)</f>
        <v>7.1400454873872068</v>
      </c>
      <c r="AI34" s="44">
        <f t="shared" si="32"/>
        <v>0</v>
      </c>
      <c r="AJ34" s="44">
        <f t="shared" si="33"/>
        <v>1277.8967811506127</v>
      </c>
      <c r="AK34" s="44">
        <f>HLOOKUP(I34,GasAvoidedCostsWOCC!$A$5:$Q$50,G34+1,FALSE)*J34*L34</f>
        <v>0</v>
      </c>
      <c r="AL34" s="44">
        <f t="shared" si="34"/>
        <v>1277.8967811506127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1277.8967811506125</v>
      </c>
      <c r="AN34" s="48">
        <f t="shared" si="35"/>
        <v>1405.6864592656739</v>
      </c>
      <c r="AO34" s="47">
        <f t="shared" si="36"/>
        <v>1.3126110232386219</v>
      </c>
      <c r="AP34" s="47">
        <f t="shared" si="37"/>
        <v>1.7669136490144248</v>
      </c>
      <c r="AQ34">
        <v>2020</v>
      </c>
    </row>
    <row r="35" spans="2:43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3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3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3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3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3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3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</sheetData>
  <conditionalFormatting sqref="J5:L61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61 R5:S61">
    <cfRule type="expression" dxfId="107" priority="2">
      <formula>ISTEXT(M5)</formula>
    </cfRule>
  </conditionalFormatting>
  <conditionalFormatting sqref="M5:N61 R5:S61">
    <cfRule type="notContainsBlanks" dxfId="106" priority="3">
      <formula>LEN(TRIM(M5))&gt;0</formula>
    </cfRule>
  </conditionalFormatting>
  <conditionalFormatting sqref="R5:S61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51" sqref="H51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65" si="0">SUM(E2:M2)</f>
        <v>1148531.31</v>
      </c>
      <c r="O2" s="5">
        <f t="shared" ref="O2:O65" si="1">N2-L2</f>
        <v>1148531.31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525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523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526</v>
      </c>
    </row>
    <row r="7" spans="1:16" hidden="1">
      <c r="B7" t="s">
        <v>65</v>
      </c>
      <c r="C7" t="s">
        <v>507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523</v>
      </c>
    </row>
    <row r="8" spans="1:16" hidden="1">
      <c r="B8" t="s">
        <v>141</v>
      </c>
      <c r="C8" t="s">
        <v>512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523</v>
      </c>
    </row>
    <row r="9" spans="1:16" hidden="1">
      <c r="B9" t="s">
        <v>70</v>
      </c>
      <c r="C9" t="s">
        <v>511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523</v>
      </c>
    </row>
    <row r="10" spans="1:16" hidden="1">
      <c r="B10" t="s">
        <v>31</v>
      </c>
      <c r="C10" t="s">
        <v>515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523</v>
      </c>
    </row>
    <row r="11" spans="1:16" hidden="1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523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523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523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523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523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523</v>
      </c>
    </row>
    <row r="17" spans="2:16" hidden="1">
      <c r="B17" t="s">
        <v>70</v>
      </c>
      <c r="C17" t="s">
        <v>510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523</v>
      </c>
    </row>
    <row r="18" spans="2:16" hidden="1">
      <c r="B18" t="s">
        <v>31</v>
      </c>
      <c r="C18" t="s">
        <v>514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523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522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522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523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523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525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525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524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524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524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524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524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524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524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524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524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si="0"/>
        <v>59203.16</v>
      </c>
      <c r="O34" s="5">
        <f t="shared" si="1"/>
        <v>59203.16</v>
      </c>
      <c r="P34" t="s">
        <v>524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0"/>
        <v>1007071.3999999999</v>
      </c>
      <c r="O35" s="5">
        <f t="shared" si="1"/>
        <v>1007071.3999999999</v>
      </c>
      <c r="P35" t="s">
        <v>524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0"/>
        <v>79775.81</v>
      </c>
      <c r="O36" s="5">
        <f t="shared" si="1"/>
        <v>79775.81</v>
      </c>
      <c r="P36" t="s">
        <v>524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0"/>
        <v>790340.59000000008</v>
      </c>
      <c r="O37" s="5">
        <f t="shared" si="1"/>
        <v>790340.59000000008</v>
      </c>
      <c r="P37" t="s">
        <v>524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0"/>
        <v>177579.93000000002</v>
      </c>
      <c r="O38" s="5">
        <f t="shared" si="1"/>
        <v>177579.93000000002</v>
      </c>
      <c r="P38" t="s">
        <v>524</v>
      </c>
    </row>
    <row r="39" spans="2:16" hidden="1">
      <c r="B39" t="s">
        <v>129</v>
      </c>
      <c r="C39" t="s">
        <v>508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0"/>
        <v>10.029999999999999</v>
      </c>
      <c r="O39" s="5">
        <f t="shared" si="1"/>
        <v>10.029999999999999</v>
      </c>
      <c r="P39" t="s">
        <v>523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0"/>
        <v>232625.07</v>
      </c>
      <c r="O40" s="5">
        <f t="shared" si="1"/>
        <v>232625.07</v>
      </c>
      <c r="P40" t="s">
        <v>524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0"/>
        <v>37716.060000000005</v>
      </c>
      <c r="O41" s="5">
        <f t="shared" si="1"/>
        <v>37716.060000000005</v>
      </c>
      <c r="P41" t="s">
        <v>524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0"/>
        <v>0</v>
      </c>
      <c r="O42" s="5">
        <f t="shared" si="1"/>
        <v>0</v>
      </c>
      <c r="P42" t="s">
        <v>521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0"/>
        <v>0</v>
      </c>
      <c r="O43" s="5">
        <f t="shared" si="1"/>
        <v>0</v>
      </c>
      <c r="P43" t="s">
        <v>526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0"/>
        <v>1998091.55</v>
      </c>
      <c r="O44" s="5">
        <f t="shared" si="1"/>
        <v>202818.05000000005</v>
      </c>
      <c r="P44" t="s">
        <v>523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0"/>
        <v>3559423.39</v>
      </c>
      <c r="O45" s="5">
        <f t="shared" si="1"/>
        <v>251049.39999999991</v>
      </c>
      <c r="P45" t="s">
        <v>523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0"/>
        <v>1307549.1199999999</v>
      </c>
      <c r="O46" s="5">
        <f t="shared" si="1"/>
        <v>256696.18999999994</v>
      </c>
      <c r="P46" t="s">
        <v>520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0"/>
        <v>0</v>
      </c>
      <c r="O47" s="5">
        <f t="shared" si="1"/>
        <v>0</v>
      </c>
      <c r="P47" t="s">
        <v>520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0"/>
        <v>1432214.62</v>
      </c>
      <c r="O48" s="5">
        <f t="shared" si="1"/>
        <v>777574.10000000009</v>
      </c>
      <c r="P48" t="s">
        <v>520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0"/>
        <v>982557.56</v>
      </c>
      <c r="O49" s="5">
        <f t="shared" si="1"/>
        <v>505405.25000000006</v>
      </c>
      <c r="P49" t="s">
        <v>520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0"/>
        <v>1015237.06</v>
      </c>
      <c r="O50" s="5">
        <f t="shared" si="1"/>
        <v>264563.08000000007</v>
      </c>
      <c r="P50" t="s">
        <v>523</v>
      </c>
    </row>
    <row r="51" spans="1:16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0"/>
        <v>567.38</v>
      </c>
      <c r="O51" s="5">
        <f t="shared" si="1"/>
        <v>567.38</v>
      </c>
      <c r="P51" t="s">
        <v>523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0"/>
        <v>0</v>
      </c>
      <c r="O52" s="5">
        <f t="shared" si="1"/>
        <v>0</v>
      </c>
      <c r="P52" t="s">
        <v>523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0"/>
        <v>2209676.86</v>
      </c>
      <c r="O53" s="5">
        <f t="shared" si="1"/>
        <v>392612.91999999993</v>
      </c>
      <c r="P53" t="s">
        <v>523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0"/>
        <v>86159.26</v>
      </c>
      <c r="O54" s="5">
        <f t="shared" si="1"/>
        <v>0</v>
      </c>
      <c r="P54" t="s">
        <v>519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0"/>
        <v>0</v>
      </c>
      <c r="O55" s="5">
        <f t="shared" si="1"/>
        <v>0</v>
      </c>
      <c r="P55" t="s">
        <v>526</v>
      </c>
    </row>
    <row r="56" spans="1:16" hidden="1">
      <c r="B56" t="s">
        <v>70</v>
      </c>
      <c r="C56" t="s">
        <v>299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0"/>
        <v>601376.22</v>
      </c>
      <c r="O56" s="5">
        <f t="shared" si="1"/>
        <v>473.45999999996275</v>
      </c>
      <c r="P56" t="s">
        <v>523</v>
      </c>
    </row>
    <row r="57" spans="1:16" hidden="1">
      <c r="B57" t="s">
        <v>31</v>
      </c>
      <c r="C57" t="s">
        <v>513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0"/>
        <v>0</v>
      </c>
      <c r="O57" s="5">
        <f t="shared" si="1"/>
        <v>0</v>
      </c>
      <c r="P57" t="s">
        <v>523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0"/>
        <v>1744532.7699999998</v>
      </c>
      <c r="O58" s="5">
        <f t="shared" si="1"/>
        <v>208664.2899999998</v>
      </c>
      <c r="P58" t="s">
        <v>520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0"/>
        <v>496004.1</v>
      </c>
      <c r="O59" s="5">
        <f t="shared" si="1"/>
        <v>53445.739999999991</v>
      </c>
      <c r="P59" t="s">
        <v>520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0"/>
        <v>189136.4</v>
      </c>
      <c r="O60" s="5">
        <f t="shared" si="1"/>
        <v>0</v>
      </c>
      <c r="P60" t="s">
        <v>519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0"/>
        <v>151341.07</v>
      </c>
      <c r="O61" s="5">
        <f t="shared" si="1"/>
        <v>58444.260000000009</v>
      </c>
      <c r="P61" t="s">
        <v>520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0"/>
        <v>1334023.92</v>
      </c>
      <c r="O62" s="5">
        <f t="shared" si="1"/>
        <v>1221606.0499999998</v>
      </c>
      <c r="P62" t="s">
        <v>524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0"/>
        <v>202264.84000000003</v>
      </c>
      <c r="O63" s="5">
        <f t="shared" si="1"/>
        <v>185466.77000000002</v>
      </c>
      <c r="P63" t="s">
        <v>524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0"/>
        <v>150481.52000000002</v>
      </c>
      <c r="O64" s="5">
        <f t="shared" si="1"/>
        <v>150481.52000000002</v>
      </c>
      <c r="P64" t="s">
        <v>525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0"/>
        <v>22816.83</v>
      </c>
      <c r="O65" s="5">
        <f t="shared" si="1"/>
        <v>22816.83</v>
      </c>
      <c r="P65" t="s">
        <v>525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117" si="2">SUM(E66:M66)</f>
        <v>57175.369999999995</v>
      </c>
      <c r="O66" s="5">
        <f t="shared" ref="O66:O117" si="3">N66-L66</f>
        <v>57175.369999999995</v>
      </c>
      <c r="P66" t="s">
        <v>520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2"/>
        <v>56992.450000000004</v>
      </c>
      <c r="O67" s="5">
        <f t="shared" si="3"/>
        <v>56992.450000000004</v>
      </c>
      <c r="P67" t="s">
        <v>520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2"/>
        <v>646269.89</v>
      </c>
      <c r="O68" s="5">
        <f t="shared" si="3"/>
        <v>413852.89</v>
      </c>
      <c r="P68" t="s">
        <v>520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2"/>
        <v>198653.69</v>
      </c>
      <c r="O69" s="5">
        <f t="shared" si="3"/>
        <v>130451</v>
      </c>
      <c r="P69" t="s">
        <v>520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2"/>
        <v>5843584.25</v>
      </c>
      <c r="O70" s="5">
        <f t="shared" si="3"/>
        <v>1305220.33</v>
      </c>
      <c r="P70" t="s">
        <v>520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2"/>
        <v>352233.83999999997</v>
      </c>
      <c r="O71" s="5">
        <f t="shared" si="3"/>
        <v>104074.83999999997</v>
      </c>
      <c r="P71" t="s">
        <v>520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2"/>
        <v>608889</v>
      </c>
      <c r="O72" s="5">
        <f t="shared" si="3"/>
        <v>182666.71999999997</v>
      </c>
      <c r="P72" t="s">
        <v>521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2"/>
        <v>3518013.21</v>
      </c>
      <c r="O73" s="5">
        <f t="shared" si="3"/>
        <v>3518013.21</v>
      </c>
      <c r="P73" t="s">
        <v>429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2"/>
        <v>4289485.32</v>
      </c>
      <c r="O74" s="5">
        <f t="shared" si="3"/>
        <v>1483874.7100000004</v>
      </c>
      <c r="P74" t="s">
        <v>521</v>
      </c>
    </row>
    <row r="75" spans="2:16" hidden="1">
      <c r="B75" t="s">
        <v>136</v>
      </c>
      <c r="C75" t="s">
        <v>509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2"/>
        <v>37623.279999999999</v>
      </c>
      <c r="O75" s="5">
        <f t="shared" si="3"/>
        <v>9575.2799999999988</v>
      </c>
      <c r="P75" t="s">
        <v>523</v>
      </c>
    </row>
    <row r="76" spans="2:16" hidden="1">
      <c r="B76" t="s">
        <v>112</v>
      </c>
      <c r="C76" t="s">
        <v>321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2"/>
        <v>2854.83</v>
      </c>
      <c r="O76" s="5">
        <f t="shared" si="3"/>
        <v>2854.83</v>
      </c>
      <c r="P76" t="s">
        <v>523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2"/>
        <v>1906365.21</v>
      </c>
      <c r="O77" s="5">
        <f t="shared" si="3"/>
        <v>1856365.22</v>
      </c>
      <c r="P77" t="s">
        <v>525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2"/>
        <v>477104.13</v>
      </c>
      <c r="O78" s="5">
        <f t="shared" si="3"/>
        <v>477104.13</v>
      </c>
      <c r="P78" t="s">
        <v>525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2"/>
        <v>719678.75000000012</v>
      </c>
      <c r="O79" s="5">
        <f t="shared" si="3"/>
        <v>719678.75000000012</v>
      </c>
      <c r="P79" t="s">
        <v>524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2"/>
        <v>107566.63999999998</v>
      </c>
      <c r="O80" s="5">
        <f t="shared" si="3"/>
        <v>107566.63999999998</v>
      </c>
      <c r="P80" t="s">
        <v>524</v>
      </c>
    </row>
    <row r="81" spans="2:16" hidden="1">
      <c r="B81" t="s">
        <v>47</v>
      </c>
      <c r="C81" t="s">
        <v>516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2"/>
        <v>213449.99999999997</v>
      </c>
      <c r="O81" s="5">
        <f t="shared" si="3"/>
        <v>213414.49999999997</v>
      </c>
      <c r="P81" t="s">
        <v>524</v>
      </c>
    </row>
    <row r="82" spans="2:16" hidden="1">
      <c r="B82" t="s">
        <v>55</v>
      </c>
      <c r="C82" t="s">
        <v>517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2"/>
        <v>90812.09</v>
      </c>
      <c r="O82" s="5">
        <f t="shared" si="3"/>
        <v>90776.59</v>
      </c>
      <c r="P82" t="s">
        <v>524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2"/>
        <v>588277.77</v>
      </c>
      <c r="O83" s="5">
        <f t="shared" si="3"/>
        <v>588277.77</v>
      </c>
      <c r="P83" t="s">
        <v>524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2"/>
        <v>55121.670000000006</v>
      </c>
      <c r="O84" s="5">
        <f t="shared" si="3"/>
        <v>55121.670000000006</v>
      </c>
      <c r="P84" t="s">
        <v>524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2"/>
        <v>1550052.53</v>
      </c>
      <c r="O85" s="5">
        <f t="shared" si="3"/>
        <v>472132.34000000008</v>
      </c>
      <c r="P85" t="s">
        <v>520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2"/>
        <v>80924.429999999993</v>
      </c>
      <c r="O86" s="5">
        <f t="shared" si="3"/>
        <v>60108.729999999996</v>
      </c>
      <c r="P86" t="s">
        <v>520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2"/>
        <v>30169.97</v>
      </c>
      <c r="O87" s="5">
        <f t="shared" si="3"/>
        <v>22457.300000000003</v>
      </c>
      <c r="P87" t="s">
        <v>520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2"/>
        <v>0</v>
      </c>
      <c r="O88" s="5">
        <f t="shared" si="3"/>
        <v>0</v>
      </c>
      <c r="P88" t="s">
        <v>523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2"/>
        <v>0</v>
      </c>
      <c r="O89" s="5">
        <f t="shared" si="3"/>
        <v>0</v>
      </c>
      <c r="P89" t="s">
        <v>523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2"/>
        <v>162002.51999999999</v>
      </c>
      <c r="O90" s="5">
        <f t="shared" si="3"/>
        <v>162002.51999999999</v>
      </c>
      <c r="P90" t="s">
        <v>522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2"/>
        <v>0</v>
      </c>
      <c r="O91" s="5">
        <f t="shared" si="3"/>
        <v>0</v>
      </c>
      <c r="P91" t="s">
        <v>522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2"/>
        <v>8069488.3799999999</v>
      </c>
      <c r="O92" s="5">
        <f t="shared" si="3"/>
        <v>864276.70000000019</v>
      </c>
      <c r="P92" t="s">
        <v>520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2"/>
        <v>1700453.36</v>
      </c>
      <c r="O93" s="5">
        <f t="shared" si="3"/>
        <v>127453.3600000001</v>
      </c>
      <c r="P93" t="s">
        <v>520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2"/>
        <v>1732775.02</v>
      </c>
      <c r="O94" s="5">
        <f t="shared" si="3"/>
        <v>302949.21999999997</v>
      </c>
      <c r="P94" t="s">
        <v>520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2"/>
        <v>395565.2</v>
      </c>
      <c r="O95" s="5">
        <f t="shared" si="3"/>
        <v>73166.200000000012</v>
      </c>
      <c r="P95" t="s">
        <v>520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2"/>
        <v>996002.63</v>
      </c>
      <c r="O96" s="5">
        <f t="shared" si="3"/>
        <v>148053.10999999999</v>
      </c>
      <c r="P96" t="s">
        <v>520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2"/>
        <v>2347358.6</v>
      </c>
      <c r="O97" s="5">
        <f t="shared" si="3"/>
        <v>137157.45000000019</v>
      </c>
      <c r="P97" t="s">
        <v>520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si="2"/>
        <v>176815.75</v>
      </c>
      <c r="O98" s="5">
        <f t="shared" si="3"/>
        <v>176815.75</v>
      </c>
      <c r="P98" t="s">
        <v>522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2"/>
        <v>62633.25</v>
      </c>
      <c r="O99" s="5">
        <f t="shared" si="3"/>
        <v>30133.25</v>
      </c>
      <c r="P99" t="s">
        <v>520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2"/>
        <v>23936.23</v>
      </c>
      <c r="O100" s="5">
        <f t="shared" si="3"/>
        <v>18436.23</v>
      </c>
      <c r="P100" t="s">
        <v>520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2"/>
        <v>7468216.0999999996</v>
      </c>
      <c r="O101" s="5">
        <f t="shared" si="3"/>
        <v>1365059.4799999995</v>
      </c>
      <c r="P101" t="s">
        <v>523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2"/>
        <v>15134.599999999999</v>
      </c>
      <c r="O102" s="5">
        <f t="shared" si="3"/>
        <v>5260.1399999999994</v>
      </c>
      <c r="P102" t="s">
        <v>523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2"/>
        <v>681594.19</v>
      </c>
      <c r="O103" s="5">
        <f t="shared" si="3"/>
        <v>156270</v>
      </c>
      <c r="P103" t="s">
        <v>520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2"/>
        <v>1290608.46</v>
      </c>
      <c r="O104" s="5">
        <f t="shared" si="3"/>
        <v>210514.55000000005</v>
      </c>
      <c r="P104" t="s">
        <v>520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2"/>
        <v>4866.1400000000003</v>
      </c>
      <c r="O105" s="5">
        <f t="shared" si="3"/>
        <v>4866.1400000000003</v>
      </c>
      <c r="P105" t="s">
        <v>522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2"/>
        <v>828.63</v>
      </c>
      <c r="O106" s="5">
        <f t="shared" si="3"/>
        <v>828.63</v>
      </c>
      <c r="P106" t="s">
        <v>522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2"/>
        <v>0</v>
      </c>
      <c r="O107" s="5">
        <f t="shared" si="3"/>
        <v>0</v>
      </c>
      <c r="P107" t="s">
        <v>520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2"/>
        <v>283517.43</v>
      </c>
      <c r="O108" s="5">
        <f t="shared" si="3"/>
        <v>283517.43</v>
      </c>
      <c r="P108" t="s">
        <v>525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2"/>
        <v>42896.54</v>
      </c>
      <c r="O109" s="5">
        <f t="shared" si="3"/>
        <v>42896.54</v>
      </c>
      <c r="P109" t="s">
        <v>525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2"/>
        <v>0</v>
      </c>
      <c r="O110" s="5">
        <f t="shared" si="3"/>
        <v>0</v>
      </c>
      <c r="P110" t="s">
        <v>429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2"/>
        <v>0</v>
      </c>
      <c r="O111" s="5">
        <f t="shared" si="3"/>
        <v>0</v>
      </c>
      <c r="P111" t="s">
        <v>429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2"/>
        <v>25615.18</v>
      </c>
      <c r="O112" s="5">
        <f t="shared" si="3"/>
        <v>25615.18</v>
      </c>
      <c r="P112" t="s">
        <v>521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2"/>
        <v>10978.16</v>
      </c>
      <c r="O113" s="5">
        <f t="shared" si="3"/>
        <v>10978.16</v>
      </c>
      <c r="P113" t="s">
        <v>521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2"/>
        <v>194023.02000000002</v>
      </c>
      <c r="O114" s="5">
        <f t="shared" si="3"/>
        <v>194023.02000000002</v>
      </c>
      <c r="P114" t="s">
        <v>524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2"/>
        <v>24509.88</v>
      </c>
      <c r="O115" s="5">
        <f t="shared" si="3"/>
        <v>24509.88</v>
      </c>
      <c r="P115" t="s">
        <v>524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2"/>
        <v>-84918.489999999991</v>
      </c>
      <c r="O116" s="5">
        <f t="shared" si="3"/>
        <v>-84918.489999999991</v>
      </c>
      <c r="P116" t="s">
        <v>524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2"/>
        <v>-139466.37</v>
      </c>
      <c r="O117" s="5">
        <f t="shared" si="3"/>
        <v>-139466.37</v>
      </c>
      <c r="P117" t="s">
        <v>524</v>
      </c>
    </row>
  </sheetData>
  <autoFilter ref="A1:P117">
    <filterColumn colId="2">
      <filters>
        <filter val="Industrial Energy Management {G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15"/>
  <sheetViews>
    <sheetView zoomScale="85" zoomScaleNormal="85" workbookViewId="0">
      <selection activeCell="A28" sqref="A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1699</v>
      </c>
      <c r="F5" s="39" t="s">
        <v>1700</v>
      </c>
      <c r="G5" s="39">
        <v>30</v>
      </c>
      <c r="H5" s="39"/>
      <c r="I5" s="40" t="s">
        <v>269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1.359097085784731E-3</v>
      </c>
      <c r="V5" s="48">
        <f t="shared" ref="V5:V24" si="2">N5-M5</f>
        <v>-29.5</v>
      </c>
      <c r="W5" s="49">
        <f t="shared" ref="W5:W24" si="3">(O5/A$10)</f>
        <v>4.5303236192824362E-5</v>
      </c>
      <c r="X5" s="44">
        <f t="shared" ref="X5:X24" si="4">W5*A$8</f>
        <v>15.827801382670636</v>
      </c>
      <c r="Y5" s="44">
        <f t="shared" ref="Y5:Y24" si="5">Q5-P5</f>
        <v>790.5</v>
      </c>
      <c r="Z5" s="44">
        <f t="shared" ref="Z5:Z24" si="6">X5+(A$6*W5)</f>
        <v>197.22372864314508</v>
      </c>
      <c r="AA5" s="50">
        <f t="shared" ref="AA5:AA24" si="7">Q5+X5</f>
        <v>856.3278013826706</v>
      </c>
      <c r="AB5" s="51">
        <f t="shared" ref="AB5:AB24" si="8">Z5/(1+GasDiscountRate)^1</f>
        <v>184.37293506884646</v>
      </c>
      <c r="AC5" s="44">
        <f t="shared" ref="AC5:AC24" si="9">AA5/(1+GasDiscountRate)^1</f>
        <v>800.53080432146442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2.6968685345295591</v>
      </c>
      <c r="AP5" s="47">
        <f>AN5/AC5</f>
        <v>0.83622812646596745</v>
      </c>
      <c r="AQ5">
        <v>2021</v>
      </c>
    </row>
    <row r="6" spans="1:43" ht="13.5" customHeight="1">
      <c r="A6" s="53">
        <f>SUMIF('Program Costs'!D:D,C2,'Program Costs'!L:L)</f>
        <v>4004039.06</v>
      </c>
      <c r="B6" s="97" t="s">
        <v>33</v>
      </c>
      <c r="C6" s="98">
        <v>18230637</v>
      </c>
      <c r="D6" s="61" t="s">
        <v>82</v>
      </c>
      <c r="E6" s="38" t="s">
        <v>1701</v>
      </c>
      <c r="F6" s="39" t="s">
        <v>1700</v>
      </c>
      <c r="G6" s="39">
        <v>45</v>
      </c>
      <c r="H6" s="39"/>
      <c r="I6" s="40" t="s">
        <v>269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1.7460152963683639</v>
      </c>
      <c r="V6" s="48">
        <f t="shared" si="2"/>
        <v>-29.5</v>
      </c>
      <c r="W6" s="49">
        <f t="shared" si="3"/>
        <v>3.8800339919296975E-2</v>
      </c>
      <c r="X6" s="44">
        <f t="shared" si="4"/>
        <v>13555.854403178624</v>
      </c>
      <c r="Y6" s="44">
        <f t="shared" si="5"/>
        <v>635953.07999999996</v>
      </c>
      <c r="Z6" s="44">
        <f t="shared" si="6"/>
        <v>168913.93098132094</v>
      </c>
      <c r="AA6" s="50">
        <f t="shared" si="7"/>
        <v>733408.93440317863</v>
      </c>
      <c r="AB6" s="51">
        <f t="shared" si="8"/>
        <v>157907.76010219773</v>
      </c>
      <c r="AC6" s="44">
        <f t="shared" si="9"/>
        <v>685621.14088359219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3.9058689891293956</v>
      </c>
      <c r="AP6" s="47">
        <f t="shared" ref="AP6:AP24" si="17">AN6/AC6</f>
        <v>0.98953151413085327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1702</v>
      </c>
      <c r="F7" s="39" t="s">
        <v>1700</v>
      </c>
      <c r="G7" s="39">
        <v>45</v>
      </c>
      <c r="H7" s="39"/>
      <c r="I7" s="40" t="s">
        <v>269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3.6888383651146226</v>
      </c>
      <c r="V7" s="48">
        <f t="shared" si="2"/>
        <v>-27.4</v>
      </c>
      <c r="W7" s="49">
        <f t="shared" si="3"/>
        <v>8.1974185891436055E-2</v>
      </c>
      <c r="X7" s="44">
        <f t="shared" si="4"/>
        <v>28639.70086537172</v>
      </c>
      <c r="Y7" s="44">
        <f t="shared" si="5"/>
        <v>2491082.14</v>
      </c>
      <c r="Z7" s="44">
        <f t="shared" si="6"/>
        <v>356867.54308638262</v>
      </c>
      <c r="AA7" s="50">
        <f t="shared" si="7"/>
        <v>2844310.8408653717</v>
      </c>
      <c r="AB7" s="51">
        <f t="shared" si="8"/>
        <v>333614.60511020152</v>
      </c>
      <c r="AC7" s="44">
        <f t="shared" si="9"/>
        <v>2658979.9391094432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3.8946024480400188</v>
      </c>
      <c r="AP7" s="47">
        <f t="shared" si="17"/>
        <v>0.53750908854889179</v>
      </c>
      <c r="AQ7">
        <v>2021</v>
      </c>
    </row>
    <row r="8" spans="1:43" ht="13.5" customHeight="1">
      <c r="A8" s="53">
        <f>SUMIF('Program Costs'!D:D,C2,'Program Costs'!O:O)</f>
        <v>349374.63000000035</v>
      </c>
      <c r="B8" s="97" t="s">
        <v>33</v>
      </c>
      <c r="C8" s="98">
        <v>18230637</v>
      </c>
      <c r="D8" s="61" t="s">
        <v>82</v>
      </c>
      <c r="E8" s="38" t="s">
        <v>1703</v>
      </c>
      <c r="F8" s="39" t="s">
        <v>1704</v>
      </c>
      <c r="G8" s="39">
        <v>25</v>
      </c>
      <c r="H8" s="39"/>
      <c r="I8" s="40" t="s">
        <v>269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4.0417254545503751E-3</v>
      </c>
      <c r="V8" s="48">
        <f t="shared" si="2"/>
        <v>-182.19</v>
      </c>
      <c r="W8" s="49">
        <f t="shared" si="3"/>
        <v>1.61669018182015E-4</v>
      </c>
      <c r="X8" s="44">
        <f t="shared" si="4"/>
        <v>56.483053409804825</v>
      </c>
      <c r="Y8" s="44">
        <f t="shared" si="5"/>
        <v>169.31999999999971</v>
      </c>
      <c r="Z8" s="44">
        <f t="shared" si="6"/>
        <v>703.81211700244307</v>
      </c>
      <c r="AA8" s="50">
        <f t="shared" si="7"/>
        <v>4225.8030534098043</v>
      </c>
      <c r="AB8" s="51">
        <f t="shared" si="8"/>
        <v>657.95280639659995</v>
      </c>
      <c r="AC8" s="44">
        <f t="shared" si="9"/>
        <v>3950.4562526033505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2.3443778803559807</v>
      </c>
      <c r="AP8" s="47">
        <f t="shared" si="17"/>
        <v>0.42950456800517967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18230637</v>
      </c>
      <c r="D9" s="61" t="s">
        <v>82</v>
      </c>
      <c r="E9" s="38" t="s">
        <v>1705</v>
      </c>
      <c r="F9" s="39" t="s">
        <v>1704</v>
      </c>
      <c r="G9" s="39">
        <v>25</v>
      </c>
      <c r="H9" s="39"/>
      <c r="I9" s="40" t="s">
        <v>269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4.2928441932792744E-2</v>
      </c>
      <c r="V9" s="48">
        <f t="shared" si="2"/>
        <v>-181.47</v>
      </c>
      <c r="W9" s="49">
        <f t="shared" si="3"/>
        <v>1.7171376773117096E-3</v>
      </c>
      <c r="X9" s="44">
        <f t="shared" si="4"/>
        <v>599.92434066983856</v>
      </c>
      <c r="Y9" s="44">
        <f t="shared" si="5"/>
        <v>10189.720000000001</v>
      </c>
      <c r="Z9" s="44">
        <f t="shared" si="6"/>
        <v>7475.4106720236005</v>
      </c>
      <c r="AA9" s="50">
        <f t="shared" si="7"/>
        <v>24731.914340669839</v>
      </c>
      <c r="AB9" s="51">
        <f t="shared" si="8"/>
        <v>6988.3244573465454</v>
      </c>
      <c r="AC9" s="44">
        <f t="shared" si="9"/>
        <v>23120.420997167275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2.3330239426394579</v>
      </c>
      <c r="AP9" s="47">
        <f t="shared" si="17"/>
        <v>0.77569180543520144</v>
      </c>
      <c r="AQ9">
        <v>2021</v>
      </c>
    </row>
    <row r="10" spans="1:43" ht="13.5" customHeight="1">
      <c r="A10" s="54">
        <f>SUM(O5:O999)</f>
        <v>579208.07000000111</v>
      </c>
      <c r="B10" s="97" t="s">
        <v>33</v>
      </c>
      <c r="C10" s="98">
        <v>18230637</v>
      </c>
      <c r="D10" s="61" t="s">
        <v>82</v>
      </c>
      <c r="E10" s="38" t="s">
        <v>1706</v>
      </c>
      <c r="F10" s="39" t="s">
        <v>1707</v>
      </c>
      <c r="G10" s="39">
        <v>45</v>
      </c>
      <c r="H10" s="39"/>
      <c r="I10" s="40" t="s">
        <v>269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0.59305630876310012</v>
      </c>
      <c r="V10" s="48">
        <f t="shared" si="2"/>
        <v>0.74</v>
      </c>
      <c r="W10" s="49">
        <f t="shared" si="3"/>
        <v>1.3179029083624448E-2</v>
      </c>
      <c r="X10" s="44">
        <f t="shared" si="4"/>
        <v>4604.4184098505348</v>
      </c>
      <c r="Y10" s="44">
        <f t="shared" si="5"/>
        <v>57273.520000000004</v>
      </c>
      <c r="Z10" s="44">
        <f t="shared" si="6"/>
        <v>57373.765633558833</v>
      </c>
      <c r="AA10" s="50">
        <f t="shared" si="7"/>
        <v>99258.578409850539</v>
      </c>
      <c r="AB10" s="51">
        <f t="shared" si="8"/>
        <v>53635.379670523347</v>
      </c>
      <c r="AC10" s="44">
        <f t="shared" si="9"/>
        <v>92791.042731467256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3.9058697538456104</v>
      </c>
      <c r="AP10" s="47">
        <f t="shared" si="17"/>
        <v>2.4834518626665649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18230637</v>
      </c>
      <c r="D11" s="61" t="s">
        <v>82</v>
      </c>
      <c r="E11" s="38" t="s">
        <v>1708</v>
      </c>
      <c r="F11" s="39" t="s">
        <v>1707</v>
      </c>
      <c r="G11" s="39">
        <v>45</v>
      </c>
      <c r="H11" s="39"/>
      <c r="I11" s="40" t="s">
        <v>269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2.0671369444144618</v>
      </c>
      <c r="V11" s="48">
        <f t="shared" si="2"/>
        <v>0.99</v>
      </c>
      <c r="W11" s="49">
        <f t="shared" si="3"/>
        <v>4.5936376542543594E-2</v>
      </c>
      <c r="X11" s="44">
        <f t="shared" si="4"/>
        <v>16049.004558091863</v>
      </c>
      <c r="Y11" s="44">
        <f t="shared" si="5"/>
        <v>282434.02</v>
      </c>
      <c r="Z11" s="44">
        <f t="shared" si="6"/>
        <v>199980.05050930419</v>
      </c>
      <c r="AA11" s="50">
        <f t="shared" si="7"/>
        <v>445097.48455809185</v>
      </c>
      <c r="AB11" s="51">
        <f t="shared" si="8"/>
        <v>186949.65925895501</v>
      </c>
      <c r="AC11" s="44">
        <f t="shared" si="9"/>
        <v>416095.61985425057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3.8044249972315858</v>
      </c>
      <c r="AP11" s="47">
        <f t="shared" si="17"/>
        <v>1.8802398181302877</v>
      </c>
      <c r="AQ11">
        <v>2021</v>
      </c>
    </row>
    <row r="12" spans="1:43" ht="13.5" customHeight="1">
      <c r="A12" s="55">
        <f>SUM(P5:P1000)</f>
        <v>3863176.9499999988</v>
      </c>
      <c r="B12" s="97" t="s">
        <v>33</v>
      </c>
      <c r="C12" s="98">
        <v>18230637</v>
      </c>
      <c r="D12" s="61" t="s">
        <v>82</v>
      </c>
      <c r="E12" s="38" t="s">
        <v>702</v>
      </c>
      <c r="F12" s="39" t="s">
        <v>703</v>
      </c>
      <c r="G12" s="39">
        <v>45</v>
      </c>
      <c r="H12" s="39"/>
      <c r="I12" s="40" t="s">
        <v>269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0.21882654362878567</v>
      </c>
      <c r="V12" s="48">
        <f t="shared" si="2"/>
        <v>0.59000000000000008</v>
      </c>
      <c r="W12" s="49">
        <f t="shared" si="3"/>
        <v>4.8628120806396818E-3</v>
      </c>
      <c r="X12" s="44">
        <f t="shared" si="4"/>
        <v>1698.9431714330208</v>
      </c>
      <c r="Y12" s="44">
        <f t="shared" si="5"/>
        <v>54753.450000000004</v>
      </c>
      <c r="Z12" s="44">
        <f t="shared" si="6"/>
        <v>21169.832683754175</v>
      </c>
      <c r="AA12" s="50">
        <f t="shared" si="7"/>
        <v>104034.68317143303</v>
      </c>
      <c r="AB12" s="51">
        <f t="shared" si="8"/>
        <v>19790.439079886113</v>
      </c>
      <c r="AC12" s="44">
        <f t="shared" si="9"/>
        <v>97255.943882801745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3.90586975384561</v>
      </c>
      <c r="AP12" s="47">
        <f t="shared" si="17"/>
        <v>0.87427833985818237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18230637</v>
      </c>
      <c r="D13" s="61" t="s">
        <v>82</v>
      </c>
      <c r="E13" s="38" t="s">
        <v>704</v>
      </c>
      <c r="F13" s="39" t="s">
        <v>703</v>
      </c>
      <c r="G13" s="39">
        <v>45</v>
      </c>
      <c r="H13" s="39"/>
      <c r="I13" s="40" t="s">
        <v>269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1.045877261344095</v>
      </c>
      <c r="V13" s="48">
        <f t="shared" si="2"/>
        <v>0.74</v>
      </c>
      <c r="W13" s="49">
        <f t="shared" si="3"/>
        <v>2.3241716918757666E-2</v>
      </c>
      <c r="X13" s="44">
        <f t="shared" si="4"/>
        <v>8120.0662490557079</v>
      </c>
      <c r="Y13" s="44">
        <f t="shared" si="5"/>
        <v>312566.71999999997</v>
      </c>
      <c r="Z13" s="44">
        <f t="shared" si="6"/>
        <v>101180.80861322425</v>
      </c>
      <c r="AA13" s="50">
        <f t="shared" si="7"/>
        <v>528136.38624905574</v>
      </c>
      <c r="AB13" s="51">
        <f t="shared" si="8"/>
        <v>94588.023383401174</v>
      </c>
      <c r="AC13" s="44">
        <f t="shared" si="9"/>
        <v>493723.83495284256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3.6503246305225217</v>
      </c>
      <c r="AP13" s="47">
        <f t="shared" si="17"/>
        <v>0.76926545524388767</v>
      </c>
      <c r="AQ13">
        <v>2021</v>
      </c>
    </row>
    <row r="14" spans="1:43" ht="13.5" customHeight="1">
      <c r="A14" s="55">
        <f>SUM(Y5:Y1000)</f>
        <v>10945684.200000003</v>
      </c>
      <c r="B14" s="97" t="s">
        <v>33</v>
      </c>
      <c r="C14" s="98">
        <v>18230637</v>
      </c>
      <c r="D14" s="61" t="s">
        <v>82</v>
      </c>
      <c r="E14" s="38" t="s">
        <v>719</v>
      </c>
      <c r="F14" s="39" t="s">
        <v>720</v>
      </c>
      <c r="G14" s="39">
        <v>25</v>
      </c>
      <c r="H14" s="39"/>
      <c r="I14" s="40" t="s">
        <v>269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1.1774697821458162E-3</v>
      </c>
      <c r="V14" s="48">
        <f t="shared" si="2"/>
        <v>0</v>
      </c>
      <c r="W14" s="49">
        <f t="shared" si="3"/>
        <v>4.709879128583265E-5</v>
      </c>
      <c r="X14" s="44">
        <f t="shared" si="4"/>
        <v>16.455122778935024</v>
      </c>
      <c r="Y14" s="44">
        <f t="shared" si="5"/>
        <v>695.96</v>
      </c>
      <c r="Z14" s="44">
        <f t="shared" si="6"/>
        <v>205.04052276619657</v>
      </c>
      <c r="AA14" s="50">
        <f t="shared" si="7"/>
        <v>1912.415122778935</v>
      </c>
      <c r="AB14" s="51">
        <f t="shared" si="8"/>
        <v>191.68039895877027</v>
      </c>
      <c r="AC14" s="44">
        <f t="shared" si="9"/>
        <v>1787.8051068326959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2.3443778803559803</v>
      </c>
      <c r="AP14" s="47">
        <f t="shared" si="17"/>
        <v>0.27648898320586535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18230637</v>
      </c>
      <c r="D15" s="61" t="s">
        <v>82</v>
      </c>
      <c r="E15" s="38" t="s">
        <v>724</v>
      </c>
      <c r="F15" s="39" t="s">
        <v>725</v>
      </c>
      <c r="G15" s="39">
        <v>45</v>
      </c>
      <c r="H15" s="39"/>
      <c r="I15" s="40" t="s">
        <v>269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0.54197518346040896</v>
      </c>
      <c r="V15" s="48">
        <f t="shared" si="2"/>
        <v>1.21</v>
      </c>
      <c r="W15" s="49">
        <f t="shared" si="3"/>
        <v>1.2043892965786866E-2</v>
      </c>
      <c r="X15" s="44">
        <f t="shared" si="4"/>
        <v>4207.8306486813935</v>
      </c>
      <c r="Y15" s="44">
        <f t="shared" si="5"/>
        <v>224034.59</v>
      </c>
      <c r="Z15" s="44">
        <f t="shared" si="6"/>
        <v>52432.048518151249</v>
      </c>
      <c r="AA15" s="50">
        <f t="shared" si="7"/>
        <v>258828.91064868137</v>
      </c>
      <c r="AB15" s="51">
        <f t="shared" si="8"/>
        <v>49015.657210574223</v>
      </c>
      <c r="AC15" s="44">
        <f t="shared" si="9"/>
        <v>241964.01855537193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3.90586975384561</v>
      </c>
      <c r="AP15" s="47">
        <f t="shared" si="17"/>
        <v>0.87035110227274548</v>
      </c>
      <c r="AQ15">
        <v>2021</v>
      </c>
    </row>
    <row r="16" spans="1:43" ht="13.5" customHeight="1">
      <c r="A16" s="54">
        <f>SUM(U5:U999)</f>
        <v>35.395790652571499</v>
      </c>
      <c r="B16" s="97" t="s">
        <v>33</v>
      </c>
      <c r="C16" s="98">
        <v>18230637</v>
      </c>
      <c r="D16" s="61" t="s">
        <v>82</v>
      </c>
      <c r="E16" s="38" t="s">
        <v>726</v>
      </c>
      <c r="F16" s="39" t="s">
        <v>725</v>
      </c>
      <c r="G16" s="39">
        <v>45</v>
      </c>
      <c r="H16" s="39"/>
      <c r="I16" s="40" t="s">
        <v>269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2.2838417116667546</v>
      </c>
      <c r="V16" s="48">
        <f t="shared" si="2"/>
        <v>1.1599999999999999</v>
      </c>
      <c r="W16" s="49">
        <f t="shared" si="3"/>
        <v>5.0752038037038996E-2</v>
      </c>
      <c r="X16" s="44">
        <f t="shared" si="4"/>
        <v>17731.474510936445</v>
      </c>
      <c r="Y16" s="44">
        <f t="shared" si="5"/>
        <v>1060574.99</v>
      </c>
      <c r="Z16" s="44">
        <f t="shared" si="6"/>
        <v>220944.61718584632</v>
      </c>
      <c r="AA16" s="50">
        <f t="shared" si="7"/>
        <v>1219106.4645109365</v>
      </c>
      <c r="AB16" s="51">
        <f t="shared" si="8"/>
        <v>206548.20714765476</v>
      </c>
      <c r="AC16" s="44">
        <f t="shared" si="9"/>
        <v>1139671.3700205071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3.3963340161670277</v>
      </c>
      <c r="AP16" s="47">
        <f t="shared" si="17"/>
        <v>0.67708761701313747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18230637</v>
      </c>
      <c r="D17" s="61" t="s">
        <v>82</v>
      </c>
      <c r="E17" s="38" t="s">
        <v>736</v>
      </c>
      <c r="F17" s="39" t="s">
        <v>737</v>
      </c>
      <c r="G17" s="39">
        <v>20</v>
      </c>
      <c r="H17" s="39"/>
      <c r="I17" s="40" t="s">
        <v>269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0.42398546000921489</v>
      </c>
      <c r="V17" s="48">
        <f t="shared" si="2"/>
        <v>600</v>
      </c>
      <c r="W17" s="49">
        <f t="shared" si="3"/>
        <v>2.1199273000460744E-2</v>
      </c>
      <c r="X17" s="44">
        <f t="shared" si="4"/>
        <v>7406.48816080497</v>
      </c>
      <c r="Y17" s="44">
        <f t="shared" si="5"/>
        <v>102109.23999999999</v>
      </c>
      <c r="Z17" s="44">
        <f t="shared" si="6"/>
        <v>92289.20529825319</v>
      </c>
      <c r="AA17" s="50">
        <f t="shared" si="7"/>
        <v>170406.48816080496</v>
      </c>
      <c r="AB17" s="51">
        <f t="shared" si="8"/>
        <v>86275.783208612862</v>
      </c>
      <c r="AC17" s="44">
        <f t="shared" si="9"/>
        <v>159303.06456090955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1.9591064169939181</v>
      </c>
      <c r="AP17" s="47">
        <f t="shared" si="17"/>
        <v>1.1671199488795634</v>
      </c>
      <c r="AQ17">
        <v>2021</v>
      </c>
    </row>
    <row r="18" spans="1:43" ht="13.5" customHeight="1">
      <c r="A18" s="59">
        <f>A6+A8</f>
        <v>4353413.6900000004</v>
      </c>
      <c r="B18" s="97" t="s">
        <v>33</v>
      </c>
      <c r="C18" s="98">
        <v>18230637</v>
      </c>
      <c r="D18" s="61" t="s">
        <v>82</v>
      </c>
      <c r="E18" s="38" t="s">
        <v>738</v>
      </c>
      <c r="F18" s="39" t="s">
        <v>737</v>
      </c>
      <c r="G18" s="39">
        <v>20</v>
      </c>
      <c r="H18" s="39"/>
      <c r="I18" s="40" t="s">
        <v>269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2.3511164131397502</v>
      </c>
      <c r="V18" s="48">
        <f t="shared" si="2"/>
        <v>600</v>
      </c>
      <c r="W18" s="49">
        <f t="shared" si="3"/>
        <v>0.11755582065698751</v>
      </c>
      <c r="X18" s="44">
        <f t="shared" si="4"/>
        <v>41071.021346381407</v>
      </c>
      <c r="Y18" s="44">
        <f t="shared" si="5"/>
        <v>552180.02</v>
      </c>
      <c r="Z18" s="44">
        <f t="shared" si="6"/>
        <v>511769.11898731429</v>
      </c>
      <c r="AA18" s="50">
        <f t="shared" si="7"/>
        <v>945071.0213463814</v>
      </c>
      <c r="AB18" s="51">
        <f t="shared" si="8"/>
        <v>478423.03354895225</v>
      </c>
      <c r="AC18" s="44">
        <f t="shared" si="9"/>
        <v>883491.65312366211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1.9591064169939179</v>
      </c>
      <c r="AP18" s="47">
        <f t="shared" si="17"/>
        <v>1.1669717477517398</v>
      </c>
      <c r="AQ18">
        <v>2021</v>
      </c>
    </row>
    <row r="19" spans="1:43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741</v>
      </c>
      <c r="F19" s="39" t="s">
        <v>742</v>
      </c>
      <c r="G19" s="39">
        <v>20</v>
      </c>
      <c r="H19" s="39"/>
      <c r="I19" s="40" t="s">
        <v>269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0.29825896590149387</v>
      </c>
      <c r="V19" s="48">
        <f t="shared" si="2"/>
        <v>331.58000000000004</v>
      </c>
      <c r="W19" s="49">
        <f t="shared" si="3"/>
        <v>1.4912948295074694E-2</v>
      </c>
      <c r="X19" s="44">
        <f t="shared" si="4"/>
        <v>5210.2057928008571</v>
      </c>
      <c r="Y19" s="44">
        <f t="shared" si="5"/>
        <v>57399.710000000006</v>
      </c>
      <c r="Z19" s="44">
        <f t="shared" si="6"/>
        <v>64922.233266040341</v>
      </c>
      <c r="AA19" s="50">
        <f t="shared" si="7"/>
        <v>112578.80579280086</v>
      </c>
      <c r="AB19" s="51">
        <f t="shared" si="8"/>
        <v>60692.000809610487</v>
      </c>
      <c r="AC19" s="44">
        <f t="shared" si="9"/>
        <v>105243.34466934734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1.9591064169939132</v>
      </c>
      <c r="AP19" s="47">
        <f t="shared" si="17"/>
        <v>1.2427607416113637</v>
      </c>
      <c r="AQ19">
        <v>2021</v>
      </c>
    </row>
    <row r="20" spans="1:43" ht="13.5" customHeight="1">
      <c r="A20" s="59">
        <f>A8+SUM(Q5:Q906)</f>
        <v>15158235.779999999</v>
      </c>
      <c r="B20" s="97" t="s">
        <v>33</v>
      </c>
      <c r="C20" s="98">
        <v>18230637</v>
      </c>
      <c r="D20" s="61" t="s">
        <v>82</v>
      </c>
      <c r="E20" s="38" t="s">
        <v>748</v>
      </c>
      <c r="F20" s="39" t="s">
        <v>749</v>
      </c>
      <c r="G20" s="39">
        <v>45</v>
      </c>
      <c r="H20" s="39"/>
      <c r="I20" s="40" t="s">
        <v>269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0.25433114217486597</v>
      </c>
      <c r="V20" s="48">
        <f t="shared" si="2"/>
        <v>0.79</v>
      </c>
      <c r="W20" s="49">
        <f t="shared" si="3"/>
        <v>5.6518031594414665E-3</v>
      </c>
      <c r="X20" s="44">
        <f t="shared" si="4"/>
        <v>1974.5966376626955</v>
      </c>
      <c r="Y20" s="44">
        <f t="shared" si="5"/>
        <v>42147.03</v>
      </c>
      <c r="Z20" s="44">
        <f t="shared" si="6"/>
        <v>24604.637247497736</v>
      </c>
      <c r="AA20" s="50">
        <f t="shared" si="7"/>
        <v>57989.016637662695</v>
      </c>
      <c r="AB20" s="51">
        <f t="shared" si="8"/>
        <v>23001.437082824843</v>
      </c>
      <c r="AC20" s="44">
        <f t="shared" si="9"/>
        <v>54210.541869367757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3.9058697538456091</v>
      </c>
      <c r="AP20" s="47">
        <f t="shared" si="17"/>
        <v>1.8229789950192163</v>
      </c>
      <c r="AQ20">
        <v>2021</v>
      </c>
    </row>
    <row r="21" spans="1:43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750</v>
      </c>
      <c r="F21" s="39" t="s">
        <v>749</v>
      </c>
      <c r="G21" s="39">
        <v>45</v>
      </c>
      <c r="H21" s="39"/>
      <c r="I21" s="40" t="s">
        <v>269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0.57684115140177405</v>
      </c>
      <c r="V21" s="48">
        <f t="shared" si="2"/>
        <v>0.81</v>
      </c>
      <c r="W21" s="49">
        <f t="shared" si="3"/>
        <v>1.2818692253372756E-2</v>
      </c>
      <c r="X21" s="44">
        <f t="shared" si="4"/>
        <v>4478.5258631059778</v>
      </c>
      <c r="Y21" s="44">
        <f t="shared" si="5"/>
        <v>130146.84</v>
      </c>
      <c r="Z21" s="44">
        <f t="shared" si="6"/>
        <v>55805.070343729909</v>
      </c>
      <c r="AA21" s="50">
        <f t="shared" si="7"/>
        <v>177608.88586310597</v>
      </c>
      <c r="AB21" s="51">
        <f t="shared" si="8"/>
        <v>52168.898143152197</v>
      </c>
      <c r="AC21" s="44">
        <f t="shared" si="9"/>
        <v>166036.1651520108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4.0868256022282115</v>
      </c>
      <c r="AP21" s="47">
        <f t="shared" si="17"/>
        <v>1.4124977363449844</v>
      </c>
      <c r="AQ21">
        <v>2021</v>
      </c>
    </row>
    <row r="22" spans="1:43" ht="13.5" customHeight="1">
      <c r="A22" s="60">
        <f>(SUM(AM5:AM1000)/(SUM(AB5:AB1000)))</f>
        <v>3.1041744521906214</v>
      </c>
      <c r="B22" s="97" t="s">
        <v>33</v>
      </c>
      <c r="C22" s="98">
        <v>18230637</v>
      </c>
      <c r="D22" s="61" t="s">
        <v>82</v>
      </c>
      <c r="E22" s="38" t="s">
        <v>765</v>
      </c>
      <c r="F22" s="39" t="s">
        <v>766</v>
      </c>
      <c r="G22" s="39">
        <v>25</v>
      </c>
      <c r="H22" s="39"/>
      <c r="I22" s="40" t="s">
        <v>269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1.8939653240673908E-3</v>
      </c>
      <c r="V22" s="48">
        <f t="shared" si="2"/>
        <v>-182.19</v>
      </c>
      <c r="W22" s="49">
        <f t="shared" si="3"/>
        <v>7.5758612962695631E-5</v>
      </c>
      <c r="X22" s="44">
        <f t="shared" si="4"/>
        <v>26.468137373155017</v>
      </c>
      <c r="Y22" s="44">
        <f t="shared" si="5"/>
        <v>1510.1899999999996</v>
      </c>
      <c r="Z22" s="44">
        <f t="shared" si="6"/>
        <v>329.80858280721066</v>
      </c>
      <c r="AA22" s="50">
        <f t="shared" si="7"/>
        <v>4907.6581373731542</v>
      </c>
      <c r="AB22" s="51">
        <f t="shared" si="8"/>
        <v>308.3187648940924</v>
      </c>
      <c r="AC22" s="44">
        <f t="shared" si="9"/>
        <v>4587.8827123241599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2.3428391820206502</v>
      </c>
      <c r="AP22" s="47">
        <f t="shared" si="17"/>
        <v>0.17319000093578696</v>
      </c>
      <c r="AQ22">
        <v>2021</v>
      </c>
    </row>
    <row r="23" spans="1:43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767</v>
      </c>
      <c r="F23" s="39" t="s">
        <v>766</v>
      </c>
      <c r="G23" s="39">
        <v>25</v>
      </c>
      <c r="H23" s="39"/>
      <c r="I23" s="40" t="s">
        <v>269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1.0829441654706206E-2</v>
      </c>
      <c r="V23" s="48">
        <f t="shared" si="2"/>
        <v>-181.47</v>
      </c>
      <c r="W23" s="49">
        <f t="shared" si="3"/>
        <v>4.3317766618824826E-4</v>
      </c>
      <c r="X23" s="44">
        <f t="shared" si="4"/>
        <v>151.34128684878289</v>
      </c>
      <c r="Y23" s="44">
        <f t="shared" si="5"/>
        <v>5109.67</v>
      </c>
      <c r="Z23" s="44">
        <f t="shared" si="6"/>
        <v>1885.8015821861702</v>
      </c>
      <c r="AA23" s="50">
        <f t="shared" si="7"/>
        <v>14261.011286848783</v>
      </c>
      <c r="AB23" s="51">
        <f t="shared" si="8"/>
        <v>1762.9256634441151</v>
      </c>
      <c r="AC23" s="44">
        <f t="shared" si="9"/>
        <v>13331.785815507883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2.3479145365047041</v>
      </c>
      <c r="AP23" s="47">
        <f t="shared" si="17"/>
        <v>0.3415235388704711</v>
      </c>
      <c r="AQ23">
        <v>2021</v>
      </c>
    </row>
    <row r="24" spans="1:43" ht="13.5" customHeight="1">
      <c r="A24" s="60">
        <f>(SUM(AN5:AN1000)/SUM(AC5:AC1000))</f>
        <v>1.0122695511900708</v>
      </c>
      <c r="B24" s="97" t="s">
        <v>33</v>
      </c>
      <c r="C24" s="98">
        <v>18230637</v>
      </c>
      <c r="D24" s="61" t="s">
        <v>82</v>
      </c>
      <c r="E24" s="38" t="s">
        <v>771</v>
      </c>
      <c r="F24" s="39" t="s">
        <v>772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33</v>
      </c>
      <c r="C25" s="98">
        <v>18230637</v>
      </c>
      <c r="D25" s="61" t="s">
        <v>82</v>
      </c>
      <c r="E25" s="38" t="s">
        <v>773</v>
      </c>
      <c r="F25" s="39" t="s">
        <v>772</v>
      </c>
      <c r="G25" s="39"/>
      <c r="H25" s="39"/>
      <c r="I25" s="40" t="s">
        <v>269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  <c r="AQ25">
        <v>2021</v>
      </c>
    </row>
    <row r="26" spans="1:43" ht="13.5" customHeight="1">
      <c r="B26" s="97" t="s">
        <v>33</v>
      </c>
      <c r="C26" s="98">
        <v>18230637</v>
      </c>
      <c r="D26" s="61" t="s">
        <v>82</v>
      </c>
      <c r="E26" s="38" t="s">
        <v>777</v>
      </c>
      <c r="F26" s="39" t="s">
        <v>778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2021</v>
      </c>
    </row>
    <row r="27" spans="1:43" ht="13.5" customHeight="1">
      <c r="B27" s="97" t="s">
        <v>33</v>
      </c>
      <c r="C27" s="98">
        <v>18230637</v>
      </c>
      <c r="D27" s="61" t="s">
        <v>82</v>
      </c>
      <c r="E27" s="38" t="s">
        <v>779</v>
      </c>
      <c r="F27" s="39" t="s">
        <v>778</v>
      </c>
      <c r="G27" s="39"/>
      <c r="H27" s="39"/>
      <c r="I27" s="40" t="s">
        <v>269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2021</v>
      </c>
    </row>
    <row r="28" spans="1:43" ht="13.5" customHeight="1">
      <c r="B28" s="97" t="s">
        <v>33</v>
      </c>
      <c r="C28" s="98">
        <v>18230637</v>
      </c>
      <c r="D28" s="61" t="s">
        <v>82</v>
      </c>
      <c r="E28" s="38" t="s">
        <v>782</v>
      </c>
      <c r="F28" s="39" t="s">
        <v>783</v>
      </c>
      <c r="G28" s="39">
        <v>45</v>
      </c>
      <c r="H28" s="39"/>
      <c r="I28" s="40" t="s">
        <v>269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9.7115359597803753E-3</v>
      </c>
      <c r="V28" s="48">
        <f t="shared" si="21"/>
        <v>0.24</v>
      </c>
      <c r="W28" s="49">
        <f t="shared" si="22"/>
        <v>2.1581191021734168E-4</v>
      </c>
      <c r="X28" s="44">
        <f t="shared" si="23"/>
        <v>75.39920628177704</v>
      </c>
      <c r="Y28" s="44">
        <f t="shared" si="24"/>
        <v>350</v>
      </c>
      <c r="Z28" s="44">
        <f t="shared" si="25"/>
        <v>939.51852440522623</v>
      </c>
      <c r="AA28" s="50">
        <f t="shared" si="26"/>
        <v>1625.399206281777</v>
      </c>
      <c r="AB28" s="51">
        <f t="shared" si="27"/>
        <v>878.30094830814824</v>
      </c>
      <c r="AC28" s="44">
        <f t="shared" si="28"/>
        <v>1519.4907041990996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3.90586975384561</v>
      </c>
      <c r="AP28" s="47">
        <f t="shared" si="37"/>
        <v>2.4834518626665649</v>
      </c>
      <c r="AQ28">
        <v>2021</v>
      </c>
    </row>
    <row r="29" spans="1:43">
      <c r="B29" s="97" t="s">
        <v>33</v>
      </c>
      <c r="C29" s="98">
        <v>18230637</v>
      </c>
      <c r="D29" s="61" t="s">
        <v>82</v>
      </c>
      <c r="E29" s="38" t="s">
        <v>784</v>
      </c>
      <c r="F29" s="39" t="s">
        <v>783</v>
      </c>
      <c r="G29" s="39">
        <v>45</v>
      </c>
      <c r="H29" s="39"/>
      <c r="I29" s="40" t="s">
        <v>269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3.5190721703860173E-2</v>
      </c>
      <c r="V29" s="48">
        <f t="shared" si="21"/>
        <v>0.49</v>
      </c>
      <c r="W29" s="49">
        <f t="shared" si="22"/>
        <v>7.8201603786355936E-4</v>
      </c>
      <c r="X29" s="44">
        <f t="shared" si="23"/>
        <v>273.21656388264734</v>
      </c>
      <c r="Y29" s="44">
        <f t="shared" si="24"/>
        <v>1303.9799999999996</v>
      </c>
      <c r="Z29" s="44">
        <f t="shared" si="25"/>
        <v>3404.439325034778</v>
      </c>
      <c r="AA29" s="50">
        <f t="shared" si="26"/>
        <v>7577.1965638826468</v>
      </c>
      <c r="AB29" s="51">
        <f t="shared" si="27"/>
        <v>3182.6113162894062</v>
      </c>
      <c r="AC29" s="44">
        <f t="shared" si="28"/>
        <v>7083.4781376859364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3.8043749155571391</v>
      </c>
      <c r="AP29" s="47">
        <f t="shared" si="37"/>
        <v>1.8802389256440439</v>
      </c>
      <c r="AQ29">
        <v>2021</v>
      </c>
    </row>
    <row r="30" spans="1:43">
      <c r="B30" s="97" t="s">
        <v>33</v>
      </c>
      <c r="C30" s="98">
        <v>18230637</v>
      </c>
      <c r="D30" s="61" t="s">
        <v>82</v>
      </c>
      <c r="E30" s="38" t="s">
        <v>789</v>
      </c>
      <c r="F30" s="39" t="s">
        <v>790</v>
      </c>
      <c r="G30" s="39">
        <v>45</v>
      </c>
      <c r="H30" s="39"/>
      <c r="I30" s="40" t="s">
        <v>269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5.605498555985234E-3</v>
      </c>
      <c r="V30" s="48">
        <f t="shared" si="21"/>
        <v>9.000000000000008E-2</v>
      </c>
      <c r="W30" s="49">
        <f t="shared" si="22"/>
        <v>1.2456663457744964E-4</v>
      </c>
      <c r="X30" s="44">
        <f t="shared" si="23"/>
        <v>43.520421865841719</v>
      </c>
      <c r="Y30" s="44">
        <f t="shared" si="24"/>
        <v>383.21000000000004</v>
      </c>
      <c r="Z30" s="44">
        <f t="shared" si="25"/>
        <v>542.29009228669668</v>
      </c>
      <c r="AA30" s="50">
        <f t="shared" si="26"/>
        <v>2664.9704218658417</v>
      </c>
      <c r="AB30" s="51">
        <f t="shared" si="27"/>
        <v>506.95530736346325</v>
      </c>
      <c r="AC30" s="44">
        <f t="shared" si="28"/>
        <v>2491.3250648460703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3.9058697538456091</v>
      </c>
      <c r="AP30" s="47">
        <f t="shared" si="37"/>
        <v>0.87427833985818237</v>
      </c>
      <c r="AQ30">
        <v>2021</v>
      </c>
    </row>
    <row r="31" spans="1:43">
      <c r="B31" s="97" t="s">
        <v>33</v>
      </c>
      <c r="C31" s="98">
        <v>18230637</v>
      </c>
      <c r="D31" s="61" t="s">
        <v>82</v>
      </c>
      <c r="E31" s="38" t="s">
        <v>791</v>
      </c>
      <c r="F31" s="39" t="s">
        <v>790</v>
      </c>
      <c r="G31" s="39">
        <v>45</v>
      </c>
      <c r="H31" s="39"/>
      <c r="I31" s="40" t="s">
        <v>269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1.9452594988878486E-2</v>
      </c>
      <c r="V31" s="48">
        <f t="shared" si="21"/>
        <v>0.24</v>
      </c>
      <c r="W31" s="49">
        <f t="shared" si="22"/>
        <v>4.3227988864174411E-4</v>
      </c>
      <c r="X31" s="44">
        <f t="shared" si="23"/>
        <v>151.02762615065069</v>
      </c>
      <c r="Y31" s="44">
        <f t="shared" si="24"/>
        <v>2472</v>
      </c>
      <c r="Z31" s="44">
        <f t="shared" si="25"/>
        <v>1881.8931851246443</v>
      </c>
      <c r="AA31" s="50">
        <f t="shared" si="26"/>
        <v>9823.0276261506515</v>
      </c>
      <c r="AB31" s="51">
        <f t="shared" si="27"/>
        <v>1759.2719314991532</v>
      </c>
      <c r="AC31" s="44">
        <f t="shared" si="28"/>
        <v>9182.974316304244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3.6503455643416918</v>
      </c>
      <c r="AP31" s="47">
        <f t="shared" si="37"/>
        <v>0.7692655230711426</v>
      </c>
      <c r="AQ31">
        <v>2021</v>
      </c>
    </row>
    <row r="32" spans="1:43">
      <c r="B32" s="97" t="s">
        <v>33</v>
      </c>
      <c r="C32" s="98">
        <v>18230637</v>
      </c>
      <c r="D32" s="61" t="s">
        <v>82</v>
      </c>
      <c r="E32" s="38" t="s">
        <v>799</v>
      </c>
      <c r="F32" s="39" t="s">
        <v>800</v>
      </c>
      <c r="G32" s="39">
        <v>45</v>
      </c>
      <c r="H32" s="39"/>
      <c r="I32" s="40" t="s">
        <v>269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1.0939074105096617E-2</v>
      </c>
      <c r="V32" s="48">
        <f t="shared" si="21"/>
        <v>0.96</v>
      </c>
      <c r="W32" s="49">
        <f t="shared" si="22"/>
        <v>2.430905356688137E-4</v>
      </c>
      <c r="X32" s="44">
        <f t="shared" si="23"/>
        <v>84.929665955793681</v>
      </c>
      <c r="Y32" s="44">
        <f t="shared" si="24"/>
        <v>3939.2</v>
      </c>
      <c r="Z32" s="44">
        <f t="shared" si="25"/>
        <v>1058.2736658900469</v>
      </c>
      <c r="AA32" s="50">
        <f t="shared" si="26"/>
        <v>5224.1296659557938</v>
      </c>
      <c r="AB32" s="51">
        <f t="shared" si="27"/>
        <v>989.31818817429826</v>
      </c>
      <c r="AC32" s="44">
        <f t="shared" si="28"/>
        <v>4883.733444849765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3.9058697538456095</v>
      </c>
      <c r="AP32" s="47">
        <f t="shared" si="37"/>
        <v>0.87035110227274515</v>
      </c>
      <c r="AQ32">
        <v>2021</v>
      </c>
    </row>
    <row r="33" spans="2:43">
      <c r="B33" s="97" t="s">
        <v>33</v>
      </c>
      <c r="C33" s="98">
        <v>18230637</v>
      </c>
      <c r="D33" s="61" t="s">
        <v>82</v>
      </c>
      <c r="E33" s="38" t="s">
        <v>801</v>
      </c>
      <c r="F33" s="39" t="s">
        <v>800</v>
      </c>
      <c r="G33" s="39">
        <v>45</v>
      </c>
      <c r="H33" s="39"/>
      <c r="I33" s="40" t="s">
        <v>269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3.2497907012932266E-2</v>
      </c>
      <c r="V33" s="48">
        <f t="shared" si="21"/>
        <v>0.90999999999999992</v>
      </c>
      <c r="W33" s="49">
        <f t="shared" si="22"/>
        <v>7.2217571139849483E-4</v>
      </c>
      <c r="X33" s="44">
        <f t="shared" si="23"/>
        <v>252.30987196483616</v>
      </c>
      <c r="Y33" s="44">
        <f t="shared" si="24"/>
        <v>13094.84</v>
      </c>
      <c r="Z33" s="44">
        <f t="shared" si="25"/>
        <v>3143.9296285876967</v>
      </c>
      <c r="AA33" s="50">
        <f t="shared" si="26"/>
        <v>17347.149871964837</v>
      </c>
      <c r="AB33" s="51">
        <f t="shared" si="27"/>
        <v>2939.0760293425228</v>
      </c>
      <c r="AC33" s="44">
        <f t="shared" si="28"/>
        <v>16216.836376521302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3.396311044654964</v>
      </c>
      <c r="AP33" s="47">
        <f t="shared" si="37"/>
        <v>0.67708755040455793</v>
      </c>
      <c r="AQ33">
        <v>2021</v>
      </c>
    </row>
    <row r="34" spans="2:43">
      <c r="B34" s="97" t="s">
        <v>33</v>
      </c>
      <c r="C34" s="98">
        <v>18230637</v>
      </c>
      <c r="D34" s="61" t="s">
        <v>82</v>
      </c>
      <c r="E34" s="38" t="s">
        <v>807</v>
      </c>
      <c r="F34" s="39" t="s">
        <v>808</v>
      </c>
      <c r="G34" s="39">
        <v>45</v>
      </c>
      <c r="H34" s="39"/>
      <c r="I34" s="40" t="s">
        <v>269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5.7686523601095437E-3</v>
      </c>
      <c r="V34" s="48">
        <f t="shared" si="21"/>
        <v>0</v>
      </c>
      <c r="W34" s="49">
        <f t="shared" si="22"/>
        <v>1.2819227466910098E-4</v>
      </c>
      <c r="X34" s="44">
        <f t="shared" si="23"/>
        <v>44.787128531375572</v>
      </c>
      <c r="Y34" s="44">
        <f t="shared" si="24"/>
        <v>470.5</v>
      </c>
      <c r="Z34" s="44">
        <f t="shared" si="25"/>
        <v>558.07400349670456</v>
      </c>
      <c r="AA34" s="50">
        <f t="shared" si="26"/>
        <v>1315.2871285313756</v>
      </c>
      <c r="AB34" s="51">
        <f t="shared" si="27"/>
        <v>521.71076329504024</v>
      </c>
      <c r="AC34" s="44">
        <f t="shared" si="28"/>
        <v>1229.5850505107746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3.9058697538456086</v>
      </c>
      <c r="AP34" s="47">
        <f t="shared" si="37"/>
        <v>1.8229789950192161</v>
      </c>
      <c r="AQ34">
        <v>2021</v>
      </c>
    </row>
    <row r="35" spans="2:43">
      <c r="B35" s="97" t="s">
        <v>33</v>
      </c>
      <c r="C35" s="98">
        <v>18230637</v>
      </c>
      <c r="D35" s="61" t="s">
        <v>82</v>
      </c>
      <c r="E35" s="38" t="s">
        <v>809</v>
      </c>
      <c r="F35" s="39" t="s">
        <v>808</v>
      </c>
      <c r="G35" s="39">
        <v>45</v>
      </c>
      <c r="H35" s="39"/>
      <c r="I35" s="40" t="s">
        <v>269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1.0353274256002663E-2</v>
      </c>
      <c r="V35" s="48">
        <f t="shared" si="21"/>
        <v>0</v>
      </c>
      <c r="W35" s="49">
        <f t="shared" si="22"/>
        <v>2.3007276124450361E-4</v>
      </c>
      <c r="X35" s="44">
        <f t="shared" si="23"/>
        <v>80.381585832876866</v>
      </c>
      <c r="Y35" s="44">
        <f t="shared" si="24"/>
        <v>1507.52</v>
      </c>
      <c r="Z35" s="44">
        <f t="shared" si="25"/>
        <v>1001.6019084979235</v>
      </c>
      <c r="AA35" s="50">
        <f t="shared" si="26"/>
        <v>3187.9015858328767</v>
      </c>
      <c r="AB35" s="51">
        <f t="shared" si="27"/>
        <v>936.33907497235066</v>
      </c>
      <c r="AC35" s="44">
        <f t="shared" si="28"/>
        <v>2980.1828417620609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4.0870064421149026</v>
      </c>
      <c r="AP35" s="47">
        <f t="shared" si="37"/>
        <v>1.4124993123135314</v>
      </c>
      <c r="AQ35">
        <v>2021</v>
      </c>
    </row>
    <row r="36" spans="2:43">
      <c r="B36" s="97" t="s">
        <v>33</v>
      </c>
      <c r="C36" s="98">
        <v>18230637</v>
      </c>
      <c r="D36" s="61" t="s">
        <v>82</v>
      </c>
      <c r="E36" s="38" t="s">
        <v>814</v>
      </c>
      <c r="F36" s="39" t="s">
        <v>815</v>
      </c>
      <c r="G36" s="39">
        <v>45</v>
      </c>
      <c r="H36" s="39"/>
      <c r="I36" s="40" t="s">
        <v>269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3.2924437672285818E-2</v>
      </c>
      <c r="V36" s="48">
        <f t="shared" si="21"/>
        <v>-179.5</v>
      </c>
      <c r="W36" s="49">
        <f t="shared" si="22"/>
        <v>7.3165417049524042E-4</v>
      </c>
      <c r="X36" s="44">
        <f t="shared" si="23"/>
        <v>255.62140510473179</v>
      </c>
      <c r="Y36" s="44">
        <f t="shared" si="24"/>
        <v>8580.07</v>
      </c>
      <c r="Z36" s="44">
        <f t="shared" si="25"/>
        <v>3185.193282179574</v>
      </c>
      <c r="AA36" s="50">
        <f t="shared" si="26"/>
        <v>13829.691405104732</v>
      </c>
      <c r="AB36" s="51">
        <f t="shared" si="27"/>
        <v>2977.651006992216</v>
      </c>
      <c r="AC36" s="44">
        <f t="shared" si="28"/>
        <v>12928.570071145863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3.9058328868886623</v>
      </c>
      <c r="AP36" s="47">
        <f t="shared" si="37"/>
        <v>0.98953154767039186</v>
      </c>
      <c r="AQ36">
        <v>2021</v>
      </c>
    </row>
    <row r="37" spans="2:43">
      <c r="B37" s="97" t="s">
        <v>33</v>
      </c>
      <c r="C37" s="98">
        <v>18230637</v>
      </c>
      <c r="D37" s="61" t="s">
        <v>82</v>
      </c>
      <c r="E37" s="38" t="s">
        <v>816</v>
      </c>
      <c r="F37" s="39" t="s">
        <v>815</v>
      </c>
      <c r="G37" s="39">
        <v>45</v>
      </c>
      <c r="H37" s="39"/>
      <c r="I37" s="40" t="s">
        <v>269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8.3872709163047232E-2</v>
      </c>
      <c r="V37" s="48">
        <f t="shared" si="21"/>
        <v>-177.4</v>
      </c>
      <c r="W37" s="49">
        <f t="shared" si="22"/>
        <v>1.8638379814010498E-3</v>
      </c>
      <c r="X37" s="44">
        <f t="shared" si="23"/>
        <v>651.17770513193932</v>
      </c>
      <c r="Y37" s="44">
        <f t="shared" si="24"/>
        <v>37218.559999999998</v>
      </c>
      <c r="Z37" s="44">
        <f t="shared" si="25"/>
        <v>8114.0577841732966</v>
      </c>
      <c r="AA37" s="50">
        <f t="shared" si="26"/>
        <v>64669.737705131934</v>
      </c>
      <c r="AB37" s="51">
        <f t="shared" si="27"/>
        <v>7585.358309968492</v>
      </c>
      <c r="AC37" s="44">
        <f t="shared" si="28"/>
        <v>60455.957469507273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3.8945394572209575</v>
      </c>
      <c r="AP37" s="47">
        <f t="shared" si="37"/>
        <v>0.53750906145609234</v>
      </c>
      <c r="AQ37">
        <v>2021</v>
      </c>
    </row>
    <row r="38" spans="2:43">
      <c r="B38" s="97" t="s">
        <v>33</v>
      </c>
      <c r="C38" s="98">
        <v>18230637</v>
      </c>
      <c r="D38" s="61" t="s">
        <v>82</v>
      </c>
      <c r="E38" s="38" t="s">
        <v>828</v>
      </c>
      <c r="F38" s="39" t="s">
        <v>829</v>
      </c>
      <c r="G38" s="39">
        <v>20</v>
      </c>
      <c r="H38" s="39"/>
      <c r="I38" s="40" t="s">
        <v>269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1.0404551165870305E-2</v>
      </c>
      <c r="V38" s="48">
        <f t="shared" si="21"/>
        <v>200</v>
      </c>
      <c r="W38" s="49">
        <f t="shared" si="22"/>
        <v>5.2022755829351521E-4</v>
      </c>
      <c r="X38" s="44">
        <f t="shared" si="23"/>
        <v>181.75431069460049</v>
      </c>
      <c r="Y38" s="44">
        <f t="shared" si="24"/>
        <v>2210.88</v>
      </c>
      <c r="Z38" s="44">
        <f t="shared" si="25"/>
        <v>2264.7657741902622</v>
      </c>
      <c r="AA38" s="50">
        <f t="shared" si="26"/>
        <v>4181.7543106946005</v>
      </c>
      <c r="AB38" s="51">
        <f t="shared" si="27"/>
        <v>2117.1971339536899</v>
      </c>
      <c r="AC38" s="44">
        <f t="shared" si="28"/>
        <v>3909.2776579364308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1.9591064169939179</v>
      </c>
      <c r="AP38" s="47">
        <f t="shared" si="37"/>
        <v>1.1671199488795634</v>
      </c>
      <c r="AQ38">
        <v>2021</v>
      </c>
    </row>
    <row r="39" spans="2:43">
      <c r="B39" s="97" t="s">
        <v>33</v>
      </c>
      <c r="C39" s="98">
        <v>18230637</v>
      </c>
      <c r="D39" s="61" t="s">
        <v>82</v>
      </c>
      <c r="E39" s="38" t="s">
        <v>830</v>
      </c>
      <c r="F39" s="39" t="s">
        <v>829</v>
      </c>
      <c r="G39" s="39">
        <v>20</v>
      </c>
      <c r="H39" s="39"/>
      <c r="I39" s="40" t="s">
        <v>269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3.3810302401345964E-2</v>
      </c>
      <c r="V39" s="48">
        <f t="shared" si="21"/>
        <v>200</v>
      </c>
      <c r="W39" s="49">
        <f t="shared" si="22"/>
        <v>1.6905151200672982E-3</v>
      </c>
      <c r="X39" s="44">
        <f t="shared" si="23"/>
        <v>590.6230945829185</v>
      </c>
      <c r="Y39" s="44">
        <f t="shared" si="24"/>
        <v>4250.33</v>
      </c>
      <c r="Z39" s="44">
        <f t="shared" si="25"/>
        <v>7359.5116668529699</v>
      </c>
      <c r="AA39" s="50">
        <f t="shared" si="26"/>
        <v>13590.623094582919</v>
      </c>
      <c r="AB39" s="51">
        <f t="shared" si="27"/>
        <v>6879.977252363251</v>
      </c>
      <c r="AC39" s="44">
        <f t="shared" si="28"/>
        <v>12705.079082530539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1.9591064169939179</v>
      </c>
      <c r="AP39" s="47">
        <f t="shared" si="37"/>
        <v>1.1669717477517396</v>
      </c>
      <c r="AQ39">
        <v>2021</v>
      </c>
    </row>
    <row r="40" spans="2:43">
      <c r="B40" s="97" t="s">
        <v>33</v>
      </c>
      <c r="C40" s="98">
        <v>18230637</v>
      </c>
      <c r="D40" s="61" t="s">
        <v>82</v>
      </c>
      <c r="E40" s="38" t="s">
        <v>835</v>
      </c>
      <c r="F40" s="39" t="s">
        <v>836</v>
      </c>
      <c r="G40" s="39">
        <v>45</v>
      </c>
      <c r="H40" s="39"/>
      <c r="I40" s="40" t="s">
        <v>269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0.68199144739126172</v>
      </c>
      <c r="V40" s="48">
        <f t="shared" si="21"/>
        <v>0.12000000000000001</v>
      </c>
      <c r="W40" s="49">
        <f t="shared" si="22"/>
        <v>1.5155365497583595E-2</v>
      </c>
      <c r="X40" s="44">
        <f t="shared" si="23"/>
        <v>5294.9002132330397</v>
      </c>
      <c r="Y40" s="44">
        <f t="shared" si="24"/>
        <v>102857.58000000002</v>
      </c>
      <c r="Z40" s="44">
        <f t="shared" si="25"/>
        <v>65977.575634134089</v>
      </c>
      <c r="AA40" s="50">
        <f t="shared" si="26"/>
        <v>181417.10021323306</v>
      </c>
      <c r="AB40" s="51">
        <f t="shared" si="27"/>
        <v>61678.578698825921</v>
      </c>
      <c r="AC40" s="44">
        <f t="shared" si="28"/>
        <v>169596.24213633078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3.9058697538456095</v>
      </c>
      <c r="AP40" s="47">
        <f t="shared" si="37"/>
        <v>1.5625307563530932</v>
      </c>
      <c r="AQ40">
        <v>2021</v>
      </c>
    </row>
    <row r="41" spans="2:43">
      <c r="B41" s="97" t="s">
        <v>33</v>
      </c>
      <c r="C41" s="98">
        <v>18230637</v>
      </c>
      <c r="D41" s="61" t="s">
        <v>82</v>
      </c>
      <c r="E41" s="38" t="s">
        <v>837</v>
      </c>
      <c r="F41" s="39" t="s">
        <v>838</v>
      </c>
      <c r="G41" s="39">
        <v>45</v>
      </c>
      <c r="H41" s="39"/>
      <c r="I41" s="40" t="s">
        <v>269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1.410503482798502E-2</v>
      </c>
      <c r="V41" s="48">
        <f t="shared" si="21"/>
        <v>0</v>
      </c>
      <c r="W41" s="49">
        <f t="shared" si="22"/>
        <v>3.1344521839966709E-4</v>
      </c>
      <c r="X41" s="44">
        <f t="shared" si="23"/>
        <v>109.509807203653</v>
      </c>
      <c r="Y41" s="44">
        <f t="shared" si="24"/>
        <v>782.29</v>
      </c>
      <c r="Z41" s="44">
        <f t="shared" si="25"/>
        <v>1364.5567048461508</v>
      </c>
      <c r="AA41" s="50">
        <f t="shared" si="26"/>
        <v>3740.5098072036531</v>
      </c>
      <c r="AB41" s="51">
        <f t="shared" si="27"/>
        <v>1275.6442973227547</v>
      </c>
      <c r="AC41" s="44">
        <f t="shared" si="28"/>
        <v>3496.7839648533727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3.9058697538456091</v>
      </c>
      <c r="AP41" s="47">
        <f t="shared" si="37"/>
        <v>1.5673689253966425</v>
      </c>
      <c r="AQ41">
        <v>2021</v>
      </c>
    </row>
    <row r="42" spans="2:43">
      <c r="B42" s="97" t="s">
        <v>33</v>
      </c>
      <c r="C42" s="98">
        <v>18230637</v>
      </c>
      <c r="D42" s="61" t="s">
        <v>82</v>
      </c>
      <c r="E42" s="38" t="s">
        <v>843</v>
      </c>
      <c r="F42" s="39" t="s">
        <v>844</v>
      </c>
      <c r="G42" s="39">
        <v>45</v>
      </c>
      <c r="H42" s="39"/>
      <c r="I42" s="40" t="s">
        <v>269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0.98865611454619218</v>
      </c>
      <c r="V42" s="48">
        <f t="shared" si="21"/>
        <v>0.12000000000000001</v>
      </c>
      <c r="W42" s="49">
        <f t="shared" si="22"/>
        <v>2.1970135878804271E-2</v>
      </c>
      <c r="X42" s="44">
        <f t="shared" si="23"/>
        <v>7675.8080937069744</v>
      </c>
      <c r="Y42" s="44">
        <f t="shared" si="24"/>
        <v>152004.68</v>
      </c>
      <c r="Z42" s="44">
        <f t="shared" si="25"/>
        <v>95645.090305946709</v>
      </c>
      <c r="AA42" s="50">
        <f t="shared" si="26"/>
        <v>262181.288093707</v>
      </c>
      <c r="AB42" s="51">
        <f t="shared" si="27"/>
        <v>89413.003931893705</v>
      </c>
      <c r="AC42" s="44">
        <f t="shared" si="28"/>
        <v>245097.96026335139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3.9058678815248826</v>
      </c>
      <c r="AP42" s="47">
        <f t="shared" si="37"/>
        <v>1.5673688914436377</v>
      </c>
      <c r="AQ42">
        <v>2021</v>
      </c>
    </row>
    <row r="43" spans="2:43">
      <c r="B43" s="97" t="s">
        <v>33</v>
      </c>
      <c r="C43" s="98">
        <v>18230637</v>
      </c>
      <c r="D43" s="61" t="s">
        <v>82</v>
      </c>
      <c r="E43" s="38" t="s">
        <v>845</v>
      </c>
      <c r="F43" s="39" t="s">
        <v>846</v>
      </c>
      <c r="G43" s="39">
        <v>45</v>
      </c>
      <c r="H43" s="39"/>
      <c r="I43" s="40" t="s">
        <v>269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1.4677626988173667E-2</v>
      </c>
      <c r="V43" s="48">
        <f t="shared" si="21"/>
        <v>0</v>
      </c>
      <c r="W43" s="49">
        <f t="shared" si="22"/>
        <v>3.261694886260815E-4</v>
      </c>
      <c r="X43" s="44">
        <f t="shared" si="23"/>
        <v>113.95534440602655</v>
      </c>
      <c r="Y43" s="44">
        <f t="shared" si="24"/>
        <v>1525.96</v>
      </c>
      <c r="Z43" s="44">
        <f t="shared" si="25"/>
        <v>1419.9507170450827</v>
      </c>
      <c r="AA43" s="50">
        <f t="shared" si="26"/>
        <v>3892.3553444060267</v>
      </c>
      <c r="AB43" s="51">
        <f t="shared" si="27"/>
        <v>1327.4289212350029</v>
      </c>
      <c r="AC43" s="44">
        <f t="shared" si="28"/>
        <v>3638.7354813555448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3.9058697538456104</v>
      </c>
      <c r="AP43" s="47">
        <f t="shared" si="37"/>
        <v>1.5673689253966427</v>
      </c>
      <c r="AQ43">
        <v>2021</v>
      </c>
    </row>
    <row r="44" spans="2:43">
      <c r="B44" s="97" t="s">
        <v>33</v>
      </c>
      <c r="C44" s="98">
        <v>18230637</v>
      </c>
      <c r="D44" s="61" t="s">
        <v>82</v>
      </c>
      <c r="E44" s="38" t="s">
        <v>855</v>
      </c>
      <c r="F44" s="39" t="s">
        <v>856</v>
      </c>
      <c r="G44" s="39">
        <v>18</v>
      </c>
      <c r="H44" s="39"/>
      <c r="I44" s="40" t="s">
        <v>269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1.1784366195035899E-3</v>
      </c>
      <c r="V44" s="48">
        <f t="shared" si="21"/>
        <v>99</v>
      </c>
      <c r="W44" s="49">
        <f t="shared" si="22"/>
        <v>6.5468701083532771E-5</v>
      </c>
      <c r="X44" s="44">
        <f t="shared" si="23"/>
        <v>22.873103217639883</v>
      </c>
      <c r="Y44" s="44">
        <f t="shared" si="24"/>
        <v>537.6</v>
      </c>
      <c r="Z44" s="44">
        <f t="shared" si="25"/>
        <v>285.01233956356941</v>
      </c>
      <c r="AA44" s="50">
        <f t="shared" si="26"/>
        <v>1120.8731032176399</v>
      </c>
      <c r="AB44" s="51">
        <f t="shared" si="27"/>
        <v>266.44137567875981</v>
      </c>
      <c r="AC44" s="44">
        <f t="shared" si="28"/>
        <v>1047.8387428415815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1.7930597045997319</v>
      </c>
      <c r="AP44" s="47">
        <f t="shared" si="37"/>
        <v>0.50152738424172283</v>
      </c>
      <c r="AQ44">
        <v>2021</v>
      </c>
    </row>
    <row r="45" spans="2:43">
      <c r="B45" s="97" t="s">
        <v>33</v>
      </c>
      <c r="C45" s="61">
        <v>18230637</v>
      </c>
      <c r="D45" s="61" t="s">
        <v>82</v>
      </c>
      <c r="E45" s="38" t="s">
        <v>2366</v>
      </c>
      <c r="F45" s="39" t="s">
        <v>2367</v>
      </c>
      <c r="G45" s="39">
        <v>10</v>
      </c>
      <c r="H45" s="39"/>
      <c r="I45" s="40" t="s">
        <v>265</v>
      </c>
      <c r="J45" s="41">
        <v>643</v>
      </c>
      <c r="K45" s="41">
        <v>0.98</v>
      </c>
      <c r="L45" s="41"/>
      <c r="M45" s="42">
        <v>0.49</v>
      </c>
      <c r="N45" s="42">
        <v>0.49</v>
      </c>
      <c r="O45" s="43">
        <v>630.14</v>
      </c>
      <c r="P45" s="44">
        <v>282.91999999999899</v>
      </c>
      <c r="Q45" s="44">
        <v>315.07</v>
      </c>
      <c r="R45" s="45">
        <v>2.74</v>
      </c>
      <c r="S45" s="46">
        <v>0</v>
      </c>
      <c r="T45" s="39">
        <f t="shared" si="19"/>
        <v>10</v>
      </c>
      <c r="U45" s="47">
        <f t="shared" si="20"/>
        <v>1.0879337368348455E-2</v>
      </c>
      <c r="V45" s="48">
        <f t="shared" si="21"/>
        <v>0</v>
      </c>
      <c r="W45" s="49">
        <f t="shared" si="22"/>
        <v>1.0879337368348454E-3</v>
      </c>
      <c r="X45" s="44">
        <f t="shared" si="23"/>
        <v>380.09644677119189</v>
      </c>
      <c r="Y45" s="44">
        <f t="shared" si="24"/>
        <v>32.150000000001</v>
      </c>
      <c r="Z45" s="44">
        <f t="shared" si="25"/>
        <v>4736.225623749674</v>
      </c>
      <c r="AA45" s="50">
        <f t="shared" si="26"/>
        <v>695.16644677119189</v>
      </c>
      <c r="AB45" s="51">
        <f t="shared" si="27"/>
        <v>4427.6204765351722</v>
      </c>
      <c r="AC45" s="44">
        <f t="shared" si="28"/>
        <v>649.87047468560513</v>
      </c>
      <c r="AD45" s="44">
        <f t="shared" si="29"/>
        <v>12391.464699866196</v>
      </c>
      <c r="AE45" s="44">
        <f t="shared" si="30"/>
        <v>0</v>
      </c>
      <c r="AF45" s="52">
        <f>HLOOKUP(I45,GasAvoidedCostsWOCC!$A$5:$G$50,G45+1,FALSE)</f>
        <v>7.1400454873872068</v>
      </c>
      <c r="AG45" s="44">
        <f t="shared" si="31"/>
        <v>4499.2282634221747</v>
      </c>
      <c r="AH45" s="52">
        <f>HLOOKUP(I45,GasAvoidedCostsWOCC!$A$5:$Q$50,T45+1,FALSE)</f>
        <v>7.1400454873872068</v>
      </c>
      <c r="AI45" s="44">
        <f t="shared" si="32"/>
        <v>0</v>
      </c>
      <c r="AJ45" s="44">
        <f t="shared" si="33"/>
        <v>4499.2282634221747</v>
      </c>
      <c r="AK45" s="44">
        <f>HLOOKUP(I45,GasAvoidedCostsWOCC!$A$5:$Q$50,G45+1,FALSE)*J45*L45</f>
        <v>0</v>
      </c>
      <c r="AL45" s="44">
        <f t="shared" si="34"/>
        <v>4499.2282634221747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4499.2282634221747</v>
      </c>
      <c r="AN45" s="48">
        <f t="shared" si="35"/>
        <v>17340.615789630589</v>
      </c>
      <c r="AO45" s="47">
        <f t="shared" si="36"/>
        <v>1.0161729731051925</v>
      </c>
      <c r="AP45" s="47">
        <f t="shared" si="37"/>
        <v>26.683187596758639</v>
      </c>
      <c r="AQ45">
        <v>2020</v>
      </c>
    </row>
    <row r="46" spans="2:43">
      <c r="B46" s="97" t="s">
        <v>33</v>
      </c>
      <c r="C46" s="61">
        <v>18230637</v>
      </c>
      <c r="D46" s="61" t="s">
        <v>82</v>
      </c>
      <c r="E46" s="38" t="s">
        <v>2368</v>
      </c>
      <c r="F46" s="39" t="s">
        <v>2367</v>
      </c>
      <c r="G46" s="39">
        <v>10</v>
      </c>
      <c r="H46" s="39"/>
      <c r="I46" s="40" t="s">
        <v>265</v>
      </c>
      <c r="J46" s="41">
        <v>412</v>
      </c>
      <c r="K46" s="41">
        <v>1.52</v>
      </c>
      <c r="L46" s="41"/>
      <c r="M46" s="42">
        <v>0.45</v>
      </c>
      <c r="N46" s="42">
        <v>0.45</v>
      </c>
      <c r="O46" s="43">
        <v>626.23999999999899</v>
      </c>
      <c r="P46" s="44">
        <v>185.4</v>
      </c>
      <c r="Q46" s="44">
        <v>185.4</v>
      </c>
      <c r="R46" s="45">
        <v>4.3099999999999996</v>
      </c>
      <c r="S46" s="46">
        <v>0</v>
      </c>
      <c r="T46" s="39">
        <f t="shared" si="19"/>
        <v>10</v>
      </c>
      <c r="U46" s="47">
        <f t="shared" si="20"/>
        <v>1.0812004052360626E-2</v>
      </c>
      <c r="V46" s="48">
        <f t="shared" si="21"/>
        <v>0</v>
      </c>
      <c r="W46" s="49">
        <f t="shared" si="22"/>
        <v>1.0812004052360626E-3</v>
      </c>
      <c r="X46" s="44">
        <f t="shared" si="23"/>
        <v>377.74399153519983</v>
      </c>
      <c r="Y46" s="44">
        <f t="shared" si="24"/>
        <v>0</v>
      </c>
      <c r="Z46" s="44">
        <f t="shared" si="25"/>
        <v>4706.912645788223</v>
      </c>
      <c r="AA46" s="50">
        <f t="shared" si="26"/>
        <v>563.1439915351998</v>
      </c>
      <c r="AB46" s="51">
        <f t="shared" si="27"/>
        <v>4400.2174869479504</v>
      </c>
      <c r="AC46" s="44">
        <f t="shared" si="28"/>
        <v>526.45039874282486</v>
      </c>
      <c r="AD46" s="44">
        <f t="shared" si="29"/>
        <v>12489.228012422605</v>
      </c>
      <c r="AE46" s="44">
        <f t="shared" si="30"/>
        <v>0</v>
      </c>
      <c r="AF46" s="52">
        <f>HLOOKUP(I46,GasAvoidedCostsWOCC!$A$5:$G$50,G46+1,FALSE)</f>
        <v>7.1400454873872068</v>
      </c>
      <c r="AG46" s="44">
        <f t="shared" si="31"/>
        <v>4471.3820860213646</v>
      </c>
      <c r="AH46" s="52">
        <f>HLOOKUP(I46,GasAvoidedCostsWOCC!$A$5:$Q$50,T46+1,FALSE)</f>
        <v>7.1400454873872068</v>
      </c>
      <c r="AI46" s="44">
        <f t="shared" si="32"/>
        <v>0</v>
      </c>
      <c r="AJ46" s="44">
        <f t="shared" si="33"/>
        <v>4471.3820860213646</v>
      </c>
      <c r="AK46" s="44">
        <f>HLOOKUP(I46,GasAvoidedCostsWOCC!$A$5:$Q$50,G46+1,FALSE)*J46*L46</f>
        <v>0</v>
      </c>
      <c r="AL46" s="44">
        <f t="shared" si="34"/>
        <v>4471.3820860213646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4471.3820860213646</v>
      </c>
      <c r="AN46" s="48">
        <f t="shared" si="35"/>
        <v>17407.748307046106</v>
      </c>
      <c r="AO46" s="47">
        <f t="shared" si="36"/>
        <v>1.0161729731051941</v>
      </c>
      <c r="AP46" s="47">
        <f t="shared" si="37"/>
        <v>33.066264834476698</v>
      </c>
      <c r="AQ46">
        <v>2020</v>
      </c>
    </row>
    <row r="47" spans="2:43">
      <c r="B47" s="97" t="s">
        <v>33</v>
      </c>
      <c r="C47" s="61">
        <v>18230637</v>
      </c>
      <c r="D47" s="61" t="s">
        <v>82</v>
      </c>
      <c r="E47" s="38" t="s">
        <v>2369</v>
      </c>
      <c r="F47" s="39" t="s">
        <v>2370</v>
      </c>
      <c r="G47" s="39">
        <v>10</v>
      </c>
      <c r="H47" s="39"/>
      <c r="I47" s="40" t="s">
        <v>265</v>
      </c>
      <c r="J47" s="41">
        <v>189</v>
      </c>
      <c r="K47" s="41">
        <v>1.64</v>
      </c>
      <c r="L47" s="41"/>
      <c r="M47" s="42">
        <v>1.26</v>
      </c>
      <c r="N47" s="42">
        <v>1.26</v>
      </c>
      <c r="O47" s="43">
        <v>309.95999999999901</v>
      </c>
      <c r="P47" s="44">
        <v>215.45999999999901</v>
      </c>
      <c r="Q47" s="44">
        <v>238.14</v>
      </c>
      <c r="R47" s="45">
        <v>3.8</v>
      </c>
      <c r="S47" s="46">
        <v>0</v>
      </c>
      <c r="T47" s="39">
        <f t="shared" si="19"/>
        <v>10</v>
      </c>
      <c r="U47" s="47">
        <f t="shared" si="20"/>
        <v>5.3514447752773609E-3</v>
      </c>
      <c r="V47" s="48">
        <f t="shared" si="21"/>
        <v>0</v>
      </c>
      <c r="W47" s="49">
        <f t="shared" si="22"/>
        <v>5.3514447752773609E-4</v>
      </c>
      <c r="X47" s="44">
        <f t="shared" si="23"/>
        <v>186.9659038327963</v>
      </c>
      <c r="Y47" s="44">
        <f t="shared" si="24"/>
        <v>22.680000000000973</v>
      </c>
      <c r="Z47" s="44">
        <f t="shared" si="25"/>
        <v>2329.7052945971441</v>
      </c>
      <c r="AA47" s="50">
        <f t="shared" si="26"/>
        <v>425.10590383279629</v>
      </c>
      <c r="AB47" s="51">
        <f t="shared" si="27"/>
        <v>2177.9052955007423</v>
      </c>
      <c r="AC47" s="44">
        <f t="shared" si="28"/>
        <v>397.406659654853</v>
      </c>
      <c r="AD47" s="44">
        <f t="shared" si="29"/>
        <v>5051.3389264759735</v>
      </c>
      <c r="AE47" s="44">
        <f t="shared" si="30"/>
        <v>0</v>
      </c>
      <c r="AF47" s="52">
        <f>HLOOKUP(I47,GasAvoidedCostsWOCC!$A$5:$G$50,G47+1,FALSE)</f>
        <v>7.1400454873872068</v>
      </c>
      <c r="AG47" s="44">
        <f t="shared" si="31"/>
        <v>2213.1284992705387</v>
      </c>
      <c r="AH47" s="52">
        <f>HLOOKUP(I47,GasAvoidedCostsWOCC!$A$5:$Q$50,T47+1,FALSE)</f>
        <v>7.1400454873872068</v>
      </c>
      <c r="AI47" s="44">
        <f t="shared" si="32"/>
        <v>0</v>
      </c>
      <c r="AJ47" s="44">
        <f t="shared" si="33"/>
        <v>2213.1284992705387</v>
      </c>
      <c r="AK47" s="44">
        <f>HLOOKUP(I47,GasAvoidedCostsWOCC!$A$5:$Q$50,G47+1,FALSE)*J47*L47</f>
        <v>0</v>
      </c>
      <c r="AL47" s="44">
        <f t="shared" si="34"/>
        <v>2213.1284992705387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2213.1284992705387</v>
      </c>
      <c r="AN47" s="48">
        <f t="shared" si="35"/>
        <v>7485.7802756735664</v>
      </c>
      <c r="AO47" s="47">
        <f t="shared" si="36"/>
        <v>1.0161729731051954</v>
      </c>
      <c r="AP47" s="47">
        <f t="shared" si="37"/>
        <v>18.836574812749625</v>
      </c>
      <c r="AQ47">
        <v>2020</v>
      </c>
    </row>
    <row r="48" spans="2:43">
      <c r="B48" s="97" t="s">
        <v>33</v>
      </c>
      <c r="C48" s="61">
        <v>18230637</v>
      </c>
      <c r="D48" s="61" t="s">
        <v>82</v>
      </c>
      <c r="E48" s="38" t="s">
        <v>2371</v>
      </c>
      <c r="F48" s="39" t="s">
        <v>2370</v>
      </c>
      <c r="G48" s="39">
        <v>10</v>
      </c>
      <c r="H48" s="39"/>
      <c r="I48" s="40" t="s">
        <v>265</v>
      </c>
      <c r="J48" s="41">
        <v>75</v>
      </c>
      <c r="K48" s="41">
        <v>2.1</v>
      </c>
      <c r="L48" s="41"/>
      <c r="M48" s="42">
        <v>1.17</v>
      </c>
      <c r="N48" s="42">
        <v>1.17</v>
      </c>
      <c r="O48" s="43">
        <v>157.5</v>
      </c>
      <c r="P48" s="44">
        <v>87.750000000000099</v>
      </c>
      <c r="Q48" s="44">
        <v>87.750000000000099</v>
      </c>
      <c r="R48" s="45">
        <v>5.98</v>
      </c>
      <c r="S48" s="46">
        <v>0</v>
      </c>
      <c r="T48" s="39">
        <f t="shared" si="19"/>
        <v>10</v>
      </c>
      <c r="U48" s="47">
        <f t="shared" si="20"/>
        <v>2.7192300687385053E-3</v>
      </c>
      <c r="V48" s="48">
        <f t="shared" si="21"/>
        <v>0</v>
      </c>
      <c r="W48" s="49">
        <f t="shared" si="22"/>
        <v>2.7192300687385053E-4</v>
      </c>
      <c r="X48" s="44">
        <f t="shared" si="23"/>
        <v>95.002999915039084</v>
      </c>
      <c r="Y48" s="44">
        <f t="shared" si="24"/>
        <v>0</v>
      </c>
      <c r="Z48" s="44">
        <f t="shared" si="25"/>
        <v>1183.793340750585</v>
      </c>
      <c r="AA48" s="50">
        <f t="shared" si="26"/>
        <v>182.7529999150392</v>
      </c>
      <c r="AB48" s="51">
        <f t="shared" si="27"/>
        <v>1106.6591948682667</v>
      </c>
      <c r="AC48" s="44">
        <f t="shared" si="28"/>
        <v>170.84509667667493</v>
      </c>
      <c r="AD48" s="44">
        <f t="shared" si="29"/>
        <v>3154.4493296080122</v>
      </c>
      <c r="AE48" s="44">
        <f t="shared" si="30"/>
        <v>0</v>
      </c>
      <c r="AF48" s="52">
        <f>HLOOKUP(I48,GasAvoidedCostsWOCC!$A$5:$G$50,G48+1,FALSE)</f>
        <v>7.1400454873872068</v>
      </c>
      <c r="AG48" s="44">
        <f t="shared" si="31"/>
        <v>1124.5571642634852</v>
      </c>
      <c r="AH48" s="52">
        <f>HLOOKUP(I48,GasAvoidedCostsWOCC!$A$5:$Q$50,T48+1,FALSE)</f>
        <v>7.1400454873872068</v>
      </c>
      <c r="AI48" s="44">
        <f t="shared" si="32"/>
        <v>0</v>
      </c>
      <c r="AJ48" s="44">
        <f t="shared" si="33"/>
        <v>1124.5571642634852</v>
      </c>
      <c r="AK48" s="44">
        <f>HLOOKUP(I48,GasAvoidedCostsWOCC!$A$5:$Q$50,G48+1,FALSE)*J48*L48</f>
        <v>0</v>
      </c>
      <c r="AL48" s="44">
        <f t="shared" si="34"/>
        <v>1124.5571642634852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1124.5571642634852</v>
      </c>
      <c r="AN48" s="48">
        <f t="shared" si="35"/>
        <v>4391.4622102978465</v>
      </c>
      <c r="AO48" s="47">
        <f t="shared" si="36"/>
        <v>1.0161729731051925</v>
      </c>
      <c r="AP48" s="47">
        <f t="shared" si="37"/>
        <v>25.704350289951297</v>
      </c>
      <c r="AQ48">
        <v>2020</v>
      </c>
    </row>
    <row r="49" spans="2:43">
      <c r="B49" s="97" t="s">
        <v>33</v>
      </c>
      <c r="C49" s="61">
        <v>18230637</v>
      </c>
      <c r="D49" s="61" t="s">
        <v>82</v>
      </c>
      <c r="E49" s="38" t="s">
        <v>2372</v>
      </c>
      <c r="F49" s="39" t="s">
        <v>2373</v>
      </c>
      <c r="G49" s="39">
        <v>3</v>
      </c>
      <c r="H49" s="39">
        <v>7</v>
      </c>
      <c r="I49" s="40" t="s">
        <v>265</v>
      </c>
      <c r="J49" s="41">
        <v>433</v>
      </c>
      <c r="K49" s="41">
        <v>7.4</v>
      </c>
      <c r="L49" s="41">
        <v>4.0999999999999996</v>
      </c>
      <c r="M49" s="42">
        <v>3.51</v>
      </c>
      <c r="N49" s="42">
        <v>3.51</v>
      </c>
      <c r="O49" s="43">
        <v>3204.2000000000198</v>
      </c>
      <c r="P49" s="44">
        <v>1381.27000000001</v>
      </c>
      <c r="Q49" s="44">
        <v>1519.83</v>
      </c>
      <c r="R49" s="45">
        <v>13.56</v>
      </c>
      <c r="S49" s="46">
        <v>0</v>
      </c>
      <c r="T49" s="39">
        <f t="shared" si="19"/>
        <v>10</v>
      </c>
      <c r="U49" s="47">
        <f t="shared" si="20"/>
        <v>5.5320361817472845E-2</v>
      </c>
      <c r="V49" s="48">
        <f t="shared" si="21"/>
        <v>0</v>
      </c>
      <c r="W49" s="49">
        <f t="shared" si="22"/>
        <v>5.5320361817472845E-3</v>
      </c>
      <c r="X49" s="44">
        <f t="shared" si="23"/>
        <v>1932.7530941445723</v>
      </c>
      <c r="Y49" s="44">
        <f t="shared" si="24"/>
        <v>138.55999999998994</v>
      </c>
      <c r="Z49" s="44">
        <f t="shared" si="25"/>
        <v>24083.242047193959</v>
      </c>
      <c r="AA49" s="50">
        <f t="shared" si="26"/>
        <v>3452.583094144572</v>
      </c>
      <c r="AB49" s="51">
        <f t="shared" si="27"/>
        <v>22514.01518855189</v>
      </c>
      <c r="AC49" s="44">
        <f t="shared" si="28"/>
        <v>3227.6181117552319</v>
      </c>
      <c r="AD49" s="44">
        <f t="shared" si="29"/>
        <v>41296.067223649618</v>
      </c>
      <c r="AE49" s="44">
        <f t="shared" si="30"/>
        <v>0</v>
      </c>
      <c r="AF49" s="52">
        <f>HLOOKUP(I49,GasAvoidedCostsWOCC!$A$5:$G$50,G49+1,FALSE)</f>
        <v>2.3114255322367177</v>
      </c>
      <c r="AG49" s="44">
        <f t="shared" si="31"/>
        <v>7406.2696903928909</v>
      </c>
      <c r="AH49" s="52">
        <f>HLOOKUP(I49,GasAvoidedCostsWOCC!$A$5:$Q$50,T49+1,FALSE)</f>
        <v>7.1400454873872068</v>
      </c>
      <c r="AI49" s="44">
        <f t="shared" si="32"/>
        <v>12675.722753758508</v>
      </c>
      <c r="AJ49" s="44">
        <f t="shared" si="33"/>
        <v>20081.992444151398</v>
      </c>
      <c r="AK49" s="44">
        <f>HLOOKUP(I49,GasAvoidedCostsWOCC!$A$5:$Q$50,G49+1,FALSE)*J49*L49</f>
        <v>4103.4737473798441</v>
      </c>
      <c r="AL49" s="44">
        <f t="shared" si="34"/>
        <v>15978.518696771553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15978.518696771556</v>
      </c>
      <c r="AN49" s="48">
        <f t="shared" si="35"/>
        <v>58872.437790098331</v>
      </c>
      <c r="AO49" s="47">
        <f t="shared" si="36"/>
        <v>0.70971430741933783</v>
      </c>
      <c r="AP49" s="47">
        <f t="shared" si="37"/>
        <v>18.240211744902663</v>
      </c>
      <c r="AQ49">
        <v>2020</v>
      </c>
    </row>
    <row r="50" spans="2:43">
      <c r="B50" s="97" t="s">
        <v>33</v>
      </c>
      <c r="C50" s="61">
        <v>18230637</v>
      </c>
      <c r="D50" s="61" t="s">
        <v>82</v>
      </c>
      <c r="E50" s="38" t="s">
        <v>2374</v>
      </c>
      <c r="F50" s="39" t="s">
        <v>2375</v>
      </c>
      <c r="G50" s="39">
        <v>3</v>
      </c>
      <c r="H50" s="39">
        <v>7</v>
      </c>
      <c r="I50" s="40" t="s">
        <v>265</v>
      </c>
      <c r="J50" s="41">
        <v>532</v>
      </c>
      <c r="K50" s="41">
        <v>7.4</v>
      </c>
      <c r="L50" s="41">
        <v>4.0999999999999996</v>
      </c>
      <c r="M50" s="42">
        <v>8</v>
      </c>
      <c r="N50" s="42">
        <v>8</v>
      </c>
      <c r="O50" s="43">
        <v>3936.8000000000302</v>
      </c>
      <c r="P50" s="44">
        <v>3867.6399999999899</v>
      </c>
      <c r="Q50" s="44">
        <v>4256</v>
      </c>
      <c r="R50" s="45">
        <v>13.56</v>
      </c>
      <c r="S50" s="46">
        <v>0</v>
      </c>
      <c r="T50" s="39">
        <f t="shared" si="19"/>
        <v>10</v>
      </c>
      <c r="U50" s="47">
        <f t="shared" si="20"/>
        <v>6.7968666251490978E-2</v>
      </c>
      <c r="V50" s="48">
        <f t="shared" si="21"/>
        <v>0</v>
      </c>
      <c r="W50" s="49">
        <f t="shared" si="22"/>
        <v>6.7968666251490978E-3</v>
      </c>
      <c r="X50" s="44">
        <f t="shared" si="23"/>
        <v>2374.6527623208171</v>
      </c>
      <c r="Y50" s="44">
        <f t="shared" si="24"/>
        <v>388.36000000001013</v>
      </c>
      <c r="Z50" s="44">
        <f t="shared" si="25"/>
        <v>29589.572215028184</v>
      </c>
      <c r="AA50" s="50">
        <f t="shared" si="26"/>
        <v>6630.6527623208167</v>
      </c>
      <c r="AB50" s="51">
        <f t="shared" si="27"/>
        <v>27661.561386396355</v>
      </c>
      <c r="AC50" s="44">
        <f t="shared" si="28"/>
        <v>6198.6096684311642</v>
      </c>
      <c r="AD50" s="44">
        <f t="shared" si="29"/>
        <v>50737.89321704756</v>
      </c>
      <c r="AE50" s="44">
        <f t="shared" si="30"/>
        <v>0</v>
      </c>
      <c r="AF50" s="52">
        <f>HLOOKUP(I50,GasAvoidedCostsWOCC!$A$5:$G$50,G50+1,FALSE)</f>
        <v>2.3114255322367177</v>
      </c>
      <c r="AG50" s="44">
        <f t="shared" si="31"/>
        <v>9099.6200353095101</v>
      </c>
      <c r="AH50" s="52">
        <f>HLOOKUP(I50,GasAvoidedCostsWOCC!$A$5:$Q$50,T50+1,FALSE)</f>
        <v>7.1400454873872068</v>
      </c>
      <c r="AI50" s="44">
        <f t="shared" si="32"/>
        <v>15573.867217088975</v>
      </c>
      <c r="AJ50" s="44">
        <f t="shared" si="33"/>
        <v>24673.487252398485</v>
      </c>
      <c r="AK50" s="44">
        <f>HLOOKUP(I50,GasAvoidedCostsWOCC!$A$5:$Q$50,G50+1,FALSE)*J50*L50</f>
        <v>5041.6813709147282</v>
      </c>
      <c r="AL50" s="44">
        <f t="shared" si="34"/>
        <v>19631.805881483757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19631.805881483753</v>
      </c>
      <c r="AN50" s="48">
        <f t="shared" si="35"/>
        <v>72332.879686679691</v>
      </c>
      <c r="AO50" s="47">
        <f t="shared" si="36"/>
        <v>0.70971430741933661</v>
      </c>
      <c r="AP50" s="47">
        <f t="shared" si="37"/>
        <v>11.669210283567793</v>
      </c>
      <c r="AQ50">
        <v>2020</v>
      </c>
    </row>
    <row r="51" spans="2:43">
      <c r="B51" s="97" t="s">
        <v>33</v>
      </c>
      <c r="C51" s="61">
        <v>18230637</v>
      </c>
      <c r="D51" s="61" t="s">
        <v>82</v>
      </c>
      <c r="E51" s="38" t="s">
        <v>2376</v>
      </c>
      <c r="F51" s="39" t="s">
        <v>2377</v>
      </c>
      <c r="G51" s="39">
        <v>1</v>
      </c>
      <c r="H51" s="39"/>
      <c r="I51" s="40" t="s">
        <v>269</v>
      </c>
      <c r="J51" s="41">
        <v>168</v>
      </c>
      <c r="K51" s="41">
        <v>0</v>
      </c>
      <c r="L51" s="41"/>
      <c r="M51" s="42">
        <v>139</v>
      </c>
      <c r="N51" s="42">
        <v>139</v>
      </c>
      <c r="O51" s="43">
        <v>0</v>
      </c>
      <c r="P51" s="44">
        <v>23352</v>
      </c>
      <c r="Q51" s="44">
        <v>23352</v>
      </c>
      <c r="R51" s="45">
        <v>0</v>
      </c>
      <c r="S51" s="46">
        <v>0</v>
      </c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23352</v>
      </c>
      <c r="AB51" s="51">
        <f t="shared" si="27"/>
        <v>0</v>
      </c>
      <c r="AC51" s="44">
        <f t="shared" si="28"/>
        <v>21830.419743853414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0.87909634590853636</v>
      </c>
      <c r="AG51" s="44">
        <f t="shared" si="31"/>
        <v>0</v>
      </c>
      <c r="AH51" s="52">
        <f>HLOOKUP(I51,GasAvoidedCostsWOCC!$A$5:$Q$50,T51+1,FALSE)</f>
        <v>0.87909634590853636</v>
      </c>
      <c r="AI51" s="44">
        <f t="shared" si="32"/>
        <v>0</v>
      </c>
      <c r="AJ51" s="44">
        <f t="shared" si="33"/>
        <v>0</v>
      </c>
      <c r="AK51" s="44">
        <f>HLOOKUP(I51,GasAvoidedCostsWOCC!$A$5:$Q$50,G51+1,FALSE)*J51*L51</f>
        <v>0</v>
      </c>
      <c r="AL51" s="44">
        <f t="shared" si="34"/>
        <v>0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  <c r="AQ51">
        <v>2020</v>
      </c>
    </row>
    <row r="52" spans="2:43">
      <c r="B52" s="97" t="s">
        <v>33</v>
      </c>
      <c r="C52" s="61">
        <v>18230637</v>
      </c>
      <c r="D52" s="61" t="s">
        <v>82</v>
      </c>
      <c r="E52" s="38" t="s">
        <v>2378</v>
      </c>
      <c r="F52" s="39" t="s">
        <v>2377</v>
      </c>
      <c r="G52" s="39">
        <v>1</v>
      </c>
      <c r="H52" s="39"/>
      <c r="I52" s="40" t="s">
        <v>269</v>
      </c>
      <c r="J52" s="41">
        <v>322</v>
      </c>
      <c r="K52" s="41">
        <v>0</v>
      </c>
      <c r="L52" s="41"/>
      <c r="M52" s="42">
        <v>120</v>
      </c>
      <c r="N52" s="42">
        <v>120</v>
      </c>
      <c r="O52" s="43">
        <v>0</v>
      </c>
      <c r="P52" s="44">
        <v>19320</v>
      </c>
      <c r="Q52" s="44">
        <v>38640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19320</v>
      </c>
      <c r="Z52" s="44">
        <f t="shared" si="25"/>
        <v>0</v>
      </c>
      <c r="AA52" s="50">
        <f t="shared" si="26"/>
        <v>38640</v>
      </c>
      <c r="AB52" s="51">
        <f t="shared" si="27"/>
        <v>0</v>
      </c>
      <c r="AC52" s="44">
        <f t="shared" si="28"/>
        <v>36122.277274002052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0.87909634590853636</v>
      </c>
      <c r="AG52" s="44">
        <f t="shared" si="31"/>
        <v>0</v>
      </c>
      <c r="AH52" s="52">
        <f>HLOOKUP(I52,GasAvoidedCostsWOCC!$A$5:$Q$50,T52+1,FALSE)</f>
        <v>0.87909634590853636</v>
      </c>
      <c r="AI52" s="44">
        <f t="shared" si="32"/>
        <v>0</v>
      </c>
      <c r="AJ52" s="44">
        <f t="shared" si="33"/>
        <v>0</v>
      </c>
      <c r="AK52" s="44">
        <f>HLOOKUP(I52,GasAvoidedCostsWOCC!$A$5:$Q$50,G52+1,FALSE)*J52*L52</f>
        <v>0</v>
      </c>
      <c r="AL52" s="44">
        <f t="shared" si="34"/>
        <v>0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  <c r="AQ52">
        <v>2020</v>
      </c>
    </row>
    <row r="53" spans="2:43">
      <c r="B53" s="97" t="s">
        <v>33</v>
      </c>
      <c r="C53" s="61">
        <v>18230637</v>
      </c>
      <c r="D53" s="61" t="s">
        <v>82</v>
      </c>
      <c r="E53" s="38" t="s">
        <v>2379</v>
      </c>
      <c r="F53" s="39" t="s">
        <v>2380</v>
      </c>
      <c r="G53" s="39">
        <v>1</v>
      </c>
      <c r="H53" s="39"/>
      <c r="I53" s="40" t="s">
        <v>269</v>
      </c>
      <c r="J53" s="41">
        <v>202</v>
      </c>
      <c r="K53" s="41">
        <v>0</v>
      </c>
      <c r="L53" s="41"/>
      <c r="M53" s="42">
        <v>139</v>
      </c>
      <c r="N53" s="42">
        <v>139</v>
      </c>
      <c r="O53" s="43">
        <v>0</v>
      </c>
      <c r="P53" s="44">
        <v>28078</v>
      </c>
      <c r="Q53" s="44">
        <v>28078</v>
      </c>
      <c r="R53" s="45">
        <v>0</v>
      </c>
      <c r="S53" s="46">
        <v>0</v>
      </c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28078</v>
      </c>
      <c r="AB53" s="51">
        <f t="shared" si="27"/>
        <v>0</v>
      </c>
      <c r="AC53" s="44">
        <f t="shared" si="28"/>
        <v>26248.480882490414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0.87909634590853636</v>
      </c>
      <c r="AG53" s="44">
        <f t="shared" si="31"/>
        <v>0</v>
      </c>
      <c r="AH53" s="52">
        <f>HLOOKUP(I53,GasAvoidedCostsWOCC!$A$5:$Q$50,T53+1,FALSE)</f>
        <v>0.87909634590853636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  <c r="AQ53">
        <v>2020</v>
      </c>
    </row>
    <row r="54" spans="2:43">
      <c r="B54" s="97" t="s">
        <v>33</v>
      </c>
      <c r="C54" s="61">
        <v>18230637</v>
      </c>
      <c r="D54" s="61" t="s">
        <v>82</v>
      </c>
      <c r="E54" s="38" t="s">
        <v>2381</v>
      </c>
      <c r="F54" s="39" t="s">
        <v>2382</v>
      </c>
      <c r="G54" s="39">
        <v>1</v>
      </c>
      <c r="H54" s="39"/>
      <c r="I54" s="40" t="s">
        <v>269</v>
      </c>
      <c r="J54" s="41">
        <v>1</v>
      </c>
      <c r="K54" s="41">
        <v>0</v>
      </c>
      <c r="L54" s="41"/>
      <c r="M54" s="42">
        <v>120</v>
      </c>
      <c r="N54" s="42">
        <v>120</v>
      </c>
      <c r="O54" s="43">
        <v>0</v>
      </c>
      <c r="P54" s="44">
        <v>60</v>
      </c>
      <c r="Q54" s="44">
        <v>120</v>
      </c>
      <c r="R54" s="45">
        <v>0</v>
      </c>
      <c r="S54" s="46">
        <v>0</v>
      </c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60</v>
      </c>
      <c r="Z54" s="44">
        <f t="shared" si="25"/>
        <v>0</v>
      </c>
      <c r="AA54" s="50">
        <f t="shared" si="26"/>
        <v>120</v>
      </c>
      <c r="AB54" s="51">
        <f t="shared" si="27"/>
        <v>0</v>
      </c>
      <c r="AC54" s="44">
        <f t="shared" si="28"/>
        <v>112.18098532298774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0.87909634590853636</v>
      </c>
      <c r="AG54" s="44">
        <f t="shared" si="31"/>
        <v>0</v>
      </c>
      <c r="AH54" s="52">
        <f>HLOOKUP(I54,GasAvoidedCostsWOCC!$A$5:$Q$50,T54+1,FALSE)</f>
        <v>0.87909634590853636</v>
      </c>
      <c r="AI54" s="44">
        <f t="shared" si="32"/>
        <v>0</v>
      </c>
      <c r="AJ54" s="44">
        <f t="shared" si="33"/>
        <v>0</v>
      </c>
      <c r="AK54" s="44">
        <f>HLOOKUP(I54,GasAvoidedCostsWOCC!$A$5:$Q$50,G54+1,FALSE)*J54*L54</f>
        <v>0</v>
      </c>
      <c r="AL54" s="44">
        <f t="shared" si="34"/>
        <v>0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  <c r="AQ54">
        <v>2020</v>
      </c>
    </row>
    <row r="55" spans="2:43">
      <c r="B55" s="97" t="s">
        <v>33</v>
      </c>
      <c r="C55" s="61">
        <v>18230637</v>
      </c>
      <c r="D55" s="61" t="s">
        <v>82</v>
      </c>
      <c r="E55" s="38" t="s">
        <v>2393</v>
      </c>
      <c r="F55" s="39" t="s">
        <v>2394</v>
      </c>
      <c r="G55" s="39">
        <v>3</v>
      </c>
      <c r="H55" s="39">
        <v>7</v>
      </c>
      <c r="I55" s="40" t="s">
        <v>265</v>
      </c>
      <c r="J55" s="41">
        <v>3</v>
      </c>
      <c r="K55" s="41">
        <v>8.34</v>
      </c>
      <c r="L55" s="41">
        <v>4.0599999999999996</v>
      </c>
      <c r="M55" s="42"/>
      <c r="N55" s="42"/>
      <c r="O55" s="43">
        <v>25.02</v>
      </c>
      <c r="P55" s="44">
        <v>9.57</v>
      </c>
      <c r="Q55" s="44">
        <v>0</v>
      </c>
      <c r="R55" s="45">
        <v>14.53</v>
      </c>
      <c r="S55" s="46">
        <v>0</v>
      </c>
      <c r="T55" s="39">
        <f t="shared" si="19"/>
        <v>10</v>
      </c>
      <c r="U55" s="47">
        <f t="shared" si="20"/>
        <v>4.3196911949103109E-4</v>
      </c>
      <c r="V55" s="48">
        <f t="shared" si="21"/>
        <v>0</v>
      </c>
      <c r="W55" s="49">
        <f t="shared" si="22"/>
        <v>4.3196911949103111E-5</v>
      </c>
      <c r="X55" s="44">
        <f t="shared" si="23"/>
        <v>15.091905129360493</v>
      </c>
      <c r="Y55" s="44">
        <f t="shared" si="24"/>
        <v>-9.57</v>
      </c>
      <c r="Z55" s="44">
        <f t="shared" si="25"/>
        <v>188.0540278449501</v>
      </c>
      <c r="AA55" s="50">
        <f t="shared" si="26"/>
        <v>15.091905129360493</v>
      </c>
      <c r="AB55" s="51">
        <f t="shared" si="27"/>
        <v>175.80071781335897</v>
      </c>
      <c r="AC55" s="44">
        <f t="shared" si="28"/>
        <v>14.108539898439274</v>
      </c>
      <c r="AD55" s="44">
        <f t="shared" si="29"/>
        <v>306.58293484417669</v>
      </c>
      <c r="AE55" s="44">
        <f t="shared" si="30"/>
        <v>0</v>
      </c>
      <c r="AF55" s="52">
        <f>HLOOKUP(I55,GasAvoidedCostsWOCC!$A$5:$G$50,G55+1,FALSE)</f>
        <v>2.3114255322367177</v>
      </c>
      <c r="AG55" s="44">
        <f t="shared" si="31"/>
        <v>57.831866816562673</v>
      </c>
      <c r="AH55" s="52">
        <f>HLOOKUP(I55,GasAvoidedCostsWOCC!$A$5:$Q$50,T55+1,FALSE)</f>
        <v>7.1400454873872068</v>
      </c>
      <c r="AI55" s="44">
        <f t="shared" si="32"/>
        <v>86.965754036376183</v>
      </c>
      <c r="AJ55" s="44">
        <f t="shared" si="33"/>
        <v>144.79762085293885</v>
      </c>
      <c r="AK55" s="44">
        <f>HLOOKUP(I55,GasAvoidedCostsWOCC!$A$5:$Q$50,G55+1,FALSE)*J55*L55</f>
        <v>28.153162982643217</v>
      </c>
      <c r="AL55" s="44">
        <f t="shared" si="34"/>
        <v>116.64445787029564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116.64445787029564</v>
      </c>
      <c r="AN55" s="48">
        <f t="shared" si="35"/>
        <v>434.89183850150187</v>
      </c>
      <c r="AO55" s="47">
        <f t="shared" si="36"/>
        <v>0.66350387712371395</v>
      </c>
      <c r="AP55" s="47">
        <f t="shared" si="37"/>
        <v>30.824723297526404</v>
      </c>
      <c r="AQ55">
        <v>2020</v>
      </c>
    </row>
    <row r="56" spans="2:43">
      <c r="B56" s="97" t="s">
        <v>33</v>
      </c>
      <c r="C56" s="61">
        <v>18230637</v>
      </c>
      <c r="D56" s="61" t="s">
        <v>82</v>
      </c>
      <c r="E56" s="38" t="s">
        <v>2395</v>
      </c>
      <c r="F56" s="39" t="s">
        <v>2396</v>
      </c>
      <c r="G56" s="39">
        <v>3</v>
      </c>
      <c r="H56" s="39">
        <v>7</v>
      </c>
      <c r="I56" s="40" t="s">
        <v>265</v>
      </c>
      <c r="J56" s="41">
        <v>2</v>
      </c>
      <c r="K56" s="41">
        <v>8.34</v>
      </c>
      <c r="L56" s="41">
        <v>4.0599999999999996</v>
      </c>
      <c r="M56" s="42"/>
      <c r="N56" s="42"/>
      <c r="O56" s="43">
        <v>16.68</v>
      </c>
      <c r="P56" s="44">
        <v>14.54</v>
      </c>
      <c r="Q56" s="44">
        <v>0</v>
      </c>
      <c r="R56" s="45">
        <v>14.53</v>
      </c>
      <c r="S56" s="46">
        <v>0</v>
      </c>
      <c r="T56" s="39">
        <f t="shared" si="19"/>
        <v>10</v>
      </c>
      <c r="U56" s="47">
        <f t="shared" si="20"/>
        <v>2.8797941299402077E-4</v>
      </c>
      <c r="V56" s="48">
        <f t="shared" si="21"/>
        <v>0</v>
      </c>
      <c r="W56" s="49">
        <f t="shared" si="22"/>
        <v>2.8797941299402074E-5</v>
      </c>
      <c r="X56" s="44">
        <f t="shared" si="23"/>
        <v>10.061270086240329</v>
      </c>
      <c r="Y56" s="44">
        <f t="shared" si="24"/>
        <v>-14.54</v>
      </c>
      <c r="Z56" s="44">
        <f t="shared" si="25"/>
        <v>125.36935189663339</v>
      </c>
      <c r="AA56" s="50">
        <f t="shared" si="26"/>
        <v>10.061270086240329</v>
      </c>
      <c r="AB56" s="51">
        <f t="shared" si="27"/>
        <v>117.2004785422393</v>
      </c>
      <c r="AC56" s="44">
        <f t="shared" si="28"/>
        <v>9.4056932656261836</v>
      </c>
      <c r="AD56" s="44">
        <f t="shared" si="29"/>
        <v>204.38862322945113</v>
      </c>
      <c r="AE56" s="44">
        <f t="shared" si="30"/>
        <v>0</v>
      </c>
      <c r="AF56" s="52">
        <f>HLOOKUP(I56,GasAvoidedCostsWOCC!$A$5:$G$50,G56+1,FALSE)</f>
        <v>2.3114255322367177</v>
      </c>
      <c r="AG56" s="44">
        <f t="shared" si="31"/>
        <v>38.554577877708446</v>
      </c>
      <c r="AH56" s="52">
        <f>HLOOKUP(I56,GasAvoidedCostsWOCC!$A$5:$Q$50,T56+1,FALSE)</f>
        <v>7.1400454873872068</v>
      </c>
      <c r="AI56" s="44">
        <f t="shared" si="32"/>
        <v>57.977169357584117</v>
      </c>
      <c r="AJ56" s="44">
        <f t="shared" si="33"/>
        <v>96.531747235292556</v>
      </c>
      <c r="AK56" s="44">
        <f>HLOOKUP(I56,GasAvoidedCostsWOCC!$A$5:$Q$50,G56+1,FALSE)*J56*L56</f>
        <v>18.768775321762146</v>
      </c>
      <c r="AL56" s="44">
        <f t="shared" si="34"/>
        <v>77.762971913530407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77.762971913530407</v>
      </c>
      <c r="AN56" s="48">
        <f t="shared" si="35"/>
        <v>289.92789233433462</v>
      </c>
      <c r="AO56" s="47">
        <f t="shared" si="36"/>
        <v>0.66350387712371384</v>
      </c>
      <c r="AP56" s="47">
        <f t="shared" si="37"/>
        <v>30.824723297526404</v>
      </c>
      <c r="AQ56">
        <v>2020</v>
      </c>
    </row>
    <row r="57" spans="2:43">
      <c r="B57" s="97" t="s">
        <v>33</v>
      </c>
      <c r="C57" s="61">
        <v>18230637</v>
      </c>
      <c r="D57" s="61" t="s">
        <v>82</v>
      </c>
      <c r="E57" s="38" t="s">
        <v>2401</v>
      </c>
      <c r="F57" s="39" t="s">
        <v>2402</v>
      </c>
      <c r="G57" s="39">
        <v>10</v>
      </c>
      <c r="H57" s="39"/>
      <c r="I57" s="40" t="s">
        <v>265</v>
      </c>
      <c r="J57" s="41">
        <v>5</v>
      </c>
      <c r="K57" s="41">
        <v>1.74</v>
      </c>
      <c r="L57" s="41"/>
      <c r="M57" s="42">
        <v>0.45</v>
      </c>
      <c r="N57" s="42">
        <v>0.45</v>
      </c>
      <c r="O57" s="43">
        <v>8.6999999999999993</v>
      </c>
      <c r="P57" s="44">
        <v>2.25</v>
      </c>
      <c r="Q57" s="44">
        <v>2.25</v>
      </c>
      <c r="R57" s="45">
        <v>4.95</v>
      </c>
      <c r="S57" s="46">
        <v>0</v>
      </c>
      <c r="T57" s="39">
        <f t="shared" si="19"/>
        <v>10</v>
      </c>
      <c r="U57" s="47">
        <f t="shared" si="20"/>
        <v>1.502050895112698E-4</v>
      </c>
      <c r="V57" s="48">
        <f t="shared" si="21"/>
        <v>0</v>
      </c>
      <c r="W57" s="49">
        <f t="shared" si="22"/>
        <v>1.5020508951126981E-5</v>
      </c>
      <c r="X57" s="44">
        <f t="shared" si="23"/>
        <v>5.247784757211682</v>
      </c>
      <c r="Y57" s="44">
        <f t="shared" si="24"/>
        <v>0</v>
      </c>
      <c r="Z57" s="44">
        <f t="shared" si="25"/>
        <v>65.39048929860374</v>
      </c>
      <c r="AA57" s="50">
        <f t="shared" si="26"/>
        <v>7.497784757211682</v>
      </c>
      <c r="AB57" s="51">
        <f t="shared" si="27"/>
        <v>61.12974600224711</v>
      </c>
      <c r="AC57" s="44">
        <f t="shared" si="28"/>
        <v>7.0092406816973742</v>
      </c>
      <c r="AD57" s="44">
        <f t="shared" si="29"/>
        <v>174.0749630051244</v>
      </c>
      <c r="AE57" s="44">
        <f t="shared" si="30"/>
        <v>0</v>
      </c>
      <c r="AF57" s="52">
        <f>HLOOKUP(I57,GasAvoidedCostsWOCC!$A$5:$G$50,G57+1,FALSE)</f>
        <v>7.1400454873872068</v>
      </c>
      <c r="AG57" s="44">
        <f t="shared" si="31"/>
        <v>62.118395740268696</v>
      </c>
      <c r="AH57" s="52">
        <f>HLOOKUP(I57,GasAvoidedCostsWOCC!$A$5:$Q$50,T57+1,FALSE)</f>
        <v>7.1400454873872068</v>
      </c>
      <c r="AI57" s="44">
        <f t="shared" si="32"/>
        <v>0</v>
      </c>
      <c r="AJ57" s="44">
        <f t="shared" si="33"/>
        <v>62.118395740268696</v>
      </c>
      <c r="AK57" s="44">
        <f>HLOOKUP(I57,GasAvoidedCostsWOCC!$A$5:$Q$50,G57+1,FALSE)*J57*L57</f>
        <v>0</v>
      </c>
      <c r="AL57" s="44">
        <f t="shared" si="34"/>
        <v>62.118395740268696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62.118395740268696</v>
      </c>
      <c r="AN57" s="48">
        <f t="shared" si="35"/>
        <v>242.40519831941998</v>
      </c>
      <c r="AO57" s="47">
        <f t="shared" si="36"/>
        <v>1.0161729731051925</v>
      </c>
      <c r="AP57" s="47">
        <f t="shared" si="37"/>
        <v>34.583660246165003</v>
      </c>
      <c r="AQ57">
        <v>2020</v>
      </c>
    </row>
    <row r="58" spans="2:43">
      <c r="B58" s="97" t="s">
        <v>33</v>
      </c>
      <c r="C58" s="61">
        <v>18230637</v>
      </c>
      <c r="D58" s="61" t="s">
        <v>82</v>
      </c>
      <c r="E58" s="38" t="s">
        <v>2405</v>
      </c>
      <c r="F58" s="39" t="s">
        <v>2406</v>
      </c>
      <c r="G58" s="39">
        <v>10</v>
      </c>
      <c r="H58" s="39"/>
      <c r="I58" s="40" t="s">
        <v>265</v>
      </c>
      <c r="J58" s="41">
        <v>2</v>
      </c>
      <c r="K58" s="41">
        <v>2.15</v>
      </c>
      <c r="L58" s="41"/>
      <c r="M58" s="42">
        <v>1.17</v>
      </c>
      <c r="N58" s="42">
        <v>1.17</v>
      </c>
      <c r="O58" s="43">
        <v>4.3</v>
      </c>
      <c r="P58" s="44">
        <v>2.34</v>
      </c>
      <c r="Q58" s="44">
        <v>2.34</v>
      </c>
      <c r="R58" s="45">
        <v>6.12</v>
      </c>
      <c r="S58" s="46">
        <v>0</v>
      </c>
      <c r="T58" s="39">
        <f t="shared" si="19"/>
        <v>10</v>
      </c>
      <c r="U58" s="47">
        <f t="shared" si="20"/>
        <v>7.4239297114765535E-5</v>
      </c>
      <c r="V58" s="48">
        <f t="shared" si="21"/>
        <v>0</v>
      </c>
      <c r="W58" s="49">
        <f t="shared" si="22"/>
        <v>7.4239297114765535E-6</v>
      </c>
      <c r="X58" s="44">
        <f t="shared" si="23"/>
        <v>2.5937326960931304</v>
      </c>
      <c r="Y58" s="44">
        <f t="shared" si="24"/>
        <v>0</v>
      </c>
      <c r="Z58" s="44">
        <f t="shared" si="25"/>
        <v>32.319437239539781</v>
      </c>
      <c r="AA58" s="50">
        <f t="shared" si="26"/>
        <v>4.9337326960931307</v>
      </c>
      <c r="AB58" s="51">
        <f t="shared" si="27"/>
        <v>30.213552621800297</v>
      </c>
      <c r="AC58" s="44">
        <f t="shared" si="28"/>
        <v>4.612258293066402</v>
      </c>
      <c r="AD58" s="44">
        <f t="shared" si="29"/>
        <v>86.087981704352444</v>
      </c>
      <c r="AE58" s="44">
        <f t="shared" si="30"/>
        <v>0</v>
      </c>
      <c r="AF58" s="52">
        <f>HLOOKUP(I58,GasAvoidedCostsWOCC!$A$5:$G$50,G58+1,FALSE)</f>
        <v>7.1400454873872068</v>
      </c>
      <c r="AG58" s="44">
        <f t="shared" si="31"/>
        <v>30.702195595764987</v>
      </c>
      <c r="AH58" s="52">
        <f>HLOOKUP(I58,GasAvoidedCostsWOCC!$A$5:$Q$50,T58+1,FALSE)</f>
        <v>7.1400454873872068</v>
      </c>
      <c r="AI58" s="44">
        <f t="shared" si="32"/>
        <v>0</v>
      </c>
      <c r="AJ58" s="44">
        <f t="shared" si="33"/>
        <v>30.702195595764987</v>
      </c>
      <c r="AK58" s="44">
        <f>HLOOKUP(I58,GasAvoidedCostsWOCC!$A$5:$Q$50,G58+1,FALSE)*J58*L58</f>
        <v>0</v>
      </c>
      <c r="AL58" s="44">
        <f t="shared" si="34"/>
        <v>30.702195595764987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30.702195595764987</v>
      </c>
      <c r="AN58" s="48">
        <f t="shared" si="35"/>
        <v>119.86039685969394</v>
      </c>
      <c r="AO58" s="47">
        <f t="shared" si="36"/>
        <v>1.0161729731051923</v>
      </c>
      <c r="AP58" s="47">
        <f t="shared" si="37"/>
        <v>25.98735570379478</v>
      </c>
      <c r="AQ58">
        <v>2020</v>
      </c>
    </row>
    <row r="59" spans="2:43">
      <c r="B59" s="97" t="s">
        <v>33</v>
      </c>
      <c r="C59" s="61">
        <v>18230637</v>
      </c>
      <c r="D59" s="61" t="s">
        <v>82</v>
      </c>
      <c r="E59" s="38" t="s">
        <v>2413</v>
      </c>
      <c r="F59" s="39" t="s">
        <v>2414</v>
      </c>
      <c r="G59" s="39">
        <v>3</v>
      </c>
      <c r="H59" s="39">
        <v>7</v>
      </c>
      <c r="I59" s="40" t="s">
        <v>265</v>
      </c>
      <c r="J59" s="41">
        <v>4</v>
      </c>
      <c r="K59" s="41">
        <v>11.15</v>
      </c>
      <c r="L59" s="41">
        <v>6.69</v>
      </c>
      <c r="M59" s="42">
        <v>3.9</v>
      </c>
      <c r="N59" s="42">
        <v>3.9</v>
      </c>
      <c r="O59" s="43">
        <v>44.6</v>
      </c>
      <c r="P59" s="44">
        <v>15.6</v>
      </c>
      <c r="Q59" s="44">
        <v>15.6</v>
      </c>
      <c r="R59" s="45">
        <v>14.91</v>
      </c>
      <c r="S59" s="46">
        <v>0</v>
      </c>
      <c r="T59" s="39">
        <f t="shared" si="19"/>
        <v>10</v>
      </c>
      <c r="U59" s="47">
        <f t="shared" si="20"/>
        <v>7.7001689565547513E-4</v>
      </c>
      <c r="V59" s="48">
        <f t="shared" si="21"/>
        <v>0</v>
      </c>
      <c r="W59" s="49">
        <f t="shared" si="22"/>
        <v>7.7001689565547516E-5</v>
      </c>
      <c r="X59" s="44">
        <f t="shared" si="23"/>
        <v>26.902436801338052</v>
      </c>
      <c r="Y59" s="44">
        <f t="shared" si="24"/>
        <v>0</v>
      </c>
      <c r="Z59" s="44">
        <f t="shared" si="25"/>
        <v>335.22020950778477</v>
      </c>
      <c r="AA59" s="50">
        <f t="shared" si="26"/>
        <v>42.50243680133805</v>
      </c>
      <c r="AB59" s="51">
        <f t="shared" si="27"/>
        <v>313.37777835634733</v>
      </c>
      <c r="AC59" s="44">
        <f t="shared" si="28"/>
        <v>39.733043658350979</v>
      </c>
      <c r="AD59" s="44">
        <f t="shared" si="29"/>
        <v>419.46791085356045</v>
      </c>
      <c r="AE59" s="44">
        <f t="shared" si="30"/>
        <v>0</v>
      </c>
      <c r="AF59" s="52">
        <f>HLOOKUP(I59,GasAvoidedCostsWOCC!$A$5:$G$50,G59+1,FALSE)</f>
        <v>2.3114255322367177</v>
      </c>
      <c r="AG59" s="44">
        <f t="shared" si="31"/>
        <v>103.08957873775761</v>
      </c>
      <c r="AH59" s="52">
        <f>HLOOKUP(I59,GasAvoidedCostsWOCC!$A$5:$Q$50,T59+1,FALSE)</f>
        <v>7.1400454873872068</v>
      </c>
      <c r="AI59" s="44">
        <f t="shared" si="32"/>
        <v>191.06761724248167</v>
      </c>
      <c r="AJ59" s="44">
        <f t="shared" si="33"/>
        <v>294.15719598023929</v>
      </c>
      <c r="AK59" s="44">
        <f>HLOOKUP(I59,GasAvoidedCostsWOCC!$A$5:$Q$50,G59+1,FALSE)*J59*L59</f>
        <v>61.85374724265457</v>
      </c>
      <c r="AL59" s="44">
        <f t="shared" si="34"/>
        <v>232.30344873758472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232.30344873758472</v>
      </c>
      <c r="AN59" s="48">
        <f t="shared" si="35"/>
        <v>675.0017044649037</v>
      </c>
      <c r="AO59" s="47">
        <f t="shared" si="36"/>
        <v>0.74128883661121758</v>
      </c>
      <c r="AP59" s="47">
        <f t="shared" si="37"/>
        <v>16.98842178487461</v>
      </c>
      <c r="AQ59">
        <v>2020</v>
      </c>
    </row>
    <row r="60" spans="2:43">
      <c r="B60" s="97" t="s">
        <v>33</v>
      </c>
      <c r="C60" s="61">
        <v>18230637</v>
      </c>
      <c r="D60" s="61" t="s">
        <v>82</v>
      </c>
      <c r="E60" s="38" t="s">
        <v>2415</v>
      </c>
      <c r="F60" s="39" t="s">
        <v>2416</v>
      </c>
      <c r="G60" s="39">
        <v>3</v>
      </c>
      <c r="H60" s="39">
        <v>7</v>
      </c>
      <c r="I60" s="40" t="s">
        <v>265</v>
      </c>
      <c r="J60" s="41">
        <v>397</v>
      </c>
      <c r="K60" s="41">
        <v>11.64</v>
      </c>
      <c r="L60" s="41">
        <v>6.55</v>
      </c>
      <c r="M60" s="42">
        <v>3.9</v>
      </c>
      <c r="N60" s="42">
        <v>3.9</v>
      </c>
      <c r="O60" s="43">
        <v>4621.08</v>
      </c>
      <c r="P60" s="44">
        <v>1548.3</v>
      </c>
      <c r="Q60" s="44">
        <v>1548.3</v>
      </c>
      <c r="R60" s="45">
        <v>15.21</v>
      </c>
      <c r="S60" s="46">
        <v>0</v>
      </c>
      <c r="T60" s="39">
        <f t="shared" si="19"/>
        <v>10</v>
      </c>
      <c r="U60" s="47">
        <f t="shared" si="20"/>
        <v>7.9782728165372269E-2</v>
      </c>
      <c r="V60" s="48">
        <f t="shared" si="21"/>
        <v>0</v>
      </c>
      <c r="W60" s="49">
        <f t="shared" si="22"/>
        <v>7.9782728165372265E-3</v>
      </c>
      <c r="X60" s="44">
        <f t="shared" si="23"/>
        <v>2787.4061133167543</v>
      </c>
      <c r="Y60" s="44">
        <f t="shared" si="24"/>
        <v>0</v>
      </c>
      <c r="Z60" s="44">
        <f t="shared" si="25"/>
        <v>34732.722102068023</v>
      </c>
      <c r="AA60" s="50">
        <f t="shared" si="26"/>
        <v>4335.7061133167545</v>
      </c>
      <c r="AB60" s="51">
        <f t="shared" si="27"/>
        <v>32469.591569662542</v>
      </c>
      <c r="AC60" s="44">
        <f t="shared" si="28"/>
        <v>4053.1981988564589</v>
      </c>
      <c r="AD60" s="44">
        <f t="shared" si="29"/>
        <v>42469.859974192048</v>
      </c>
      <c r="AE60" s="44">
        <f t="shared" si="30"/>
        <v>0</v>
      </c>
      <c r="AF60" s="52">
        <f>HLOOKUP(I60,GasAvoidedCostsWOCC!$A$5:$G$50,G60+1,FALSE)</f>
        <v>2.3114255322367177</v>
      </c>
      <c r="AG60" s="44">
        <f t="shared" si="31"/>
        <v>10681.282298508451</v>
      </c>
      <c r="AH60" s="52">
        <f>HLOOKUP(I60,GasAvoidedCostsWOCC!$A$5:$Q$50,T60+1,FALSE)</f>
        <v>7.1400454873872068</v>
      </c>
      <c r="AI60" s="44">
        <f t="shared" si="32"/>
        <v>18566.617283127322</v>
      </c>
      <c r="AJ60" s="44">
        <f t="shared" si="33"/>
        <v>29247.899581635771</v>
      </c>
      <c r="AK60" s="44">
        <f>HLOOKUP(I60,GasAvoidedCostsWOCC!$A$5:$Q$50,G60+1,FALSE)*J60*L60</f>
        <v>6010.5153827517479</v>
      </c>
      <c r="AL60" s="44">
        <f t="shared" si="34"/>
        <v>23237.384198884021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23237.384198884021</v>
      </c>
      <c r="AN60" s="48">
        <f t="shared" si="35"/>
        <v>68030.982592964472</v>
      </c>
      <c r="AO60" s="47">
        <f t="shared" si="36"/>
        <v>0.71566604553768121</v>
      </c>
      <c r="AP60" s="47">
        <f t="shared" si="37"/>
        <v>16.784519102016343</v>
      </c>
      <c r="AQ60">
        <v>2020</v>
      </c>
    </row>
    <row r="61" spans="2:43">
      <c r="B61" s="97" t="s">
        <v>33</v>
      </c>
      <c r="C61" s="61">
        <v>18230637</v>
      </c>
      <c r="D61" s="61" t="s">
        <v>82</v>
      </c>
      <c r="E61" s="38" t="s">
        <v>2421</v>
      </c>
      <c r="F61" s="39" t="s">
        <v>2422</v>
      </c>
      <c r="G61" s="39">
        <v>3</v>
      </c>
      <c r="H61" s="39">
        <v>7</v>
      </c>
      <c r="I61" s="40" t="s">
        <v>265</v>
      </c>
      <c r="J61" s="41">
        <v>2</v>
      </c>
      <c r="K61" s="41">
        <v>11.15</v>
      </c>
      <c r="L61" s="41">
        <v>6.69</v>
      </c>
      <c r="M61" s="42">
        <v>8.07</v>
      </c>
      <c r="N61" s="42">
        <v>8.07</v>
      </c>
      <c r="O61" s="43">
        <v>22.3</v>
      </c>
      <c r="P61" s="44">
        <v>16.14</v>
      </c>
      <c r="Q61" s="44">
        <v>16.14</v>
      </c>
      <c r="R61" s="45">
        <v>14.91</v>
      </c>
      <c r="S61" s="46">
        <v>0</v>
      </c>
      <c r="T61" s="39">
        <f t="shared" si="19"/>
        <v>10</v>
      </c>
      <c r="U61" s="47">
        <f t="shared" si="20"/>
        <v>3.8500844782773756E-4</v>
      </c>
      <c r="V61" s="48">
        <f t="shared" si="21"/>
        <v>0</v>
      </c>
      <c r="W61" s="49">
        <f t="shared" si="22"/>
        <v>3.8500844782773758E-5</v>
      </c>
      <c r="X61" s="44">
        <f t="shared" si="23"/>
        <v>13.451218400669026</v>
      </c>
      <c r="Y61" s="44">
        <f t="shared" si="24"/>
        <v>0</v>
      </c>
      <c r="Z61" s="44">
        <f t="shared" si="25"/>
        <v>167.61010475389239</v>
      </c>
      <c r="AA61" s="50">
        <f t="shared" si="26"/>
        <v>29.591218400669028</v>
      </c>
      <c r="AB61" s="51">
        <f t="shared" si="27"/>
        <v>156.68888917817367</v>
      </c>
      <c r="AC61" s="44">
        <f t="shared" si="28"/>
        <v>27.663100309123141</v>
      </c>
      <c r="AD61" s="44">
        <f t="shared" si="29"/>
        <v>209.73395542678023</v>
      </c>
      <c r="AE61" s="44">
        <f t="shared" si="30"/>
        <v>0</v>
      </c>
      <c r="AF61" s="52">
        <f>HLOOKUP(I61,GasAvoidedCostsWOCC!$A$5:$G$50,G61+1,FALSE)</f>
        <v>2.3114255322367177</v>
      </c>
      <c r="AG61" s="44">
        <f t="shared" si="31"/>
        <v>51.544789368878803</v>
      </c>
      <c r="AH61" s="52">
        <f>HLOOKUP(I61,GasAvoidedCostsWOCC!$A$5:$Q$50,T61+1,FALSE)</f>
        <v>7.1400454873872068</v>
      </c>
      <c r="AI61" s="44">
        <f t="shared" si="32"/>
        <v>95.533808621240837</v>
      </c>
      <c r="AJ61" s="44">
        <f t="shared" si="33"/>
        <v>147.07859799011965</v>
      </c>
      <c r="AK61" s="44">
        <f>HLOOKUP(I61,GasAvoidedCostsWOCC!$A$5:$Q$50,G61+1,FALSE)*J61*L61</f>
        <v>30.926873621327285</v>
      </c>
      <c r="AL61" s="44">
        <f t="shared" si="34"/>
        <v>116.15172436879236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116.15172436879236</v>
      </c>
      <c r="AN61" s="48">
        <f t="shared" si="35"/>
        <v>337.50085223245185</v>
      </c>
      <c r="AO61" s="47">
        <f t="shared" si="36"/>
        <v>0.74128883661121758</v>
      </c>
      <c r="AP61" s="47">
        <f t="shared" si="37"/>
        <v>12.200398670468108</v>
      </c>
      <c r="AQ61">
        <v>2020</v>
      </c>
    </row>
    <row r="62" spans="2:43">
      <c r="B62" s="97" t="s">
        <v>33</v>
      </c>
      <c r="C62" s="61">
        <v>18230637</v>
      </c>
      <c r="D62" s="61" t="s">
        <v>82</v>
      </c>
      <c r="E62" s="38" t="s">
        <v>2423</v>
      </c>
      <c r="F62" s="39" t="s">
        <v>2424</v>
      </c>
      <c r="G62" s="39">
        <v>3</v>
      </c>
      <c r="H62" s="39">
        <v>7</v>
      </c>
      <c r="I62" s="40" t="s">
        <v>265</v>
      </c>
      <c r="J62" s="41">
        <v>314</v>
      </c>
      <c r="K62" s="41">
        <v>11.64</v>
      </c>
      <c r="L62" s="41">
        <v>6.55</v>
      </c>
      <c r="M62" s="42">
        <v>8.07</v>
      </c>
      <c r="N62" s="42">
        <v>8.07</v>
      </c>
      <c r="O62" s="43">
        <v>3654.96</v>
      </c>
      <c r="P62" s="44">
        <v>2533.98</v>
      </c>
      <c r="Q62" s="44">
        <v>2533.98</v>
      </c>
      <c r="R62" s="45">
        <v>15.21</v>
      </c>
      <c r="S62" s="46">
        <v>0</v>
      </c>
      <c r="T62" s="39">
        <f t="shared" si="19"/>
        <v>10</v>
      </c>
      <c r="U62" s="47">
        <f t="shared" si="20"/>
        <v>6.310271194943802E-2</v>
      </c>
      <c r="V62" s="48">
        <f t="shared" si="21"/>
        <v>0</v>
      </c>
      <c r="W62" s="49">
        <f t="shared" si="22"/>
        <v>6.3102711949438017E-3</v>
      </c>
      <c r="X62" s="44">
        <f t="shared" si="23"/>
        <v>2204.6486639331506</v>
      </c>
      <c r="Y62" s="44">
        <f t="shared" si="24"/>
        <v>0</v>
      </c>
      <c r="Z62" s="44">
        <f t="shared" si="25"/>
        <v>27471.221007681008</v>
      </c>
      <c r="AA62" s="50">
        <f t="shared" si="26"/>
        <v>4738.6286639331502</v>
      </c>
      <c r="AB62" s="51">
        <f t="shared" si="27"/>
        <v>25681.238672226798</v>
      </c>
      <c r="AC62" s="44">
        <f t="shared" si="28"/>
        <v>4429.8669383314482</v>
      </c>
      <c r="AD62" s="44">
        <f t="shared" si="29"/>
        <v>33590.770861199759</v>
      </c>
      <c r="AE62" s="44">
        <f t="shared" si="30"/>
        <v>0</v>
      </c>
      <c r="AF62" s="52">
        <f>HLOOKUP(I62,GasAvoidedCostsWOCC!$A$5:$G$50,G62+1,FALSE)</f>
        <v>2.3114255322367177</v>
      </c>
      <c r="AG62" s="44">
        <f t="shared" si="31"/>
        <v>8448.1678633039137</v>
      </c>
      <c r="AH62" s="52">
        <f>HLOOKUP(I62,GasAvoidedCostsWOCC!$A$5:$Q$50,T62+1,FALSE)</f>
        <v>7.1400454873872068</v>
      </c>
      <c r="AI62" s="44">
        <f t="shared" si="32"/>
        <v>14684.931553909268</v>
      </c>
      <c r="AJ62" s="44">
        <f t="shared" si="33"/>
        <v>23133.099417213183</v>
      </c>
      <c r="AK62" s="44">
        <f>HLOOKUP(I62,GasAvoidedCostsWOCC!$A$5:$Q$50,G62+1,FALSE)*J62*L62</f>
        <v>4753.9088921512575</v>
      </c>
      <c r="AL62" s="44">
        <f t="shared" si="34"/>
        <v>18379.190525061924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18379.190525061927</v>
      </c>
      <c r="AN62" s="48">
        <f t="shared" si="35"/>
        <v>53807.880438767883</v>
      </c>
      <c r="AO62" s="47">
        <f t="shared" si="36"/>
        <v>0.71566604553768132</v>
      </c>
      <c r="AP62" s="47">
        <f t="shared" si="37"/>
        <v>12.146613247718708</v>
      </c>
      <c r="AQ62">
        <v>2020</v>
      </c>
    </row>
    <row r="63" spans="2:43">
      <c r="B63" s="97" t="s">
        <v>33</v>
      </c>
      <c r="C63" s="61">
        <v>18230637</v>
      </c>
      <c r="D63" s="61" t="s">
        <v>82</v>
      </c>
      <c r="E63" s="38" t="s">
        <v>661</v>
      </c>
      <c r="F63" s="39" t="s">
        <v>662</v>
      </c>
      <c r="G63" s="39">
        <v>11</v>
      </c>
      <c r="H63" s="39"/>
      <c r="I63" s="40" t="s">
        <v>269</v>
      </c>
      <c r="J63" s="41">
        <v>38</v>
      </c>
      <c r="K63" s="41">
        <v>33</v>
      </c>
      <c r="L63" s="41"/>
      <c r="M63" s="42">
        <v>75</v>
      </c>
      <c r="N63" s="42">
        <v>172.38</v>
      </c>
      <c r="O63" s="43">
        <v>1254</v>
      </c>
      <c r="P63" s="44">
        <v>3990</v>
      </c>
      <c r="Q63" s="44">
        <v>6550.44</v>
      </c>
      <c r="R63" s="45">
        <v>0</v>
      </c>
      <c r="S63" s="46">
        <v>0</v>
      </c>
      <c r="T63" s="39">
        <f t="shared" si="19"/>
        <v>11</v>
      </c>
      <c r="U63" s="47">
        <f t="shared" si="20"/>
        <v>2.3815275916304092E-2</v>
      </c>
      <c r="V63" s="48">
        <f t="shared" si="21"/>
        <v>97.38</v>
      </c>
      <c r="W63" s="49">
        <f t="shared" si="22"/>
        <v>2.1650250833003719E-3</v>
      </c>
      <c r="X63" s="44">
        <f t="shared" si="23"/>
        <v>756.40483741878734</v>
      </c>
      <c r="Y63" s="44">
        <f t="shared" si="24"/>
        <v>2560.4399999999996</v>
      </c>
      <c r="Z63" s="44">
        <f t="shared" si="25"/>
        <v>9425.2498368332308</v>
      </c>
      <c r="AA63" s="50">
        <f t="shared" si="26"/>
        <v>7306.8448374187865</v>
      </c>
      <c r="AB63" s="51">
        <f t="shared" si="27"/>
        <v>8811.1151134273441</v>
      </c>
      <c r="AC63" s="44">
        <f t="shared" si="28"/>
        <v>6830.7421121985471</v>
      </c>
      <c r="AD63" s="44">
        <f t="shared" si="29"/>
        <v>0</v>
      </c>
      <c r="AE63" s="44">
        <f t="shared" si="30"/>
        <v>0</v>
      </c>
      <c r="AF63" s="52">
        <f>HLOOKUP(I63,GasAvoidedCostsWOCC!$A$5:$G$50,G63+1,FALSE)</f>
        <v>8.2477691503723172</v>
      </c>
      <c r="AG63" s="44">
        <f t="shared" si="31"/>
        <v>10342.702514566885</v>
      </c>
      <c r="AH63" s="52">
        <f>HLOOKUP(I63,GasAvoidedCostsWOCC!$A$5:$Q$50,T63+1,FALSE)</f>
        <v>8.2477691503723172</v>
      </c>
      <c r="AI63" s="44">
        <f t="shared" si="32"/>
        <v>0</v>
      </c>
      <c r="AJ63" s="44">
        <f t="shared" si="33"/>
        <v>10342.702514566885</v>
      </c>
      <c r="AK63" s="44">
        <f>HLOOKUP(I63,GasAvoidedCostsWOCC!$A$5:$Q$50,G63+1,FALSE)*J63*L63</f>
        <v>0</v>
      </c>
      <c r="AL63" s="44">
        <f t="shared" si="34"/>
        <v>10342.702514566885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10342.702514566887</v>
      </c>
      <c r="AN63" s="48">
        <f t="shared" si="35"/>
        <v>11376.972766023577</v>
      </c>
      <c r="AO63" s="47">
        <f t="shared" si="36"/>
        <v>1.1738244684609263</v>
      </c>
      <c r="AP63" s="47">
        <f t="shared" si="37"/>
        <v>1.6655544271985079</v>
      </c>
      <c r="AQ63">
        <v>2020</v>
      </c>
    </row>
    <row r="64" spans="2:43">
      <c r="B64" s="97" t="s">
        <v>33</v>
      </c>
      <c r="C64" s="61">
        <v>18230637</v>
      </c>
      <c r="D64" s="61" t="s">
        <v>82</v>
      </c>
      <c r="E64" s="38" t="s">
        <v>2427</v>
      </c>
      <c r="F64" s="39" t="s">
        <v>2428</v>
      </c>
      <c r="G64" s="39">
        <v>11</v>
      </c>
      <c r="H64" s="39"/>
      <c r="I64" s="40" t="s">
        <v>269</v>
      </c>
      <c r="J64" s="41">
        <v>234</v>
      </c>
      <c r="K64" s="41">
        <v>33</v>
      </c>
      <c r="L64" s="41"/>
      <c r="M64" s="42">
        <v>150</v>
      </c>
      <c r="N64" s="42">
        <v>172.38</v>
      </c>
      <c r="O64" s="43">
        <v>7722</v>
      </c>
      <c r="P64" s="44">
        <v>24570</v>
      </c>
      <c r="Q64" s="44">
        <v>40336.919999999896</v>
      </c>
      <c r="R64" s="45">
        <v>0</v>
      </c>
      <c r="S64" s="46">
        <v>0</v>
      </c>
      <c r="T64" s="39">
        <f t="shared" si="19"/>
        <v>11</v>
      </c>
      <c r="U64" s="47">
        <f t="shared" si="20"/>
        <v>0.14665196222145149</v>
      </c>
      <c r="V64" s="48">
        <f t="shared" si="21"/>
        <v>22.379999999999995</v>
      </c>
      <c r="W64" s="49">
        <f t="shared" si="22"/>
        <v>1.33319965655865E-2</v>
      </c>
      <c r="X64" s="44">
        <f t="shared" si="23"/>
        <v>4657.861367263059</v>
      </c>
      <c r="Y64" s="44">
        <f t="shared" si="24"/>
        <v>15766.919999999896</v>
      </c>
      <c r="Z64" s="44">
        <f t="shared" si="25"/>
        <v>58039.696363657262</v>
      </c>
      <c r="AA64" s="50">
        <f t="shared" si="26"/>
        <v>44994.781367262956</v>
      </c>
      <c r="AB64" s="51">
        <f t="shared" si="27"/>
        <v>54257.919382684173</v>
      </c>
      <c r="AC64" s="44">
        <f t="shared" si="28"/>
        <v>42062.99090143307</v>
      </c>
      <c r="AD64" s="44">
        <f t="shared" si="29"/>
        <v>0</v>
      </c>
      <c r="AE64" s="44">
        <f t="shared" si="30"/>
        <v>0</v>
      </c>
      <c r="AF64" s="52">
        <f>HLOOKUP(I64,GasAvoidedCostsWOCC!$A$5:$G$50,G64+1,FALSE)</f>
        <v>8.2477691503723172</v>
      </c>
      <c r="AG64" s="44">
        <f t="shared" si="31"/>
        <v>63689.273379175029</v>
      </c>
      <c r="AH64" s="52">
        <f>HLOOKUP(I64,GasAvoidedCostsWOCC!$A$5:$Q$50,T64+1,FALSE)</f>
        <v>8.2477691503723172</v>
      </c>
      <c r="AI64" s="44">
        <f t="shared" si="32"/>
        <v>0</v>
      </c>
      <c r="AJ64" s="44">
        <f t="shared" si="33"/>
        <v>63689.273379175029</v>
      </c>
      <c r="AK64" s="44">
        <f>HLOOKUP(I64,GasAvoidedCostsWOCC!$A$5:$Q$50,G64+1,FALSE)*J64*L64</f>
        <v>0</v>
      </c>
      <c r="AL64" s="44">
        <f t="shared" si="34"/>
        <v>63689.273379175029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63689.273379175036</v>
      </c>
      <c r="AN64" s="48">
        <f t="shared" si="35"/>
        <v>70058.20071709255</v>
      </c>
      <c r="AO64" s="47">
        <f t="shared" si="36"/>
        <v>1.1738244684609263</v>
      </c>
      <c r="AP64" s="47">
        <f t="shared" si="37"/>
        <v>1.6655544271985114</v>
      </c>
      <c r="AQ64">
        <v>2020</v>
      </c>
    </row>
    <row r="65" spans="2:43">
      <c r="B65" s="97" t="s">
        <v>33</v>
      </c>
      <c r="C65" s="61">
        <v>18230637</v>
      </c>
      <c r="D65" s="61" t="s">
        <v>82</v>
      </c>
      <c r="E65" s="38" t="s">
        <v>1699</v>
      </c>
      <c r="F65" s="39" t="s">
        <v>1700</v>
      </c>
      <c r="G65" s="39">
        <v>30</v>
      </c>
      <c r="H65" s="39"/>
      <c r="I65" s="40" t="s">
        <v>269</v>
      </c>
      <c r="J65" s="41">
        <v>30035.33</v>
      </c>
      <c r="K65" s="41">
        <v>0.64</v>
      </c>
      <c r="L65" s="41"/>
      <c r="M65" s="42">
        <v>50</v>
      </c>
      <c r="N65" s="42">
        <v>20.5</v>
      </c>
      <c r="O65" s="43">
        <v>19222.61</v>
      </c>
      <c r="P65" s="44">
        <v>83950</v>
      </c>
      <c r="Q65" s="44">
        <v>615724.31999999995</v>
      </c>
      <c r="R65" s="45">
        <v>0.24</v>
      </c>
      <c r="S65" s="46">
        <v>0</v>
      </c>
      <c r="T65" s="39">
        <f t="shared" si="19"/>
        <v>30</v>
      </c>
      <c r="U65" s="47">
        <f t="shared" si="20"/>
        <v>0.99563236403111388</v>
      </c>
      <c r="V65" s="48">
        <f t="shared" si="21"/>
        <v>-29.5</v>
      </c>
      <c r="W65" s="49">
        <f t="shared" si="22"/>
        <v>3.3187745467703797E-2</v>
      </c>
      <c r="X65" s="44">
        <f t="shared" si="23"/>
        <v>11594.956293313202</v>
      </c>
      <c r="Y65" s="44">
        <f t="shared" si="24"/>
        <v>531774.31999999995</v>
      </c>
      <c r="Z65" s="44">
        <f t="shared" si="25"/>
        <v>144479.98545933719</v>
      </c>
      <c r="AA65" s="50">
        <f t="shared" si="26"/>
        <v>627319.27629331313</v>
      </c>
      <c r="AB65" s="51">
        <f t="shared" si="27"/>
        <v>135065.89273566156</v>
      </c>
      <c r="AC65" s="44">
        <f t="shared" si="28"/>
        <v>586444.12105572876</v>
      </c>
      <c r="AD65" s="44">
        <f t="shared" si="29"/>
        <v>89720.549356800853</v>
      </c>
      <c r="AE65" s="44">
        <f t="shared" si="30"/>
        <v>0</v>
      </c>
      <c r="AF65" s="52">
        <f>HLOOKUP(I65,GasAvoidedCostsWOCC!$A$5:$G$50,G65+1,FALSE)</f>
        <v>18.94929753071774</v>
      </c>
      <c r="AG65" s="44">
        <f t="shared" si="31"/>
        <v>364254.97894610721</v>
      </c>
      <c r="AH65" s="52">
        <f>HLOOKUP(I65,GasAvoidedCostsWOCC!$A$5:$Q$50,T65+1,FALSE)</f>
        <v>18.94929753071774</v>
      </c>
      <c r="AI65" s="44">
        <f t="shared" si="32"/>
        <v>0</v>
      </c>
      <c r="AJ65" s="44">
        <f t="shared" si="33"/>
        <v>364254.97894610721</v>
      </c>
      <c r="AK65" s="44">
        <f>HLOOKUP(I65,GasAvoidedCostsWOCC!$A$5:$Q$50,G65+1,FALSE)*J65*L65</f>
        <v>0</v>
      </c>
      <c r="AL65" s="44">
        <f t="shared" si="34"/>
        <v>364254.97894610721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364254.97894610721</v>
      </c>
      <c r="AN65" s="48">
        <f t="shared" si="35"/>
        <v>490401.0261975188</v>
      </c>
      <c r="AO65" s="47">
        <f t="shared" si="36"/>
        <v>2.6968687028855856</v>
      </c>
      <c r="AP65" s="47">
        <f t="shared" si="37"/>
        <v>0.83622805411483847</v>
      </c>
      <c r="AQ65">
        <v>2020</v>
      </c>
    </row>
    <row r="66" spans="2:43">
      <c r="B66" s="97" t="s">
        <v>33</v>
      </c>
      <c r="C66" s="61">
        <v>18230637</v>
      </c>
      <c r="D66" s="61" t="s">
        <v>82</v>
      </c>
      <c r="E66" s="38" t="s">
        <v>1701</v>
      </c>
      <c r="F66" s="39" t="s">
        <v>1700</v>
      </c>
      <c r="G66" s="39">
        <v>45</v>
      </c>
      <c r="H66" s="39"/>
      <c r="I66" s="40" t="s">
        <v>269</v>
      </c>
      <c r="J66" s="41">
        <v>111634.74</v>
      </c>
      <c r="K66" s="41">
        <v>0.64</v>
      </c>
      <c r="L66" s="41"/>
      <c r="M66" s="42">
        <v>50</v>
      </c>
      <c r="N66" s="42">
        <v>20.5</v>
      </c>
      <c r="O66" s="43">
        <v>71446.23</v>
      </c>
      <c r="P66" s="44">
        <v>299750</v>
      </c>
      <c r="Q66" s="44">
        <v>2288512.2400000002</v>
      </c>
      <c r="R66" s="45">
        <v>0</v>
      </c>
      <c r="S66" s="46">
        <v>0</v>
      </c>
      <c r="T66" s="39">
        <f t="shared" si="19"/>
        <v>45</v>
      </c>
      <c r="U66" s="47">
        <f t="shared" si="20"/>
        <v>5.5508210546859154</v>
      </c>
      <c r="V66" s="48">
        <f t="shared" si="21"/>
        <v>-29.5</v>
      </c>
      <c r="W66" s="49">
        <f t="shared" si="22"/>
        <v>0.12335157899302035</v>
      </c>
      <c r="X66" s="44">
        <f t="shared" si="23"/>
        <v>43095.912270602304</v>
      </c>
      <c r="Y66" s="44">
        <f t="shared" si="24"/>
        <v>1988762.2400000002</v>
      </c>
      <c r="Z66" s="44">
        <f t="shared" si="25"/>
        <v>537000.45267133124</v>
      </c>
      <c r="AA66" s="50">
        <f t="shared" si="26"/>
        <v>2331608.1522706025</v>
      </c>
      <c r="AB66" s="51">
        <f t="shared" si="27"/>
        <v>502010.33249633654</v>
      </c>
      <c r="AC66" s="44">
        <f t="shared" si="28"/>
        <v>2179684.1659068922</v>
      </c>
      <c r="AD66" s="44">
        <f t="shared" si="29"/>
        <v>0</v>
      </c>
      <c r="AE66" s="44">
        <f t="shared" si="30"/>
        <v>0</v>
      </c>
      <c r="AF66" s="52">
        <f>HLOOKUP(I66,GasAvoidedCostsWOCC!$A$5:$G$50,G66+1,FALSE)</f>
        <v>27.444232870165703</v>
      </c>
      <c r="AG66" s="44">
        <f t="shared" si="31"/>
        <v>1960787.0726146572</v>
      </c>
      <c r="AH66" s="52">
        <f>HLOOKUP(I66,GasAvoidedCostsWOCC!$A$5:$Q$50,T66+1,FALSE)</f>
        <v>27.444232870165703</v>
      </c>
      <c r="AI66" s="44">
        <f t="shared" si="32"/>
        <v>0</v>
      </c>
      <c r="AJ66" s="44">
        <f t="shared" si="33"/>
        <v>1960787.0726146572</v>
      </c>
      <c r="AK66" s="44">
        <f>HLOOKUP(I66,GasAvoidedCostsWOCC!$A$5:$Q$50,G66+1,FALSE)*J66*L66</f>
        <v>0</v>
      </c>
      <c r="AL66" s="44">
        <f t="shared" si="34"/>
        <v>1960787.0726146572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1960787.0726146572</v>
      </c>
      <c r="AN66" s="48">
        <f t="shared" si="35"/>
        <v>2156865.7798761232</v>
      </c>
      <c r="AO66" s="47">
        <f t="shared" si="36"/>
        <v>3.9058699506527912</v>
      </c>
      <c r="AP66" s="47">
        <f t="shared" si="37"/>
        <v>0.98953133376491953</v>
      </c>
      <c r="AQ66">
        <v>2020</v>
      </c>
    </row>
    <row r="67" spans="2:43">
      <c r="B67" s="97" t="s">
        <v>33</v>
      </c>
      <c r="C67" s="61">
        <v>18230637</v>
      </c>
      <c r="D67" s="61" t="s">
        <v>82</v>
      </c>
      <c r="E67" s="38" t="s">
        <v>1959</v>
      </c>
      <c r="F67" s="39" t="s">
        <v>1704</v>
      </c>
      <c r="G67" s="39">
        <v>25</v>
      </c>
      <c r="H67" s="39"/>
      <c r="I67" s="40" t="s">
        <v>269</v>
      </c>
      <c r="J67" s="41">
        <v>31.08</v>
      </c>
      <c r="K67" s="41">
        <v>0.4</v>
      </c>
      <c r="L67" s="41"/>
      <c r="M67" s="42">
        <v>200</v>
      </c>
      <c r="N67" s="42">
        <v>17.809999999999999</v>
      </c>
      <c r="O67" s="43">
        <v>12.43</v>
      </c>
      <c r="P67" s="44">
        <v>522.49</v>
      </c>
      <c r="Q67" s="44">
        <v>553.53</v>
      </c>
      <c r="R67" s="45">
        <v>0.08</v>
      </c>
      <c r="S67" s="46">
        <v>0</v>
      </c>
      <c r="T67" s="39">
        <f t="shared" si="19"/>
        <v>25</v>
      </c>
      <c r="U67" s="47">
        <f t="shared" si="20"/>
        <v>5.3650840880031141E-4</v>
      </c>
      <c r="V67" s="48">
        <f t="shared" si="21"/>
        <v>-182.19</v>
      </c>
      <c r="W67" s="49">
        <f t="shared" si="22"/>
        <v>2.1460336352012456E-5</v>
      </c>
      <c r="X67" s="44">
        <f t="shared" si="23"/>
        <v>7.4976970726599097</v>
      </c>
      <c r="Y67" s="44">
        <f t="shared" si="24"/>
        <v>31.039999999999964</v>
      </c>
      <c r="Z67" s="44">
        <f t="shared" si="25"/>
        <v>93.425722066855684</v>
      </c>
      <c r="AA67" s="50">
        <f t="shared" si="26"/>
        <v>561.02769707265986</v>
      </c>
      <c r="AB67" s="51">
        <f t="shared" si="27"/>
        <v>87.338246299762247</v>
      </c>
      <c r="AC67" s="44">
        <f t="shared" si="28"/>
        <v>524.47199875914725</v>
      </c>
      <c r="AD67" s="44">
        <f t="shared" si="29"/>
        <v>29.053945621929191</v>
      </c>
      <c r="AE67" s="44">
        <f t="shared" si="30"/>
        <v>0</v>
      </c>
      <c r="AF67" s="52">
        <f>HLOOKUP(I67,GasAvoidedCostsWOCC!$A$5:$G$50,G67+1,FALSE)</f>
        <v>16.472554524074432</v>
      </c>
      <c r="AG67" s="44">
        <f t="shared" si="31"/>
        <v>204.78679784329336</v>
      </c>
      <c r="AH67" s="52">
        <f>HLOOKUP(I67,GasAvoidedCostsWOCC!$A$5:$Q$50,T67+1,FALSE)</f>
        <v>16.472554524074432</v>
      </c>
      <c r="AI67" s="44">
        <f t="shared" si="32"/>
        <v>0</v>
      </c>
      <c r="AJ67" s="44">
        <f t="shared" si="33"/>
        <v>204.78679784329336</v>
      </c>
      <c r="AK67" s="44">
        <f>HLOOKUP(I67,GasAvoidedCostsWOCC!$A$5:$Q$50,G67+1,FALSE)*J67*L67</f>
        <v>0</v>
      </c>
      <c r="AL67" s="44">
        <f t="shared" si="34"/>
        <v>204.78679784329336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204.78679784329336</v>
      </c>
      <c r="AN67" s="48">
        <f t="shared" si="35"/>
        <v>254.3194232495519</v>
      </c>
      <c r="AO67" s="47">
        <f t="shared" si="36"/>
        <v>2.3447550932088137</v>
      </c>
      <c r="AP67" s="47">
        <f t="shared" si="37"/>
        <v>0.48490562670885839</v>
      </c>
      <c r="AQ67">
        <v>2020</v>
      </c>
    </row>
    <row r="68" spans="2:43">
      <c r="B68" s="97" t="s">
        <v>33</v>
      </c>
      <c r="C68" s="61">
        <v>18230637</v>
      </c>
      <c r="D68" s="61" t="s">
        <v>82</v>
      </c>
      <c r="E68" s="38" t="s">
        <v>1703</v>
      </c>
      <c r="F68" s="39" t="s">
        <v>1704</v>
      </c>
      <c r="G68" s="39">
        <v>25</v>
      </c>
      <c r="H68" s="39"/>
      <c r="I68" s="40" t="s">
        <v>269</v>
      </c>
      <c r="J68" s="41">
        <v>640.84</v>
      </c>
      <c r="K68" s="41">
        <v>0.4</v>
      </c>
      <c r="L68" s="41"/>
      <c r="M68" s="42">
        <v>200</v>
      </c>
      <c r="N68" s="42">
        <v>17.809999999999999</v>
      </c>
      <c r="O68" s="43">
        <v>256.33</v>
      </c>
      <c r="P68" s="44">
        <v>8492</v>
      </c>
      <c r="Q68" s="44">
        <v>11413.36</v>
      </c>
      <c r="R68" s="45">
        <v>0</v>
      </c>
      <c r="S68" s="46">
        <v>0</v>
      </c>
      <c r="T68" s="39">
        <f t="shared" si="19"/>
        <v>25</v>
      </c>
      <c r="U68" s="47">
        <f t="shared" si="20"/>
        <v>1.1063813389202239E-2</v>
      </c>
      <c r="V68" s="48">
        <f t="shared" si="21"/>
        <v>-182.19</v>
      </c>
      <c r="W68" s="49">
        <f t="shared" si="22"/>
        <v>4.4255253556808952E-4</v>
      </c>
      <c r="X68" s="44">
        <f t="shared" si="23"/>
        <v>154.61662836966326</v>
      </c>
      <c r="Y68" s="44">
        <f t="shared" si="24"/>
        <v>2921.3600000000006</v>
      </c>
      <c r="Z68" s="44">
        <f t="shared" si="25"/>
        <v>1926.6142668863329</v>
      </c>
      <c r="AA68" s="50">
        <f t="shared" si="26"/>
        <v>11567.976628369664</v>
      </c>
      <c r="AB68" s="51">
        <f t="shared" si="27"/>
        <v>1801.0790566386208</v>
      </c>
      <c r="AC68" s="44">
        <f t="shared" si="28"/>
        <v>10814.225136365021</v>
      </c>
      <c r="AD68" s="44">
        <f t="shared" si="29"/>
        <v>0</v>
      </c>
      <c r="AE68" s="44">
        <f t="shared" si="30"/>
        <v>0</v>
      </c>
      <c r="AF68" s="52">
        <f>HLOOKUP(I68,GasAvoidedCostsWOCC!$A$5:$G$50,G68+1,FALSE)</f>
        <v>16.472554524074432</v>
      </c>
      <c r="AG68" s="44">
        <f t="shared" si="31"/>
        <v>4222.5087364831443</v>
      </c>
      <c r="AH68" s="52">
        <f>HLOOKUP(I68,GasAvoidedCostsWOCC!$A$5:$Q$50,T68+1,FALSE)</f>
        <v>16.472554524074432</v>
      </c>
      <c r="AI68" s="44">
        <f t="shared" si="32"/>
        <v>0</v>
      </c>
      <c r="AJ68" s="44">
        <f t="shared" si="33"/>
        <v>4222.5087364831443</v>
      </c>
      <c r="AK68" s="44">
        <f>HLOOKUP(I68,GasAvoidedCostsWOCC!$A$5:$Q$50,G68+1,FALSE)*J68*L68</f>
        <v>0</v>
      </c>
      <c r="AL68" s="44">
        <f t="shared" si="34"/>
        <v>4222.5087364831443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4222.5087364831443</v>
      </c>
      <c r="AN68" s="48">
        <f t="shared" si="35"/>
        <v>4644.7596101314593</v>
      </c>
      <c r="AO68" s="47">
        <f t="shared" si="36"/>
        <v>2.34443275597445</v>
      </c>
      <c r="AP68" s="47">
        <f t="shared" si="37"/>
        <v>0.42950461559307795</v>
      </c>
      <c r="AQ68">
        <v>2020</v>
      </c>
    </row>
    <row r="69" spans="2:43">
      <c r="B69" s="97" t="s">
        <v>33</v>
      </c>
      <c r="C69" s="61">
        <v>18230637</v>
      </c>
      <c r="D69" s="61" t="s">
        <v>82</v>
      </c>
      <c r="E69" s="38" t="s">
        <v>1963</v>
      </c>
      <c r="F69" s="39" t="s">
        <v>1707</v>
      </c>
      <c r="G69" s="39">
        <v>30</v>
      </c>
      <c r="H69" s="39"/>
      <c r="I69" s="40" t="s">
        <v>269</v>
      </c>
      <c r="J69" s="41">
        <v>60495</v>
      </c>
      <c r="K69" s="41">
        <v>0.1</v>
      </c>
      <c r="L69" s="41"/>
      <c r="M69" s="42">
        <v>0.33</v>
      </c>
      <c r="N69" s="42">
        <v>1.24</v>
      </c>
      <c r="O69" s="43">
        <v>6049.5</v>
      </c>
      <c r="P69" s="44">
        <v>29097.82</v>
      </c>
      <c r="Q69" s="44">
        <v>75013.8</v>
      </c>
      <c r="R69" s="45">
        <v>0.04</v>
      </c>
      <c r="S69" s="46">
        <v>0</v>
      </c>
      <c r="T69" s="39">
        <f t="shared" si="19"/>
        <v>30</v>
      </c>
      <c r="U69" s="47">
        <f t="shared" si="20"/>
        <v>0.31333299620635408</v>
      </c>
      <c r="V69" s="48">
        <f t="shared" si="21"/>
        <v>0.90999999999999992</v>
      </c>
      <c r="W69" s="49">
        <f t="shared" si="22"/>
        <v>1.0444433206878469E-2</v>
      </c>
      <c r="X69" s="44">
        <f t="shared" si="23"/>
        <v>3649.0199872128824</v>
      </c>
      <c r="Y69" s="44">
        <f t="shared" si="24"/>
        <v>45915.98</v>
      </c>
      <c r="Z69" s="44">
        <f t="shared" si="25"/>
        <v>45468.93850711533</v>
      </c>
      <c r="AA69" s="50">
        <f t="shared" si="26"/>
        <v>78662.81998721289</v>
      </c>
      <c r="AB69" s="51">
        <f t="shared" si="27"/>
        <v>42506.252694321141</v>
      </c>
      <c r="AC69" s="44">
        <f t="shared" si="28"/>
        <v>73537.272120419628</v>
      </c>
      <c r="AD69" s="44">
        <f t="shared" si="29"/>
        <v>30118.11219953117</v>
      </c>
      <c r="AE69" s="44">
        <f t="shared" si="30"/>
        <v>0</v>
      </c>
      <c r="AF69" s="52">
        <f>HLOOKUP(I69,GasAvoidedCostsWOCC!$A$5:$G$50,G69+1,FALSE)</f>
        <v>18.94929753071774</v>
      </c>
      <c r="AG69" s="44">
        <f t="shared" si="31"/>
        <v>114633.77541207697</v>
      </c>
      <c r="AH69" s="52">
        <f>HLOOKUP(I69,GasAvoidedCostsWOCC!$A$5:$Q$50,T69+1,FALSE)</f>
        <v>18.94929753071774</v>
      </c>
      <c r="AI69" s="44">
        <f t="shared" si="32"/>
        <v>0</v>
      </c>
      <c r="AJ69" s="44">
        <f t="shared" si="33"/>
        <v>114633.77541207697</v>
      </c>
      <c r="AK69" s="44">
        <f>HLOOKUP(I69,GasAvoidedCostsWOCC!$A$5:$Q$50,G69+1,FALSE)*J69*L69</f>
        <v>0</v>
      </c>
      <c r="AL69" s="44">
        <f t="shared" si="34"/>
        <v>114633.77541207697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114633.77541207698</v>
      </c>
      <c r="AN69" s="48">
        <f t="shared" si="35"/>
        <v>156215.26515281585</v>
      </c>
      <c r="AO69" s="47">
        <f t="shared" si="36"/>
        <v>2.6968685345295591</v>
      </c>
      <c r="AP69" s="47">
        <f t="shared" si="37"/>
        <v>2.1243005165735327</v>
      </c>
      <c r="AQ69">
        <v>2020</v>
      </c>
    </row>
    <row r="70" spans="2:43">
      <c r="B70" s="97" t="s">
        <v>33</v>
      </c>
      <c r="C70" s="61">
        <v>18230637</v>
      </c>
      <c r="D70" s="61" t="s">
        <v>82</v>
      </c>
      <c r="E70" s="38" t="s">
        <v>1706</v>
      </c>
      <c r="F70" s="39" t="s">
        <v>1707</v>
      </c>
      <c r="G70" s="39">
        <v>45</v>
      </c>
      <c r="H70" s="39"/>
      <c r="I70" s="40" t="s">
        <v>269</v>
      </c>
      <c r="J70" s="41">
        <v>250284</v>
      </c>
      <c r="K70" s="41">
        <v>0.1</v>
      </c>
      <c r="L70" s="41"/>
      <c r="M70" s="42">
        <v>0.5</v>
      </c>
      <c r="N70" s="42">
        <v>1.24</v>
      </c>
      <c r="O70" s="43">
        <v>25028.400000000001</v>
      </c>
      <c r="P70" s="44">
        <v>126120.13</v>
      </c>
      <c r="Q70" s="44">
        <v>310352.15999999997</v>
      </c>
      <c r="R70" s="45">
        <v>0</v>
      </c>
      <c r="S70" s="46">
        <v>0</v>
      </c>
      <c r="T70" s="39">
        <f t="shared" si="19"/>
        <v>45</v>
      </c>
      <c r="U70" s="47">
        <f t="shared" si="20"/>
        <v>1.9445136529261373</v>
      </c>
      <c r="V70" s="48">
        <f t="shared" si="21"/>
        <v>0.74</v>
      </c>
      <c r="W70" s="49">
        <f t="shared" si="22"/>
        <v>4.321141450946972E-2</v>
      </c>
      <c r="X70" s="44">
        <f t="shared" si="23"/>
        <v>15096.971956022629</v>
      </c>
      <c r="Y70" s="44">
        <f t="shared" si="24"/>
        <v>184232.02999999997</v>
      </c>
      <c r="Z70" s="44">
        <f t="shared" si="25"/>
        <v>188117.16348979014</v>
      </c>
      <c r="AA70" s="50">
        <f t="shared" si="26"/>
        <v>325449.13195602258</v>
      </c>
      <c r="AB70" s="51">
        <f t="shared" si="27"/>
        <v>175859.73963708527</v>
      </c>
      <c r="AC70" s="44">
        <f t="shared" si="28"/>
        <v>304243.3691278139</v>
      </c>
      <c r="AD70" s="44">
        <f t="shared" si="29"/>
        <v>0</v>
      </c>
      <c r="AE70" s="44">
        <f t="shared" si="30"/>
        <v>0</v>
      </c>
      <c r="AF70" s="52">
        <f>HLOOKUP(I70,GasAvoidedCostsWOCC!$A$5:$G$50,G70+1,FALSE)</f>
        <v>27.444232870165703</v>
      </c>
      <c r="AG70" s="44">
        <f t="shared" si="31"/>
        <v>686885.2379676553</v>
      </c>
      <c r="AH70" s="52">
        <f>HLOOKUP(I70,GasAvoidedCostsWOCC!$A$5:$Q$50,T70+1,FALSE)</f>
        <v>27.444232870165703</v>
      </c>
      <c r="AI70" s="44">
        <f t="shared" si="32"/>
        <v>0</v>
      </c>
      <c r="AJ70" s="44">
        <f t="shared" si="33"/>
        <v>686885.2379676553</v>
      </c>
      <c r="AK70" s="44">
        <f>HLOOKUP(I70,GasAvoidedCostsWOCC!$A$5:$Q$50,G70+1,FALSE)*J70*L70</f>
        <v>0</v>
      </c>
      <c r="AL70" s="44">
        <f t="shared" si="34"/>
        <v>686885.2379676553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686885.2379676553</v>
      </c>
      <c r="AN70" s="48">
        <f t="shared" si="35"/>
        <v>755573.76176442089</v>
      </c>
      <c r="AO70" s="47">
        <f t="shared" si="36"/>
        <v>3.90586975384561</v>
      </c>
      <c r="AP70" s="47">
        <f t="shared" si="37"/>
        <v>2.4834518626665654</v>
      </c>
      <c r="AQ70">
        <v>2020</v>
      </c>
    </row>
    <row r="71" spans="2:43">
      <c r="B71" s="97" t="s">
        <v>33</v>
      </c>
      <c r="C71" s="61">
        <v>18230637</v>
      </c>
      <c r="D71" s="61" t="s">
        <v>82</v>
      </c>
      <c r="E71" s="38" t="s">
        <v>1967</v>
      </c>
      <c r="F71" s="39" t="s">
        <v>703</v>
      </c>
      <c r="G71" s="39">
        <v>30</v>
      </c>
      <c r="H71" s="39"/>
      <c r="I71" s="40" t="s">
        <v>269</v>
      </c>
      <c r="J71" s="41">
        <v>103173</v>
      </c>
      <c r="K71" s="41">
        <v>0.03</v>
      </c>
      <c r="L71" s="41"/>
      <c r="M71" s="42">
        <v>0.33</v>
      </c>
      <c r="N71" s="42">
        <v>1.0900000000000001</v>
      </c>
      <c r="O71" s="43">
        <v>3095.19</v>
      </c>
      <c r="P71" s="44">
        <v>49805.9</v>
      </c>
      <c r="Q71" s="44">
        <v>112458.57</v>
      </c>
      <c r="R71" s="45">
        <v>0.02</v>
      </c>
      <c r="S71" s="46">
        <v>0</v>
      </c>
      <c r="T71" s="39">
        <f t="shared" si="19"/>
        <v>30</v>
      </c>
      <c r="U71" s="47">
        <f t="shared" si="20"/>
        <v>0.16031492793254731</v>
      </c>
      <c r="V71" s="48">
        <f t="shared" si="21"/>
        <v>0.76</v>
      </c>
      <c r="W71" s="49">
        <f t="shared" si="22"/>
        <v>5.3438309310849105E-3</v>
      </c>
      <c r="X71" s="44">
        <f t="shared" si="23"/>
        <v>1866.9989543303479</v>
      </c>
      <c r="Y71" s="44">
        <f t="shared" si="24"/>
        <v>62652.670000000006</v>
      </c>
      <c r="Z71" s="44">
        <f t="shared" si="25"/>
        <v>23263.9067324305</v>
      </c>
      <c r="AA71" s="50">
        <f t="shared" si="26"/>
        <v>114325.56895433036</v>
      </c>
      <c r="AB71" s="51">
        <f t="shared" si="27"/>
        <v>21748.066497551179</v>
      </c>
      <c r="AC71" s="44">
        <f t="shared" si="28"/>
        <v>106876.29144089964</v>
      </c>
      <c r="AD71" s="44">
        <f t="shared" si="29"/>
        <v>25682.915860502762</v>
      </c>
      <c r="AE71" s="44">
        <f t="shared" si="30"/>
        <v>0</v>
      </c>
      <c r="AF71" s="52">
        <f>HLOOKUP(I71,GasAvoidedCostsWOCC!$A$5:$G$50,G71+1,FALSE)</f>
        <v>18.94929753071774</v>
      </c>
      <c r="AG71" s="44">
        <f t="shared" si="31"/>
        <v>58651.676224102237</v>
      </c>
      <c r="AH71" s="52">
        <f>HLOOKUP(I71,GasAvoidedCostsWOCC!$A$5:$Q$50,T71+1,FALSE)</f>
        <v>18.94929753071774</v>
      </c>
      <c r="AI71" s="44">
        <f t="shared" si="32"/>
        <v>0</v>
      </c>
      <c r="AJ71" s="44">
        <f t="shared" si="33"/>
        <v>58651.676224102237</v>
      </c>
      <c r="AK71" s="44">
        <f>HLOOKUP(I71,GasAvoidedCostsWOCC!$A$5:$Q$50,G71+1,FALSE)*J71*L71</f>
        <v>0</v>
      </c>
      <c r="AL71" s="44">
        <f t="shared" si="34"/>
        <v>58651.676224102237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58651.676224102237</v>
      </c>
      <c r="AN71" s="48">
        <f t="shared" si="35"/>
        <v>90199.759707015226</v>
      </c>
      <c r="AO71" s="47">
        <f t="shared" si="36"/>
        <v>2.6968685345295587</v>
      </c>
      <c r="AP71" s="47">
        <f t="shared" si="37"/>
        <v>0.84396416165781551</v>
      </c>
      <c r="AQ71">
        <v>2020</v>
      </c>
    </row>
    <row r="72" spans="2:43">
      <c r="B72" s="97" t="s">
        <v>33</v>
      </c>
      <c r="C72" s="61">
        <v>18230637</v>
      </c>
      <c r="D72" s="61" t="s">
        <v>82</v>
      </c>
      <c r="E72" s="38" t="s">
        <v>702</v>
      </c>
      <c r="F72" s="39" t="s">
        <v>703</v>
      </c>
      <c r="G72" s="39">
        <v>45</v>
      </c>
      <c r="H72" s="39"/>
      <c r="I72" s="40" t="s">
        <v>269</v>
      </c>
      <c r="J72" s="41">
        <v>388276</v>
      </c>
      <c r="K72" s="41">
        <v>0.03</v>
      </c>
      <c r="L72" s="41"/>
      <c r="M72" s="42">
        <v>0.5</v>
      </c>
      <c r="N72" s="42">
        <v>1.0900000000000001</v>
      </c>
      <c r="O72" s="43">
        <v>11648.28</v>
      </c>
      <c r="P72" s="44">
        <v>189884.26</v>
      </c>
      <c r="Q72" s="44">
        <v>423220.84</v>
      </c>
      <c r="R72" s="45">
        <v>0</v>
      </c>
      <c r="S72" s="46">
        <v>0</v>
      </c>
      <c r="T72" s="39">
        <f t="shared" si="19"/>
        <v>45</v>
      </c>
      <c r="U72" s="47">
        <f t="shared" si="20"/>
        <v>0.90498152071672455</v>
      </c>
      <c r="V72" s="48">
        <f t="shared" si="21"/>
        <v>0.59000000000000008</v>
      </c>
      <c r="W72" s="49">
        <f t="shared" si="22"/>
        <v>2.0110700460371656E-2</v>
      </c>
      <c r="X72" s="44">
        <f t="shared" si="23"/>
        <v>7026.1685323831844</v>
      </c>
      <c r="Y72" s="44">
        <f t="shared" si="24"/>
        <v>233336.58000000002</v>
      </c>
      <c r="Z72" s="44">
        <f t="shared" si="25"/>
        <v>87550.19869967128</v>
      </c>
      <c r="AA72" s="50">
        <f t="shared" si="26"/>
        <v>430247.00853238319</v>
      </c>
      <c r="AB72" s="51">
        <f t="shared" si="27"/>
        <v>81845.562961270698</v>
      </c>
      <c r="AC72" s="44">
        <f t="shared" si="28"/>
        <v>402212.7779119222</v>
      </c>
      <c r="AD72" s="44">
        <f t="shared" si="29"/>
        <v>0</v>
      </c>
      <c r="AE72" s="44">
        <f t="shared" si="30"/>
        <v>0</v>
      </c>
      <c r="AF72" s="52">
        <f>HLOOKUP(I72,GasAvoidedCostsWOCC!$A$5:$G$50,G72+1,FALSE)</f>
        <v>27.444232870165703</v>
      </c>
      <c r="AG72" s="44">
        <f t="shared" si="31"/>
        <v>319678.10885689373</v>
      </c>
      <c r="AH72" s="52">
        <f>HLOOKUP(I72,GasAvoidedCostsWOCC!$A$5:$Q$50,T72+1,FALSE)</f>
        <v>27.444232870165703</v>
      </c>
      <c r="AI72" s="44">
        <f t="shared" si="32"/>
        <v>0</v>
      </c>
      <c r="AJ72" s="44">
        <f t="shared" si="33"/>
        <v>319678.10885689373</v>
      </c>
      <c r="AK72" s="44">
        <f>HLOOKUP(I72,GasAvoidedCostsWOCC!$A$5:$Q$50,G72+1,FALSE)*J72*L72</f>
        <v>0</v>
      </c>
      <c r="AL72" s="44">
        <f t="shared" si="34"/>
        <v>319678.10885689373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319678.10885689373</v>
      </c>
      <c r="AN72" s="48">
        <f t="shared" si="35"/>
        <v>351645.91974258312</v>
      </c>
      <c r="AO72" s="47">
        <f t="shared" si="36"/>
        <v>3.9058697538456095</v>
      </c>
      <c r="AP72" s="47">
        <f t="shared" si="37"/>
        <v>0.87427833985818237</v>
      </c>
      <c r="AQ72">
        <v>2020</v>
      </c>
    </row>
    <row r="73" spans="2:43">
      <c r="B73" s="97" t="s">
        <v>33</v>
      </c>
      <c r="C73" s="61">
        <v>18230637</v>
      </c>
      <c r="D73" s="61" t="s">
        <v>82</v>
      </c>
      <c r="E73" s="38" t="s">
        <v>1970</v>
      </c>
      <c r="F73" s="39" t="s">
        <v>712</v>
      </c>
      <c r="G73" s="39">
        <v>5</v>
      </c>
      <c r="H73" s="39"/>
      <c r="I73" s="40" t="s">
        <v>269</v>
      </c>
      <c r="J73" s="41">
        <v>30</v>
      </c>
      <c r="K73" s="41">
        <v>0</v>
      </c>
      <c r="L73" s="41"/>
      <c r="M73" s="42">
        <v>38.299999999999997</v>
      </c>
      <c r="N73" s="42">
        <v>38.299999999999997</v>
      </c>
      <c r="O73" s="43">
        <v>0</v>
      </c>
      <c r="P73" s="44">
        <v>0</v>
      </c>
      <c r="Q73" s="44">
        <v>1110.7</v>
      </c>
      <c r="R73" s="45">
        <v>0</v>
      </c>
      <c r="S73" s="46">
        <v>0</v>
      </c>
      <c r="T73" s="39">
        <f t="shared" si="19"/>
        <v>5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1110.7</v>
      </c>
      <c r="Z73" s="44">
        <f t="shared" si="25"/>
        <v>0</v>
      </c>
      <c r="AA73" s="50">
        <f t="shared" si="26"/>
        <v>1110.7</v>
      </c>
      <c r="AB73" s="51">
        <f t="shared" si="27"/>
        <v>0</v>
      </c>
      <c r="AC73" s="44">
        <f t="shared" si="28"/>
        <v>1038.3285033186874</v>
      </c>
      <c r="AD73" s="44">
        <f t="shared" si="29"/>
        <v>0</v>
      </c>
      <c r="AE73" s="44">
        <f t="shared" si="30"/>
        <v>0</v>
      </c>
      <c r="AF73" s="52">
        <f>HLOOKUP(I73,GasAvoidedCostsWOCC!$A$5:$G$50,G73+1,FALSE)</f>
        <v>4.0176254580215796</v>
      </c>
      <c r="AG73" s="44">
        <f t="shared" si="31"/>
        <v>0</v>
      </c>
      <c r="AH73" s="52">
        <f>HLOOKUP(I73,GasAvoidedCostsWOCC!$A$5:$Q$50,T73+1,FALSE)</f>
        <v>4.0176254580215796</v>
      </c>
      <c r="AI73" s="44">
        <f t="shared" si="32"/>
        <v>0</v>
      </c>
      <c r="AJ73" s="44">
        <f t="shared" si="33"/>
        <v>0</v>
      </c>
      <c r="AK73" s="44">
        <f>HLOOKUP(I73,GasAvoidedCostsWOCC!$A$5:$Q$50,G73+1,FALSE)*J73*L73</f>
        <v>0</v>
      </c>
      <c r="AL73" s="44">
        <f t="shared" si="34"/>
        <v>0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>
        <f t="shared" si="37"/>
        <v>0</v>
      </c>
      <c r="AQ73">
        <v>2020</v>
      </c>
    </row>
    <row r="74" spans="2:43">
      <c r="B74" s="97" t="s">
        <v>33</v>
      </c>
      <c r="C74" s="61">
        <v>18230637</v>
      </c>
      <c r="D74" s="61" t="s">
        <v>82</v>
      </c>
      <c r="E74" s="38" t="s">
        <v>711</v>
      </c>
      <c r="F74" s="39" t="s">
        <v>712</v>
      </c>
      <c r="G74" s="39">
        <v>5</v>
      </c>
      <c r="H74" s="39"/>
      <c r="I74" s="40" t="s">
        <v>269</v>
      </c>
      <c r="J74" s="41">
        <v>381</v>
      </c>
      <c r="K74" s="41">
        <v>0</v>
      </c>
      <c r="L74" s="41"/>
      <c r="M74" s="42">
        <v>35.5</v>
      </c>
      <c r="N74" s="42">
        <v>35.5</v>
      </c>
      <c r="O74" s="43">
        <v>0</v>
      </c>
      <c r="P74" s="44">
        <v>0</v>
      </c>
      <c r="Q74" s="44">
        <v>13312.5</v>
      </c>
      <c r="R74" s="45">
        <v>0</v>
      </c>
      <c r="S74" s="46">
        <v>0</v>
      </c>
      <c r="T74" s="39">
        <f t="shared" si="19"/>
        <v>5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13312.5</v>
      </c>
      <c r="Z74" s="44">
        <f t="shared" si="25"/>
        <v>0</v>
      </c>
      <c r="AA74" s="50">
        <f t="shared" si="26"/>
        <v>13312.5</v>
      </c>
      <c r="AB74" s="51">
        <f t="shared" si="27"/>
        <v>0</v>
      </c>
      <c r="AC74" s="44">
        <f t="shared" si="28"/>
        <v>12445.078059268953</v>
      </c>
      <c r="AD74" s="44">
        <f t="shared" si="29"/>
        <v>0</v>
      </c>
      <c r="AE74" s="44">
        <f t="shared" si="30"/>
        <v>0</v>
      </c>
      <c r="AF74" s="52">
        <f>HLOOKUP(I74,GasAvoidedCostsWOCC!$A$5:$G$50,G74+1,FALSE)</f>
        <v>4.0176254580215796</v>
      </c>
      <c r="AG74" s="44">
        <f t="shared" si="31"/>
        <v>0</v>
      </c>
      <c r="AH74" s="52">
        <f>HLOOKUP(I74,GasAvoidedCostsWOCC!$A$5:$Q$50,T74+1,FALSE)</f>
        <v>4.0176254580215796</v>
      </c>
      <c r="AI74" s="44">
        <f t="shared" si="32"/>
        <v>0</v>
      </c>
      <c r="AJ74" s="44">
        <f t="shared" si="33"/>
        <v>0</v>
      </c>
      <c r="AK74" s="44">
        <f>HLOOKUP(I74,GasAvoidedCostsWOCC!$A$5:$Q$50,G74+1,FALSE)*J74*L74</f>
        <v>0</v>
      </c>
      <c r="AL74" s="44">
        <f t="shared" si="34"/>
        <v>0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>
        <f t="shared" si="37"/>
        <v>0</v>
      </c>
      <c r="AQ74">
        <v>2020</v>
      </c>
    </row>
    <row r="75" spans="2:43">
      <c r="B75" s="97" t="s">
        <v>33</v>
      </c>
      <c r="C75" s="61">
        <v>18230637</v>
      </c>
      <c r="D75" s="61" t="s">
        <v>82</v>
      </c>
      <c r="E75" s="38" t="s">
        <v>1972</v>
      </c>
      <c r="F75" s="39" t="s">
        <v>720</v>
      </c>
      <c r="G75" s="39">
        <v>25</v>
      </c>
      <c r="H75" s="39"/>
      <c r="I75" s="40" t="s">
        <v>269</v>
      </c>
      <c r="J75" s="41">
        <v>3148</v>
      </c>
      <c r="K75" s="41">
        <v>0.02</v>
      </c>
      <c r="L75" s="41"/>
      <c r="M75" s="42">
        <v>1.39</v>
      </c>
      <c r="N75" s="42">
        <v>1.39</v>
      </c>
      <c r="O75" s="43">
        <v>62.96</v>
      </c>
      <c r="P75" s="44">
        <v>3600</v>
      </c>
      <c r="Q75" s="44">
        <v>4375.72</v>
      </c>
      <c r="R75" s="45">
        <v>0</v>
      </c>
      <c r="S75" s="46">
        <v>0</v>
      </c>
      <c r="T75" s="39">
        <f t="shared" si="19"/>
        <v>25</v>
      </c>
      <c r="U75" s="47">
        <f t="shared" si="20"/>
        <v>2.7175035734567665E-3</v>
      </c>
      <c r="V75" s="48">
        <f t="shared" si="21"/>
        <v>0</v>
      </c>
      <c r="W75" s="49">
        <f t="shared" si="22"/>
        <v>1.0870014293827066E-4</v>
      </c>
      <c r="X75" s="44">
        <f t="shared" si="23"/>
        <v>37.977072220005461</v>
      </c>
      <c r="Y75" s="44">
        <f t="shared" si="24"/>
        <v>775.72000000000025</v>
      </c>
      <c r="Z75" s="44">
        <f t="shared" si="25"/>
        <v>473.21669037242441</v>
      </c>
      <c r="AA75" s="50">
        <f t="shared" si="26"/>
        <v>4413.6970722200058</v>
      </c>
      <c r="AB75" s="51">
        <f t="shared" si="27"/>
        <v>442.38262164384815</v>
      </c>
      <c r="AC75" s="44">
        <f t="shared" si="28"/>
        <v>4126.1073873235537</v>
      </c>
      <c r="AD75" s="44">
        <f t="shared" si="29"/>
        <v>0</v>
      </c>
      <c r="AE75" s="44">
        <f t="shared" si="30"/>
        <v>0</v>
      </c>
      <c r="AF75" s="52">
        <f>HLOOKUP(I75,GasAvoidedCostsWOCC!$A$5:$G$50,G75+1,FALSE)</f>
        <v>16.472554524074432</v>
      </c>
      <c r="AG75" s="44">
        <f t="shared" si="31"/>
        <v>1037.1120328357263</v>
      </c>
      <c r="AH75" s="52">
        <f>HLOOKUP(I75,GasAvoidedCostsWOCC!$A$5:$Q$50,T75+1,FALSE)</f>
        <v>16.472554524074432</v>
      </c>
      <c r="AI75" s="44">
        <f t="shared" si="32"/>
        <v>0</v>
      </c>
      <c r="AJ75" s="44">
        <f t="shared" si="33"/>
        <v>1037.1120328357263</v>
      </c>
      <c r="AK75" s="44">
        <f>HLOOKUP(I75,GasAvoidedCostsWOCC!$A$5:$Q$50,G75+1,FALSE)*J75*L75</f>
        <v>0</v>
      </c>
      <c r="AL75" s="44">
        <f t="shared" si="34"/>
        <v>1037.1120328357263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1037.1120328357263</v>
      </c>
      <c r="AN75" s="48">
        <f t="shared" si="35"/>
        <v>1140.8232361192991</v>
      </c>
      <c r="AO75" s="47">
        <f t="shared" si="36"/>
        <v>2.3443778803559803</v>
      </c>
      <c r="AP75" s="47">
        <f t="shared" si="37"/>
        <v>0.27648898320586535</v>
      </c>
      <c r="AQ75">
        <v>2020</v>
      </c>
    </row>
    <row r="76" spans="2:43">
      <c r="B76" s="97" t="s">
        <v>33</v>
      </c>
      <c r="C76" s="61">
        <v>18230637</v>
      </c>
      <c r="D76" s="61" t="s">
        <v>82</v>
      </c>
      <c r="E76" s="38" t="s">
        <v>1974</v>
      </c>
      <c r="F76" s="39" t="s">
        <v>725</v>
      </c>
      <c r="G76" s="39">
        <v>30</v>
      </c>
      <c r="H76" s="39"/>
      <c r="I76" s="40" t="s">
        <v>269</v>
      </c>
      <c r="J76" s="41">
        <v>143038</v>
      </c>
      <c r="K76" s="41">
        <v>0.04</v>
      </c>
      <c r="L76" s="41"/>
      <c r="M76" s="42">
        <v>0.11</v>
      </c>
      <c r="N76" s="42">
        <v>1.46</v>
      </c>
      <c r="O76" s="43">
        <v>5721.52</v>
      </c>
      <c r="P76" s="44">
        <v>24242.22</v>
      </c>
      <c r="Q76" s="44">
        <v>208835.48</v>
      </c>
      <c r="R76" s="45">
        <v>0.02</v>
      </c>
      <c r="S76" s="46">
        <v>0</v>
      </c>
      <c r="T76" s="39">
        <f t="shared" si="19"/>
        <v>30</v>
      </c>
      <c r="U76" s="47">
        <f t="shared" si="20"/>
        <v>0.29634531853121399</v>
      </c>
      <c r="V76" s="48">
        <f t="shared" si="21"/>
        <v>1.3499999999999999</v>
      </c>
      <c r="W76" s="49">
        <f t="shared" si="22"/>
        <v>9.878177284373799E-3</v>
      </c>
      <c r="X76" s="44">
        <f t="shared" si="23"/>
        <v>3451.1845338025041</v>
      </c>
      <c r="Y76" s="44">
        <f t="shared" si="24"/>
        <v>184593.26</v>
      </c>
      <c r="Z76" s="44">
        <f t="shared" si="25"/>
        <v>43003.79222203992</v>
      </c>
      <c r="AA76" s="50">
        <f t="shared" si="26"/>
        <v>212286.66453380251</v>
      </c>
      <c r="AB76" s="51">
        <f t="shared" si="27"/>
        <v>40201.731534112289</v>
      </c>
      <c r="AC76" s="44">
        <f t="shared" si="28"/>
        <v>198454.39331943769</v>
      </c>
      <c r="AD76" s="44">
        <f t="shared" si="29"/>
        <v>35606.533868886181</v>
      </c>
      <c r="AE76" s="44">
        <f t="shared" si="30"/>
        <v>0</v>
      </c>
      <c r="AF76" s="52">
        <f>HLOOKUP(I76,GasAvoidedCostsWOCC!$A$5:$G$50,G76+1,FALSE)</f>
        <v>18.94929753071774</v>
      </c>
      <c r="AG76" s="44">
        <f t="shared" si="31"/>
        <v>108418.78480795216</v>
      </c>
      <c r="AH76" s="52">
        <f>HLOOKUP(I76,GasAvoidedCostsWOCC!$A$5:$Q$50,T76+1,FALSE)</f>
        <v>18.94929753071774</v>
      </c>
      <c r="AI76" s="44">
        <f t="shared" si="32"/>
        <v>0</v>
      </c>
      <c r="AJ76" s="44">
        <f t="shared" si="33"/>
        <v>108418.78480795216</v>
      </c>
      <c r="AK76" s="44">
        <f>HLOOKUP(I76,GasAvoidedCostsWOCC!$A$5:$Q$50,G76+1,FALSE)*J76*L76</f>
        <v>0</v>
      </c>
      <c r="AL76" s="44">
        <f t="shared" si="34"/>
        <v>108418.78480795216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108418.78480795216</v>
      </c>
      <c r="AN76" s="48">
        <f t="shared" si="35"/>
        <v>154867.19715763358</v>
      </c>
      <c r="AO76" s="47">
        <f t="shared" si="36"/>
        <v>2.6968685345295591</v>
      </c>
      <c r="AP76" s="47">
        <f t="shared" si="37"/>
        <v>0.78036668560093325</v>
      </c>
      <c r="AQ76">
        <v>2020</v>
      </c>
    </row>
    <row r="77" spans="2:43">
      <c r="B77" s="97" t="s">
        <v>33</v>
      </c>
      <c r="C77" s="61">
        <v>18230637</v>
      </c>
      <c r="D77" s="61" t="s">
        <v>82</v>
      </c>
      <c r="E77" s="38" t="s">
        <v>724</v>
      </c>
      <c r="F77" s="39" t="s">
        <v>725</v>
      </c>
      <c r="G77" s="39">
        <v>45</v>
      </c>
      <c r="H77" s="39"/>
      <c r="I77" s="40" t="s">
        <v>269</v>
      </c>
      <c r="J77" s="41">
        <v>649213</v>
      </c>
      <c r="K77" s="41">
        <v>0.04</v>
      </c>
      <c r="L77" s="41"/>
      <c r="M77" s="42">
        <v>0.25</v>
      </c>
      <c r="N77" s="42">
        <v>1.46</v>
      </c>
      <c r="O77" s="43">
        <v>25968.52</v>
      </c>
      <c r="P77" s="44">
        <v>109229.32</v>
      </c>
      <c r="Q77" s="44">
        <v>947850.98</v>
      </c>
      <c r="R77" s="45">
        <v>0</v>
      </c>
      <c r="S77" s="46">
        <v>0</v>
      </c>
      <c r="T77" s="39">
        <f t="shared" si="19"/>
        <v>45</v>
      </c>
      <c r="U77" s="47">
        <f t="shared" si="20"/>
        <v>2.0175537264182073</v>
      </c>
      <c r="V77" s="48">
        <f t="shared" si="21"/>
        <v>1.21</v>
      </c>
      <c r="W77" s="49">
        <f t="shared" si="22"/>
        <v>4.4834527253737939E-2</v>
      </c>
      <c r="X77" s="44">
        <f t="shared" si="23"/>
        <v>15664.046370499624</v>
      </c>
      <c r="Y77" s="44">
        <f t="shared" si="24"/>
        <v>838621.65999999992</v>
      </c>
      <c r="Z77" s="44">
        <f t="shared" si="25"/>
        <v>195183.24473110086</v>
      </c>
      <c r="AA77" s="50">
        <f t="shared" si="26"/>
        <v>963515.02637049963</v>
      </c>
      <c r="AB77" s="51">
        <f t="shared" si="27"/>
        <v>182465.40593727291</v>
      </c>
      <c r="AC77" s="44">
        <f t="shared" si="28"/>
        <v>900733.87526455976</v>
      </c>
      <c r="AD77" s="44">
        <f t="shared" si="29"/>
        <v>0</v>
      </c>
      <c r="AE77" s="44">
        <f t="shared" si="30"/>
        <v>0</v>
      </c>
      <c r="AF77" s="52">
        <f>HLOOKUP(I77,GasAvoidedCostsWOCC!$A$5:$G$50,G77+1,FALSE)</f>
        <v>27.444232870165703</v>
      </c>
      <c r="AG77" s="44">
        <f t="shared" si="31"/>
        <v>712686.11017355544</v>
      </c>
      <c r="AH77" s="52">
        <f>HLOOKUP(I77,GasAvoidedCostsWOCC!$A$5:$Q$50,T77+1,FALSE)</f>
        <v>27.444232870165703</v>
      </c>
      <c r="AI77" s="44">
        <f t="shared" si="32"/>
        <v>0</v>
      </c>
      <c r="AJ77" s="44">
        <f t="shared" si="33"/>
        <v>712686.11017355544</v>
      </c>
      <c r="AK77" s="44">
        <f>HLOOKUP(I77,GasAvoidedCostsWOCC!$A$5:$Q$50,G77+1,FALSE)*J77*L77</f>
        <v>0</v>
      </c>
      <c r="AL77" s="44">
        <f t="shared" si="34"/>
        <v>712686.11017355544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712686.11017355544</v>
      </c>
      <c r="AN77" s="48">
        <f t="shared" si="35"/>
        <v>783954.72119091102</v>
      </c>
      <c r="AO77" s="47">
        <f t="shared" si="36"/>
        <v>3.90586975384561</v>
      </c>
      <c r="AP77" s="47">
        <f t="shared" si="37"/>
        <v>0.87035110227274526</v>
      </c>
      <c r="AQ77">
        <v>2020</v>
      </c>
    </row>
    <row r="78" spans="2:43">
      <c r="B78" s="97" t="s">
        <v>33</v>
      </c>
      <c r="C78" s="61">
        <v>18230637</v>
      </c>
      <c r="D78" s="61" t="s">
        <v>82</v>
      </c>
      <c r="E78" s="38" t="s">
        <v>1979</v>
      </c>
      <c r="F78" s="39" t="s">
        <v>1980</v>
      </c>
      <c r="G78" s="39">
        <v>30</v>
      </c>
      <c r="H78" s="39"/>
      <c r="I78" s="40" t="s">
        <v>269</v>
      </c>
      <c r="J78" s="41">
        <v>150233</v>
      </c>
      <c r="K78" s="41">
        <v>0.01</v>
      </c>
      <c r="L78" s="41"/>
      <c r="M78" s="42">
        <v>0.09</v>
      </c>
      <c r="N78" s="42">
        <v>0.2</v>
      </c>
      <c r="O78" s="43">
        <v>1502.33</v>
      </c>
      <c r="P78" s="44">
        <v>12613.93</v>
      </c>
      <c r="Q78" s="44">
        <v>30046.6</v>
      </c>
      <c r="R78" s="45">
        <v>0</v>
      </c>
      <c r="S78" s="46">
        <v>0</v>
      </c>
      <c r="T78" s="39">
        <f t="shared" si="19"/>
        <v>30</v>
      </c>
      <c r="U78" s="47">
        <f t="shared" si="20"/>
        <v>7.781296969843654E-2</v>
      </c>
      <c r="V78" s="48">
        <f t="shared" si="21"/>
        <v>0.11000000000000001</v>
      </c>
      <c r="W78" s="49">
        <f t="shared" si="22"/>
        <v>2.5937656566145514E-3</v>
      </c>
      <c r="X78" s="44">
        <f t="shared" si="23"/>
        <v>906.19591658641684</v>
      </c>
      <c r="Y78" s="44">
        <f t="shared" si="24"/>
        <v>17432.669999999998</v>
      </c>
      <c r="Z78" s="44">
        <f t="shared" si="25"/>
        <v>11291.734918157628</v>
      </c>
      <c r="AA78" s="50">
        <f t="shared" si="26"/>
        <v>30952.795916586416</v>
      </c>
      <c r="AB78" s="51">
        <f t="shared" si="27"/>
        <v>10555.982909374243</v>
      </c>
      <c r="AC78" s="44">
        <f t="shared" si="28"/>
        <v>28935.959536866798</v>
      </c>
      <c r="AD78" s="44">
        <f t="shared" si="29"/>
        <v>0</v>
      </c>
      <c r="AE78" s="44">
        <f t="shared" si="30"/>
        <v>0</v>
      </c>
      <c r="AF78" s="52">
        <f>HLOOKUP(I78,GasAvoidedCostsWOCC!$A$5:$G$50,G78+1,FALSE)</f>
        <v>18.94929753071774</v>
      </c>
      <c r="AG78" s="44">
        <f t="shared" si="31"/>
        <v>28468.098159323181</v>
      </c>
      <c r="AH78" s="52">
        <f>HLOOKUP(I78,GasAvoidedCostsWOCC!$A$5:$Q$50,T78+1,FALSE)</f>
        <v>18.94929753071774</v>
      </c>
      <c r="AI78" s="44">
        <f t="shared" si="32"/>
        <v>0</v>
      </c>
      <c r="AJ78" s="44">
        <f t="shared" si="33"/>
        <v>28468.098159323181</v>
      </c>
      <c r="AK78" s="44">
        <f>HLOOKUP(I78,GasAvoidedCostsWOCC!$A$5:$Q$50,G78+1,FALSE)*J78*L78</f>
        <v>0</v>
      </c>
      <c r="AL78" s="44">
        <f t="shared" si="34"/>
        <v>28468.098159323181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28468.098159323185</v>
      </c>
      <c r="AN78" s="48">
        <f t="shared" si="35"/>
        <v>31314.907975255504</v>
      </c>
      <c r="AO78" s="47">
        <f t="shared" si="36"/>
        <v>2.6968685345295591</v>
      </c>
      <c r="AP78" s="47">
        <f t="shared" si="37"/>
        <v>1.0822142578461147</v>
      </c>
      <c r="AQ78">
        <v>2020</v>
      </c>
    </row>
    <row r="79" spans="2:43">
      <c r="B79" s="97" t="s">
        <v>33</v>
      </c>
      <c r="C79" s="61">
        <v>18230637</v>
      </c>
      <c r="D79" s="61" t="s">
        <v>82</v>
      </c>
      <c r="E79" s="38" t="s">
        <v>1983</v>
      </c>
      <c r="F79" s="39" t="s">
        <v>1984</v>
      </c>
      <c r="G79" s="39">
        <v>30</v>
      </c>
      <c r="H79" s="39"/>
      <c r="I79" s="40" t="s">
        <v>269</v>
      </c>
      <c r="J79" s="41">
        <v>162151</v>
      </c>
      <c r="K79" s="41">
        <v>0.01</v>
      </c>
      <c r="L79" s="41"/>
      <c r="M79" s="42">
        <v>0.09</v>
      </c>
      <c r="N79" s="42">
        <v>0.2</v>
      </c>
      <c r="O79" s="43">
        <v>1621.51</v>
      </c>
      <c r="P79" s="44">
        <v>13345.59</v>
      </c>
      <c r="Q79" s="44">
        <v>32430.2</v>
      </c>
      <c r="R79" s="45">
        <v>0</v>
      </c>
      <c r="S79" s="46">
        <v>0</v>
      </c>
      <c r="T79" s="39">
        <f t="shared" si="19"/>
        <v>30</v>
      </c>
      <c r="U79" s="47">
        <f t="shared" si="20"/>
        <v>8.3985880928765216E-2</v>
      </c>
      <c r="V79" s="48">
        <f t="shared" si="21"/>
        <v>0.11000000000000001</v>
      </c>
      <c r="W79" s="49">
        <f t="shared" si="22"/>
        <v>2.7995293642921739E-3</v>
      </c>
      <c r="X79" s="44">
        <f t="shared" si="23"/>
        <v>978.08453582371442</v>
      </c>
      <c r="Y79" s="44">
        <f t="shared" si="24"/>
        <v>19084.61</v>
      </c>
      <c r="Z79" s="44">
        <f t="shared" si="25"/>
        <v>12187.509460066549</v>
      </c>
      <c r="AA79" s="50">
        <f t="shared" si="26"/>
        <v>33408.284535823717</v>
      </c>
      <c r="AB79" s="51">
        <f t="shared" si="27"/>
        <v>11393.390165529165</v>
      </c>
      <c r="AC79" s="44">
        <f t="shared" si="28"/>
        <v>31231.452309828655</v>
      </c>
      <c r="AD79" s="44">
        <f t="shared" si="29"/>
        <v>0</v>
      </c>
      <c r="AE79" s="44">
        <f t="shared" si="30"/>
        <v>0</v>
      </c>
      <c r="AF79" s="52">
        <f>HLOOKUP(I79,GasAvoidedCostsWOCC!$A$5:$G$50,G79+1,FALSE)</f>
        <v>18.94929753071774</v>
      </c>
      <c r="AG79" s="44">
        <f t="shared" si="31"/>
        <v>30726.475439034122</v>
      </c>
      <c r="AH79" s="52">
        <f>HLOOKUP(I79,GasAvoidedCostsWOCC!$A$5:$Q$50,T79+1,FALSE)</f>
        <v>18.94929753071774</v>
      </c>
      <c r="AI79" s="44">
        <f t="shared" si="32"/>
        <v>0</v>
      </c>
      <c r="AJ79" s="44">
        <f t="shared" si="33"/>
        <v>30726.475439034122</v>
      </c>
      <c r="AK79" s="44">
        <f>HLOOKUP(I79,GasAvoidedCostsWOCC!$A$5:$Q$50,G79+1,FALSE)*J79*L79</f>
        <v>0</v>
      </c>
      <c r="AL79" s="44">
        <f t="shared" si="34"/>
        <v>30726.475439034122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30726.475439034122</v>
      </c>
      <c r="AN79" s="48">
        <f t="shared" si="35"/>
        <v>33799.122982937537</v>
      </c>
      <c r="AO79" s="47">
        <f t="shared" si="36"/>
        <v>2.6968685345295587</v>
      </c>
      <c r="AP79" s="47">
        <f t="shared" si="37"/>
        <v>1.0822142578461145</v>
      </c>
      <c r="AQ79">
        <v>2020</v>
      </c>
    </row>
    <row r="80" spans="2:43">
      <c r="B80" s="97" t="s">
        <v>33</v>
      </c>
      <c r="C80" s="61">
        <v>18230637</v>
      </c>
      <c r="D80" s="61" t="s">
        <v>82</v>
      </c>
      <c r="E80" s="38" t="s">
        <v>1985</v>
      </c>
      <c r="F80" s="39" t="s">
        <v>1986</v>
      </c>
      <c r="G80" s="39">
        <v>18</v>
      </c>
      <c r="H80" s="39"/>
      <c r="I80" s="40" t="s">
        <v>269</v>
      </c>
      <c r="J80" s="41">
        <v>3</v>
      </c>
      <c r="K80" s="41">
        <v>39.43</v>
      </c>
      <c r="L80" s="41"/>
      <c r="M80" s="42">
        <v>450</v>
      </c>
      <c r="N80" s="42">
        <v>462.66</v>
      </c>
      <c r="O80" s="43">
        <v>118.29</v>
      </c>
      <c r="P80" s="44">
        <v>1350</v>
      </c>
      <c r="Q80" s="44">
        <v>1387.98</v>
      </c>
      <c r="R80" s="45">
        <v>0</v>
      </c>
      <c r="S80" s="46">
        <v>0</v>
      </c>
      <c r="T80" s="39">
        <f t="shared" si="19"/>
        <v>18</v>
      </c>
      <c r="U80" s="47">
        <f t="shared" si="20"/>
        <v>3.6760882837837466E-3</v>
      </c>
      <c r="V80" s="48">
        <f t="shared" si="21"/>
        <v>12.660000000000025</v>
      </c>
      <c r="W80" s="49">
        <f t="shared" si="22"/>
        <v>2.0422712687687481E-4</v>
      </c>
      <c r="X80" s="44">
        <f t="shared" si="23"/>
        <v>71.351776888571266</v>
      </c>
      <c r="Y80" s="44">
        <f t="shared" si="24"/>
        <v>37.980000000000018</v>
      </c>
      <c r="Z80" s="44">
        <f t="shared" si="25"/>
        <v>889.08517001515384</v>
      </c>
      <c r="AA80" s="50">
        <f t="shared" si="26"/>
        <v>1459.3317768885713</v>
      </c>
      <c r="AB80" s="51">
        <f t="shared" si="27"/>
        <v>831.15375340296691</v>
      </c>
      <c r="AC80" s="44">
        <f t="shared" si="28"/>
        <v>1364.2439720375537</v>
      </c>
      <c r="AD80" s="44">
        <f t="shared" si="29"/>
        <v>0</v>
      </c>
      <c r="AE80" s="44">
        <f t="shared" si="30"/>
        <v>0</v>
      </c>
      <c r="AF80" s="52">
        <f>HLOOKUP(I80,GasAvoidedCostsWOCC!$A$5:$G$50,G80+1,FALSE)</f>
        <v>12.598768311384578</v>
      </c>
      <c r="AG80" s="44">
        <f t="shared" si="31"/>
        <v>1490.308303553682</v>
      </c>
      <c r="AH80" s="52">
        <f>HLOOKUP(I80,GasAvoidedCostsWOCC!$A$5:$Q$50,T80+1,FALSE)</f>
        <v>12.598768311384578</v>
      </c>
      <c r="AI80" s="44">
        <f t="shared" si="32"/>
        <v>0</v>
      </c>
      <c r="AJ80" s="44">
        <f t="shared" si="33"/>
        <v>1490.308303553682</v>
      </c>
      <c r="AK80" s="44">
        <f>HLOOKUP(I80,GasAvoidedCostsWOCC!$A$5:$Q$50,G80+1,FALSE)*J80*L80</f>
        <v>0</v>
      </c>
      <c r="AL80" s="44">
        <f t="shared" si="34"/>
        <v>1490.308303553682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1490.3083035536818</v>
      </c>
      <c r="AN80" s="48">
        <f t="shared" si="35"/>
        <v>1639.3391339090501</v>
      </c>
      <c r="AO80" s="47">
        <f t="shared" si="36"/>
        <v>1.7930597045997312</v>
      </c>
      <c r="AP80" s="47">
        <f t="shared" si="37"/>
        <v>1.2016466024479702</v>
      </c>
      <c r="AQ80">
        <v>2020</v>
      </c>
    </row>
    <row r="81" spans="2:43">
      <c r="B81" s="97" t="s">
        <v>33</v>
      </c>
      <c r="C81" s="61">
        <v>18230637</v>
      </c>
      <c r="D81" s="61" t="s">
        <v>82</v>
      </c>
      <c r="E81" s="38" t="s">
        <v>1992</v>
      </c>
      <c r="F81" s="39" t="s">
        <v>737</v>
      </c>
      <c r="G81" s="39">
        <v>20</v>
      </c>
      <c r="H81" s="39"/>
      <c r="I81" s="40" t="s">
        <v>269</v>
      </c>
      <c r="J81" s="41">
        <v>133</v>
      </c>
      <c r="K81" s="41">
        <v>75</v>
      </c>
      <c r="L81" s="41"/>
      <c r="M81" s="42">
        <v>400</v>
      </c>
      <c r="N81" s="42">
        <v>1000</v>
      </c>
      <c r="O81" s="43">
        <v>9975</v>
      </c>
      <c r="P81" s="44">
        <v>50695.44</v>
      </c>
      <c r="Q81" s="44">
        <v>133000</v>
      </c>
      <c r="R81" s="45">
        <v>0</v>
      </c>
      <c r="S81" s="46">
        <v>0</v>
      </c>
      <c r="T81" s="39">
        <f t="shared" si="19"/>
        <v>20</v>
      </c>
      <c r="U81" s="47">
        <f t="shared" si="20"/>
        <v>0.34443580870687729</v>
      </c>
      <c r="V81" s="48">
        <f t="shared" si="21"/>
        <v>600</v>
      </c>
      <c r="W81" s="49">
        <f t="shared" si="22"/>
        <v>1.7221790435343866E-2</v>
      </c>
      <c r="X81" s="44">
        <f t="shared" si="23"/>
        <v>6016.8566612858085</v>
      </c>
      <c r="Y81" s="44">
        <f t="shared" si="24"/>
        <v>82304.56</v>
      </c>
      <c r="Z81" s="44">
        <f t="shared" si="25"/>
        <v>74973.578247537051</v>
      </c>
      <c r="AA81" s="50">
        <f t="shared" si="26"/>
        <v>139016.8566612858</v>
      </c>
      <c r="AB81" s="51">
        <f t="shared" si="27"/>
        <v>70088.415674990232</v>
      </c>
      <c r="AC81" s="44">
        <f t="shared" si="28"/>
        <v>129958.73297306328</v>
      </c>
      <c r="AD81" s="44">
        <f t="shared" si="29"/>
        <v>0</v>
      </c>
      <c r="AE81" s="44">
        <f t="shared" si="30"/>
        <v>0</v>
      </c>
      <c r="AF81" s="52">
        <f>HLOOKUP(I81,GasAvoidedCostsWOCC!$A$5:$G$50,G81+1,FALSE)</f>
        <v>13.765480191058694</v>
      </c>
      <c r="AG81" s="44">
        <f t="shared" si="31"/>
        <v>137310.6649058105</v>
      </c>
      <c r="AH81" s="52">
        <f>HLOOKUP(I81,GasAvoidedCostsWOCC!$A$5:$Q$50,T81+1,FALSE)</f>
        <v>13.765480191058694</v>
      </c>
      <c r="AI81" s="44">
        <f t="shared" si="32"/>
        <v>0</v>
      </c>
      <c r="AJ81" s="44">
        <f t="shared" si="33"/>
        <v>137310.6649058105</v>
      </c>
      <c r="AK81" s="44">
        <f>HLOOKUP(I81,GasAvoidedCostsWOCC!$A$5:$Q$50,G81+1,FALSE)*J81*L81</f>
        <v>0</v>
      </c>
      <c r="AL81" s="44">
        <f t="shared" si="34"/>
        <v>137310.6649058105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137310.6649058105</v>
      </c>
      <c r="AN81" s="48">
        <f t="shared" si="35"/>
        <v>151041.73139639155</v>
      </c>
      <c r="AO81" s="47">
        <f t="shared" si="36"/>
        <v>1.9591064169939183</v>
      </c>
      <c r="AP81" s="47">
        <f t="shared" si="37"/>
        <v>1.1622284085187116</v>
      </c>
      <c r="AQ81">
        <v>2020</v>
      </c>
    </row>
    <row r="82" spans="2:43">
      <c r="B82" s="97" t="s">
        <v>33</v>
      </c>
      <c r="C82" s="61">
        <v>18230637</v>
      </c>
      <c r="D82" s="61" t="s">
        <v>82</v>
      </c>
      <c r="E82" s="38" t="s">
        <v>736</v>
      </c>
      <c r="F82" s="39" t="s">
        <v>737</v>
      </c>
      <c r="G82" s="39">
        <v>20</v>
      </c>
      <c r="H82" s="39"/>
      <c r="I82" s="40" t="s">
        <v>269</v>
      </c>
      <c r="J82" s="41">
        <v>669</v>
      </c>
      <c r="K82" s="41">
        <v>75.33</v>
      </c>
      <c r="L82" s="41"/>
      <c r="M82" s="42">
        <v>400</v>
      </c>
      <c r="N82" s="42">
        <v>1000</v>
      </c>
      <c r="O82" s="43">
        <v>50471.100000000799</v>
      </c>
      <c r="P82" s="44">
        <v>257534.98</v>
      </c>
      <c r="Q82" s="44">
        <v>670000</v>
      </c>
      <c r="R82" s="45">
        <v>0</v>
      </c>
      <c r="S82" s="46">
        <v>0</v>
      </c>
      <c r="T82" s="39">
        <f t="shared" si="19"/>
        <v>20</v>
      </c>
      <c r="U82" s="47">
        <f t="shared" si="20"/>
        <v>1.7427623202833034</v>
      </c>
      <c r="V82" s="48">
        <f t="shared" si="21"/>
        <v>600</v>
      </c>
      <c r="W82" s="49">
        <f t="shared" si="22"/>
        <v>8.7138116014165171E-2</v>
      </c>
      <c r="X82" s="44">
        <f t="shared" si="23"/>
        <v>30443.847041346064</v>
      </c>
      <c r="Y82" s="44">
        <f t="shared" si="24"/>
        <v>412465.02</v>
      </c>
      <c r="Z82" s="44">
        <f t="shared" si="25"/>
        <v>379348.26717687491</v>
      </c>
      <c r="AA82" s="50">
        <f t="shared" si="26"/>
        <v>700443.84704134602</v>
      </c>
      <c r="AB82" s="51">
        <f t="shared" si="27"/>
        <v>354630.51993724867</v>
      </c>
      <c r="AC82" s="44">
        <f t="shared" si="28"/>
        <v>654804.00770435261</v>
      </c>
      <c r="AD82" s="44">
        <f t="shared" si="29"/>
        <v>0</v>
      </c>
      <c r="AE82" s="44">
        <f t="shared" si="30"/>
        <v>0</v>
      </c>
      <c r="AF82" s="52">
        <f>HLOOKUP(I82,GasAvoidedCostsWOCC!$A$5:$G$50,G82+1,FALSE)</f>
        <v>13.765480191058694</v>
      </c>
      <c r="AG82" s="44">
        <f t="shared" si="31"/>
        <v>693721.97364814999</v>
      </c>
      <c r="AH82" s="52">
        <f>HLOOKUP(I82,GasAvoidedCostsWOCC!$A$5:$Q$50,T82+1,FALSE)</f>
        <v>13.765480191058694</v>
      </c>
      <c r="AI82" s="44">
        <f t="shared" si="32"/>
        <v>0</v>
      </c>
      <c r="AJ82" s="44">
        <f t="shared" si="33"/>
        <v>693721.97364814999</v>
      </c>
      <c r="AK82" s="44">
        <f>HLOOKUP(I82,GasAvoidedCostsWOCC!$A$5:$Q$50,G82+1,FALSE)*J82*L82</f>
        <v>0</v>
      </c>
      <c r="AL82" s="44">
        <f t="shared" si="34"/>
        <v>693721.97364814999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693721.97364814999</v>
      </c>
      <c r="AN82" s="48">
        <f t="shared" si="35"/>
        <v>763094.17101296503</v>
      </c>
      <c r="AO82" s="47">
        <f t="shared" si="36"/>
        <v>1.9561823775655378</v>
      </c>
      <c r="AP82" s="47">
        <f t="shared" si="37"/>
        <v>1.1653779788066081</v>
      </c>
      <c r="AQ82">
        <v>2020</v>
      </c>
    </row>
    <row r="83" spans="2:43">
      <c r="B83" s="97" t="s">
        <v>33</v>
      </c>
      <c r="C83" s="61">
        <v>18230637</v>
      </c>
      <c r="D83" s="61" t="s">
        <v>82</v>
      </c>
      <c r="E83" s="38" t="s">
        <v>1994</v>
      </c>
      <c r="F83" s="39" t="s">
        <v>742</v>
      </c>
      <c r="G83" s="39">
        <v>20</v>
      </c>
      <c r="H83" s="39"/>
      <c r="I83" s="40" t="s">
        <v>269</v>
      </c>
      <c r="J83" s="41">
        <v>23</v>
      </c>
      <c r="K83" s="41">
        <v>42.5</v>
      </c>
      <c r="L83" s="41"/>
      <c r="M83" s="42">
        <v>300</v>
      </c>
      <c r="N83" s="42">
        <v>608.58000000000004</v>
      </c>
      <c r="O83" s="43">
        <v>977.5</v>
      </c>
      <c r="P83" s="44">
        <v>6887.12</v>
      </c>
      <c r="Q83" s="44">
        <v>13997.34</v>
      </c>
      <c r="R83" s="45">
        <v>0</v>
      </c>
      <c r="S83" s="46">
        <v>0</v>
      </c>
      <c r="T83" s="39">
        <f t="shared" ref="T83:T146" si="38">G83+H83</f>
        <v>20</v>
      </c>
      <c r="U83" s="47">
        <f t="shared" ref="U83:U146" si="39">(O83/$A$10)*T83</f>
        <v>3.3752982757992239E-2</v>
      </c>
      <c r="V83" s="48">
        <f t="shared" ref="V83:V146" si="40">N83-M83</f>
        <v>308.58000000000004</v>
      </c>
      <c r="W83" s="49">
        <f t="shared" ref="W83:W146" si="41">(O83/A$10)</f>
        <v>1.6876491378996119E-3</v>
      </c>
      <c r="X83" s="44">
        <f t="shared" ref="X83:X146" si="42">W83*A$8</f>
        <v>589.62179312349645</v>
      </c>
      <c r="Y83" s="44">
        <f t="shared" ref="Y83:Y146" si="43">Q83-P83</f>
        <v>7110.22</v>
      </c>
      <c r="Z83" s="44">
        <f t="shared" ref="Z83:Z146" si="44">X83+(A$6*W83)</f>
        <v>7347.0348608488694</v>
      </c>
      <c r="AA83" s="50">
        <f t="shared" ref="AA83:AA146" si="45">Q83+X83</f>
        <v>14586.961793123497</v>
      </c>
      <c r="AB83" s="51">
        <f t="shared" ref="AB83:AB146" si="46">Z83/(1+GasDiscountRate)^1</f>
        <v>6868.3134157697195</v>
      </c>
      <c r="AC83" s="44">
        <f t="shared" ref="AC83:AC146" si="47">AA83/(1+GasDiscountRate)^1</f>
        <v>13636.497890178083</v>
      </c>
      <c r="AD83" s="44">
        <f t="shared" ref="AD83:AD146" si="48">-PV(GasDiscountRate,T83,R83)*J83</f>
        <v>0</v>
      </c>
      <c r="AE83" s="44">
        <f t="shared" ref="AE83:AE146" si="49">-PV(GasDiscountRate,T83,S83)*J83</f>
        <v>0</v>
      </c>
      <c r="AF83" s="52">
        <f>HLOOKUP(I83,GasAvoidedCostsWOCC!$A$5:$G$50,G83+1,FALSE)</f>
        <v>13.765480191058694</v>
      </c>
      <c r="AG83" s="44">
        <f t="shared" ref="AG83:AG146" si="50">AF83*J83*K83</f>
        <v>13455.756886759873</v>
      </c>
      <c r="AH83" s="52">
        <f>HLOOKUP(I83,GasAvoidedCostsWOCC!$A$5:$Q$50,T83+1,FALSE)</f>
        <v>13.765480191058694</v>
      </c>
      <c r="AI83" s="44">
        <f t="shared" ref="AI83:AI146" si="51">AH83*J83*L83</f>
        <v>0</v>
      </c>
      <c r="AJ83" s="44">
        <f t="shared" ref="AJ83:AJ146" si="52">AG83+AI83</f>
        <v>13455.756886759873</v>
      </c>
      <c r="AK83" s="44">
        <f>HLOOKUP(I83,GasAvoidedCostsWOCC!$A$5:$Q$50,G83+1,FALSE)*J83*L83</f>
        <v>0</v>
      </c>
      <c r="AL83" s="44">
        <f t="shared" ref="AL83:AL146" si="53">AG83+AI83-AK83</f>
        <v>13455.756886759873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13455.756886759875</v>
      </c>
      <c r="AN83" s="48">
        <f t="shared" ref="AN83:AN146" si="54">AM83*1.1+AD83+AE83</f>
        <v>14801.332575435863</v>
      </c>
      <c r="AO83" s="47">
        <f t="shared" ref="AO83:AO146" si="55">IFERROR(AM83/AB83,0)</f>
        <v>1.9591064169939183</v>
      </c>
      <c r="AP83" s="47">
        <f t="shared" ref="AP83:AP146" si="56">AN83/AC83</f>
        <v>1.0854203692648074</v>
      </c>
      <c r="AQ83">
        <v>2020</v>
      </c>
    </row>
    <row r="84" spans="2:43">
      <c r="B84" s="97" t="s">
        <v>33</v>
      </c>
      <c r="C84" s="61">
        <v>18230637</v>
      </c>
      <c r="D84" s="61" t="s">
        <v>82</v>
      </c>
      <c r="E84" s="38" t="s">
        <v>741</v>
      </c>
      <c r="F84" s="39" t="s">
        <v>742</v>
      </c>
      <c r="G84" s="39">
        <v>20</v>
      </c>
      <c r="H84" s="39"/>
      <c r="I84" s="40" t="s">
        <v>269</v>
      </c>
      <c r="J84" s="41">
        <v>94</v>
      </c>
      <c r="K84" s="41">
        <v>50.81</v>
      </c>
      <c r="L84" s="41"/>
      <c r="M84" s="42">
        <v>300</v>
      </c>
      <c r="N84" s="42">
        <v>631.58000000000004</v>
      </c>
      <c r="O84" s="43">
        <v>4776.1400000000003</v>
      </c>
      <c r="P84" s="44">
        <v>27217.47</v>
      </c>
      <c r="Q84" s="44">
        <v>59368.520000000099</v>
      </c>
      <c r="R84" s="45">
        <v>0</v>
      </c>
      <c r="S84" s="46">
        <v>0</v>
      </c>
      <c r="T84" s="39">
        <f t="shared" si="38"/>
        <v>20</v>
      </c>
      <c r="U84" s="47">
        <f t="shared" si="39"/>
        <v>0.1649196634984727</v>
      </c>
      <c r="V84" s="48">
        <f t="shared" si="40"/>
        <v>331.58000000000004</v>
      </c>
      <c r="W84" s="49">
        <f t="shared" si="41"/>
        <v>8.2459831749236347E-3</v>
      </c>
      <c r="X84" s="44">
        <f t="shared" si="42"/>
        <v>2880.9373207251729</v>
      </c>
      <c r="Y84" s="44">
        <f t="shared" si="43"/>
        <v>32151.050000000097</v>
      </c>
      <c r="Z84" s="44">
        <f t="shared" si="44"/>
        <v>35898.176041222214</v>
      </c>
      <c r="AA84" s="50">
        <f t="shared" si="45"/>
        <v>62249.457320725269</v>
      </c>
      <c r="AB84" s="51">
        <f t="shared" si="46"/>
        <v>33559.106330019829</v>
      </c>
      <c r="AC84" s="44">
        <f t="shared" si="47"/>
        <v>58193.37881716861</v>
      </c>
      <c r="AD84" s="44">
        <f t="shared" si="48"/>
        <v>0</v>
      </c>
      <c r="AE84" s="44">
        <f t="shared" si="49"/>
        <v>0</v>
      </c>
      <c r="AF84" s="52">
        <f>HLOOKUP(I84,GasAvoidedCostsWOCC!$A$5:$G$50,G84+1,FALSE)</f>
        <v>13.765480191058694</v>
      </c>
      <c r="AG84" s="44">
        <f t="shared" si="50"/>
        <v>65745.860559723078</v>
      </c>
      <c r="AH84" s="52">
        <f>HLOOKUP(I84,GasAvoidedCostsWOCC!$A$5:$Q$50,T84+1,FALSE)</f>
        <v>13.765480191058694</v>
      </c>
      <c r="AI84" s="44">
        <f t="shared" si="51"/>
        <v>0</v>
      </c>
      <c r="AJ84" s="44">
        <f t="shared" si="52"/>
        <v>65745.860559723078</v>
      </c>
      <c r="AK84" s="44">
        <f>HLOOKUP(I84,GasAvoidedCostsWOCC!$A$5:$Q$50,G84+1,FALSE)*J84*L84</f>
        <v>0</v>
      </c>
      <c r="AL84" s="44">
        <f t="shared" si="53"/>
        <v>65745.860559723078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65745.860559723078</v>
      </c>
      <c r="AN84" s="48">
        <f t="shared" si="54"/>
        <v>72320.446615695386</v>
      </c>
      <c r="AO84" s="47">
        <f t="shared" si="55"/>
        <v>1.9591064169939185</v>
      </c>
      <c r="AP84" s="47">
        <f t="shared" si="56"/>
        <v>1.242760741611362</v>
      </c>
      <c r="AQ84">
        <v>2020</v>
      </c>
    </row>
    <row r="85" spans="2:43">
      <c r="B85" s="97"/>
      <c r="C85" s="61"/>
      <c r="D85" s="61"/>
      <c r="E85" s="38" t="s">
        <v>1997</v>
      </c>
      <c r="F85" s="39" t="s">
        <v>749</v>
      </c>
      <c r="G85" s="39">
        <v>30</v>
      </c>
      <c r="H85" s="39"/>
      <c r="I85" s="40" t="s">
        <v>269</v>
      </c>
      <c r="J85" s="41">
        <v>23144</v>
      </c>
      <c r="K85" s="41">
        <v>0.09</v>
      </c>
      <c r="L85" s="41"/>
      <c r="M85" s="42">
        <v>0.22</v>
      </c>
      <c r="N85" s="42">
        <v>1.54</v>
      </c>
      <c r="O85" s="43">
        <v>2082.96</v>
      </c>
      <c r="P85" s="44">
        <v>8054.53</v>
      </c>
      <c r="Q85" s="44">
        <v>35641.760000000002</v>
      </c>
      <c r="R85" s="45">
        <v>0.04</v>
      </c>
      <c r="S85" s="46">
        <v>0</v>
      </c>
      <c r="T85" s="39">
        <f t="shared" si="38"/>
        <v>30</v>
      </c>
      <c r="U85" s="47">
        <f t="shared" si="39"/>
        <v>0.10788661836151538</v>
      </c>
      <c r="V85" s="48">
        <f t="shared" si="40"/>
        <v>1.32</v>
      </c>
      <c r="W85" s="49">
        <f t="shared" si="41"/>
        <v>3.5962206120505125E-3</v>
      </c>
      <c r="X85" s="44">
        <f t="shared" si="42"/>
        <v>1256.4282457335225</v>
      </c>
      <c r="Y85" s="44">
        <f t="shared" si="43"/>
        <v>27587.230000000003</v>
      </c>
      <c r="Z85" s="44">
        <f t="shared" si="44"/>
        <v>15655.836044760881</v>
      </c>
      <c r="AA85" s="50">
        <f t="shared" si="45"/>
        <v>36898.188245733523</v>
      </c>
      <c r="AB85" s="51">
        <f t="shared" si="46"/>
        <v>14635.725946303524</v>
      </c>
      <c r="AC85" s="44">
        <f t="shared" si="47"/>
        <v>34493.959283662261</v>
      </c>
      <c r="AD85" s="44">
        <f t="shared" si="48"/>
        <v>11522.499194081318</v>
      </c>
      <c r="AE85" s="44">
        <f t="shared" si="49"/>
        <v>0</v>
      </c>
      <c r="AF85" s="52">
        <f>HLOOKUP(I85,GasAvoidedCostsWOCC!$A$5:$G$50,G85+1,FALSE)</f>
        <v>18.94929753071774</v>
      </c>
      <c r="AG85" s="44">
        <f t="shared" si="50"/>
        <v>39470.628784583823</v>
      </c>
      <c r="AH85" s="52">
        <f>HLOOKUP(I85,GasAvoidedCostsWOCC!$A$5:$Q$50,T85+1,FALSE)</f>
        <v>18.94929753071774</v>
      </c>
      <c r="AI85" s="44">
        <f t="shared" si="51"/>
        <v>0</v>
      </c>
      <c r="AJ85" s="44">
        <f t="shared" si="52"/>
        <v>39470.628784583823</v>
      </c>
      <c r="AK85" s="44">
        <f>HLOOKUP(I85,GasAvoidedCostsWOCC!$A$5:$Q$50,G85+1,FALSE)*J85*L85</f>
        <v>0</v>
      </c>
      <c r="AL85" s="44">
        <f t="shared" si="53"/>
        <v>39470.628784583823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39470.628784583823</v>
      </c>
      <c r="AN85" s="48">
        <f t="shared" si="54"/>
        <v>54940.190857123525</v>
      </c>
      <c r="AO85" s="47">
        <f t="shared" si="55"/>
        <v>2.6968685345295587</v>
      </c>
      <c r="AP85" s="47">
        <f t="shared" si="56"/>
        <v>1.592748179625336</v>
      </c>
      <c r="AQ85">
        <v>2020</v>
      </c>
    </row>
    <row r="86" spans="2:43">
      <c r="B86" s="97"/>
      <c r="C86" s="61"/>
      <c r="D86" s="61"/>
      <c r="E86" s="38" t="s">
        <v>748</v>
      </c>
      <c r="F86" s="39" t="s">
        <v>749</v>
      </c>
      <c r="G86" s="39">
        <v>45</v>
      </c>
      <c r="H86" s="39"/>
      <c r="I86" s="40" t="s">
        <v>269</v>
      </c>
      <c r="J86" s="41">
        <v>118943</v>
      </c>
      <c r="K86" s="41">
        <v>0.09</v>
      </c>
      <c r="L86" s="41"/>
      <c r="M86" s="42">
        <v>0.75</v>
      </c>
      <c r="N86" s="42">
        <v>1.54</v>
      </c>
      <c r="O86" s="43">
        <v>10704.87</v>
      </c>
      <c r="P86" s="44">
        <v>46693.71</v>
      </c>
      <c r="Q86" s="44">
        <v>183172.22</v>
      </c>
      <c r="R86" s="45">
        <v>0</v>
      </c>
      <c r="S86" s="46">
        <v>0</v>
      </c>
      <c r="T86" s="39">
        <f t="shared" si="38"/>
        <v>45</v>
      </c>
      <c r="U86" s="47">
        <f t="shared" si="39"/>
        <v>0.83168583959819331</v>
      </c>
      <c r="V86" s="48">
        <f t="shared" si="40"/>
        <v>0.79</v>
      </c>
      <c r="W86" s="49">
        <f t="shared" si="41"/>
        <v>1.8481907546626517E-2</v>
      </c>
      <c r="X86" s="44">
        <f t="shared" si="42"/>
        <v>6457.1096107968533</v>
      </c>
      <c r="Y86" s="44">
        <f t="shared" si="43"/>
        <v>136478.51</v>
      </c>
      <c r="Z86" s="44">
        <f t="shared" si="44"/>
        <v>80459.389330798193</v>
      </c>
      <c r="AA86" s="50">
        <f t="shared" si="45"/>
        <v>189629.32961079685</v>
      </c>
      <c r="AB86" s="51">
        <f t="shared" si="46"/>
        <v>75216.779780123572</v>
      </c>
      <c r="AC86" s="44">
        <f t="shared" si="47"/>
        <v>177273.37534897338</v>
      </c>
      <c r="AD86" s="44">
        <f t="shared" si="48"/>
        <v>0</v>
      </c>
      <c r="AE86" s="44">
        <f t="shared" si="49"/>
        <v>0</v>
      </c>
      <c r="AF86" s="52">
        <f>HLOOKUP(I86,GasAvoidedCostsWOCC!$A$5:$G$50,G86+1,FALSE)</f>
        <v>27.444232870165703</v>
      </c>
      <c r="AG86" s="44">
        <f t="shared" si="50"/>
        <v>293786.94512485072</v>
      </c>
      <c r="AH86" s="52">
        <f>HLOOKUP(I86,GasAvoidedCostsWOCC!$A$5:$Q$50,T86+1,FALSE)</f>
        <v>27.444232870165703</v>
      </c>
      <c r="AI86" s="44">
        <f t="shared" si="51"/>
        <v>0</v>
      </c>
      <c r="AJ86" s="44">
        <f t="shared" si="52"/>
        <v>293786.94512485072</v>
      </c>
      <c r="AK86" s="44">
        <f>HLOOKUP(I86,GasAvoidedCostsWOCC!$A$5:$Q$50,G86+1,FALSE)*J86*L86</f>
        <v>0</v>
      </c>
      <c r="AL86" s="44">
        <f t="shared" si="53"/>
        <v>293786.94512485072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293786.94512485072</v>
      </c>
      <c r="AN86" s="48">
        <f t="shared" si="54"/>
        <v>323165.63963733584</v>
      </c>
      <c r="AO86" s="47">
        <f t="shared" si="55"/>
        <v>3.90586975384561</v>
      </c>
      <c r="AP86" s="47">
        <f t="shared" si="56"/>
        <v>1.8229789950192166</v>
      </c>
      <c r="AQ86">
        <v>2020</v>
      </c>
    </row>
    <row r="87" spans="2:43">
      <c r="B87" s="97"/>
      <c r="C87" s="61"/>
      <c r="D87" s="61"/>
      <c r="E87" s="38" t="s">
        <v>1873</v>
      </c>
      <c r="F87" s="39" t="s">
        <v>1874</v>
      </c>
      <c r="G87" s="39">
        <v>10</v>
      </c>
      <c r="H87" s="39"/>
      <c r="I87" s="40" t="s">
        <v>265</v>
      </c>
      <c r="J87" s="41">
        <v>750</v>
      </c>
      <c r="K87" s="41">
        <v>0.6</v>
      </c>
      <c r="L87" s="41"/>
      <c r="M87" s="42">
        <v>0.54</v>
      </c>
      <c r="N87" s="42">
        <v>0.54</v>
      </c>
      <c r="O87" s="43">
        <v>449.99999999999699</v>
      </c>
      <c r="P87" s="44">
        <v>112.49999999999901</v>
      </c>
      <c r="Q87" s="44">
        <v>404.99999999999898</v>
      </c>
      <c r="R87" s="45"/>
      <c r="S87" s="46">
        <v>0</v>
      </c>
      <c r="T87" s="39">
        <f t="shared" si="38"/>
        <v>10</v>
      </c>
      <c r="U87" s="47">
        <f t="shared" si="39"/>
        <v>7.7692287678242482E-3</v>
      </c>
      <c r="V87" s="48">
        <f t="shared" si="40"/>
        <v>0</v>
      </c>
      <c r="W87" s="49">
        <f t="shared" si="41"/>
        <v>7.7692287678242486E-4</v>
      </c>
      <c r="X87" s="44">
        <f t="shared" si="42"/>
        <v>271.43714261439555</v>
      </c>
      <c r="Y87" s="44">
        <f t="shared" si="43"/>
        <v>292.5</v>
      </c>
      <c r="Z87" s="44">
        <f t="shared" si="44"/>
        <v>3382.266687858792</v>
      </c>
      <c r="AA87" s="50">
        <f t="shared" si="45"/>
        <v>676.43714261439459</v>
      </c>
      <c r="AB87" s="51">
        <f t="shared" si="46"/>
        <v>3161.8834139093128</v>
      </c>
      <c r="AC87" s="44">
        <f t="shared" si="47"/>
        <v>632.36154306290973</v>
      </c>
      <c r="AD87" s="44">
        <f t="shared" si="48"/>
        <v>0</v>
      </c>
      <c r="AE87" s="44">
        <f t="shared" si="49"/>
        <v>0</v>
      </c>
      <c r="AF87" s="52">
        <f>HLOOKUP(I87,GasAvoidedCostsWOCC!$A$5:$G$50,G87+1,FALSE)</f>
        <v>7.1400454873872068</v>
      </c>
      <c r="AG87" s="44">
        <f t="shared" si="50"/>
        <v>3213.0204693242426</v>
      </c>
      <c r="AH87" s="52">
        <f>HLOOKUP(I87,GasAvoidedCostsWOCC!$A$5:$Q$50,T87+1,FALSE)</f>
        <v>7.1400454873872068</v>
      </c>
      <c r="AI87" s="44">
        <f t="shared" si="51"/>
        <v>0</v>
      </c>
      <c r="AJ87" s="44">
        <f t="shared" si="52"/>
        <v>3213.0204693242426</v>
      </c>
      <c r="AK87" s="44">
        <f>HLOOKUP(I87,GasAvoidedCostsWOCC!$A$5:$Q$50,G87+1,FALSE)*J87*L87</f>
        <v>0</v>
      </c>
      <c r="AL87" s="44">
        <f t="shared" si="53"/>
        <v>3213.0204693242426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3213.0204693242426</v>
      </c>
      <c r="AN87" s="48">
        <f t="shared" si="54"/>
        <v>3534.3225162566673</v>
      </c>
      <c r="AO87" s="47">
        <f t="shared" si="55"/>
        <v>1.0161729731051989</v>
      </c>
      <c r="AP87" s="47">
        <f t="shared" si="56"/>
        <v>5.5890851602673433</v>
      </c>
      <c r="AQ87">
        <v>2020</v>
      </c>
    </row>
    <row r="88" spans="2:43">
      <c r="B88" s="97"/>
      <c r="C88" s="61"/>
      <c r="D88" s="61"/>
      <c r="E88" s="38" t="s">
        <v>1877</v>
      </c>
      <c r="F88" s="39" t="s">
        <v>1878</v>
      </c>
      <c r="G88" s="39">
        <v>10</v>
      </c>
      <c r="H88" s="39"/>
      <c r="I88" s="40" t="s">
        <v>265</v>
      </c>
      <c r="J88" s="41">
        <v>632</v>
      </c>
      <c r="K88" s="41">
        <v>0.8</v>
      </c>
      <c r="L88" s="41"/>
      <c r="M88" s="42">
        <v>1.81</v>
      </c>
      <c r="N88" s="42">
        <v>1.81</v>
      </c>
      <c r="O88" s="43">
        <v>505.60000000000298</v>
      </c>
      <c r="P88" s="44">
        <v>632</v>
      </c>
      <c r="Q88" s="44">
        <v>1143.92</v>
      </c>
      <c r="R88" s="45">
        <v>2.74</v>
      </c>
      <c r="S88" s="46">
        <v>0</v>
      </c>
      <c r="T88" s="39">
        <f t="shared" si="38"/>
        <v>10</v>
      </c>
      <c r="U88" s="47">
        <f t="shared" si="39"/>
        <v>8.7291601444710876E-3</v>
      </c>
      <c r="V88" s="48">
        <f t="shared" si="40"/>
        <v>0</v>
      </c>
      <c r="W88" s="49">
        <f t="shared" si="41"/>
        <v>8.7291601444710882E-4</v>
      </c>
      <c r="X88" s="44">
        <f t="shared" si="42"/>
        <v>304.97470956853363</v>
      </c>
      <c r="Y88" s="44">
        <f t="shared" si="43"/>
        <v>511.92000000000007</v>
      </c>
      <c r="Z88" s="44">
        <f t="shared" si="44"/>
        <v>3800.1645275142819</v>
      </c>
      <c r="AA88" s="50">
        <f t="shared" si="45"/>
        <v>1448.8947095685337</v>
      </c>
      <c r="AB88" s="51">
        <f t="shared" si="46"/>
        <v>3552.5516757168193</v>
      </c>
      <c r="AC88" s="44">
        <f t="shared" si="47"/>
        <v>1354.4869679055189</v>
      </c>
      <c r="AD88" s="44">
        <f t="shared" si="48"/>
        <v>12179.480078251067</v>
      </c>
      <c r="AE88" s="44">
        <f t="shared" si="49"/>
        <v>0</v>
      </c>
      <c r="AF88" s="52">
        <f>HLOOKUP(I88,GasAvoidedCostsWOCC!$A$5:$G$50,G88+1,FALSE)</f>
        <v>7.1400454873872068</v>
      </c>
      <c r="AG88" s="44">
        <f t="shared" si="50"/>
        <v>3610.0069984229722</v>
      </c>
      <c r="AH88" s="52">
        <f>HLOOKUP(I88,GasAvoidedCostsWOCC!$A$5:$Q$50,T88+1,FALSE)</f>
        <v>7.1400454873872068</v>
      </c>
      <c r="AI88" s="44">
        <f t="shared" si="51"/>
        <v>0</v>
      </c>
      <c r="AJ88" s="44">
        <f t="shared" si="52"/>
        <v>3610.0069984229722</v>
      </c>
      <c r="AK88" s="44">
        <f>HLOOKUP(I88,GasAvoidedCostsWOCC!$A$5:$Q$50,G88+1,FALSE)*J88*L88</f>
        <v>0</v>
      </c>
      <c r="AL88" s="44">
        <f t="shared" si="53"/>
        <v>3610.0069984229722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3610.0069984229722</v>
      </c>
      <c r="AN88" s="48">
        <f t="shared" si="54"/>
        <v>16150.487776516336</v>
      </c>
      <c r="AO88" s="47">
        <f t="shared" si="55"/>
        <v>1.0161729731051863</v>
      </c>
      <c r="AP88" s="47">
        <f t="shared" si="56"/>
        <v>11.923693737334577</v>
      </c>
      <c r="AQ88">
        <v>2020</v>
      </c>
    </row>
    <row r="89" spans="2:43">
      <c r="B89" s="97"/>
      <c r="C89" s="61"/>
      <c r="D89" s="61"/>
      <c r="E89" s="38" t="s">
        <v>1879</v>
      </c>
      <c r="F89" s="39" t="s">
        <v>1880</v>
      </c>
      <c r="G89" s="39">
        <v>10</v>
      </c>
      <c r="H89" s="39"/>
      <c r="I89" s="40" t="s">
        <v>265</v>
      </c>
      <c r="J89" s="41">
        <v>316</v>
      </c>
      <c r="K89" s="41">
        <v>1.3</v>
      </c>
      <c r="L89" s="41"/>
      <c r="M89" s="42">
        <v>1.81</v>
      </c>
      <c r="N89" s="42">
        <v>1.81</v>
      </c>
      <c r="O89" s="43">
        <v>410.800000000002</v>
      </c>
      <c r="P89" s="44">
        <v>632</v>
      </c>
      <c r="Q89" s="44">
        <v>571.95999999999901</v>
      </c>
      <c r="R89" s="45">
        <v>3.8</v>
      </c>
      <c r="S89" s="46">
        <v>0</v>
      </c>
      <c r="T89" s="39">
        <f t="shared" si="38"/>
        <v>10</v>
      </c>
      <c r="U89" s="47">
        <f t="shared" si="39"/>
        <v>7.0924426173827517E-3</v>
      </c>
      <c r="V89" s="48">
        <f t="shared" si="40"/>
        <v>0</v>
      </c>
      <c r="W89" s="49">
        <f t="shared" si="41"/>
        <v>7.0924426173827519E-4</v>
      </c>
      <c r="X89" s="44">
        <f t="shared" si="42"/>
        <v>247.7919515244333</v>
      </c>
      <c r="Y89" s="44">
        <f t="shared" si="43"/>
        <v>-60.040000000000987</v>
      </c>
      <c r="Z89" s="44">
        <f t="shared" si="44"/>
        <v>3087.6336786053507</v>
      </c>
      <c r="AA89" s="50">
        <f t="shared" si="45"/>
        <v>819.75195152443234</v>
      </c>
      <c r="AB89" s="51">
        <f t="shared" si="46"/>
        <v>2886.4482365199124</v>
      </c>
      <c r="AC89" s="44">
        <f t="shared" si="47"/>
        <v>766.33818035377419</v>
      </c>
      <c r="AD89" s="44">
        <f t="shared" si="48"/>
        <v>8445.6248717799353</v>
      </c>
      <c r="AE89" s="44">
        <f t="shared" si="49"/>
        <v>0</v>
      </c>
      <c r="AF89" s="52">
        <f>HLOOKUP(I89,GasAvoidedCostsWOCC!$A$5:$G$50,G89+1,FALSE)</f>
        <v>7.1400454873872068</v>
      </c>
      <c r="AG89" s="44">
        <f t="shared" si="50"/>
        <v>2933.1306862186648</v>
      </c>
      <c r="AH89" s="52">
        <f>HLOOKUP(I89,GasAvoidedCostsWOCC!$A$5:$Q$50,T89+1,FALSE)</f>
        <v>7.1400454873872068</v>
      </c>
      <c r="AI89" s="44">
        <f t="shared" si="51"/>
        <v>0</v>
      </c>
      <c r="AJ89" s="44">
        <f t="shared" si="52"/>
        <v>2933.1306862186648</v>
      </c>
      <c r="AK89" s="44">
        <f>HLOOKUP(I89,GasAvoidedCostsWOCC!$A$5:$Q$50,G89+1,FALSE)*J89*L89</f>
        <v>0</v>
      </c>
      <c r="AL89" s="44">
        <f t="shared" si="53"/>
        <v>2933.1306862186648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2933.1306862186643</v>
      </c>
      <c r="AN89" s="48">
        <f t="shared" si="54"/>
        <v>11672.068626620467</v>
      </c>
      <c r="AO89" s="47">
        <f t="shared" si="55"/>
        <v>1.0161729731051874</v>
      </c>
      <c r="AP89" s="47">
        <f t="shared" si="56"/>
        <v>15.230963203780536</v>
      </c>
      <c r="AQ89">
        <v>2020</v>
      </c>
    </row>
    <row r="90" spans="2:43">
      <c r="B90" s="97"/>
      <c r="C90" s="61"/>
      <c r="D90" s="61"/>
      <c r="E90" s="38" t="s">
        <v>1881</v>
      </c>
      <c r="F90" s="39" t="s">
        <v>1882</v>
      </c>
      <c r="G90" s="39">
        <v>10</v>
      </c>
      <c r="H90" s="39"/>
      <c r="I90" s="40" t="s">
        <v>265</v>
      </c>
      <c r="J90" s="41">
        <v>316</v>
      </c>
      <c r="K90" s="41">
        <v>4.9000000000000004</v>
      </c>
      <c r="L90" s="41"/>
      <c r="M90" s="42">
        <v>10</v>
      </c>
      <c r="N90" s="42">
        <v>10</v>
      </c>
      <c r="O90" s="43">
        <v>1548.4000000000101</v>
      </c>
      <c r="P90" s="44">
        <v>2679.68</v>
      </c>
      <c r="Q90" s="44">
        <v>3160</v>
      </c>
      <c r="R90" s="45">
        <v>14.31</v>
      </c>
      <c r="S90" s="46">
        <v>0</v>
      </c>
      <c r="T90" s="39">
        <f t="shared" si="38"/>
        <v>10</v>
      </c>
      <c r="U90" s="47">
        <f t="shared" si="39"/>
        <v>2.6733052942442725E-2</v>
      </c>
      <c r="V90" s="48">
        <f t="shared" si="40"/>
        <v>0</v>
      </c>
      <c r="W90" s="49">
        <f t="shared" si="41"/>
        <v>2.6733052942442726E-3</v>
      </c>
      <c r="X90" s="44">
        <f t="shared" si="42"/>
        <v>933.98504805363484</v>
      </c>
      <c r="Y90" s="44">
        <f t="shared" si="43"/>
        <v>480.32000000000016</v>
      </c>
      <c r="Z90" s="44">
        <f t="shared" si="44"/>
        <v>11638.003865512495</v>
      </c>
      <c r="AA90" s="50">
        <f t="shared" si="45"/>
        <v>4093.9850480536347</v>
      </c>
      <c r="AB90" s="51">
        <f t="shared" si="46"/>
        <v>10879.689506882765</v>
      </c>
      <c r="AC90" s="44">
        <f t="shared" si="47"/>
        <v>3827.2273049019673</v>
      </c>
      <c r="AD90" s="44">
        <f t="shared" si="48"/>
        <v>31804.445240834444</v>
      </c>
      <c r="AE90" s="44">
        <f t="shared" si="49"/>
        <v>0</v>
      </c>
      <c r="AF90" s="52">
        <f>HLOOKUP(I90,GasAvoidedCostsWOCC!$A$5:$G$50,G90+1,FALSE)</f>
        <v>7.1400454873872068</v>
      </c>
      <c r="AG90" s="44">
        <f t="shared" si="50"/>
        <v>11055.646432670352</v>
      </c>
      <c r="AH90" s="52">
        <f>HLOOKUP(I90,GasAvoidedCostsWOCC!$A$5:$Q$50,T90+1,FALSE)</f>
        <v>7.1400454873872068</v>
      </c>
      <c r="AI90" s="44">
        <f t="shared" si="51"/>
        <v>0</v>
      </c>
      <c r="AJ90" s="44">
        <f t="shared" si="52"/>
        <v>11055.646432670352</v>
      </c>
      <c r="AK90" s="44">
        <f>HLOOKUP(I90,GasAvoidedCostsWOCC!$A$5:$Q$50,G90+1,FALSE)*J90*L90</f>
        <v>0</v>
      </c>
      <c r="AL90" s="44">
        <f t="shared" si="53"/>
        <v>11055.646432670352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11055.646432670352</v>
      </c>
      <c r="AN90" s="48">
        <f t="shared" si="54"/>
        <v>43965.656316771834</v>
      </c>
      <c r="AO90" s="47">
        <f t="shared" si="55"/>
        <v>1.0161729731051858</v>
      </c>
      <c r="AP90" s="47">
        <f t="shared" si="56"/>
        <v>11.487599981443484</v>
      </c>
      <c r="AQ90">
        <v>2020</v>
      </c>
    </row>
    <row r="91" spans="2:43">
      <c r="B91" s="97"/>
      <c r="C91" s="61"/>
      <c r="D91" s="61"/>
      <c r="E91" s="38" t="s">
        <v>2002</v>
      </c>
      <c r="F91" s="39" t="s">
        <v>2003</v>
      </c>
      <c r="G91" s="39">
        <v>25</v>
      </c>
      <c r="H91" s="39"/>
      <c r="I91" s="40" t="s">
        <v>269</v>
      </c>
      <c r="J91" s="41">
        <v>1000</v>
      </c>
      <c r="K91" s="41">
        <v>0.03</v>
      </c>
      <c r="L91" s="41"/>
      <c r="M91" s="42">
        <v>0.86</v>
      </c>
      <c r="N91" s="42">
        <v>0.86</v>
      </c>
      <c r="O91" s="43">
        <v>25.5</v>
      </c>
      <c r="P91" s="44">
        <v>1200</v>
      </c>
      <c r="Q91" s="44">
        <v>860</v>
      </c>
      <c r="R91" s="45">
        <v>0</v>
      </c>
      <c r="S91" s="46">
        <v>0</v>
      </c>
      <c r="T91" s="39">
        <f t="shared" si="38"/>
        <v>25</v>
      </c>
      <c r="U91" s="47">
        <f t="shared" si="39"/>
        <v>1.1006407421084426E-3</v>
      </c>
      <c r="V91" s="48">
        <f t="shared" si="40"/>
        <v>0</v>
      </c>
      <c r="W91" s="49">
        <f t="shared" si="41"/>
        <v>4.4025629684337705E-5</v>
      </c>
      <c r="X91" s="44">
        <f t="shared" si="42"/>
        <v>15.381438081482518</v>
      </c>
      <c r="Y91" s="44">
        <f t="shared" si="43"/>
        <v>-340</v>
      </c>
      <c r="Z91" s="44">
        <f t="shared" si="44"/>
        <v>191.66177897866615</v>
      </c>
      <c r="AA91" s="50">
        <f t="shared" si="45"/>
        <v>875.38143808148254</v>
      </c>
      <c r="AB91" s="51">
        <f t="shared" si="46"/>
        <v>179.17339345486224</v>
      </c>
      <c r="AC91" s="44">
        <f t="shared" si="47"/>
        <v>818.34293547862251</v>
      </c>
      <c r="AD91" s="44">
        <f t="shared" si="48"/>
        <v>0</v>
      </c>
      <c r="AE91" s="44">
        <f t="shared" si="49"/>
        <v>0</v>
      </c>
      <c r="AF91" s="52">
        <f>HLOOKUP(I91,GasAvoidedCostsWOCC!$A$5:$G$50,G91+1,FALSE)</f>
        <v>16.472554524074432</v>
      </c>
      <c r="AG91" s="44">
        <f t="shared" si="50"/>
        <v>494.17663572223296</v>
      </c>
      <c r="AH91" s="52">
        <f>HLOOKUP(I91,GasAvoidedCostsWOCC!$A$5:$Q$50,T91+1,FALSE)</f>
        <v>16.472554524074432</v>
      </c>
      <c r="AI91" s="44">
        <f t="shared" si="51"/>
        <v>0</v>
      </c>
      <c r="AJ91" s="44">
        <f t="shared" si="52"/>
        <v>494.17663572223296</v>
      </c>
      <c r="AK91" s="44">
        <f>HLOOKUP(I91,GasAvoidedCostsWOCC!$A$5:$Q$50,G91+1,FALSE)*J91*L91</f>
        <v>0</v>
      </c>
      <c r="AL91" s="44">
        <f t="shared" si="53"/>
        <v>494.17663572223296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494.17663572223296</v>
      </c>
      <c r="AN91" s="48">
        <f t="shared" si="54"/>
        <v>543.59429929445628</v>
      </c>
      <c r="AO91" s="47">
        <f t="shared" si="55"/>
        <v>2.7580916239482121</v>
      </c>
      <c r="AP91" s="47">
        <f t="shared" si="56"/>
        <v>0.66426222519599976</v>
      </c>
      <c r="AQ91">
        <v>2020</v>
      </c>
    </row>
    <row r="92" spans="2:43">
      <c r="B92" s="97"/>
      <c r="C92" s="61"/>
      <c r="D92" s="61"/>
      <c r="E92" s="38" t="s">
        <v>2006</v>
      </c>
      <c r="F92" s="39" t="s">
        <v>766</v>
      </c>
      <c r="G92" s="39">
        <v>25</v>
      </c>
      <c r="H92" s="39"/>
      <c r="I92" s="40" t="s">
        <v>269</v>
      </c>
      <c r="J92" s="41">
        <v>170</v>
      </c>
      <c r="K92" s="41">
        <v>0.16</v>
      </c>
      <c r="L92" s="41"/>
      <c r="M92" s="42">
        <v>200</v>
      </c>
      <c r="N92" s="42">
        <v>17.809999999999999</v>
      </c>
      <c r="O92" s="43">
        <v>27.22</v>
      </c>
      <c r="P92" s="44">
        <v>1600</v>
      </c>
      <c r="Q92" s="44">
        <v>3027.7</v>
      </c>
      <c r="R92" s="45">
        <v>0.03</v>
      </c>
      <c r="S92" s="46">
        <v>0</v>
      </c>
      <c r="T92" s="39">
        <f t="shared" si="38"/>
        <v>25</v>
      </c>
      <c r="U92" s="47">
        <f t="shared" si="39"/>
        <v>1.1748800392232081E-3</v>
      </c>
      <c r="V92" s="48">
        <f t="shared" si="40"/>
        <v>-182.19</v>
      </c>
      <c r="W92" s="49">
        <f t="shared" si="41"/>
        <v>4.6995201568928324E-5</v>
      </c>
      <c r="X92" s="44">
        <f t="shared" si="42"/>
        <v>16.418931159919769</v>
      </c>
      <c r="Y92" s="44">
        <f t="shared" si="43"/>
        <v>1427.6999999999998</v>
      </c>
      <c r="Z92" s="44">
        <f t="shared" si="44"/>
        <v>204.58955387448205</v>
      </c>
      <c r="AA92" s="50">
        <f t="shared" si="45"/>
        <v>3044.1189311599196</v>
      </c>
      <c r="AB92" s="51">
        <f t="shared" si="46"/>
        <v>191.25881450358233</v>
      </c>
      <c r="AC92" s="44">
        <f t="shared" si="47"/>
        <v>2845.7688428156675</v>
      </c>
      <c r="AD92" s="44">
        <f t="shared" si="48"/>
        <v>59.594241743821946</v>
      </c>
      <c r="AE92" s="44">
        <f t="shared" si="49"/>
        <v>0</v>
      </c>
      <c r="AF92" s="52">
        <f>HLOOKUP(I92,GasAvoidedCostsWOCC!$A$5:$G$50,G92+1,FALSE)</f>
        <v>16.472554524074432</v>
      </c>
      <c r="AG92" s="44">
        <f t="shared" si="50"/>
        <v>448.05348305482454</v>
      </c>
      <c r="AH92" s="52">
        <f>HLOOKUP(I92,GasAvoidedCostsWOCC!$A$5:$Q$50,T92+1,FALSE)</f>
        <v>16.472554524074432</v>
      </c>
      <c r="AI92" s="44">
        <f t="shared" si="51"/>
        <v>0</v>
      </c>
      <c r="AJ92" s="44">
        <f t="shared" si="52"/>
        <v>448.05348305482454</v>
      </c>
      <c r="AK92" s="44">
        <f>HLOOKUP(I92,GasAvoidedCostsWOCC!$A$5:$Q$50,G92+1,FALSE)*J92*L92</f>
        <v>0</v>
      </c>
      <c r="AL92" s="44">
        <f t="shared" si="53"/>
        <v>448.05348305482454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448.05348305482454</v>
      </c>
      <c r="AN92" s="48">
        <f t="shared" si="54"/>
        <v>552.45307310412898</v>
      </c>
      <c r="AO92" s="47">
        <f t="shared" si="55"/>
        <v>2.3426553396650505</v>
      </c>
      <c r="AP92" s="47">
        <f t="shared" si="56"/>
        <v>0.19413139422719924</v>
      </c>
      <c r="AQ92">
        <v>2020</v>
      </c>
    </row>
    <row r="93" spans="2:43">
      <c r="B93" s="97"/>
      <c r="C93" s="61"/>
      <c r="D93" s="61"/>
      <c r="E93" s="38" t="s">
        <v>765</v>
      </c>
      <c r="F93" s="39" t="s">
        <v>766</v>
      </c>
      <c r="G93" s="39">
        <v>25</v>
      </c>
      <c r="H93" s="39"/>
      <c r="I93" s="40" t="s">
        <v>269</v>
      </c>
      <c r="J93" s="41">
        <v>249.88</v>
      </c>
      <c r="K93" s="41">
        <v>0.16</v>
      </c>
      <c r="L93" s="41"/>
      <c r="M93" s="42">
        <v>200</v>
      </c>
      <c r="N93" s="42">
        <v>17.809999999999999</v>
      </c>
      <c r="O93" s="43">
        <v>40.01</v>
      </c>
      <c r="P93" s="44">
        <v>3000</v>
      </c>
      <c r="Q93" s="44">
        <v>4450.3599999999997</v>
      </c>
      <c r="R93" s="45">
        <v>0</v>
      </c>
      <c r="S93" s="46">
        <v>0</v>
      </c>
      <c r="T93" s="39">
        <f t="shared" si="38"/>
        <v>25</v>
      </c>
      <c r="U93" s="47">
        <f t="shared" si="39"/>
        <v>1.726926905559168E-3</v>
      </c>
      <c r="V93" s="48">
        <f t="shared" si="40"/>
        <v>-182.19</v>
      </c>
      <c r="W93" s="49">
        <f t="shared" si="41"/>
        <v>6.9077076222366719E-5</v>
      </c>
      <c r="X93" s="44">
        <f t="shared" si="42"/>
        <v>24.133777946671195</v>
      </c>
      <c r="Y93" s="44">
        <f t="shared" si="43"/>
        <v>1450.3599999999997</v>
      </c>
      <c r="Z93" s="44">
        <f t="shared" si="44"/>
        <v>300.72108929162482</v>
      </c>
      <c r="AA93" s="50">
        <f t="shared" si="45"/>
        <v>4474.4937779466709</v>
      </c>
      <c r="AB93" s="51">
        <f t="shared" si="46"/>
        <v>281.12656753447209</v>
      </c>
      <c r="AC93" s="44">
        <f t="shared" si="47"/>
        <v>4182.9426735969619</v>
      </c>
      <c r="AD93" s="44">
        <f t="shared" si="48"/>
        <v>0</v>
      </c>
      <c r="AE93" s="44">
        <f t="shared" si="49"/>
        <v>0</v>
      </c>
      <c r="AF93" s="52">
        <f>HLOOKUP(I93,GasAvoidedCostsWOCC!$A$5:$G$50,G93+1,FALSE)</f>
        <v>16.472554524074432</v>
      </c>
      <c r="AG93" s="44">
        <f t="shared" si="50"/>
        <v>658.58590791611516</v>
      </c>
      <c r="AH93" s="52">
        <f>HLOOKUP(I93,GasAvoidedCostsWOCC!$A$5:$Q$50,T93+1,FALSE)</f>
        <v>16.472554524074432</v>
      </c>
      <c r="AI93" s="44">
        <f t="shared" si="51"/>
        <v>0</v>
      </c>
      <c r="AJ93" s="44">
        <f t="shared" si="52"/>
        <v>658.58590791611516</v>
      </c>
      <c r="AK93" s="44">
        <f>HLOOKUP(I93,GasAvoidedCostsWOCC!$A$5:$Q$50,G93+1,FALSE)*J93*L93</f>
        <v>0</v>
      </c>
      <c r="AL93" s="44">
        <f t="shared" si="53"/>
        <v>658.58590791611516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658.58590791611505</v>
      </c>
      <c r="AN93" s="48">
        <f t="shared" si="54"/>
        <v>724.44449870772667</v>
      </c>
      <c r="AO93" s="47">
        <f t="shared" si="55"/>
        <v>2.3426669122453481</v>
      </c>
      <c r="AP93" s="47">
        <f t="shared" si="56"/>
        <v>0.17319015708258997</v>
      </c>
      <c r="AQ93">
        <v>2020</v>
      </c>
    </row>
    <row r="94" spans="2:43">
      <c r="B94" s="97"/>
      <c r="C94" s="61"/>
      <c r="D94" s="61"/>
      <c r="E94" s="38" t="s">
        <v>771</v>
      </c>
      <c r="F94" s="39" t="s">
        <v>772</v>
      </c>
      <c r="G94" s="39"/>
      <c r="H94" s="39"/>
      <c r="I94" s="40" t="s">
        <v>269</v>
      </c>
      <c r="J94" s="41">
        <v>445</v>
      </c>
      <c r="K94" s="41">
        <v>0</v>
      </c>
      <c r="L94" s="41"/>
      <c r="M94" s="42">
        <v>250</v>
      </c>
      <c r="N94" s="42">
        <v>0</v>
      </c>
      <c r="O94" s="43">
        <v>0</v>
      </c>
      <c r="P94" s="44">
        <v>111250</v>
      </c>
      <c r="Q94" s="44">
        <v>0</v>
      </c>
      <c r="R94" s="45">
        <v>0</v>
      </c>
      <c r="S94" s="46">
        <v>0</v>
      </c>
      <c r="T94" s="39">
        <f t="shared" si="38"/>
        <v>0</v>
      </c>
      <c r="U94" s="47">
        <f t="shared" si="39"/>
        <v>0</v>
      </c>
      <c r="V94" s="48">
        <f t="shared" si="40"/>
        <v>-250</v>
      </c>
      <c r="W94" s="49">
        <f t="shared" si="41"/>
        <v>0</v>
      </c>
      <c r="X94" s="44">
        <f t="shared" si="42"/>
        <v>0</v>
      </c>
      <c r="Y94" s="44">
        <f t="shared" si="43"/>
        <v>-111250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str">
        <f>HLOOKUP(I94,GasAvoidedCostsWOCC!$A$5:$G$50,G94+1,FALSE)</f>
        <v>SF Space Heat</v>
      </c>
      <c r="AG94" s="44" t="e">
        <f t="shared" si="50"/>
        <v>#VALUE!</v>
      </c>
      <c r="AH94" s="52" t="str">
        <f>HLOOKUP(I94,GasAvoidedCostsWOCC!$A$5:$Q$50,T94+1,FALSE)</f>
        <v>SF Space Heat</v>
      </c>
      <c r="AI94" s="44" t="e">
        <f t="shared" si="51"/>
        <v>#VALUE!</v>
      </c>
      <c r="AJ94" s="44" t="e">
        <f t="shared" si="52"/>
        <v>#VALUE!</v>
      </c>
      <c r="AK94" s="44" t="e">
        <f>HLOOKUP(I94,GasAvoidedCostsWOCC!$A$5:$Q$50,G94+1,FALSE)*J94*L94</f>
        <v>#VALUE!</v>
      </c>
      <c r="AL94" s="44" t="e">
        <f t="shared" si="53"/>
        <v>#VALUE!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2020</v>
      </c>
    </row>
    <row r="95" spans="2:43">
      <c r="B95" s="97"/>
      <c r="C95" s="61"/>
      <c r="D95" s="61"/>
      <c r="E95" s="38" t="s">
        <v>777</v>
      </c>
      <c r="F95" s="39" t="s">
        <v>778</v>
      </c>
      <c r="G95" s="39"/>
      <c r="H95" s="39"/>
      <c r="I95" s="40" t="s">
        <v>269</v>
      </c>
      <c r="J95" s="41">
        <v>104</v>
      </c>
      <c r="K95" s="41">
        <v>0</v>
      </c>
      <c r="L95" s="41"/>
      <c r="M95" s="42">
        <v>400</v>
      </c>
      <c r="N95" s="42">
        <v>0</v>
      </c>
      <c r="O95" s="43">
        <v>0</v>
      </c>
      <c r="P95" s="44">
        <v>41600</v>
      </c>
      <c r="Q95" s="44">
        <v>0</v>
      </c>
      <c r="R95" s="45">
        <v>0</v>
      </c>
      <c r="S95" s="46">
        <v>0</v>
      </c>
      <c r="T95" s="39">
        <f t="shared" si="38"/>
        <v>0</v>
      </c>
      <c r="U95" s="47">
        <f t="shared" si="39"/>
        <v>0</v>
      </c>
      <c r="V95" s="48">
        <f t="shared" si="40"/>
        <v>-400</v>
      </c>
      <c r="W95" s="49">
        <f t="shared" si="41"/>
        <v>0</v>
      </c>
      <c r="X95" s="44">
        <f t="shared" si="42"/>
        <v>0</v>
      </c>
      <c r="Y95" s="44">
        <f t="shared" si="43"/>
        <v>-41600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str">
        <f>HLOOKUP(I95,GasAvoidedCostsWOCC!$A$5:$G$50,G95+1,FALSE)</f>
        <v>SF Space Heat</v>
      </c>
      <c r="AG95" s="44" t="e">
        <f t="shared" si="50"/>
        <v>#VALUE!</v>
      </c>
      <c r="AH95" s="52" t="str">
        <f>HLOOKUP(I95,GasAvoidedCostsWOCC!$A$5:$Q$50,T95+1,FALSE)</f>
        <v>SF Space Heat</v>
      </c>
      <c r="AI95" s="44" t="e">
        <f t="shared" si="51"/>
        <v>#VALUE!</v>
      </c>
      <c r="AJ95" s="44" t="e">
        <f t="shared" si="52"/>
        <v>#VALUE!</v>
      </c>
      <c r="AK95" s="44" t="e">
        <f>HLOOKUP(I95,GasAvoidedCostsWOCC!$A$5:$Q$50,G95+1,FALSE)*J95*L95</f>
        <v>#VALUE!</v>
      </c>
      <c r="AL95" s="44" t="e">
        <f t="shared" si="53"/>
        <v>#VALUE!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  <c r="AQ95">
        <v>2020</v>
      </c>
    </row>
    <row r="96" spans="2:43">
      <c r="B96" s="97"/>
      <c r="C96" s="61"/>
      <c r="D96" s="61"/>
      <c r="E96" s="38" t="s">
        <v>782</v>
      </c>
      <c r="F96" s="39" t="s">
        <v>783</v>
      </c>
      <c r="G96" s="39">
        <v>45</v>
      </c>
      <c r="H96" s="39"/>
      <c r="I96" s="40" t="s">
        <v>269</v>
      </c>
      <c r="J96" s="41">
        <v>1120</v>
      </c>
      <c r="K96" s="41">
        <v>0.1</v>
      </c>
      <c r="L96" s="41"/>
      <c r="M96" s="42">
        <v>1</v>
      </c>
      <c r="N96" s="42">
        <v>1.24</v>
      </c>
      <c r="O96" s="43">
        <v>112</v>
      </c>
      <c r="P96" s="44">
        <v>1200</v>
      </c>
      <c r="Q96" s="44">
        <v>1388.8</v>
      </c>
      <c r="R96" s="45">
        <v>0</v>
      </c>
      <c r="S96" s="46">
        <v>0</v>
      </c>
      <c r="T96" s="39">
        <f t="shared" si="38"/>
        <v>45</v>
      </c>
      <c r="U96" s="47">
        <f t="shared" si="39"/>
        <v>8.7015362199632171E-3</v>
      </c>
      <c r="V96" s="48">
        <f t="shared" si="40"/>
        <v>0.24</v>
      </c>
      <c r="W96" s="49">
        <f t="shared" si="41"/>
        <v>1.9336747155473816E-4</v>
      </c>
      <c r="X96" s="44">
        <f t="shared" si="42"/>
        <v>67.557688828472237</v>
      </c>
      <c r="Y96" s="44">
        <f t="shared" si="43"/>
        <v>188.79999999999995</v>
      </c>
      <c r="Z96" s="44">
        <f t="shared" si="44"/>
        <v>841.80859786708277</v>
      </c>
      <c r="AA96" s="50">
        <f t="shared" si="45"/>
        <v>1456.3576888284722</v>
      </c>
      <c r="AB96" s="51">
        <f t="shared" si="46"/>
        <v>786.95764968410083</v>
      </c>
      <c r="AC96" s="44">
        <f t="shared" si="47"/>
        <v>1361.4636709623933</v>
      </c>
      <c r="AD96" s="44">
        <f t="shared" si="48"/>
        <v>0</v>
      </c>
      <c r="AE96" s="44">
        <f t="shared" si="49"/>
        <v>0</v>
      </c>
      <c r="AF96" s="52">
        <f>HLOOKUP(I96,GasAvoidedCostsWOCC!$A$5:$G$50,G96+1,FALSE)</f>
        <v>27.444232870165703</v>
      </c>
      <c r="AG96" s="44">
        <f t="shared" si="50"/>
        <v>3073.7540814585591</v>
      </c>
      <c r="AH96" s="52">
        <f>HLOOKUP(I96,GasAvoidedCostsWOCC!$A$5:$Q$50,T96+1,FALSE)</f>
        <v>27.444232870165703</v>
      </c>
      <c r="AI96" s="44">
        <f t="shared" si="51"/>
        <v>0</v>
      </c>
      <c r="AJ96" s="44">
        <f t="shared" si="52"/>
        <v>3073.7540814585591</v>
      </c>
      <c r="AK96" s="44">
        <f>HLOOKUP(I96,GasAvoidedCostsWOCC!$A$5:$Q$50,G96+1,FALSE)*J96*L96</f>
        <v>0</v>
      </c>
      <c r="AL96" s="44">
        <f t="shared" si="53"/>
        <v>3073.7540814585591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3073.7540814585586</v>
      </c>
      <c r="AN96" s="48">
        <f t="shared" si="54"/>
        <v>3381.1294896044146</v>
      </c>
      <c r="AO96" s="47">
        <f t="shared" si="55"/>
        <v>3.90586975384561</v>
      </c>
      <c r="AP96" s="47">
        <f t="shared" si="56"/>
        <v>2.4834518626665649</v>
      </c>
      <c r="AQ96">
        <v>2020</v>
      </c>
    </row>
    <row r="97" spans="2:43">
      <c r="B97" s="97"/>
      <c r="C97" s="61"/>
      <c r="D97" s="61"/>
      <c r="E97" s="38" t="s">
        <v>789</v>
      </c>
      <c r="F97" s="39" t="s">
        <v>790</v>
      </c>
      <c r="G97" s="39">
        <v>45</v>
      </c>
      <c r="H97" s="39"/>
      <c r="I97" s="40" t="s">
        <v>269</v>
      </c>
      <c r="J97" s="41">
        <v>3201</v>
      </c>
      <c r="K97" s="41">
        <v>0.03</v>
      </c>
      <c r="L97" s="41"/>
      <c r="M97" s="42">
        <v>1</v>
      </c>
      <c r="N97" s="42">
        <v>1.0900000000000001</v>
      </c>
      <c r="O97" s="43">
        <v>96.03</v>
      </c>
      <c r="P97" s="44">
        <v>3155.27</v>
      </c>
      <c r="Q97" s="44">
        <v>3489.09</v>
      </c>
      <c r="R97" s="45">
        <v>0</v>
      </c>
      <c r="S97" s="46">
        <v>0</v>
      </c>
      <c r="T97" s="39">
        <f t="shared" si="38"/>
        <v>45</v>
      </c>
      <c r="U97" s="47">
        <f t="shared" si="39"/>
        <v>7.4607903857416757E-3</v>
      </c>
      <c r="V97" s="48">
        <f t="shared" si="40"/>
        <v>9.000000000000008E-2</v>
      </c>
      <c r="W97" s="49">
        <f t="shared" si="41"/>
        <v>1.6579534190537057E-4</v>
      </c>
      <c r="X97" s="44">
        <f t="shared" si="42"/>
        <v>57.924686233912396</v>
      </c>
      <c r="Y97" s="44">
        <f t="shared" si="43"/>
        <v>333.82000000000016</v>
      </c>
      <c r="Z97" s="44">
        <f t="shared" si="44"/>
        <v>721.7757111890711</v>
      </c>
      <c r="AA97" s="50">
        <f t="shared" si="45"/>
        <v>3547.0146862339125</v>
      </c>
      <c r="AB97" s="51">
        <f t="shared" si="46"/>
        <v>674.74592052825187</v>
      </c>
      <c r="AC97" s="44">
        <f t="shared" si="47"/>
        <v>3315.8966871402376</v>
      </c>
      <c r="AD97" s="44">
        <f t="shared" si="48"/>
        <v>0</v>
      </c>
      <c r="AE97" s="44">
        <f t="shared" si="49"/>
        <v>0</v>
      </c>
      <c r="AF97" s="52">
        <f>HLOOKUP(I97,GasAvoidedCostsWOCC!$A$5:$G$50,G97+1,FALSE)</f>
        <v>27.444232870165703</v>
      </c>
      <c r="AG97" s="44">
        <f t="shared" si="50"/>
        <v>2635.4696825220121</v>
      </c>
      <c r="AH97" s="52">
        <f>HLOOKUP(I97,GasAvoidedCostsWOCC!$A$5:$Q$50,T97+1,FALSE)</f>
        <v>27.444232870165703</v>
      </c>
      <c r="AI97" s="44">
        <f t="shared" si="51"/>
        <v>0</v>
      </c>
      <c r="AJ97" s="44">
        <f t="shared" si="52"/>
        <v>2635.4696825220121</v>
      </c>
      <c r="AK97" s="44">
        <f>HLOOKUP(I97,GasAvoidedCostsWOCC!$A$5:$Q$50,G97+1,FALSE)*J97*L97</f>
        <v>0</v>
      </c>
      <c r="AL97" s="44">
        <f t="shared" si="53"/>
        <v>2635.4696825220121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2635.4696825220121</v>
      </c>
      <c r="AN97" s="48">
        <f t="shared" si="54"/>
        <v>2899.0166507742138</v>
      </c>
      <c r="AO97" s="47">
        <f t="shared" si="55"/>
        <v>3.9058697538456091</v>
      </c>
      <c r="AP97" s="47">
        <f t="shared" si="56"/>
        <v>0.87427833985818237</v>
      </c>
      <c r="AQ97">
        <v>2020</v>
      </c>
    </row>
    <row r="98" spans="2:43">
      <c r="B98" s="97"/>
      <c r="C98" s="61"/>
      <c r="D98" s="61"/>
      <c r="E98" s="38" t="s">
        <v>799</v>
      </c>
      <c r="F98" s="39" t="s">
        <v>800</v>
      </c>
      <c r="G98" s="39">
        <v>45</v>
      </c>
      <c r="H98" s="39"/>
      <c r="I98" s="40" t="s">
        <v>269</v>
      </c>
      <c r="J98" s="41">
        <v>5020</v>
      </c>
      <c r="K98" s="41">
        <v>0.04</v>
      </c>
      <c r="L98" s="41"/>
      <c r="M98" s="42">
        <v>0.5</v>
      </c>
      <c r="N98" s="42">
        <v>1.46</v>
      </c>
      <c r="O98" s="43">
        <v>200.8</v>
      </c>
      <c r="P98" s="44">
        <v>2000</v>
      </c>
      <c r="Q98" s="44">
        <v>7329.2</v>
      </c>
      <c r="R98" s="45">
        <v>0</v>
      </c>
      <c r="S98" s="46">
        <v>0</v>
      </c>
      <c r="T98" s="39">
        <f t="shared" si="38"/>
        <v>45</v>
      </c>
      <c r="U98" s="47">
        <f t="shared" si="39"/>
        <v>1.5600611365791198E-2</v>
      </c>
      <c r="V98" s="48">
        <f t="shared" si="40"/>
        <v>0.96</v>
      </c>
      <c r="W98" s="49">
        <f t="shared" si="41"/>
        <v>3.4668025257313773E-4</v>
      </c>
      <c r="X98" s="44">
        <f t="shared" si="42"/>
        <v>121.12128497104666</v>
      </c>
      <c r="Y98" s="44">
        <f t="shared" si="43"/>
        <v>5329.2</v>
      </c>
      <c r="Z98" s="44">
        <f t="shared" si="44"/>
        <v>1509.2425576045557</v>
      </c>
      <c r="AA98" s="50">
        <f t="shared" si="45"/>
        <v>7450.3212849710462</v>
      </c>
      <c r="AB98" s="51">
        <f t="shared" si="46"/>
        <v>1410.9026433622096</v>
      </c>
      <c r="AC98" s="44">
        <f t="shared" si="47"/>
        <v>6964.8698560073344</v>
      </c>
      <c r="AD98" s="44">
        <f t="shared" si="48"/>
        <v>0</v>
      </c>
      <c r="AE98" s="44">
        <f t="shared" si="49"/>
        <v>0</v>
      </c>
      <c r="AF98" s="52">
        <f>HLOOKUP(I98,GasAvoidedCostsWOCC!$A$5:$G$50,G98+1,FALSE)</f>
        <v>27.444232870165703</v>
      </c>
      <c r="AG98" s="44">
        <f t="shared" si="50"/>
        <v>5510.8019603292723</v>
      </c>
      <c r="AH98" s="52">
        <f>HLOOKUP(I98,GasAvoidedCostsWOCC!$A$5:$Q$50,T98+1,FALSE)</f>
        <v>27.444232870165703</v>
      </c>
      <c r="AI98" s="44">
        <f t="shared" si="51"/>
        <v>0</v>
      </c>
      <c r="AJ98" s="44">
        <f t="shared" si="52"/>
        <v>5510.8019603292723</v>
      </c>
      <c r="AK98" s="44">
        <f>HLOOKUP(I98,GasAvoidedCostsWOCC!$A$5:$Q$50,G98+1,FALSE)*J98*L98</f>
        <v>0</v>
      </c>
      <c r="AL98" s="44">
        <f t="shared" si="53"/>
        <v>5510.8019603292723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5510.8019603292732</v>
      </c>
      <c r="AN98" s="48">
        <f t="shared" si="54"/>
        <v>6061.8821563622014</v>
      </c>
      <c r="AO98" s="47">
        <f t="shared" si="55"/>
        <v>3.9058697538456095</v>
      </c>
      <c r="AP98" s="47">
        <f t="shared" si="56"/>
        <v>0.87035110227274548</v>
      </c>
      <c r="AQ98">
        <v>2020</v>
      </c>
    </row>
    <row r="99" spans="2:43">
      <c r="B99" s="97"/>
      <c r="C99" s="61"/>
      <c r="D99" s="61"/>
      <c r="E99" s="38" t="s">
        <v>807</v>
      </c>
      <c r="F99" s="39" t="s">
        <v>808</v>
      </c>
      <c r="G99" s="39">
        <v>45</v>
      </c>
      <c r="H99" s="39"/>
      <c r="I99" s="40" t="s">
        <v>269</v>
      </c>
      <c r="J99" s="41">
        <v>968</v>
      </c>
      <c r="K99" s="41">
        <v>0.09</v>
      </c>
      <c r="L99" s="41"/>
      <c r="M99" s="42">
        <v>1.54</v>
      </c>
      <c r="N99" s="42">
        <v>1.54</v>
      </c>
      <c r="O99" s="43">
        <v>87.12</v>
      </c>
      <c r="P99" s="44">
        <v>896.86</v>
      </c>
      <c r="Q99" s="44">
        <v>1490.72</v>
      </c>
      <c r="R99" s="45">
        <v>0</v>
      </c>
      <c r="S99" s="46">
        <v>0</v>
      </c>
      <c r="T99" s="39">
        <f t="shared" si="38"/>
        <v>45</v>
      </c>
      <c r="U99" s="47">
        <f t="shared" si="39"/>
        <v>6.7685521025285314E-3</v>
      </c>
      <c r="V99" s="48">
        <f t="shared" si="40"/>
        <v>0</v>
      </c>
      <c r="W99" s="49">
        <f t="shared" si="41"/>
        <v>1.5041226894507847E-4</v>
      </c>
      <c r="X99" s="44">
        <f t="shared" si="42"/>
        <v>52.550230810147333</v>
      </c>
      <c r="Y99" s="44">
        <f t="shared" si="43"/>
        <v>593.86</v>
      </c>
      <c r="Z99" s="44">
        <f t="shared" si="44"/>
        <v>654.8068307694665</v>
      </c>
      <c r="AA99" s="50">
        <f t="shared" si="45"/>
        <v>1543.2702308101473</v>
      </c>
      <c r="AB99" s="51">
        <f t="shared" si="46"/>
        <v>612.14062893284699</v>
      </c>
      <c r="AC99" s="44">
        <f t="shared" si="47"/>
        <v>1442.713125932642</v>
      </c>
      <c r="AD99" s="44">
        <f t="shared" si="48"/>
        <v>0</v>
      </c>
      <c r="AE99" s="44">
        <f t="shared" si="49"/>
        <v>0</v>
      </c>
      <c r="AF99" s="52">
        <f>HLOOKUP(I99,GasAvoidedCostsWOCC!$A$5:$G$50,G99+1,FALSE)</f>
        <v>27.444232870165703</v>
      </c>
      <c r="AG99" s="44">
        <f t="shared" si="50"/>
        <v>2390.9415676488361</v>
      </c>
      <c r="AH99" s="52">
        <f>HLOOKUP(I99,GasAvoidedCostsWOCC!$A$5:$Q$50,T99+1,FALSE)</f>
        <v>27.444232870165703</v>
      </c>
      <c r="AI99" s="44">
        <f t="shared" si="51"/>
        <v>0</v>
      </c>
      <c r="AJ99" s="44">
        <f t="shared" si="52"/>
        <v>2390.9415676488361</v>
      </c>
      <c r="AK99" s="44">
        <f>HLOOKUP(I99,GasAvoidedCostsWOCC!$A$5:$Q$50,G99+1,FALSE)*J99*L99</f>
        <v>0</v>
      </c>
      <c r="AL99" s="44">
        <f t="shared" si="53"/>
        <v>2390.9415676488361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2390.9415676488361</v>
      </c>
      <c r="AN99" s="48">
        <f t="shared" si="54"/>
        <v>2630.0357244137199</v>
      </c>
      <c r="AO99" s="47">
        <f t="shared" si="55"/>
        <v>3.9058697538456104</v>
      </c>
      <c r="AP99" s="47">
        <f t="shared" si="56"/>
        <v>1.8229789950192163</v>
      </c>
      <c r="AQ99">
        <v>2020</v>
      </c>
    </row>
    <row r="100" spans="2:43">
      <c r="B100" s="97"/>
      <c r="C100" s="61"/>
      <c r="D100" s="61"/>
      <c r="E100" s="38" t="s">
        <v>814</v>
      </c>
      <c r="F100" s="39" t="s">
        <v>815</v>
      </c>
      <c r="G100" s="39">
        <v>45</v>
      </c>
      <c r="H100" s="39"/>
      <c r="I100" s="40" t="s">
        <v>269</v>
      </c>
      <c r="J100" s="41">
        <v>398.7</v>
      </c>
      <c r="K100" s="41">
        <v>0.64</v>
      </c>
      <c r="L100" s="41"/>
      <c r="M100" s="42">
        <v>200</v>
      </c>
      <c r="N100" s="42">
        <v>20.5</v>
      </c>
      <c r="O100" s="43">
        <v>255.17</v>
      </c>
      <c r="P100" s="44">
        <v>3800</v>
      </c>
      <c r="Q100" s="44">
        <v>8173.35</v>
      </c>
      <c r="R100" s="45">
        <v>0</v>
      </c>
      <c r="S100" s="46">
        <v>0</v>
      </c>
      <c r="T100" s="39">
        <f t="shared" si="38"/>
        <v>45</v>
      </c>
      <c r="U100" s="47">
        <f t="shared" si="39"/>
        <v>1.9824741046857268E-2</v>
      </c>
      <c r="V100" s="48">
        <f t="shared" si="40"/>
        <v>-179.5</v>
      </c>
      <c r="W100" s="49">
        <f t="shared" si="41"/>
        <v>4.4054980104127263E-4</v>
      </c>
      <c r="X100" s="44">
        <f t="shared" si="42"/>
        <v>153.91692373536839</v>
      </c>
      <c r="Y100" s="44">
        <f t="shared" si="43"/>
        <v>4373.3500000000004</v>
      </c>
      <c r="Z100" s="44">
        <f t="shared" si="44"/>
        <v>1917.8955349798525</v>
      </c>
      <c r="AA100" s="50">
        <f t="shared" si="45"/>
        <v>8327.2669237353693</v>
      </c>
      <c r="AB100" s="51">
        <f t="shared" si="46"/>
        <v>1792.9284238383214</v>
      </c>
      <c r="AC100" s="44">
        <f t="shared" si="47"/>
        <v>7784.6750712679896</v>
      </c>
      <c r="AD100" s="44">
        <f t="shared" si="48"/>
        <v>0</v>
      </c>
      <c r="AE100" s="44">
        <f t="shared" si="49"/>
        <v>0</v>
      </c>
      <c r="AF100" s="52">
        <f>HLOOKUP(I100,GasAvoidedCostsWOCC!$A$5:$G$50,G100+1,FALSE)</f>
        <v>27.444232870165703</v>
      </c>
      <c r="AG100" s="44">
        <f t="shared" si="50"/>
        <v>7002.8900130144411</v>
      </c>
      <c r="AH100" s="52">
        <f>HLOOKUP(I100,GasAvoidedCostsWOCC!$A$5:$Q$50,T100+1,FALSE)</f>
        <v>27.444232870165703</v>
      </c>
      <c r="AI100" s="44">
        <f t="shared" si="51"/>
        <v>0</v>
      </c>
      <c r="AJ100" s="44">
        <f t="shared" si="52"/>
        <v>7002.8900130144411</v>
      </c>
      <c r="AK100" s="44">
        <f>HLOOKUP(I100,GasAvoidedCostsWOCC!$A$5:$Q$50,G100+1,FALSE)*J100*L100</f>
        <v>0</v>
      </c>
      <c r="AL100" s="44">
        <f t="shared" si="53"/>
        <v>7002.8900130144411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7002.890013014442</v>
      </c>
      <c r="AN100" s="48">
        <f t="shared" si="54"/>
        <v>7703.1790143158869</v>
      </c>
      <c r="AO100" s="47">
        <f t="shared" si="55"/>
        <v>3.9058391399822736</v>
      </c>
      <c r="AP100" s="47">
        <f t="shared" si="56"/>
        <v>0.98953121919591847</v>
      </c>
      <c r="AQ100">
        <v>2020</v>
      </c>
    </row>
    <row r="101" spans="2:43">
      <c r="B101" s="97"/>
      <c r="C101" s="61"/>
      <c r="D101" s="61"/>
      <c r="E101" s="38" t="s">
        <v>828</v>
      </c>
      <c r="F101" s="39" t="s">
        <v>829</v>
      </c>
      <c r="G101" s="39">
        <v>20</v>
      </c>
      <c r="H101" s="39"/>
      <c r="I101" s="40" t="s">
        <v>269</v>
      </c>
      <c r="J101" s="41">
        <v>4</v>
      </c>
      <c r="K101" s="41">
        <v>75.33</v>
      </c>
      <c r="L101" s="41"/>
      <c r="M101" s="42">
        <v>800</v>
      </c>
      <c r="N101" s="42">
        <v>1000</v>
      </c>
      <c r="O101" s="43">
        <v>301.32</v>
      </c>
      <c r="P101" s="44">
        <v>2349.12</v>
      </c>
      <c r="Q101" s="44">
        <v>4000</v>
      </c>
      <c r="R101" s="45">
        <v>0</v>
      </c>
      <c r="S101" s="46">
        <v>0</v>
      </c>
      <c r="T101" s="39">
        <f t="shared" si="38"/>
        <v>20</v>
      </c>
      <c r="U101" s="47">
        <f t="shared" si="39"/>
        <v>1.0404551165870305E-2</v>
      </c>
      <c r="V101" s="48">
        <f t="shared" si="40"/>
        <v>200</v>
      </c>
      <c r="W101" s="49">
        <f t="shared" si="41"/>
        <v>5.2022755829351521E-4</v>
      </c>
      <c r="X101" s="44">
        <f t="shared" si="42"/>
        <v>181.75431069460049</v>
      </c>
      <c r="Y101" s="44">
        <f t="shared" si="43"/>
        <v>1650.88</v>
      </c>
      <c r="Z101" s="44">
        <f t="shared" si="44"/>
        <v>2264.7657741902622</v>
      </c>
      <c r="AA101" s="50">
        <f t="shared" si="45"/>
        <v>4181.7543106946005</v>
      </c>
      <c r="AB101" s="51">
        <f t="shared" si="46"/>
        <v>2117.1971339536899</v>
      </c>
      <c r="AC101" s="44">
        <f t="shared" si="47"/>
        <v>3909.2776579364308</v>
      </c>
      <c r="AD101" s="44">
        <f t="shared" si="48"/>
        <v>0</v>
      </c>
      <c r="AE101" s="44">
        <f t="shared" si="49"/>
        <v>0</v>
      </c>
      <c r="AF101" s="52">
        <f>HLOOKUP(I101,GasAvoidedCostsWOCC!$A$5:$G$50,G101+1,FALSE)</f>
        <v>13.765480191058694</v>
      </c>
      <c r="AG101" s="44">
        <f t="shared" si="50"/>
        <v>4147.8144911698055</v>
      </c>
      <c r="AH101" s="52">
        <f>HLOOKUP(I101,GasAvoidedCostsWOCC!$A$5:$Q$50,T101+1,FALSE)</f>
        <v>13.765480191058694</v>
      </c>
      <c r="AI101" s="44">
        <f t="shared" si="51"/>
        <v>0</v>
      </c>
      <c r="AJ101" s="44">
        <f t="shared" si="52"/>
        <v>4147.8144911698055</v>
      </c>
      <c r="AK101" s="44">
        <f>HLOOKUP(I101,GasAvoidedCostsWOCC!$A$5:$Q$50,G101+1,FALSE)*J101*L101</f>
        <v>0</v>
      </c>
      <c r="AL101" s="44">
        <f t="shared" si="53"/>
        <v>4147.8144911698055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4147.8144911698055</v>
      </c>
      <c r="AN101" s="48">
        <f t="shared" si="54"/>
        <v>4562.5959402867866</v>
      </c>
      <c r="AO101" s="47">
        <f t="shared" si="55"/>
        <v>1.9591064169939179</v>
      </c>
      <c r="AP101" s="47">
        <f t="shared" si="56"/>
        <v>1.1671199488795634</v>
      </c>
      <c r="AQ101">
        <v>2020</v>
      </c>
    </row>
    <row r="102" spans="2:43">
      <c r="B102" s="97"/>
      <c r="C102" s="61"/>
      <c r="D102" s="61"/>
      <c r="E102" s="38" t="s">
        <v>835</v>
      </c>
      <c r="F102" s="39" t="s">
        <v>836</v>
      </c>
      <c r="G102" s="39">
        <v>45</v>
      </c>
      <c r="H102" s="39"/>
      <c r="I102" s="40" t="s">
        <v>269</v>
      </c>
      <c r="J102" s="41">
        <v>607237</v>
      </c>
      <c r="K102" s="41">
        <v>0.01</v>
      </c>
      <c r="L102" s="41"/>
      <c r="M102" s="42">
        <v>0.08</v>
      </c>
      <c r="N102" s="42">
        <v>0.2</v>
      </c>
      <c r="O102" s="43">
        <v>6072.37</v>
      </c>
      <c r="P102" s="44">
        <v>49860.78</v>
      </c>
      <c r="Q102" s="44">
        <v>121882.6</v>
      </c>
      <c r="R102" s="45">
        <v>0</v>
      </c>
      <c r="S102" s="46">
        <v>0</v>
      </c>
      <c r="T102" s="39">
        <f t="shared" si="38"/>
        <v>45</v>
      </c>
      <c r="U102" s="47">
        <f t="shared" si="39"/>
        <v>0.47177631692873251</v>
      </c>
      <c r="V102" s="48">
        <f t="shared" si="40"/>
        <v>0.12000000000000001</v>
      </c>
      <c r="W102" s="49">
        <f t="shared" si="41"/>
        <v>1.0483918153971834E-2</v>
      </c>
      <c r="X102" s="44">
        <f t="shared" si="42"/>
        <v>3662.8150259941963</v>
      </c>
      <c r="Y102" s="44">
        <f t="shared" si="43"/>
        <v>72021.820000000007</v>
      </c>
      <c r="Z102" s="44">
        <f t="shared" si="44"/>
        <v>45640.832816340517</v>
      </c>
      <c r="AA102" s="50">
        <f t="shared" si="45"/>
        <v>125545.4150259942</v>
      </c>
      <c r="AB102" s="51">
        <f t="shared" si="46"/>
        <v>42666.94663582361</v>
      </c>
      <c r="AC102" s="44">
        <f t="shared" si="47"/>
        <v>117365.0696699955</v>
      </c>
      <c r="AD102" s="44">
        <f t="shared" si="48"/>
        <v>0</v>
      </c>
      <c r="AE102" s="44">
        <f t="shared" si="49"/>
        <v>0</v>
      </c>
      <c r="AF102" s="52">
        <f>HLOOKUP(I102,GasAvoidedCostsWOCC!$A$5:$G$50,G102+1,FALSE)</f>
        <v>27.444232870165703</v>
      </c>
      <c r="AG102" s="44">
        <f t="shared" si="50"/>
        <v>166651.5363538081</v>
      </c>
      <c r="AH102" s="52">
        <f>HLOOKUP(I102,GasAvoidedCostsWOCC!$A$5:$Q$50,T102+1,FALSE)</f>
        <v>27.444232870165703</v>
      </c>
      <c r="AI102" s="44">
        <f t="shared" si="51"/>
        <v>0</v>
      </c>
      <c r="AJ102" s="44">
        <f t="shared" si="52"/>
        <v>166651.5363538081</v>
      </c>
      <c r="AK102" s="44">
        <f>HLOOKUP(I102,GasAvoidedCostsWOCC!$A$5:$Q$50,G102+1,FALSE)*J102*L102</f>
        <v>0</v>
      </c>
      <c r="AL102" s="44">
        <f t="shared" si="53"/>
        <v>166651.5363538081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166651.5363538081</v>
      </c>
      <c r="AN102" s="48">
        <f t="shared" si="54"/>
        <v>183316.68998918892</v>
      </c>
      <c r="AO102" s="47">
        <f t="shared" si="55"/>
        <v>3.9058697538456091</v>
      </c>
      <c r="AP102" s="47">
        <f t="shared" si="56"/>
        <v>1.5619356807322207</v>
      </c>
      <c r="AQ102">
        <v>2020</v>
      </c>
    </row>
    <row r="103" spans="2:43">
      <c r="B103" s="97"/>
      <c r="C103" s="61"/>
      <c r="D103" s="61"/>
      <c r="E103" s="38" t="s">
        <v>837</v>
      </c>
      <c r="F103" s="39" t="s">
        <v>838</v>
      </c>
      <c r="G103" s="39">
        <v>45</v>
      </c>
      <c r="H103" s="39"/>
      <c r="I103" s="40" t="s">
        <v>269</v>
      </c>
      <c r="J103" s="41">
        <v>5321</v>
      </c>
      <c r="K103" s="41">
        <v>0.01</v>
      </c>
      <c r="L103" s="41"/>
      <c r="M103" s="42">
        <v>0.2</v>
      </c>
      <c r="N103" s="42">
        <v>0.2</v>
      </c>
      <c r="O103" s="43">
        <v>53.21</v>
      </c>
      <c r="P103" s="44">
        <v>962.52</v>
      </c>
      <c r="Q103" s="44">
        <v>1064.2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4.1340066273593103E-3</v>
      </c>
      <c r="V103" s="48">
        <f t="shared" si="40"/>
        <v>0</v>
      </c>
      <c r="W103" s="49">
        <f t="shared" si="41"/>
        <v>9.1866813941318009E-5</v>
      </c>
      <c r="X103" s="44">
        <f t="shared" si="42"/>
        <v>32.095934130026855</v>
      </c>
      <c r="Y103" s="44">
        <f t="shared" si="43"/>
        <v>101.68000000000006</v>
      </c>
      <c r="Z103" s="44">
        <f t="shared" si="44"/>
        <v>399.93424546881675</v>
      </c>
      <c r="AA103" s="50">
        <f t="shared" si="45"/>
        <v>1096.2959341300268</v>
      </c>
      <c r="AB103" s="51">
        <f t="shared" si="46"/>
        <v>373.87514767581257</v>
      </c>
      <c r="AC103" s="44">
        <f t="shared" si="47"/>
        <v>1024.862984135764</v>
      </c>
      <c r="AD103" s="44">
        <f t="shared" si="48"/>
        <v>0</v>
      </c>
      <c r="AE103" s="44">
        <f t="shared" si="49"/>
        <v>0</v>
      </c>
      <c r="AF103" s="52">
        <f>HLOOKUP(I103,GasAvoidedCostsWOCC!$A$5:$G$50,G103+1,FALSE)</f>
        <v>27.444232870165703</v>
      </c>
      <c r="AG103" s="44">
        <f t="shared" si="50"/>
        <v>1460.3076310215172</v>
      </c>
      <c r="AH103" s="52">
        <f>HLOOKUP(I103,GasAvoidedCostsWOCC!$A$5:$Q$50,T103+1,FALSE)</f>
        <v>27.444232870165703</v>
      </c>
      <c r="AI103" s="44">
        <f t="shared" si="51"/>
        <v>0</v>
      </c>
      <c r="AJ103" s="44">
        <f t="shared" si="52"/>
        <v>1460.3076310215172</v>
      </c>
      <c r="AK103" s="44">
        <f>HLOOKUP(I103,GasAvoidedCostsWOCC!$A$5:$Q$50,G103+1,FALSE)*J103*L103</f>
        <v>0</v>
      </c>
      <c r="AL103" s="44">
        <f t="shared" si="53"/>
        <v>1460.3076310215172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1460.307631021517</v>
      </c>
      <c r="AN103" s="48">
        <f t="shared" si="54"/>
        <v>1606.3383941236689</v>
      </c>
      <c r="AO103" s="47">
        <f t="shared" si="55"/>
        <v>3.9058697538456095</v>
      </c>
      <c r="AP103" s="47">
        <f t="shared" si="56"/>
        <v>1.5673689253966427</v>
      </c>
      <c r="AQ103">
        <v>2020</v>
      </c>
    </row>
    <row r="104" spans="2:43">
      <c r="B104" s="97"/>
      <c r="C104" s="61"/>
      <c r="D104" s="61"/>
      <c r="E104" s="38" t="s">
        <v>843</v>
      </c>
      <c r="F104" s="39" t="s">
        <v>844</v>
      </c>
      <c r="G104" s="39">
        <v>45</v>
      </c>
      <c r="H104" s="39"/>
      <c r="I104" s="40" t="s">
        <v>269</v>
      </c>
      <c r="J104" s="41">
        <v>760709.37</v>
      </c>
      <c r="K104" s="41">
        <v>0.01</v>
      </c>
      <c r="L104" s="41"/>
      <c r="M104" s="42">
        <v>0.08</v>
      </c>
      <c r="N104" s="42">
        <v>0.2</v>
      </c>
      <c r="O104" s="43">
        <v>7607.0900000000101</v>
      </c>
      <c r="P104" s="44">
        <v>59952.98</v>
      </c>
      <c r="Q104" s="44">
        <v>152141.87</v>
      </c>
      <c r="R104" s="45">
        <v>0</v>
      </c>
      <c r="S104" s="46">
        <v>0</v>
      </c>
      <c r="T104" s="39">
        <f t="shared" si="38"/>
        <v>45</v>
      </c>
      <c r="U104" s="47">
        <f t="shared" si="39"/>
        <v>0.59101222467428638</v>
      </c>
      <c r="V104" s="48">
        <f t="shared" si="40"/>
        <v>0.12000000000000001</v>
      </c>
      <c r="W104" s="49">
        <f t="shared" si="41"/>
        <v>1.313360499276192E-2</v>
      </c>
      <c r="X104" s="44">
        <f t="shared" si="42"/>
        <v>4588.548384912353</v>
      </c>
      <c r="Y104" s="44">
        <f t="shared" si="43"/>
        <v>92188.889999999985</v>
      </c>
      <c r="Z104" s="44">
        <f t="shared" si="44"/>
        <v>57176.015774542102</v>
      </c>
      <c r="AA104" s="50">
        <f t="shared" si="45"/>
        <v>156730.41838491234</v>
      </c>
      <c r="AB104" s="51">
        <f t="shared" si="46"/>
        <v>53450.514886923527</v>
      </c>
      <c r="AC104" s="44">
        <f t="shared" si="47"/>
        <v>146518.10637086316</v>
      </c>
      <c r="AD104" s="44">
        <f t="shared" si="48"/>
        <v>0</v>
      </c>
      <c r="AE104" s="44">
        <f t="shared" si="49"/>
        <v>0</v>
      </c>
      <c r="AF104" s="52">
        <f>HLOOKUP(I104,GasAvoidedCostsWOCC!$A$5:$G$50,G104+1,FALSE)</f>
        <v>27.444232870165703</v>
      </c>
      <c r="AG104" s="44">
        <f t="shared" si="50"/>
        <v>208770.85096797041</v>
      </c>
      <c r="AH104" s="52">
        <f>HLOOKUP(I104,GasAvoidedCostsWOCC!$A$5:$Q$50,T104+1,FALSE)</f>
        <v>27.444232870165703</v>
      </c>
      <c r="AI104" s="44">
        <f t="shared" si="51"/>
        <v>0</v>
      </c>
      <c r="AJ104" s="44">
        <f t="shared" si="52"/>
        <v>208770.85096797041</v>
      </c>
      <c r="AK104" s="44">
        <f>HLOOKUP(I104,GasAvoidedCostsWOCC!$A$5:$Q$50,G104+1,FALSE)*J104*L104</f>
        <v>0</v>
      </c>
      <c r="AL104" s="44">
        <f t="shared" si="53"/>
        <v>208770.85096797041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208770.85096797044</v>
      </c>
      <c r="AN104" s="48">
        <f t="shared" si="54"/>
        <v>229647.93606476751</v>
      </c>
      <c r="AO104" s="47">
        <f t="shared" si="55"/>
        <v>3.9058716536151734</v>
      </c>
      <c r="AP104" s="47">
        <f t="shared" si="56"/>
        <v>1.5673689877173822</v>
      </c>
      <c r="AQ104">
        <v>2020</v>
      </c>
    </row>
    <row r="105" spans="2:43">
      <c r="B105" s="97"/>
      <c r="C105" s="61"/>
      <c r="D105" s="61"/>
      <c r="E105" s="38" t="s">
        <v>845</v>
      </c>
      <c r="F105" s="39" t="s">
        <v>846</v>
      </c>
      <c r="G105" s="39">
        <v>45</v>
      </c>
      <c r="H105" s="39"/>
      <c r="I105" s="40" t="s">
        <v>269</v>
      </c>
      <c r="J105" s="41">
        <v>5016</v>
      </c>
      <c r="K105" s="41">
        <v>0.01</v>
      </c>
      <c r="L105" s="41"/>
      <c r="M105" s="42">
        <v>0.2</v>
      </c>
      <c r="N105" s="42">
        <v>0.2</v>
      </c>
      <c r="O105" s="43">
        <v>50.16</v>
      </c>
      <c r="P105" s="44">
        <v>678.88</v>
      </c>
      <c r="Q105" s="44">
        <v>1003.2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3.8970451499406693E-3</v>
      </c>
      <c r="V105" s="48">
        <f t="shared" si="40"/>
        <v>0</v>
      </c>
      <c r="W105" s="49">
        <f t="shared" si="41"/>
        <v>8.6601003332014873E-5</v>
      </c>
      <c r="X105" s="44">
        <f t="shared" si="42"/>
        <v>30.256193496751493</v>
      </c>
      <c r="Y105" s="44">
        <f t="shared" si="43"/>
        <v>324.32000000000005</v>
      </c>
      <c r="Z105" s="44">
        <f t="shared" si="44"/>
        <v>377.00999347332919</v>
      </c>
      <c r="AA105" s="50">
        <f t="shared" si="45"/>
        <v>1033.4561934967514</v>
      </c>
      <c r="AB105" s="51">
        <f t="shared" si="46"/>
        <v>352.44460453709371</v>
      </c>
      <c r="AC105" s="44">
        <f t="shared" si="47"/>
        <v>966.11778395508213</v>
      </c>
      <c r="AD105" s="44">
        <f t="shared" si="48"/>
        <v>0</v>
      </c>
      <c r="AE105" s="44">
        <f t="shared" si="49"/>
        <v>0</v>
      </c>
      <c r="AF105" s="52">
        <f>HLOOKUP(I105,GasAvoidedCostsWOCC!$A$5:$G$50,G105+1,FALSE)</f>
        <v>27.444232870165703</v>
      </c>
      <c r="AG105" s="44">
        <f t="shared" si="50"/>
        <v>1376.6027207675118</v>
      </c>
      <c r="AH105" s="52">
        <f>HLOOKUP(I105,GasAvoidedCostsWOCC!$A$5:$Q$50,T105+1,FALSE)</f>
        <v>27.444232870165703</v>
      </c>
      <c r="AI105" s="44">
        <f t="shared" si="51"/>
        <v>0</v>
      </c>
      <c r="AJ105" s="44">
        <f t="shared" si="52"/>
        <v>1376.6027207675118</v>
      </c>
      <c r="AK105" s="44">
        <f>HLOOKUP(I105,GasAvoidedCostsWOCC!$A$5:$Q$50,G105+1,FALSE)*J105*L105</f>
        <v>0</v>
      </c>
      <c r="AL105" s="44">
        <f t="shared" si="53"/>
        <v>1376.6027207675118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1376.6027207675115</v>
      </c>
      <c r="AN105" s="48">
        <f t="shared" si="54"/>
        <v>1514.2629928442627</v>
      </c>
      <c r="AO105" s="47">
        <f t="shared" si="55"/>
        <v>3.90586975384561</v>
      </c>
      <c r="AP105" s="47">
        <f t="shared" si="56"/>
        <v>1.5673689253966425</v>
      </c>
      <c r="AQ105">
        <v>2020</v>
      </c>
    </row>
    <row r="106" spans="2:43">
      <c r="B106" s="97"/>
      <c r="C106" s="61"/>
      <c r="D106" s="61"/>
      <c r="E106" s="38" t="s">
        <v>855</v>
      </c>
      <c r="F106" s="39" t="s">
        <v>856</v>
      </c>
      <c r="G106" s="39">
        <v>18</v>
      </c>
      <c r="H106" s="39"/>
      <c r="I106" s="40" t="s">
        <v>269</v>
      </c>
      <c r="J106" s="41">
        <v>2</v>
      </c>
      <c r="K106" s="41">
        <v>18.96</v>
      </c>
      <c r="L106" s="41"/>
      <c r="M106" s="42">
        <v>450</v>
      </c>
      <c r="N106" s="42">
        <v>549</v>
      </c>
      <c r="O106" s="43">
        <v>37.92</v>
      </c>
      <c r="P106" s="44">
        <v>900</v>
      </c>
      <c r="Q106" s="44">
        <v>1098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1.1784366195035899E-3</v>
      </c>
      <c r="V106" s="48">
        <f t="shared" si="40"/>
        <v>99</v>
      </c>
      <c r="W106" s="49">
        <f t="shared" si="41"/>
        <v>6.5468701083532771E-5</v>
      </c>
      <c r="X106" s="44">
        <f t="shared" si="42"/>
        <v>22.873103217639883</v>
      </c>
      <c r="Y106" s="44">
        <f t="shared" si="43"/>
        <v>198</v>
      </c>
      <c r="Z106" s="44">
        <f t="shared" si="44"/>
        <v>285.01233956356941</v>
      </c>
      <c r="AA106" s="50">
        <f t="shared" si="45"/>
        <v>1120.8731032176399</v>
      </c>
      <c r="AB106" s="51">
        <f t="shared" si="46"/>
        <v>266.44137567875981</v>
      </c>
      <c r="AC106" s="44">
        <f t="shared" si="47"/>
        <v>1047.8387428415815</v>
      </c>
      <c r="AD106" s="44">
        <f t="shared" si="48"/>
        <v>0</v>
      </c>
      <c r="AE106" s="44">
        <f t="shared" si="49"/>
        <v>0</v>
      </c>
      <c r="AF106" s="52">
        <f>HLOOKUP(I106,GasAvoidedCostsWOCC!$A$5:$G$50,G106+1,FALSE)</f>
        <v>12.598768311384578</v>
      </c>
      <c r="AG106" s="44">
        <f t="shared" si="50"/>
        <v>477.74529436770325</v>
      </c>
      <c r="AH106" s="52">
        <f>HLOOKUP(I106,GasAvoidedCostsWOCC!$A$5:$Q$50,T106+1,FALSE)</f>
        <v>12.598768311384578</v>
      </c>
      <c r="AI106" s="44">
        <f t="shared" si="51"/>
        <v>0</v>
      </c>
      <c r="AJ106" s="44">
        <f t="shared" si="52"/>
        <v>477.74529436770325</v>
      </c>
      <c r="AK106" s="44">
        <f>HLOOKUP(I106,GasAvoidedCostsWOCC!$A$5:$Q$50,G106+1,FALSE)*J106*L106</f>
        <v>0</v>
      </c>
      <c r="AL106" s="44">
        <f t="shared" si="53"/>
        <v>477.74529436770325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477.74529436770325</v>
      </c>
      <c r="AN106" s="48">
        <f t="shared" si="54"/>
        <v>525.51982380447362</v>
      </c>
      <c r="AO106" s="47">
        <f t="shared" si="55"/>
        <v>1.7930597045997319</v>
      </c>
      <c r="AP106" s="47">
        <f t="shared" si="56"/>
        <v>0.50152738424172283</v>
      </c>
      <c r="AQ106">
        <v>2020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HLOOKUP(I131,GasAvoidedCostsWOCC!$A$5:$G$50,G131+1,FALSE)</f>
        <v>#N/A</v>
      </c>
      <c r="AG131" s="44" t="e">
        <f t="shared" si="50"/>
        <v>#N/A</v>
      </c>
      <c r="AH131" s="52" t="e">
        <f>HLOOKUP(I131,GasAvoidedCostsWOCC!$A$5:$Q$50,T131+1,FALSE)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HLOOKUP(I131,GasAvoidedCostsWOCC!$A$5:$Q$50,G131+1,FALSE)*J131*L131</f>
        <v>#N/A</v>
      </c>
      <c r="AL131" s="44" t="e">
        <f t="shared" si="53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HLOOKUP(I132,GasAvoidedCostsWOCC!$A$5:$G$50,G132+1,FALSE)</f>
        <v>#N/A</v>
      </c>
      <c r="AG132" s="44" t="e">
        <f t="shared" si="50"/>
        <v>#N/A</v>
      </c>
      <c r="AH132" s="52" t="e">
        <f>HLOOKUP(I132,GasAvoidedCostsWOCC!$A$5:$Q$50,T132+1,FALSE)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HLOOKUP(I132,GasAvoidedCostsWOCC!$A$5:$Q$50,G132+1,FALSE)*J132*L132</f>
        <v>#N/A</v>
      </c>
      <c r="AL132" s="44" t="e">
        <f t="shared" si="53"/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HLOOKUP(I133,GasAvoidedCostsWOCC!$A$5:$G$50,G133+1,FALSE)</f>
        <v>#N/A</v>
      </c>
      <c r="AG133" s="44" t="e">
        <f t="shared" si="50"/>
        <v>#N/A</v>
      </c>
      <c r="AH133" s="52" t="e">
        <f>HLOOKUP(I133,GasAvoidedCostsWOCC!$A$5:$Q$50,T133+1,FALSE)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HLOOKUP(I133,GasAvoidedCostsWOCC!$A$5:$Q$50,G133+1,FALSE)*J133*L133</f>
        <v>#N/A</v>
      </c>
      <c r="AL133" s="44" t="e">
        <f t="shared" si="53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HLOOKUP(I134,GasAvoidedCostsWOCC!$A$5:$G$50,G134+1,FALSE)</f>
        <v>#N/A</v>
      </c>
      <c r="AG134" s="44" t="e">
        <f t="shared" si="50"/>
        <v>#N/A</v>
      </c>
      <c r="AH134" s="52" t="e">
        <f>HLOOKUP(I134,GasAvoidedCostsWOCC!$A$5:$Q$50,T134+1,FALSE)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HLOOKUP(I134,GasAvoidedCostsWOCC!$A$5:$Q$50,G134+1,FALSE)*J134*L134</f>
        <v>#N/A</v>
      </c>
      <c r="AL134" s="44" t="e">
        <f t="shared" si="53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HLOOKUP(I135,GasAvoidedCostsWOCC!$A$5:$G$50,G135+1,FALSE)</f>
        <v>#N/A</v>
      </c>
      <c r="AG135" s="44" t="e">
        <f t="shared" si="50"/>
        <v>#N/A</v>
      </c>
      <c r="AH135" s="52" t="e">
        <f>HLOOKUP(I135,GasAvoidedCostsWOCC!$A$5:$Q$50,T135+1,FALSE)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HLOOKUP(I135,GasAvoidedCostsWOCC!$A$5:$Q$50,G135+1,FALSE)*J135*L135</f>
        <v>#N/A</v>
      </c>
      <c r="AL135" s="44" t="e">
        <f t="shared" si="53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HLOOKUP(I136,GasAvoidedCostsWOCC!$A$5:$G$50,G136+1,FALSE)</f>
        <v>#N/A</v>
      </c>
      <c r="AG136" s="44" t="e">
        <f t="shared" si="50"/>
        <v>#N/A</v>
      </c>
      <c r="AH136" s="52" t="e">
        <f>HLOOKUP(I136,GasAvoidedCostsWOCC!$A$5:$Q$50,T136+1,FALSE)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HLOOKUP(I136,GasAvoidedCostsWOCC!$A$5:$Q$50,G136+1,FALSE)*J136*L136</f>
        <v>#N/A</v>
      </c>
      <c r="AL136" s="44" t="e">
        <f t="shared" si="53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HLOOKUP(I137,GasAvoidedCostsWOCC!$A$5:$G$50,G137+1,FALSE)</f>
        <v>#N/A</v>
      </c>
      <c r="AG137" s="44" t="e">
        <f t="shared" si="50"/>
        <v>#N/A</v>
      </c>
      <c r="AH137" s="52" t="e">
        <f>HLOOKUP(I137,GasAvoidedCostsWOCC!$A$5:$Q$50,T137+1,FALSE)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HLOOKUP(I137,GasAvoidedCostsWOCC!$A$5:$Q$50,G137+1,FALSE)*J137*L137</f>
        <v>#N/A</v>
      </c>
      <c r="AL137" s="44" t="e">
        <f t="shared" si="53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HLOOKUP(I138,GasAvoidedCostsWOCC!$A$5:$G$50,G138+1,FALSE)</f>
        <v>#N/A</v>
      </c>
      <c r="AG138" s="44" t="e">
        <f t="shared" si="50"/>
        <v>#N/A</v>
      </c>
      <c r="AH138" s="52" t="e">
        <f>HLOOKUP(I138,GasAvoidedCostsWOCC!$A$5:$Q$50,T138+1,FALSE)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HLOOKUP(I138,GasAvoidedCostsWOCC!$A$5:$Q$50,G138+1,FALSE)*J138*L138</f>
        <v>#N/A</v>
      </c>
      <c r="AL138" s="44" t="e">
        <f t="shared" si="53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HLOOKUP(I139,GasAvoidedCostsWOCC!$A$5:$G$50,G139+1,FALSE)</f>
        <v>#N/A</v>
      </c>
      <c r="AG139" s="44" t="e">
        <f t="shared" si="50"/>
        <v>#N/A</v>
      </c>
      <c r="AH139" s="52" t="e">
        <f>HLOOKUP(I139,GasAvoidedCostsWOCC!$A$5:$Q$50,T139+1,FALSE)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HLOOKUP(I139,GasAvoidedCostsWOCC!$A$5:$Q$50,G139+1,FALSE)*J139*L139</f>
        <v>#N/A</v>
      </c>
      <c r="AL139" s="44" t="e">
        <f t="shared" si="53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HLOOKUP(I140,GasAvoidedCostsWOCC!$A$5:$G$50,G140+1,FALSE)</f>
        <v>#N/A</v>
      </c>
      <c r="AG140" s="44" t="e">
        <f t="shared" si="50"/>
        <v>#N/A</v>
      </c>
      <c r="AH140" s="52" t="e">
        <f>HLOOKUP(I140,GasAvoidedCostsWOCC!$A$5:$Q$50,T140+1,FALSE)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HLOOKUP(I140,GasAvoidedCostsWOCC!$A$5:$Q$50,G140+1,FALSE)*J140*L140</f>
        <v>#N/A</v>
      </c>
      <c r="AL140" s="44" t="e">
        <f t="shared" si="53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HLOOKUP(I141,GasAvoidedCostsWOCC!$A$5:$G$50,G141+1,FALSE)</f>
        <v>#N/A</v>
      </c>
      <c r="AG141" s="44" t="e">
        <f t="shared" si="50"/>
        <v>#N/A</v>
      </c>
      <c r="AH141" s="52" t="e">
        <f>HLOOKUP(I141,GasAvoidedCostsWOCC!$A$5:$Q$50,T141+1,FALSE)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HLOOKUP(I141,GasAvoidedCostsWOCC!$A$5:$Q$50,G141+1,FALSE)*J141*L141</f>
        <v>#N/A</v>
      </c>
      <c r="AL141" s="44" t="e">
        <f t="shared" si="53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HLOOKUP(I142,GasAvoidedCostsWOCC!$A$5:$G$50,G142+1,FALSE)</f>
        <v>#N/A</v>
      </c>
      <c r="AG142" s="44" t="e">
        <f t="shared" si="50"/>
        <v>#N/A</v>
      </c>
      <c r="AH142" s="52" t="e">
        <f>HLOOKUP(I142,GasAvoidedCostsWOCC!$A$5:$Q$50,T142+1,FALSE)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HLOOKUP(I142,GasAvoidedCostsWOCC!$A$5:$Q$50,G142+1,FALSE)*J142*L142</f>
        <v>#N/A</v>
      </c>
      <c r="AL142" s="44" t="e">
        <f t="shared" si="53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HLOOKUP(I143,GasAvoidedCostsWOCC!$A$5:$G$50,G143+1,FALSE)</f>
        <v>#N/A</v>
      </c>
      <c r="AG143" s="44" t="e">
        <f t="shared" si="50"/>
        <v>#N/A</v>
      </c>
      <c r="AH143" s="52" t="e">
        <f>HLOOKUP(I143,GasAvoidedCostsWOCC!$A$5:$Q$50,T143+1,FALSE)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HLOOKUP(I143,GasAvoidedCostsWOCC!$A$5:$Q$50,G143+1,FALSE)*J143*L143</f>
        <v>#N/A</v>
      </c>
      <c r="AL143" s="44" t="e">
        <f t="shared" si="53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HLOOKUP(I144,GasAvoidedCostsWOCC!$A$5:$G$50,G144+1,FALSE)</f>
        <v>#N/A</v>
      </c>
      <c r="AG144" s="44" t="e">
        <f t="shared" si="50"/>
        <v>#N/A</v>
      </c>
      <c r="AH144" s="52" t="e">
        <f>HLOOKUP(I144,GasAvoidedCostsWOCC!$A$5:$Q$50,T144+1,FALSE)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HLOOKUP(I144,GasAvoidedCostsWOCC!$A$5:$Q$50,G144+1,FALSE)*J144*L144</f>
        <v>#N/A</v>
      </c>
      <c r="AL144" s="44" t="e">
        <f t="shared" si="53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HLOOKUP(I145,GasAvoidedCostsWOCC!$A$5:$G$50,G145+1,FALSE)</f>
        <v>#N/A</v>
      </c>
      <c r="AG145" s="44" t="e">
        <f t="shared" si="50"/>
        <v>#N/A</v>
      </c>
      <c r="AH145" s="52" t="e">
        <f>HLOOKUP(I145,GasAvoidedCostsWOCC!$A$5:$Q$50,T145+1,FALSE)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HLOOKUP(I145,GasAvoidedCostsWOCC!$A$5:$Q$50,G145+1,FALSE)*J145*L145</f>
        <v>#N/A</v>
      </c>
      <c r="AL145" s="44" t="e">
        <f t="shared" si="53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HLOOKUP(I146,GasAvoidedCostsWOCC!$A$5:$G$50,G146+1,FALSE)</f>
        <v>#N/A</v>
      </c>
      <c r="AG146" s="44" t="e">
        <f t="shared" si="50"/>
        <v>#N/A</v>
      </c>
      <c r="AH146" s="52" t="e">
        <f>HLOOKUP(I146,GasAvoidedCostsWOCC!$A$5:$Q$50,T146+1,FALSE)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HLOOKUP(I146,GasAvoidedCostsWOCC!$A$5:$Q$50,G146+1,FALSE)*J146*L146</f>
        <v>#N/A</v>
      </c>
      <c r="AL146" s="44" t="e">
        <f t="shared" si="53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ref="T147:T208" si="57">G147+H147</f>
        <v>0</v>
      </c>
      <c r="U147" s="47">
        <f t="shared" ref="U147:U208" si="58">(O147/$A$10)*T147</f>
        <v>0</v>
      </c>
      <c r="V147" s="48">
        <f t="shared" ref="V147:V208" si="59">N147-M147</f>
        <v>0</v>
      </c>
      <c r="W147" s="49">
        <f t="shared" ref="W147:W208" si="60">(O147/A$10)</f>
        <v>0</v>
      </c>
      <c r="X147" s="44">
        <f t="shared" ref="X147:X208" si="61">W147*A$8</f>
        <v>0</v>
      </c>
      <c r="Y147" s="44">
        <f t="shared" ref="Y147:Y208" si="62">Q147-P147</f>
        <v>0</v>
      </c>
      <c r="Z147" s="44">
        <f t="shared" ref="Z147:Z208" si="63">X147+(A$6*W147)</f>
        <v>0</v>
      </c>
      <c r="AA147" s="50">
        <f t="shared" ref="AA147:AA208" si="64">Q147+X147</f>
        <v>0</v>
      </c>
      <c r="AB147" s="51">
        <f t="shared" ref="AB147:AB208" si="65">Z147/(1+GasDiscountRate)^1</f>
        <v>0</v>
      </c>
      <c r="AC147" s="44">
        <f t="shared" ref="AC147:AC208" si="66">AA147/(1+GasDiscountRate)^1</f>
        <v>0</v>
      </c>
      <c r="AD147" s="44">
        <f t="shared" ref="AD147:AD208" si="67">-PV(GasDiscountRate,T147,R147)*J147</f>
        <v>0</v>
      </c>
      <c r="AE147" s="44">
        <f t="shared" ref="AE147:AE208" si="68">-PV(GasDiscountRate,T147,S147)*J147</f>
        <v>0</v>
      </c>
      <c r="AF147" s="52" t="e">
        <f>HLOOKUP(I147,GasAvoidedCostsWOCC!$A$5:$G$50,G147+1,FALSE)</f>
        <v>#N/A</v>
      </c>
      <c r="AG147" s="44" t="e">
        <f t="shared" ref="AG147:AG208" si="69">AF147*J147*K147</f>
        <v>#N/A</v>
      </c>
      <c r="AH147" s="52" t="e">
        <f>HLOOKUP(I147,GasAvoidedCostsWOCC!$A$5:$Q$50,T147+1,FALSE)</f>
        <v>#N/A</v>
      </c>
      <c r="AI147" s="44" t="e">
        <f t="shared" ref="AI147:AI208" si="70">AH147*J147*L147</f>
        <v>#N/A</v>
      </c>
      <c r="AJ147" s="44" t="e">
        <f t="shared" ref="AJ147:AJ208" si="71">AG147+AI147</f>
        <v>#N/A</v>
      </c>
      <c r="AK147" s="44" t="e">
        <f>HLOOKUP(I147,GasAvoidedCostsWOCC!$A$5:$Q$50,G147+1,FALSE)*J147*L147</f>
        <v>#N/A</v>
      </c>
      <c r="AL147" s="44" t="e">
        <f t="shared" ref="AL147:AL208" si="72">AG147+AI147-AK147</f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ref="AN147:AN208" si="73">AM147*1.1+AD147+AE147</f>
        <v>0</v>
      </c>
      <c r="AO147" s="47">
        <f t="shared" ref="AO147:AO208" si="74">IFERROR(AM147/AB147,0)</f>
        <v>0</v>
      </c>
      <c r="AP147" s="47" t="e">
        <f t="shared" ref="AP147:AP208" si="75">AN147/AC147</f>
        <v>#DIV/0!</v>
      </c>
    </row>
    <row r="148" spans="2:42">
      <c r="B148" s="9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HLOOKUP(I148,GasAvoidedCostsWOCC!$A$5:$G$50,G148+1,FALSE)</f>
        <v>#N/A</v>
      </c>
      <c r="AG148" s="44" t="e">
        <f t="shared" si="69"/>
        <v>#N/A</v>
      </c>
      <c r="AH148" s="52" t="e">
        <f>HLOOKUP(I148,GasAvoidedCostsWOCC!$A$5:$Q$50,T148+1,FALSE)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HLOOKUP(I148,GasAvoidedCostsWOCC!$A$5:$Q$50,G148+1,FALSE)*J148*L148</f>
        <v>#N/A</v>
      </c>
      <c r="AL148" s="44" t="e">
        <f t="shared" si="72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9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HLOOKUP(I149,GasAvoidedCostsWOCC!$A$5:$G$50,G149+1,FALSE)</f>
        <v>#N/A</v>
      </c>
      <c r="AG149" s="44" t="e">
        <f t="shared" si="69"/>
        <v>#N/A</v>
      </c>
      <c r="AH149" s="52" t="e">
        <f>HLOOKUP(I149,GasAvoidedCostsWOCC!$A$5:$Q$50,T149+1,FALSE)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HLOOKUP(I149,GasAvoidedCostsWOCC!$A$5:$Q$50,G149+1,FALSE)*J149*L149</f>
        <v>#N/A</v>
      </c>
      <c r="AL149" s="44" t="e">
        <f t="shared" si="72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9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HLOOKUP(I150,GasAvoidedCostsWOCC!$A$5:$G$50,G150+1,FALSE)</f>
        <v>#N/A</v>
      </c>
      <c r="AG150" s="44" t="e">
        <f t="shared" si="69"/>
        <v>#N/A</v>
      </c>
      <c r="AH150" s="52" t="e">
        <f>HLOOKUP(I150,GasAvoidedCostsWOCC!$A$5:$Q$50,T150+1,FALSE)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HLOOKUP(I150,GasAvoidedCostsWOCC!$A$5:$Q$50,G150+1,FALSE)*J150*L150</f>
        <v>#N/A</v>
      </c>
      <c r="AL150" s="44" t="e">
        <f t="shared" si="72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9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HLOOKUP(I151,GasAvoidedCostsWOCC!$A$5:$G$50,G151+1,FALSE)</f>
        <v>#N/A</v>
      </c>
      <c r="AG151" s="44" t="e">
        <f t="shared" si="69"/>
        <v>#N/A</v>
      </c>
      <c r="AH151" s="52" t="e">
        <f>HLOOKUP(I151,GasAvoidedCostsWOCC!$A$5:$Q$50,T151+1,FALSE)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HLOOKUP(I151,GasAvoidedCostsWOCC!$A$5:$Q$50,G151+1,FALSE)*J151*L151</f>
        <v>#N/A</v>
      </c>
      <c r="AL151" s="44" t="e">
        <f t="shared" si="72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9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HLOOKUP(I152,GasAvoidedCostsWOCC!$A$5:$G$50,G152+1,FALSE)</f>
        <v>#N/A</v>
      </c>
      <c r="AG152" s="44" t="e">
        <f t="shared" si="69"/>
        <v>#N/A</v>
      </c>
      <c r="AH152" s="52" t="e">
        <f>HLOOKUP(I152,GasAvoidedCostsWOCC!$A$5:$Q$50,T152+1,FALSE)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HLOOKUP(I152,GasAvoidedCostsWOCC!$A$5:$Q$50,G152+1,FALSE)*J152*L152</f>
        <v>#N/A</v>
      </c>
      <c r="AL152" s="44" t="e">
        <f t="shared" si="72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9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HLOOKUP(I153,GasAvoidedCostsWOCC!$A$5:$G$50,G153+1,FALSE)</f>
        <v>#N/A</v>
      </c>
      <c r="AG153" s="44" t="e">
        <f t="shared" si="69"/>
        <v>#N/A</v>
      </c>
      <c r="AH153" s="52" t="e">
        <f>HLOOKUP(I153,GasAvoidedCostsWOCC!$A$5:$Q$50,T153+1,FALSE)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HLOOKUP(I153,GasAvoidedCostsWOCC!$A$5:$Q$50,G153+1,FALSE)*J153*L153</f>
        <v>#N/A</v>
      </c>
      <c r="AL153" s="44" t="e">
        <f t="shared" si="72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9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HLOOKUP(I154,GasAvoidedCostsWOCC!$A$5:$G$50,G154+1,FALSE)</f>
        <v>#N/A</v>
      </c>
      <c r="AG154" s="44" t="e">
        <f t="shared" si="69"/>
        <v>#N/A</v>
      </c>
      <c r="AH154" s="52" t="e">
        <f>HLOOKUP(I154,GasAvoidedCostsWOCC!$A$5:$Q$50,T154+1,FALSE)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HLOOKUP(I154,GasAvoidedCostsWOCC!$A$5:$Q$50,G154+1,FALSE)*J154*L154</f>
        <v>#N/A</v>
      </c>
      <c r="AL154" s="44" t="e">
        <f t="shared" si="72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HLOOKUP(I155,GasAvoidedCostsWOCC!$A$5:$G$50,G155+1,FALSE)</f>
        <v>#N/A</v>
      </c>
      <c r="AG155" s="44" t="e">
        <f t="shared" si="69"/>
        <v>#N/A</v>
      </c>
      <c r="AH155" s="52" t="e">
        <f>HLOOKUP(I155,GasAvoidedCostsWOCC!$A$5:$Q$50,T155+1,FALSE)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HLOOKUP(I155,GasAvoidedCostsWOCC!$A$5:$Q$50,G155+1,FALSE)*J155*L155</f>
        <v>#N/A</v>
      </c>
      <c r="AL155" s="44" t="e">
        <f t="shared" si="72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HLOOKUP(I156,GasAvoidedCostsWOCC!$A$5:$G$50,G156+1,FALSE)</f>
        <v>#N/A</v>
      </c>
      <c r="AG156" s="44" t="e">
        <f t="shared" si="69"/>
        <v>#N/A</v>
      </c>
      <c r="AH156" s="52" t="e">
        <f>HLOOKUP(I156,GasAvoidedCostsWOCC!$A$5:$Q$50,T156+1,FALSE)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HLOOKUP(I156,GasAvoidedCostsWOCC!$A$5:$Q$50,G156+1,FALSE)*J156*L156</f>
        <v>#N/A</v>
      </c>
      <c r="AL156" s="44" t="e">
        <f t="shared" si="72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HLOOKUP(I157,GasAvoidedCostsWOCC!$A$5:$G$50,G157+1,FALSE)</f>
        <v>#N/A</v>
      </c>
      <c r="AG157" s="44" t="e">
        <f t="shared" si="69"/>
        <v>#N/A</v>
      </c>
      <c r="AH157" s="52" t="e">
        <f>HLOOKUP(I157,GasAvoidedCostsWOCC!$A$5:$Q$50,T157+1,FALSE)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HLOOKUP(I157,GasAvoidedCostsWOCC!$A$5:$Q$50,G157+1,FALSE)*J157*L157</f>
        <v>#N/A</v>
      </c>
      <c r="AL157" s="44" t="e">
        <f t="shared" si="72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HLOOKUP(I158,GasAvoidedCostsWOCC!$A$5:$G$50,G158+1,FALSE)</f>
        <v>#N/A</v>
      </c>
      <c r="AG158" s="44" t="e">
        <f t="shared" si="69"/>
        <v>#N/A</v>
      </c>
      <c r="AH158" s="52" t="e">
        <f>HLOOKUP(I158,GasAvoidedCostsWOCC!$A$5:$Q$50,T158+1,FALSE)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HLOOKUP(I158,GasAvoidedCostsWOCC!$A$5:$Q$50,G158+1,FALSE)*J158*L158</f>
        <v>#N/A</v>
      </c>
      <c r="AL158" s="44" t="e">
        <f t="shared" si="72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HLOOKUP(I159,GasAvoidedCostsWOCC!$A$5:$G$50,G159+1,FALSE)</f>
        <v>#N/A</v>
      </c>
      <c r="AG159" s="44" t="e">
        <f t="shared" si="69"/>
        <v>#N/A</v>
      </c>
      <c r="AH159" s="52" t="e">
        <f>HLOOKUP(I159,GasAvoidedCostsWOCC!$A$5:$Q$50,T159+1,FALSE)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HLOOKUP(I159,GasAvoidedCostsWOCC!$A$5:$Q$50,G159+1,FALSE)*J159*L159</f>
        <v>#N/A</v>
      </c>
      <c r="AL159" s="44" t="e">
        <f t="shared" si="72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HLOOKUP(I160,GasAvoidedCostsWOCC!$A$5:$G$50,G160+1,FALSE)</f>
        <v>#N/A</v>
      </c>
      <c r="AG160" s="44" t="e">
        <f t="shared" si="69"/>
        <v>#N/A</v>
      </c>
      <c r="AH160" s="52" t="e">
        <f>HLOOKUP(I160,GasAvoidedCostsWOCC!$A$5:$Q$50,T160+1,FALSE)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HLOOKUP(I160,GasAvoidedCostsWOCC!$A$5:$Q$50,G160+1,FALSE)*J160*L160</f>
        <v>#N/A</v>
      </c>
      <c r="AL160" s="44" t="e">
        <f t="shared" si="72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HLOOKUP(I161,GasAvoidedCostsWOCC!$A$5:$G$50,G161+1,FALSE)</f>
        <v>#N/A</v>
      </c>
      <c r="AG161" s="44" t="e">
        <f t="shared" si="69"/>
        <v>#N/A</v>
      </c>
      <c r="AH161" s="52" t="e">
        <f>HLOOKUP(I161,GasAvoidedCostsWOCC!$A$5:$Q$50,T161+1,FALSE)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HLOOKUP(I161,GasAvoidedCostsWOCC!$A$5:$Q$50,G161+1,FALSE)*J161*L161</f>
        <v>#N/A</v>
      </c>
      <c r="AL161" s="44" t="e">
        <f t="shared" si="72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HLOOKUP(I162,GasAvoidedCostsWOCC!$A$5:$G$50,G162+1,FALSE)</f>
        <v>#N/A</v>
      </c>
      <c r="AG162" s="44" t="e">
        <f t="shared" si="69"/>
        <v>#N/A</v>
      </c>
      <c r="AH162" s="52" t="e">
        <f>HLOOKUP(I162,GasAvoidedCostsWOCC!$A$5:$Q$50,T162+1,FALSE)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HLOOKUP(I162,GasAvoidedCostsWOCC!$A$5:$Q$50,G162+1,FALSE)*J162*L162</f>
        <v>#N/A</v>
      </c>
      <c r="AL162" s="44" t="e">
        <f t="shared" si="72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HLOOKUP(I163,GasAvoidedCostsWOCC!$A$5:$G$50,G163+1,FALSE)</f>
        <v>#N/A</v>
      </c>
      <c r="AG163" s="44" t="e">
        <f t="shared" si="69"/>
        <v>#N/A</v>
      </c>
      <c r="AH163" s="52" t="e">
        <f>HLOOKUP(I163,GasAvoidedCostsWOCC!$A$5:$Q$50,T163+1,FALSE)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HLOOKUP(I163,GasAvoidedCostsWOCC!$A$5:$Q$50,G163+1,FALSE)*J163*L163</f>
        <v>#N/A</v>
      </c>
      <c r="AL163" s="44" t="e">
        <f t="shared" si="72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HLOOKUP(I164,GasAvoidedCostsWOCC!$A$5:$G$50,G164+1,FALSE)</f>
        <v>#N/A</v>
      </c>
      <c r="AG164" s="44" t="e">
        <f t="shared" si="69"/>
        <v>#N/A</v>
      </c>
      <c r="AH164" s="52" t="e">
        <f>HLOOKUP(I164,GasAvoidedCostsWOCC!$A$5:$Q$50,T164+1,FALSE)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HLOOKUP(I164,GasAvoidedCostsWOCC!$A$5:$Q$50,G164+1,FALSE)*J164*L164</f>
        <v>#N/A</v>
      </c>
      <c r="AL164" s="44" t="e">
        <f t="shared" si="72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HLOOKUP(I165,GasAvoidedCostsWOCC!$A$5:$G$50,G165+1,FALSE)</f>
        <v>#N/A</v>
      </c>
      <c r="AG165" s="44" t="e">
        <f t="shared" si="69"/>
        <v>#N/A</v>
      </c>
      <c r="AH165" s="52" t="e">
        <f>HLOOKUP(I165,GasAvoidedCostsWOCC!$A$5:$Q$50,T165+1,FALSE)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HLOOKUP(I165,GasAvoidedCostsWOCC!$A$5:$Q$50,G165+1,FALSE)*J165*L165</f>
        <v>#N/A</v>
      </c>
      <c r="AL165" s="44" t="e">
        <f t="shared" si="72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HLOOKUP(I166,GasAvoidedCostsWOCC!$A$5:$G$50,G166+1,FALSE)</f>
        <v>#N/A</v>
      </c>
      <c r="AG166" s="44" t="e">
        <f t="shared" si="69"/>
        <v>#N/A</v>
      </c>
      <c r="AH166" s="52" t="e">
        <f>HLOOKUP(I166,GasAvoidedCostsWOCC!$A$5:$Q$50,T166+1,FALSE)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HLOOKUP(I166,GasAvoidedCostsWOCC!$A$5:$Q$50,G166+1,FALSE)*J166*L166</f>
        <v>#N/A</v>
      </c>
      <c r="AL166" s="44" t="e">
        <f t="shared" si="72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HLOOKUP(I167,GasAvoidedCostsWOCC!$A$5:$G$50,G167+1,FALSE)</f>
        <v>#N/A</v>
      </c>
      <c r="AG167" s="44" t="e">
        <f t="shared" si="69"/>
        <v>#N/A</v>
      </c>
      <c r="AH167" s="52" t="e">
        <f>HLOOKUP(I167,GasAvoidedCostsWOCC!$A$5:$Q$50,T167+1,FALSE)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HLOOKUP(I167,GasAvoidedCostsWOCC!$A$5:$Q$50,G167+1,FALSE)*J167*L167</f>
        <v>#N/A</v>
      </c>
      <c r="AL167" s="44" t="e">
        <f t="shared" si="72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HLOOKUP(I168,GasAvoidedCostsWOCC!$A$5:$G$50,G168+1,FALSE)</f>
        <v>#N/A</v>
      </c>
      <c r="AG168" s="44" t="e">
        <f t="shared" si="69"/>
        <v>#N/A</v>
      </c>
      <c r="AH168" s="52" t="e">
        <f>HLOOKUP(I168,GasAvoidedCostsWOCC!$A$5:$Q$50,T168+1,FALSE)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HLOOKUP(I168,GasAvoidedCostsWOCC!$A$5:$Q$50,G168+1,FALSE)*J168*L168</f>
        <v>#N/A</v>
      </c>
      <c r="AL168" s="44" t="e">
        <f t="shared" si="72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HLOOKUP(I169,GasAvoidedCostsWOCC!$A$5:$G$50,G169+1,FALSE)</f>
        <v>#N/A</v>
      </c>
      <c r="AG169" s="44" t="e">
        <f t="shared" si="69"/>
        <v>#N/A</v>
      </c>
      <c r="AH169" s="52" t="e">
        <f>HLOOKUP(I169,GasAvoidedCostsWOCC!$A$5:$Q$50,T169+1,FALSE)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HLOOKUP(I169,GasAvoidedCostsWOCC!$A$5:$Q$50,G169+1,FALSE)*J169*L169</f>
        <v>#N/A</v>
      </c>
      <c r="AL169" s="44" t="e">
        <f t="shared" si="72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HLOOKUP(I170,GasAvoidedCostsWOCC!$A$5:$G$50,G170+1,FALSE)</f>
        <v>#N/A</v>
      </c>
      <c r="AG170" s="44" t="e">
        <f t="shared" si="69"/>
        <v>#N/A</v>
      </c>
      <c r="AH170" s="52" t="e">
        <f>HLOOKUP(I170,GasAvoidedCostsWOCC!$A$5:$Q$50,T170+1,FALSE)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HLOOKUP(I170,GasAvoidedCostsWOCC!$A$5:$Q$50,G170+1,FALSE)*J170*L170</f>
        <v>#N/A</v>
      </c>
      <c r="AL170" s="44" t="e">
        <f t="shared" si="72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HLOOKUP(I171,GasAvoidedCostsWOCC!$A$5:$G$50,G171+1,FALSE)</f>
        <v>#N/A</v>
      </c>
      <c r="AG171" s="44" t="e">
        <f t="shared" si="69"/>
        <v>#N/A</v>
      </c>
      <c r="AH171" s="52" t="e">
        <f>HLOOKUP(I171,GasAvoidedCostsWOCC!$A$5:$Q$50,T171+1,FALSE)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HLOOKUP(I171,GasAvoidedCostsWOCC!$A$5:$Q$50,G171+1,FALSE)*J171*L171</f>
        <v>#N/A</v>
      </c>
      <c r="AL171" s="44" t="e">
        <f t="shared" si="72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HLOOKUP(I172,GasAvoidedCostsWOCC!$A$5:$G$50,G172+1,FALSE)</f>
        <v>#N/A</v>
      </c>
      <c r="AG172" s="44" t="e">
        <f t="shared" si="69"/>
        <v>#N/A</v>
      </c>
      <c r="AH172" s="52" t="e">
        <f>HLOOKUP(I172,GasAvoidedCostsWOCC!$A$5:$Q$50,T172+1,FALSE)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HLOOKUP(I172,GasAvoidedCostsWOCC!$A$5:$Q$50,G172+1,FALSE)*J172*L172</f>
        <v>#N/A</v>
      </c>
      <c r="AL172" s="44" t="e">
        <f t="shared" si="72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HLOOKUP(I173,GasAvoidedCostsWOCC!$A$5:$G$50,G173+1,FALSE)</f>
        <v>#N/A</v>
      </c>
      <c r="AG173" s="44" t="e">
        <f t="shared" si="69"/>
        <v>#N/A</v>
      </c>
      <c r="AH173" s="52" t="e">
        <f>HLOOKUP(I173,GasAvoidedCostsWOCC!$A$5:$Q$50,T173+1,FALSE)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HLOOKUP(I173,GasAvoidedCostsWOCC!$A$5:$Q$50,G173+1,FALSE)*J173*L173</f>
        <v>#N/A</v>
      </c>
      <c r="AL173" s="44" t="e">
        <f t="shared" si="72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HLOOKUP(I174,GasAvoidedCostsWOCC!$A$5:$G$50,G174+1,FALSE)</f>
        <v>#N/A</v>
      </c>
      <c r="AG174" s="44" t="e">
        <f t="shared" si="69"/>
        <v>#N/A</v>
      </c>
      <c r="AH174" s="52" t="e">
        <f>HLOOKUP(I174,GasAvoidedCostsWOCC!$A$5:$Q$50,T174+1,FALSE)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HLOOKUP(I174,GasAvoidedCostsWOCC!$A$5:$Q$50,G174+1,FALSE)*J174*L174</f>
        <v>#N/A</v>
      </c>
      <c r="AL174" s="44" t="e">
        <f t="shared" si="72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HLOOKUP(I175,GasAvoidedCostsWOCC!$A$5:$G$50,G175+1,FALSE)</f>
        <v>#N/A</v>
      </c>
      <c r="AG175" s="44" t="e">
        <f t="shared" si="69"/>
        <v>#N/A</v>
      </c>
      <c r="AH175" s="52" t="e">
        <f>HLOOKUP(I175,GasAvoidedCostsWOCC!$A$5:$Q$50,T175+1,FALSE)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HLOOKUP(I175,GasAvoidedCostsWOCC!$A$5:$Q$50,G175+1,FALSE)*J175*L175</f>
        <v>#N/A</v>
      </c>
      <c r="AL175" s="44" t="e">
        <f t="shared" si="72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HLOOKUP(I176,GasAvoidedCostsWOCC!$A$5:$G$50,G176+1,FALSE)</f>
        <v>#N/A</v>
      </c>
      <c r="AG176" s="44" t="e">
        <f t="shared" si="69"/>
        <v>#N/A</v>
      </c>
      <c r="AH176" s="52" t="e">
        <f>HLOOKUP(I176,GasAvoidedCostsWOCC!$A$5:$Q$50,T176+1,FALSE)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HLOOKUP(I176,GasAvoidedCostsWOCC!$A$5:$Q$50,G176+1,FALSE)*J176*L176</f>
        <v>#N/A</v>
      </c>
      <c r="AL176" s="44" t="e">
        <f t="shared" si="72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9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HLOOKUP(I177,GasAvoidedCostsWOCC!$A$5:$G$50,G177+1,FALSE)</f>
        <v>#N/A</v>
      </c>
      <c r="AG177" s="44" t="e">
        <f t="shared" si="69"/>
        <v>#N/A</v>
      </c>
      <c r="AH177" s="52" t="e">
        <f>HLOOKUP(I177,GasAvoidedCostsWOCC!$A$5:$Q$50,T177+1,FALSE)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HLOOKUP(I177,GasAvoidedCostsWOCC!$A$5:$Q$50,G177+1,FALSE)*J177*L177</f>
        <v>#N/A</v>
      </c>
      <c r="AL177" s="44" t="e">
        <f t="shared" si="72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9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HLOOKUP(I178,GasAvoidedCostsWOCC!$A$5:$G$50,G178+1,FALSE)</f>
        <v>#N/A</v>
      </c>
      <c r="AG178" s="44" t="e">
        <f t="shared" si="69"/>
        <v>#N/A</v>
      </c>
      <c r="AH178" s="52" t="e">
        <f>HLOOKUP(I178,GasAvoidedCostsWOCC!$A$5:$Q$50,T178+1,FALSE)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HLOOKUP(I178,GasAvoidedCostsWOCC!$A$5:$Q$50,G178+1,FALSE)*J178*L178</f>
        <v>#N/A</v>
      </c>
      <c r="AL178" s="44" t="e">
        <f t="shared" si="72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9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HLOOKUP(I179,GasAvoidedCostsWOCC!$A$5:$G$50,G179+1,FALSE)</f>
        <v>#N/A</v>
      </c>
      <c r="AG179" s="44" t="e">
        <f t="shared" si="69"/>
        <v>#N/A</v>
      </c>
      <c r="AH179" s="52" t="e">
        <f>HLOOKUP(I179,GasAvoidedCostsWOCC!$A$5:$Q$50,T179+1,FALSE)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HLOOKUP(I179,GasAvoidedCostsWOCC!$A$5:$Q$50,G179+1,FALSE)*J179*L179</f>
        <v>#N/A</v>
      </c>
      <c r="AL179" s="44" t="e">
        <f t="shared" si="72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9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HLOOKUP(I180,GasAvoidedCostsWOCC!$A$5:$G$50,G180+1,FALSE)</f>
        <v>#N/A</v>
      </c>
      <c r="AG180" s="44" t="e">
        <f t="shared" si="69"/>
        <v>#N/A</v>
      </c>
      <c r="AH180" s="52" t="e">
        <f>HLOOKUP(I180,GasAvoidedCostsWOCC!$A$5:$Q$50,T180+1,FALSE)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HLOOKUP(I180,GasAvoidedCostsWOCC!$A$5:$Q$50,G180+1,FALSE)*J180*L180</f>
        <v>#N/A</v>
      </c>
      <c r="AL180" s="44" t="e">
        <f t="shared" si="72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9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HLOOKUP(I181,GasAvoidedCostsWOCC!$A$5:$G$50,G181+1,FALSE)</f>
        <v>#N/A</v>
      </c>
      <c r="AG181" s="44" t="e">
        <f t="shared" si="69"/>
        <v>#N/A</v>
      </c>
      <c r="AH181" s="52" t="e">
        <f>HLOOKUP(I181,GasAvoidedCostsWOCC!$A$5:$Q$50,T181+1,FALSE)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HLOOKUP(I181,GasAvoidedCostsWOCC!$A$5:$Q$50,G181+1,FALSE)*J181*L181</f>
        <v>#N/A</v>
      </c>
      <c r="AL181" s="44" t="e">
        <f t="shared" si="72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HLOOKUP(I182,GasAvoidedCostsWOCC!$A$5:$G$50,G182+1,FALSE)</f>
        <v>#N/A</v>
      </c>
      <c r="AG182" s="44" t="e">
        <f t="shared" si="69"/>
        <v>#N/A</v>
      </c>
      <c r="AH182" s="52" t="e">
        <f>HLOOKUP(I182,GasAvoidedCostsWOCC!$A$5:$Q$50,T182+1,FALSE)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HLOOKUP(I182,GasAvoidedCostsWOCC!$A$5:$Q$50,G182+1,FALSE)*J182*L182</f>
        <v>#N/A</v>
      </c>
      <c r="AL182" s="44" t="e">
        <f t="shared" si="72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HLOOKUP(I183,GasAvoidedCostsWOCC!$A$5:$G$50,G183+1,FALSE)</f>
        <v>#N/A</v>
      </c>
      <c r="AG183" s="44" t="e">
        <f t="shared" si="69"/>
        <v>#N/A</v>
      </c>
      <c r="AH183" s="52" t="e">
        <f>HLOOKUP(I183,GasAvoidedCostsWOCC!$A$5:$Q$50,T183+1,FALSE)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HLOOKUP(I183,GasAvoidedCostsWOCC!$A$5:$Q$50,G183+1,FALSE)*J183*L183</f>
        <v>#N/A</v>
      </c>
      <c r="AL183" s="44" t="e">
        <f t="shared" si="72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HLOOKUP(I184,GasAvoidedCostsWOCC!$A$5:$G$50,G184+1,FALSE)</f>
        <v>#N/A</v>
      </c>
      <c r="AG184" s="44" t="e">
        <f t="shared" si="69"/>
        <v>#N/A</v>
      </c>
      <c r="AH184" s="52" t="e">
        <f>HLOOKUP(I184,GasAvoidedCostsWOCC!$A$5:$Q$50,T184+1,FALSE)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HLOOKUP(I184,GasAvoidedCostsWOCC!$A$5:$Q$50,G184+1,FALSE)*J184*L184</f>
        <v>#N/A</v>
      </c>
      <c r="AL184" s="44" t="e">
        <f t="shared" si="72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HLOOKUP(I185,GasAvoidedCostsWOCC!$A$5:$G$50,G185+1,FALSE)</f>
        <v>#N/A</v>
      </c>
      <c r="AG185" s="44" t="e">
        <f t="shared" si="69"/>
        <v>#N/A</v>
      </c>
      <c r="AH185" s="52" t="e">
        <f>HLOOKUP(I185,GasAvoidedCostsWOCC!$A$5:$Q$50,T185+1,FALSE)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HLOOKUP(I185,GasAvoidedCostsWOCC!$A$5:$Q$50,G185+1,FALSE)*J185*L185</f>
        <v>#N/A</v>
      </c>
      <c r="AL185" s="44" t="e">
        <f t="shared" si="72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HLOOKUP(I186,GasAvoidedCostsWOCC!$A$5:$G$50,G186+1,FALSE)</f>
        <v>#N/A</v>
      </c>
      <c r="AG186" s="44" t="e">
        <f t="shared" si="69"/>
        <v>#N/A</v>
      </c>
      <c r="AH186" s="52" t="e">
        <f>HLOOKUP(I186,GasAvoidedCostsWOCC!$A$5:$Q$50,T186+1,FALSE)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HLOOKUP(I186,GasAvoidedCostsWOCC!$A$5:$Q$50,G186+1,FALSE)*J186*L186</f>
        <v>#N/A</v>
      </c>
      <c r="AL186" s="44" t="e">
        <f t="shared" si="72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HLOOKUP(I187,GasAvoidedCostsWOCC!$A$5:$G$50,G187+1,FALSE)</f>
        <v>#N/A</v>
      </c>
      <c r="AG187" s="44" t="e">
        <f t="shared" si="69"/>
        <v>#N/A</v>
      </c>
      <c r="AH187" s="52" t="e">
        <f>HLOOKUP(I187,GasAvoidedCostsWOCC!$A$5:$Q$50,T187+1,FALSE)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HLOOKUP(I187,GasAvoidedCostsWOCC!$A$5:$Q$50,G187+1,FALSE)*J187*L187</f>
        <v>#N/A</v>
      </c>
      <c r="AL187" s="44" t="e">
        <f t="shared" si="72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HLOOKUP(I188,GasAvoidedCostsWOCC!$A$5:$G$50,G188+1,FALSE)</f>
        <v>#N/A</v>
      </c>
      <c r="AG188" s="44" t="e">
        <f t="shared" si="69"/>
        <v>#N/A</v>
      </c>
      <c r="AH188" s="52" t="e">
        <f>HLOOKUP(I188,GasAvoidedCostsWOCC!$A$5:$Q$50,T188+1,FALSE)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HLOOKUP(I188,GasAvoidedCostsWOCC!$A$5:$Q$50,G188+1,FALSE)*J188*L188</f>
        <v>#N/A</v>
      </c>
      <c r="AL188" s="44" t="e">
        <f t="shared" si="72"/>
        <v>#N/A</v>
      </c>
      <c r="AM188" s="48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HLOOKUP(I189,GasAvoidedCostsWOCC!$A$5:$G$50,G189+1,FALSE)</f>
        <v>#N/A</v>
      </c>
      <c r="AG189" s="44" t="e">
        <f t="shared" si="69"/>
        <v>#N/A</v>
      </c>
      <c r="AH189" s="52" t="e">
        <f>HLOOKUP(I189,GasAvoidedCostsWOCC!$A$5:$Q$50,T189+1,FALSE)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HLOOKUP(I189,GasAvoidedCostsWOCC!$A$5:$Q$50,G189+1,FALSE)*J189*L189</f>
        <v>#N/A</v>
      </c>
      <c r="AL189" s="44" t="e">
        <f t="shared" si="72"/>
        <v>#N/A</v>
      </c>
      <c r="AM189" s="48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HLOOKUP(I190,GasAvoidedCostsWOCC!$A$5:$G$50,G190+1,FALSE)</f>
        <v>#N/A</v>
      </c>
      <c r="AG190" s="44" t="e">
        <f t="shared" si="69"/>
        <v>#N/A</v>
      </c>
      <c r="AH190" s="52" t="e">
        <f>HLOOKUP(I190,GasAvoidedCostsWOCC!$A$5:$Q$50,T190+1,FALSE)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HLOOKUP(I190,GasAvoidedCostsWOCC!$A$5:$Q$50,G190+1,FALSE)*J190*L190</f>
        <v>#N/A</v>
      </c>
      <c r="AL190" s="44" t="e">
        <f t="shared" si="72"/>
        <v>#N/A</v>
      </c>
      <c r="AM190" s="48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HLOOKUP(I191,GasAvoidedCostsWOCC!$A$5:$G$50,G191+1,FALSE)</f>
        <v>#N/A</v>
      </c>
      <c r="AG191" s="44" t="e">
        <f t="shared" si="69"/>
        <v>#N/A</v>
      </c>
      <c r="AH191" s="52" t="e">
        <f>HLOOKUP(I191,GasAvoidedCostsWOCC!$A$5:$Q$50,T191+1,FALSE)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HLOOKUP(I191,GasAvoidedCostsWOCC!$A$5:$Q$50,G191+1,FALSE)*J191*L191</f>
        <v>#N/A</v>
      </c>
      <c r="AL191" s="44" t="e">
        <f t="shared" si="72"/>
        <v>#N/A</v>
      </c>
      <c r="AM191" s="48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HLOOKUP(I192,GasAvoidedCostsWOCC!$A$5:$G$50,G192+1,FALSE)</f>
        <v>#N/A</v>
      </c>
      <c r="AG192" s="44" t="e">
        <f t="shared" si="69"/>
        <v>#N/A</v>
      </c>
      <c r="AH192" s="52" t="e">
        <f>HLOOKUP(I192,GasAvoidedCostsWOCC!$A$5:$Q$50,T192+1,FALSE)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HLOOKUP(I192,GasAvoidedCostsWOCC!$A$5:$Q$50,G192+1,FALSE)*J192*L192</f>
        <v>#N/A</v>
      </c>
      <c r="AL192" s="44" t="e">
        <f t="shared" si="72"/>
        <v>#N/A</v>
      </c>
      <c r="AM192" s="48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HLOOKUP(I193,GasAvoidedCostsWOCC!$A$5:$G$50,G193+1,FALSE)</f>
        <v>#N/A</v>
      </c>
      <c r="AG193" s="44" t="e">
        <f t="shared" si="69"/>
        <v>#N/A</v>
      </c>
      <c r="AH193" s="52" t="e">
        <f>HLOOKUP(I193,GasAvoidedCostsWOCC!$A$5:$Q$50,T193+1,FALSE)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HLOOKUP(I193,GasAvoidedCostsWOCC!$A$5:$Q$50,G193+1,FALSE)*J193*L193</f>
        <v>#N/A</v>
      </c>
      <c r="AL193" s="44" t="e">
        <f t="shared" si="72"/>
        <v>#N/A</v>
      </c>
      <c r="AM193" s="48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HLOOKUP(I194,GasAvoidedCostsWOCC!$A$5:$G$50,G194+1,FALSE)</f>
        <v>#N/A</v>
      </c>
      <c r="AG194" s="44" t="e">
        <f t="shared" si="69"/>
        <v>#N/A</v>
      </c>
      <c r="AH194" s="52" t="e">
        <f>HLOOKUP(I194,GasAvoidedCostsWOCC!$A$5:$Q$50,T194+1,FALSE)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HLOOKUP(I194,GasAvoidedCostsWOCC!$A$5:$Q$50,G194+1,FALSE)*J194*L194</f>
        <v>#N/A</v>
      </c>
      <c r="AL194" s="44" t="e">
        <f t="shared" si="72"/>
        <v>#N/A</v>
      </c>
      <c r="AM194" s="48">
        <f>IF(O194=0,0,IF(H194=0, HLOOKUP(I194,GasAvoidedCostsWOCC!$A$5:$Q$50,T194+1,FALSE)*K194*J194,HLOOKUP(I194,GasAvoidedCostsWOCC!$A$5:$Q$50,T194+1,FALSE)*L194*J194+HLOOKUP(I194,GasAvoidedCostsWOCC!$A$5:$Q$50,G194+1,FALSE)*K194*J194-HLOOKUP(I194,GasAvoidedCostsWOCC!$A$5:$Q$50,G194+1,FALSE)*L194*J194))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HLOOKUP(I195,GasAvoidedCostsWOCC!$A$5:$G$50,G195+1,FALSE)</f>
        <v>#N/A</v>
      </c>
      <c r="AG195" s="44" t="e">
        <f t="shared" si="69"/>
        <v>#N/A</v>
      </c>
      <c r="AH195" s="52" t="e">
        <f>HLOOKUP(I195,GasAvoidedCostsWOCC!$A$5:$Q$50,T195+1,FALSE)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HLOOKUP(I195,GasAvoidedCostsWOCC!$A$5:$Q$50,G195+1,FALSE)*J195*L195</f>
        <v>#N/A</v>
      </c>
      <c r="AL195" s="44" t="e">
        <f t="shared" si="72"/>
        <v>#N/A</v>
      </c>
      <c r="AM195" s="48">
        <f>IF(O195=0,0,IF(H195=0, HLOOKUP(I195,GasAvoidedCostsWOCC!$A$5:$Q$50,T195+1,FALSE)*K195*J195,HLOOKUP(I195,GasAvoidedCostsWOCC!$A$5:$Q$50,T195+1,FALSE)*L195*J195+HLOOKUP(I195,GasAvoidedCostsWOCC!$A$5:$Q$50,G195+1,FALSE)*K195*J195-HLOOKUP(I195,GasAvoidedCostsWOCC!$A$5:$Q$50,G195+1,FALSE)*L195*J195))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HLOOKUP(I196,GasAvoidedCostsWOCC!$A$5:$G$50,G196+1,FALSE)</f>
        <v>#N/A</v>
      </c>
      <c r="AG196" s="44" t="e">
        <f t="shared" si="69"/>
        <v>#N/A</v>
      </c>
      <c r="AH196" s="52" t="e">
        <f>HLOOKUP(I196,GasAvoidedCostsWOCC!$A$5:$Q$50,T196+1,FALSE)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HLOOKUP(I196,GasAvoidedCostsWOCC!$A$5:$Q$50,G196+1,FALSE)*J196*L196</f>
        <v>#N/A</v>
      </c>
      <c r="AL196" s="44" t="e">
        <f t="shared" si="72"/>
        <v>#N/A</v>
      </c>
      <c r="AM196" s="48">
        <f>IF(O196=0,0,IF(H196=0, HLOOKUP(I196,GasAvoidedCostsWOCC!$A$5:$Q$50,T196+1,FALSE)*K196*J196,HLOOKUP(I196,GasAvoidedCostsWOCC!$A$5:$Q$50,T196+1,FALSE)*L196*J196+HLOOKUP(I196,GasAvoidedCostsWOCC!$A$5:$Q$50,G196+1,FALSE)*K196*J196-HLOOKUP(I196,GasAvoidedCostsWOCC!$A$5:$Q$50,G196+1,FALSE)*L196*J196))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HLOOKUP(I197,GasAvoidedCostsWOCC!$A$5:$G$50,G197+1,FALSE)</f>
        <v>#N/A</v>
      </c>
      <c r="AG197" s="44" t="e">
        <f t="shared" si="69"/>
        <v>#N/A</v>
      </c>
      <c r="AH197" s="52" t="e">
        <f>HLOOKUP(I197,GasAvoidedCostsWOCC!$A$5:$Q$50,T197+1,FALSE)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HLOOKUP(I197,GasAvoidedCostsWOCC!$A$5:$Q$50,G197+1,FALSE)*J197*L197</f>
        <v>#N/A</v>
      </c>
      <c r="AL197" s="44" t="e">
        <f t="shared" si="72"/>
        <v>#N/A</v>
      </c>
      <c r="AM197" s="48">
        <f>IF(O197=0,0,IF(H197=0, HLOOKUP(I197,GasAvoidedCostsWOCC!$A$5:$Q$50,T197+1,FALSE)*K197*J197,HLOOKUP(I197,GasAvoidedCostsWOCC!$A$5:$Q$50,T197+1,FALSE)*L197*J197+HLOOKUP(I197,GasAvoidedCostsWOCC!$A$5:$Q$50,G197+1,FALSE)*K197*J197-HLOOKUP(I197,GasAvoidedCostsWOCC!$A$5:$Q$50,G197+1,FALSE)*L197*J197))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HLOOKUP(I198,GasAvoidedCostsWOCC!$A$5:$G$50,G198+1,FALSE)</f>
        <v>#N/A</v>
      </c>
      <c r="AG198" s="44" t="e">
        <f t="shared" si="69"/>
        <v>#N/A</v>
      </c>
      <c r="AH198" s="52" t="e">
        <f>HLOOKUP(I198,GasAvoidedCostsWOCC!$A$5:$Q$50,T198+1,FALSE)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HLOOKUP(I198,GasAvoidedCostsWOCC!$A$5:$Q$50,G198+1,FALSE)*J198*L198</f>
        <v>#N/A</v>
      </c>
      <c r="AL198" s="44" t="e">
        <f t="shared" si="72"/>
        <v>#N/A</v>
      </c>
      <c r="AM198" s="48">
        <f>IF(O198=0,0,IF(H198=0, HLOOKUP(I198,GasAvoidedCostsWOCC!$A$5:$Q$50,T198+1,FALSE)*K198*J198,HLOOKUP(I198,GasAvoidedCostsWOCC!$A$5:$Q$50,T198+1,FALSE)*L198*J198+HLOOKUP(I198,GasAvoidedCostsWOCC!$A$5:$Q$50,G198+1,FALSE)*K198*J198-HLOOKUP(I198,GasAvoidedCostsWOCC!$A$5:$Q$50,G198+1,FALSE)*L198*J198))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HLOOKUP(I199,GasAvoidedCostsWOCC!$A$5:$G$50,G199+1,FALSE)</f>
        <v>#N/A</v>
      </c>
      <c r="AG199" s="44" t="e">
        <f t="shared" si="69"/>
        <v>#N/A</v>
      </c>
      <c r="AH199" s="52" t="e">
        <f>HLOOKUP(I199,GasAvoidedCostsWOCC!$A$5:$Q$50,T199+1,FALSE)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HLOOKUP(I199,GasAvoidedCostsWOCC!$A$5:$Q$50,G199+1,FALSE)*J199*L199</f>
        <v>#N/A</v>
      </c>
      <c r="AL199" s="44" t="e">
        <f t="shared" si="72"/>
        <v>#N/A</v>
      </c>
      <c r="AM199" s="48">
        <f>IF(O199=0,0,IF(H199=0, HLOOKUP(I199,GasAvoidedCostsWOCC!$A$5:$Q$50,T199+1,FALSE)*K199*J199,HLOOKUP(I199,GasAvoidedCostsWOCC!$A$5:$Q$50,T199+1,FALSE)*L199*J199+HLOOKUP(I199,GasAvoidedCostsWOCC!$A$5:$Q$50,G199+1,FALSE)*K199*J199-HLOOKUP(I199,GasAvoidedCostsWOCC!$A$5:$Q$50,G199+1,FALSE)*L199*J199))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HLOOKUP(I200,GasAvoidedCostsWOCC!$A$5:$G$50,G200+1,FALSE)</f>
        <v>#N/A</v>
      </c>
      <c r="AG200" s="44" t="e">
        <f t="shared" si="69"/>
        <v>#N/A</v>
      </c>
      <c r="AH200" s="52" t="e">
        <f>HLOOKUP(I200,GasAvoidedCostsWOCC!$A$5:$Q$50,T200+1,FALSE)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HLOOKUP(I200,GasAvoidedCostsWOCC!$A$5:$Q$50,G200+1,FALSE)*J200*L200</f>
        <v>#N/A</v>
      </c>
      <c r="AL200" s="44" t="e">
        <f t="shared" si="72"/>
        <v>#N/A</v>
      </c>
      <c r="AM200" s="48">
        <f>IF(O200=0,0,IF(H200=0, HLOOKUP(I200,GasAvoidedCostsWOCC!$A$5:$Q$50,T200+1,FALSE)*K200*J200,HLOOKUP(I200,GasAvoidedCostsWOCC!$A$5:$Q$50,T200+1,FALSE)*L200*J200+HLOOKUP(I200,GasAvoidedCostsWOCC!$A$5:$Q$50,G200+1,FALSE)*K200*J200-HLOOKUP(I200,GasAvoidedCostsWOCC!$A$5:$Q$50,G200+1,FALSE)*L200*J200))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HLOOKUP(I201,GasAvoidedCostsWOCC!$A$5:$G$50,G201+1,FALSE)</f>
        <v>#N/A</v>
      </c>
      <c r="AG201" s="44" t="e">
        <f t="shared" si="69"/>
        <v>#N/A</v>
      </c>
      <c r="AH201" s="52" t="e">
        <f>HLOOKUP(I201,GasAvoidedCostsWOCC!$A$5:$Q$50,T201+1,FALSE)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HLOOKUP(I201,GasAvoidedCostsWOCC!$A$5:$Q$50,G201+1,FALSE)*J201*L201</f>
        <v>#N/A</v>
      </c>
      <c r="AL201" s="44" t="e">
        <f t="shared" si="72"/>
        <v>#N/A</v>
      </c>
      <c r="AM201" s="48">
        <f>IF(O201=0,0,IF(H201=0, HLOOKUP(I201,GasAvoidedCostsWOCC!$A$5:$Q$50,T201+1,FALSE)*K201*J201,HLOOKUP(I201,GasAvoidedCostsWOCC!$A$5:$Q$50,T201+1,FALSE)*L201*J201+HLOOKUP(I201,GasAvoidedCostsWOCC!$A$5:$Q$50,G201+1,FALSE)*K201*J201-HLOOKUP(I201,GasAvoidedCostsWOCC!$A$5:$Q$50,G201+1,FALSE)*L201*J201))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HLOOKUP(I202,GasAvoidedCostsWOCC!$A$5:$G$50,G202+1,FALSE)</f>
        <v>#N/A</v>
      </c>
      <c r="AG202" s="44" t="e">
        <f t="shared" si="69"/>
        <v>#N/A</v>
      </c>
      <c r="AH202" s="52" t="e">
        <f>HLOOKUP(I202,GasAvoidedCostsWOCC!$A$5:$Q$50,T202+1,FALSE)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HLOOKUP(I202,GasAvoidedCostsWOCC!$A$5:$Q$50,G202+1,FALSE)*J202*L202</f>
        <v>#N/A</v>
      </c>
      <c r="AL202" s="44" t="e">
        <f t="shared" si="72"/>
        <v>#N/A</v>
      </c>
      <c r="AM202" s="48">
        <f>IF(O202=0,0,IF(H202=0, HLOOKUP(I202,GasAvoidedCostsWOCC!$A$5:$Q$50,T202+1,FALSE)*K202*J202,HLOOKUP(I202,GasAvoidedCostsWOCC!$A$5:$Q$50,T202+1,FALSE)*L202*J202+HLOOKUP(I202,GasAvoidedCostsWOCC!$A$5:$Q$50,G202+1,FALSE)*K202*J202-HLOOKUP(I202,GasAvoidedCostsWOCC!$A$5:$Q$50,G202+1,FALSE)*L202*J202))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HLOOKUP(I203,GasAvoidedCostsWOCC!$A$5:$G$50,G203+1,FALSE)</f>
        <v>#N/A</v>
      </c>
      <c r="AG203" s="44" t="e">
        <f t="shared" si="69"/>
        <v>#N/A</v>
      </c>
      <c r="AH203" s="52" t="e">
        <f>HLOOKUP(I203,GasAvoidedCostsWOCC!$A$5:$Q$50,T203+1,FALSE)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HLOOKUP(I203,GasAvoidedCostsWOCC!$A$5:$Q$50,G203+1,FALSE)*J203*L203</f>
        <v>#N/A</v>
      </c>
      <c r="AL203" s="44" t="e">
        <f t="shared" si="72"/>
        <v>#N/A</v>
      </c>
      <c r="AM203" s="48">
        <f>IF(O203=0,0,IF(H203=0, HLOOKUP(I203,GasAvoidedCostsWOCC!$A$5:$Q$50,T203+1,FALSE)*K203*J203,HLOOKUP(I203,GasAvoidedCostsWOCC!$A$5:$Q$50,T203+1,FALSE)*L203*J203+HLOOKUP(I203,GasAvoidedCostsWOCC!$A$5:$Q$50,G203+1,FALSE)*K203*J203-HLOOKUP(I203,GasAvoidedCostsWOCC!$A$5:$Q$50,G203+1,FALSE)*L203*J203))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HLOOKUP(I204,GasAvoidedCostsWOCC!$A$5:$G$50,G204+1,FALSE)</f>
        <v>#N/A</v>
      </c>
      <c r="AG204" s="44" t="e">
        <f t="shared" si="69"/>
        <v>#N/A</v>
      </c>
      <c r="AH204" s="52" t="e">
        <f>HLOOKUP(I204,GasAvoidedCostsWOCC!$A$5:$Q$50,T204+1,FALSE)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HLOOKUP(I204,GasAvoidedCostsWOCC!$A$5:$Q$50,G204+1,FALSE)*J204*L204</f>
        <v>#N/A</v>
      </c>
      <c r="AL204" s="44" t="e">
        <f t="shared" si="72"/>
        <v>#N/A</v>
      </c>
      <c r="AM204" s="48">
        <f>IF(O204=0,0,IF(H204=0, HLOOKUP(I204,GasAvoidedCostsWOCC!$A$5:$Q$50,T204+1,FALSE)*K204*J204,HLOOKUP(I204,GasAvoidedCostsWOCC!$A$5:$Q$50,T204+1,FALSE)*L204*J204+HLOOKUP(I204,GasAvoidedCostsWOCC!$A$5:$Q$50,G204+1,FALSE)*K204*J204-HLOOKUP(I204,GasAvoidedCostsWOCC!$A$5:$Q$50,G204+1,FALSE)*L204*J204))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HLOOKUP(I205,GasAvoidedCostsWOCC!$A$5:$G$50,G205+1,FALSE)</f>
        <v>#N/A</v>
      </c>
      <c r="AG205" s="44" t="e">
        <f t="shared" si="69"/>
        <v>#N/A</v>
      </c>
      <c r="AH205" s="52" t="e">
        <f>HLOOKUP(I205,GasAvoidedCostsWOCC!$A$5:$Q$50,T205+1,FALSE)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HLOOKUP(I205,GasAvoidedCostsWOCC!$A$5:$Q$50,G205+1,FALSE)*J205*L205</f>
        <v>#N/A</v>
      </c>
      <c r="AL205" s="44" t="e">
        <f t="shared" si="72"/>
        <v>#N/A</v>
      </c>
      <c r="AM205" s="48">
        <f>IF(O205=0,0,IF(H205=0, HLOOKUP(I205,GasAvoidedCostsWOCC!$A$5:$Q$50,T205+1,FALSE)*K205*J205,HLOOKUP(I205,GasAvoidedCostsWOCC!$A$5:$Q$50,T205+1,FALSE)*L205*J205+HLOOKUP(I205,GasAvoidedCostsWOCC!$A$5:$Q$50,G205+1,FALSE)*K205*J205-HLOOKUP(I205,GasAvoidedCostsWOCC!$A$5:$Q$50,G205+1,FALSE)*L205*J205))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HLOOKUP(I206,GasAvoidedCostsWOCC!$A$5:$G$50,G206+1,FALSE)</f>
        <v>#N/A</v>
      </c>
      <c r="AG206" s="44" t="e">
        <f t="shared" si="69"/>
        <v>#N/A</v>
      </c>
      <c r="AH206" s="52" t="e">
        <f>HLOOKUP(I206,GasAvoidedCostsWOCC!$A$5:$Q$50,T206+1,FALSE)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HLOOKUP(I206,GasAvoidedCostsWOCC!$A$5:$Q$50,G206+1,FALSE)*J206*L206</f>
        <v>#N/A</v>
      </c>
      <c r="AL206" s="44" t="e">
        <f t="shared" si="72"/>
        <v>#N/A</v>
      </c>
      <c r="AM206" s="48">
        <f>IF(O206=0,0,IF(H206=0, HLOOKUP(I206,GasAvoidedCostsWOCC!$A$5:$Q$50,T206+1,FALSE)*K206*J206,HLOOKUP(I206,GasAvoidedCostsWOCC!$A$5:$Q$50,T206+1,FALSE)*L206*J206+HLOOKUP(I206,GasAvoidedCostsWOCC!$A$5:$Q$50,G206+1,FALSE)*K206*J206-HLOOKUP(I206,GasAvoidedCostsWOCC!$A$5:$Q$50,G206+1,FALSE)*L206*J206))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HLOOKUP(I207,GasAvoidedCostsWOCC!$A$5:$G$50,G207+1,FALSE)</f>
        <v>#N/A</v>
      </c>
      <c r="AG207" s="44" t="e">
        <f t="shared" si="69"/>
        <v>#N/A</v>
      </c>
      <c r="AH207" s="52" t="e">
        <f>HLOOKUP(I207,GasAvoidedCostsWOCC!$A$5:$Q$50,T207+1,FALSE)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HLOOKUP(I207,GasAvoidedCostsWOCC!$A$5:$Q$50,G207+1,FALSE)*J207*L207</f>
        <v>#N/A</v>
      </c>
      <c r="AL207" s="44" t="e">
        <f t="shared" si="72"/>
        <v>#N/A</v>
      </c>
      <c r="AM207" s="48">
        <f>IF(O207=0,0,IF(H207=0, HLOOKUP(I207,GasAvoidedCostsWOCC!$A$5:$Q$50,T207+1,FALSE)*K207*J207,HLOOKUP(I207,GasAvoidedCostsWOCC!$A$5:$Q$50,T207+1,FALSE)*L207*J207+HLOOKUP(I207,GasAvoidedCostsWOCC!$A$5:$Q$50,G207+1,FALSE)*K207*J207-HLOOKUP(I207,GasAvoidedCostsWOCC!$A$5:$Q$50,G207+1,FALSE)*L207*J207))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HLOOKUP(I208,GasAvoidedCostsWOCC!$A$5:$G$50,G208+1,FALSE)</f>
        <v>#N/A</v>
      </c>
      <c r="AG208" s="44" t="e">
        <f t="shared" si="69"/>
        <v>#N/A</v>
      </c>
      <c r="AH208" s="52" t="e">
        <f>HLOOKUP(I208,GasAvoidedCostsWOCC!$A$5:$Q$50,T208+1,FALSE)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HLOOKUP(I208,GasAvoidedCostsWOCC!$A$5:$Q$50,G208+1,FALSE)*J208*L208</f>
        <v>#N/A</v>
      </c>
      <c r="AL208" s="44" t="e">
        <f t="shared" si="72"/>
        <v>#N/A</v>
      </c>
      <c r="AM208" s="48">
        <f>IF(O208=0,0,IF(H208=0, HLOOKUP(I208,GasAvoidedCostsWOCC!$A$5:$Q$50,T208+1,FALSE)*K208*J208,HLOOKUP(I208,GasAvoidedCostsWOCC!$A$5:$Q$50,T208+1,FALSE)*L208*J208+HLOOKUP(I208,GasAvoidedCostsWOCC!$A$5:$Q$50,G208+1,FALSE)*K208*J208-HLOOKUP(I208,GasAvoidedCostsWOCC!$A$5:$Q$50,G208+1,FALSE)*L208*J208))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ref="T209:T215" si="76">G209+H209</f>
        <v>0</v>
      </c>
      <c r="U209" s="47">
        <f t="shared" ref="U209:U215" si="77">(O209/$A$10)*T209</f>
        <v>0</v>
      </c>
      <c r="V209" s="48">
        <f t="shared" ref="V209:V215" si="78">N209-M209</f>
        <v>0</v>
      </c>
      <c r="W209" s="49">
        <f t="shared" ref="W209:W215" si="79">(O209/A$10)</f>
        <v>0</v>
      </c>
      <c r="X209" s="44">
        <f t="shared" ref="X209:X215" si="80">W209*A$8</f>
        <v>0</v>
      </c>
      <c r="Y209" s="44">
        <f t="shared" ref="Y209:Y215" si="81">Q209-P209</f>
        <v>0</v>
      </c>
      <c r="Z209" s="44">
        <f t="shared" ref="Z209:Z215" si="82">X209+(A$6*W209)</f>
        <v>0</v>
      </c>
      <c r="AA209" s="50">
        <f t="shared" ref="AA209:AA215" si="83">Q209+X209</f>
        <v>0</v>
      </c>
      <c r="AB209" s="51">
        <f t="shared" ref="AB209:AB215" si="84">Z209/(1+GasDiscountRate)^1</f>
        <v>0</v>
      </c>
      <c r="AC209" s="44">
        <f t="shared" ref="AC209:AC215" si="85">AA209/(1+GasDiscountRate)^1</f>
        <v>0</v>
      </c>
      <c r="AD209" s="44">
        <f t="shared" ref="AD209:AD215" si="86">-PV(GasDiscountRate,T209,R209)*J209</f>
        <v>0</v>
      </c>
      <c r="AE209" s="44">
        <f t="shared" ref="AE209:AE215" si="87">-PV(GasDiscountRate,T209,S209)*J209</f>
        <v>0</v>
      </c>
      <c r="AF209" s="52" t="e">
        <f>HLOOKUP(I209,GasAvoidedCostsWOCC!$A$5:$G$50,G209+1,FALSE)</f>
        <v>#N/A</v>
      </c>
      <c r="AG209" s="44" t="e">
        <f t="shared" ref="AG209:AG215" si="88">AF209*J209*K209</f>
        <v>#N/A</v>
      </c>
      <c r="AH209" s="52" t="e">
        <f>HLOOKUP(I209,GasAvoidedCostsWOCC!$A$5:$Q$50,T209+1,FALSE)</f>
        <v>#N/A</v>
      </c>
      <c r="AI209" s="44" t="e">
        <f t="shared" ref="AI209:AI215" si="89">AH209*J209*L209</f>
        <v>#N/A</v>
      </c>
      <c r="AJ209" s="44" t="e">
        <f t="shared" ref="AJ209:AJ215" si="90">AG209+AI209</f>
        <v>#N/A</v>
      </c>
      <c r="AK209" s="44" t="e">
        <f>HLOOKUP(I209,GasAvoidedCostsWOCC!$A$5:$Q$50,G209+1,FALSE)*J209*L209</f>
        <v>#N/A</v>
      </c>
      <c r="AL209" s="44" t="e">
        <f t="shared" ref="AL209:AL215" si="91">AG209+AI209-AK209</f>
        <v>#N/A</v>
      </c>
      <c r="AM209" s="48">
        <f>IF(O209=0,0,IF(H209=0, HLOOKUP(I209,GasAvoidedCostsWOCC!$A$5:$Q$50,T209+1,FALSE)*K209*J209,HLOOKUP(I209,GasAvoidedCostsWOCC!$A$5:$Q$50,T209+1,FALSE)*L209*J209+HLOOKUP(I209,GasAvoidedCostsWOCC!$A$5:$Q$50,G209+1,FALSE)*K209*J209-HLOOKUP(I209,GasAvoidedCostsWOCC!$A$5:$Q$50,G209+1,FALSE)*L209*J209))</f>
        <v>0</v>
      </c>
      <c r="AN209" s="48">
        <f t="shared" ref="AN209:AN215" si="92">AM209*1.1+AD209+AE209</f>
        <v>0</v>
      </c>
      <c r="AO209" s="47">
        <f t="shared" ref="AO209:AO215" si="93">IFERROR(AM209/AB209,0)</f>
        <v>0</v>
      </c>
      <c r="AP209" s="47" t="e">
        <f t="shared" ref="AP209:AP215" si="94">AN209/AC209</f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HLOOKUP(I210,GasAvoidedCostsWOCC!$A$5:$G$50,G210+1,FALSE)</f>
        <v>#N/A</v>
      </c>
      <c r="AG210" s="44" t="e">
        <f t="shared" si="88"/>
        <v>#N/A</v>
      </c>
      <c r="AH210" s="52" t="e">
        <f>HLOOKUP(I210,GasAvoidedCostsWOCC!$A$5:$Q$50,T210+1,FALSE)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HLOOKUP(I210,GasAvoidedCostsWOCC!$A$5:$Q$50,G210+1,FALSE)*J210*L210</f>
        <v>#N/A</v>
      </c>
      <c r="AL210" s="44" t="e">
        <f t="shared" si="91"/>
        <v>#N/A</v>
      </c>
      <c r="AM210" s="48">
        <f>IF(O210=0,0,IF(H210=0, HLOOKUP(I210,GasAvoidedCostsWOCC!$A$5:$Q$50,T210+1,FALSE)*K210*J210,HLOOKUP(I210,GasAvoidedCostsWOCC!$A$5:$Q$50,T210+1,FALSE)*L210*J210+HLOOKUP(I210,GasAvoidedCostsWOCC!$A$5:$Q$50,G210+1,FALSE)*K210*J210-HLOOKUP(I210,GasAvoidedCostsWOCC!$A$5:$Q$50,G210+1,FALSE)*L210*J210))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HLOOKUP(I211,GasAvoidedCostsWOCC!$A$5:$G$50,G211+1,FALSE)</f>
        <v>#N/A</v>
      </c>
      <c r="AG211" s="44" t="e">
        <f t="shared" si="88"/>
        <v>#N/A</v>
      </c>
      <c r="AH211" s="52" t="e">
        <f>HLOOKUP(I211,GasAvoidedCostsWOCC!$A$5:$Q$50,T211+1,FALSE)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HLOOKUP(I211,GasAvoidedCostsWOCC!$A$5:$Q$50,G211+1,FALSE)*J211*L211</f>
        <v>#N/A</v>
      </c>
      <c r="AL211" s="44" t="e">
        <f t="shared" si="91"/>
        <v>#N/A</v>
      </c>
      <c r="AM211" s="48">
        <f>IF(O211=0,0,IF(H211=0, HLOOKUP(I211,GasAvoidedCostsWOCC!$A$5:$Q$50,T211+1,FALSE)*K211*J211,HLOOKUP(I211,GasAvoidedCostsWOCC!$A$5:$Q$50,T211+1,FALSE)*L211*J211+HLOOKUP(I211,GasAvoidedCostsWOCC!$A$5:$Q$50,G211+1,FALSE)*K211*J211-HLOOKUP(I211,GasAvoidedCostsWOCC!$A$5:$Q$50,G211+1,FALSE)*L211*J211))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HLOOKUP(I212,GasAvoidedCostsWOCC!$A$5:$G$50,G212+1,FALSE)</f>
        <v>#N/A</v>
      </c>
      <c r="AG212" s="44" t="e">
        <f t="shared" si="88"/>
        <v>#N/A</v>
      </c>
      <c r="AH212" s="52" t="e">
        <f>HLOOKUP(I212,GasAvoidedCostsWOCC!$A$5:$Q$50,T212+1,FALSE)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HLOOKUP(I212,GasAvoidedCostsWOCC!$A$5:$Q$50,G212+1,FALSE)*J212*L212</f>
        <v>#N/A</v>
      </c>
      <c r="AL212" s="44" t="e">
        <f t="shared" si="91"/>
        <v>#N/A</v>
      </c>
      <c r="AM212" s="48">
        <f>IF(O212=0,0,IF(H212=0, HLOOKUP(I212,GasAvoidedCostsWOCC!$A$5:$Q$50,T212+1,FALSE)*K212*J212,HLOOKUP(I212,GasAvoidedCostsWOCC!$A$5:$Q$50,T212+1,FALSE)*L212*J212+HLOOKUP(I212,GasAvoidedCostsWOCC!$A$5:$Q$50,G212+1,FALSE)*K212*J212-HLOOKUP(I212,GasAvoidedCostsWOCC!$A$5:$Q$50,G212+1,FALSE)*L212*J212))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HLOOKUP(I213,GasAvoidedCostsWOCC!$A$5:$G$50,G213+1,FALSE)</f>
        <v>#N/A</v>
      </c>
      <c r="AG213" s="44" t="e">
        <f t="shared" si="88"/>
        <v>#N/A</v>
      </c>
      <c r="AH213" s="52" t="e">
        <f>HLOOKUP(I213,GasAvoidedCostsWOCC!$A$5:$Q$50,T213+1,FALSE)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HLOOKUP(I213,GasAvoidedCostsWOCC!$A$5:$Q$50,G213+1,FALSE)*J213*L213</f>
        <v>#N/A</v>
      </c>
      <c r="AL213" s="44" t="e">
        <f t="shared" si="91"/>
        <v>#N/A</v>
      </c>
      <c r="AM213" s="48">
        <f>IF(O213=0,0,IF(H213=0, HLOOKUP(I213,GasAvoidedCostsWOCC!$A$5:$Q$50,T213+1,FALSE)*K213*J213,HLOOKUP(I213,GasAvoidedCostsWOCC!$A$5:$Q$50,T213+1,FALSE)*L213*J213+HLOOKUP(I213,GasAvoidedCostsWOCC!$A$5:$Q$50,G213+1,FALSE)*K213*J213-HLOOKUP(I213,GasAvoidedCostsWOCC!$A$5:$Q$50,G213+1,FALSE)*L213*J213))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HLOOKUP(I214,GasAvoidedCostsWOCC!$A$5:$G$50,G214+1,FALSE)</f>
        <v>#N/A</v>
      </c>
      <c r="AG214" s="44" t="e">
        <f t="shared" si="88"/>
        <v>#N/A</v>
      </c>
      <c r="AH214" s="52" t="e">
        <f>HLOOKUP(I214,GasAvoidedCostsWOCC!$A$5:$Q$50,T214+1,FALSE)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HLOOKUP(I214,GasAvoidedCostsWOCC!$A$5:$Q$50,G214+1,FALSE)*J214*L214</f>
        <v>#N/A</v>
      </c>
      <c r="AL214" s="44" t="e">
        <f t="shared" si="91"/>
        <v>#N/A</v>
      </c>
      <c r="AM214" s="48">
        <f>IF(O214=0,0,IF(H214=0, HLOOKUP(I214,GasAvoidedCostsWOCC!$A$5:$Q$50,T214+1,FALSE)*K214*J214,HLOOKUP(I214,GasAvoidedCostsWOCC!$A$5:$Q$50,T214+1,FALSE)*L214*J214+HLOOKUP(I214,GasAvoidedCostsWOCC!$A$5:$Q$50,G214+1,FALSE)*K214*J214-HLOOKUP(I214,GasAvoidedCostsWOCC!$A$5:$Q$50,G214+1,FALSE)*L214*J214))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HLOOKUP(I215,GasAvoidedCostsWOCC!$A$5:$G$50,G215+1,FALSE)</f>
        <v>#N/A</v>
      </c>
      <c r="AG215" s="44" t="e">
        <f t="shared" si="88"/>
        <v>#N/A</v>
      </c>
      <c r="AH215" s="52" t="e">
        <f>HLOOKUP(I215,GasAvoidedCostsWOCC!$A$5:$Q$50,T215+1,FALSE)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HLOOKUP(I215,GasAvoidedCostsWOCC!$A$5:$Q$50,G215+1,FALSE)*J215*L215</f>
        <v>#N/A</v>
      </c>
      <c r="AL215" s="44" t="e">
        <f t="shared" si="91"/>
        <v>#N/A</v>
      </c>
      <c r="AM215" s="48">
        <f>IF(O215=0,0,IF(H215=0, HLOOKUP(I215,GasAvoidedCostsWOCC!$A$5:$Q$50,T215+1,FALSE)*K215*J215,HLOOKUP(I215,GasAvoidedCostsWOCC!$A$5:$Q$50,T215+1,FALSE)*L215*J215+HLOOKUP(I215,GasAvoidedCostsWOCC!$A$5:$Q$50,G215+1,FALSE)*K215*J215-HLOOKUP(I215,GasAvoidedCostsWOCC!$A$5:$Q$50,G215+1,FALSE)*L215*J215))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</sheetData>
  <conditionalFormatting sqref="J5:L215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215 R5:S215">
    <cfRule type="expression" dxfId="102" priority="2">
      <formula>ISTEXT(M5)</formula>
    </cfRule>
  </conditionalFormatting>
  <conditionalFormatting sqref="M5:N215 R5:S215">
    <cfRule type="notContainsBlanks" dxfId="101" priority="3">
      <formula>LEN(TRIM(M5))&gt;0</formula>
    </cfRule>
  </conditionalFormatting>
  <conditionalFormatting sqref="R5:S215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857</v>
      </c>
      <c r="F5" s="39" t="s">
        <v>858</v>
      </c>
      <c r="G5" s="39">
        <v>2</v>
      </c>
      <c r="H5" s="39"/>
      <c r="I5" s="40" t="s">
        <v>265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1.5739315627100203</v>
      </c>
      <c r="AG5" s="44">
        <f t="shared" ref="AG5:AG24" si="11">AF5*J5*K5</f>
        <v>0</v>
      </c>
      <c r="AH5" s="52">
        <f>HLOOKUP(I5,GasAvoidedCostsWOCC!$A$5:$Q$50,T5+1,FALSE)</f>
        <v>1.5739315627100203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895668.07</v>
      </c>
      <c r="B6" s="97"/>
      <c r="C6" s="99"/>
      <c r="D6" s="100"/>
      <c r="E6" s="38" t="s">
        <v>1709</v>
      </c>
      <c r="F6" s="39" t="s">
        <v>1710</v>
      </c>
      <c r="G6" s="39">
        <v>2</v>
      </c>
      <c r="H6" s="39"/>
      <c r="I6" s="40" t="s">
        <v>265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-0.71649230804512221</v>
      </c>
      <c r="V6" s="48">
        <f t="shared" si="2"/>
        <v>0</v>
      </c>
      <c r="W6" s="49">
        <f t="shared" si="3"/>
        <v>-0.3582461540225611</v>
      </c>
      <c r="X6" s="44">
        <f t="shared" si="4"/>
        <v>-338945.1731721338</v>
      </c>
      <c r="Y6" s="44">
        <f t="shared" si="5"/>
        <v>0</v>
      </c>
      <c r="Z6" s="44">
        <f t="shared" si="6"/>
        <v>-659814.81453044387</v>
      </c>
      <c r="AA6" s="50">
        <f t="shared" si="7"/>
        <v>36782.3268278662</v>
      </c>
      <c r="AB6" s="51">
        <f t="shared" si="8"/>
        <v>-616822.30020608008</v>
      </c>
      <c r="AC6" s="44">
        <f t="shared" si="9"/>
        <v>34385.647216851634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1.1161062744179617</v>
      </c>
      <c r="AP6" s="47">
        <f t="shared" ref="AP6:AP24" si="17">AN6/AC6</f>
        <v>-22.023234247453416</v>
      </c>
      <c r="AQ6">
        <v>2021</v>
      </c>
    </row>
    <row r="7" spans="1:43" ht="13.5" customHeight="1">
      <c r="A7" s="36" t="s">
        <v>249</v>
      </c>
      <c r="B7" s="97" t="s">
        <v>33</v>
      </c>
      <c r="C7" s="99">
        <v>18230738</v>
      </c>
      <c r="D7" s="100" t="s">
        <v>149</v>
      </c>
      <c r="E7" s="38" t="s">
        <v>2451</v>
      </c>
      <c r="F7" s="39" t="s">
        <v>2452</v>
      </c>
      <c r="G7" s="39">
        <v>2</v>
      </c>
      <c r="H7" s="39"/>
      <c r="I7" s="40" t="s">
        <v>265</v>
      </c>
      <c r="J7" s="41">
        <v>180000</v>
      </c>
      <c r="K7" s="41">
        <v>7.4547499999999998</v>
      </c>
      <c r="L7" s="41"/>
      <c r="M7" s="42">
        <v>2.5</v>
      </c>
      <c r="N7" s="42">
        <v>2.5</v>
      </c>
      <c r="O7" s="43">
        <v>1341855</v>
      </c>
      <c r="P7" s="44">
        <v>450000</v>
      </c>
      <c r="Q7" s="44">
        <v>450000</v>
      </c>
      <c r="R7" s="45">
        <v>0</v>
      </c>
      <c r="S7" s="46">
        <v>0</v>
      </c>
      <c r="T7" s="39">
        <f t="shared" si="0"/>
        <v>2</v>
      </c>
      <c r="U7" s="47">
        <f t="shared" si="1"/>
        <v>2.1980488979492216</v>
      </c>
      <c r="V7" s="48">
        <f t="shared" si="2"/>
        <v>0</v>
      </c>
      <c r="W7" s="49">
        <f t="shared" si="3"/>
        <v>1.0990244489746108</v>
      </c>
      <c r="X7" s="44">
        <f t="shared" si="4"/>
        <v>1039813.0670640753</v>
      </c>
      <c r="Y7" s="44">
        <f t="shared" si="5"/>
        <v>0</v>
      </c>
      <c r="Z7" s="44">
        <f t="shared" si="6"/>
        <v>2024174.1741599785</v>
      </c>
      <c r="AA7" s="50">
        <f t="shared" si="7"/>
        <v>1489813.0670640753</v>
      </c>
      <c r="AB7" s="51">
        <f t="shared" si="8"/>
        <v>1892282.1110217615</v>
      </c>
      <c r="AC7" s="44">
        <f t="shared" si="9"/>
        <v>1392739.1484192533</v>
      </c>
      <c r="AD7" s="44">
        <f t="shared" si="10"/>
        <v>0</v>
      </c>
      <c r="AE7" s="44">
        <v>0</v>
      </c>
      <c r="AF7" s="52">
        <f>HLOOKUP(I7,GasAvoidedCostsWOCC!$A$5:$G$50,G7+1,FALSE)</f>
        <v>1.5739315627100203</v>
      </c>
      <c r="AG7" s="44">
        <f t="shared" si="11"/>
        <v>2111987.9370802543</v>
      </c>
      <c r="AH7" s="52">
        <f>HLOOKUP(I7,GasAvoidedCostsWOCC!$A$5:$Q$50,T7+1,FALSE)</f>
        <v>1.5739315627100203</v>
      </c>
      <c r="AI7" s="44">
        <f t="shared" si="12"/>
        <v>0</v>
      </c>
      <c r="AJ7" s="44">
        <f t="shared" si="13"/>
        <v>2111987.9370802543</v>
      </c>
      <c r="AK7" s="44">
        <f>HLOOKUP(I7,GasAvoidedCostsWOCC!$A$5:$Q$50,G7+1,FALSE)*J7*L7</f>
        <v>0</v>
      </c>
      <c r="AL7" s="44">
        <f t="shared" si="14"/>
        <v>2111987.9370802543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2111987.9370802543</v>
      </c>
      <c r="AN7" s="48">
        <f t="shared" si="15"/>
        <v>2323186.7307882798</v>
      </c>
      <c r="AO7" s="47">
        <f t="shared" si="16"/>
        <v>1.1161062744179617</v>
      </c>
      <c r="AP7" s="47">
        <f t="shared" si="17"/>
        <v>1.6680702437531654</v>
      </c>
      <c r="AQ7">
        <v>2020</v>
      </c>
    </row>
    <row r="8" spans="1:43" ht="13.5" customHeight="1">
      <c r="A8" s="53">
        <f>SUMIF('Program Costs'!D:D,C2,'Program Costs'!O:O)</f>
        <v>946123.68999999983</v>
      </c>
      <c r="B8" s="97" t="s">
        <v>33</v>
      </c>
      <c r="C8" s="100">
        <v>18230738</v>
      </c>
      <c r="D8" s="100" t="s">
        <v>149</v>
      </c>
      <c r="E8" s="38"/>
      <c r="F8" s="39" t="s">
        <v>2581</v>
      </c>
      <c r="G8" s="39">
        <v>1</v>
      </c>
      <c r="H8" s="39"/>
      <c r="I8" s="40" t="s">
        <v>265</v>
      </c>
      <c r="J8" s="41">
        <v>1</v>
      </c>
      <c r="K8" s="41"/>
      <c r="L8" s="41"/>
      <c r="M8" s="42"/>
      <c r="N8" s="42"/>
      <c r="O8" s="43">
        <v>316497</v>
      </c>
      <c r="P8" s="44"/>
      <c r="Q8" s="44"/>
      <c r="R8" s="45"/>
      <c r="S8" s="46"/>
      <c r="T8" s="39">
        <f t="shared" si="0"/>
        <v>1</v>
      </c>
      <c r="U8" s="47">
        <f t="shared" si="1"/>
        <v>0.25922170504795033</v>
      </c>
      <c r="V8" s="48">
        <f t="shared" si="2"/>
        <v>0</v>
      </c>
      <c r="W8" s="49">
        <f t="shared" si="3"/>
        <v>0.25922170504795033</v>
      </c>
      <c r="X8" s="44">
        <f t="shared" si="4"/>
        <v>245255.79610805836</v>
      </c>
      <c r="Y8" s="44">
        <f t="shared" si="5"/>
        <v>0</v>
      </c>
      <c r="Z8" s="44">
        <f t="shared" si="6"/>
        <v>477432.40037046524</v>
      </c>
      <c r="AA8" s="50">
        <f t="shared" si="7"/>
        <v>245255.79610805836</v>
      </c>
      <c r="AB8" s="51">
        <f t="shared" si="8"/>
        <v>446323.64248898305</v>
      </c>
      <c r="AC8" s="44">
        <f t="shared" si="9"/>
        <v>229275.30719646474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0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1220951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825727.5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1.7407782949520498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1841791.7599999998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1771851.19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0.82678730294862235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0.94536553378827237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18230254</v>
      </c>
      <c r="D2" s="20" t="s">
        <v>1821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18230254</v>
      </c>
      <c r="D5" s="61" t="s">
        <v>1821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33</v>
      </c>
      <c r="C6" s="99">
        <v>18230254</v>
      </c>
      <c r="D6" s="100" t="s">
        <v>35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70424.309999999983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70424.309999999983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70424.309999999983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864</v>
      </c>
      <c r="F5" s="39" t="s">
        <v>865</v>
      </c>
      <c r="G5" s="39">
        <v>27</v>
      </c>
      <c r="H5" s="39"/>
      <c r="I5" s="40" t="s">
        <v>269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1.9016096123328041</v>
      </c>
      <c r="V5" s="48">
        <f t="shared" ref="V5:V24" si="2">N5-M5</f>
        <v>1465</v>
      </c>
      <c r="W5" s="49">
        <f t="shared" ref="W5:W24" si="3">(O5/A$10)</f>
        <v>7.0429985641955711E-2</v>
      </c>
      <c r="X5" s="44">
        <f t="shared" ref="X5:X24" si="4">W5*A$8</f>
        <v>2369.7358935993348</v>
      </c>
      <c r="Y5" s="44">
        <f t="shared" ref="Y5:Y24" si="5">Q5-P5</f>
        <v>10716.02</v>
      </c>
      <c r="Z5" s="44">
        <f t="shared" ref="Z5:Z24" si="6">X5+(A$6*W5)</f>
        <v>4447.4204700370283</v>
      </c>
      <c r="AA5" s="50">
        <f t="shared" ref="AA5:AA24" si="7">Q5+X5</f>
        <v>18335.755893599337</v>
      </c>
      <c r="AB5" s="51">
        <f t="shared" ref="AB5:AB24" si="8">Z5/(1+GasDiscountRate)^1</f>
        <v>4157.6334206198262</v>
      </c>
      <c r="AC5" s="44">
        <f t="shared" ref="AC5:AC24" si="9">AA5/(1+GasDiscountRate)^1</f>
        <v>17141.026356547944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3.9203724075829003</v>
      </c>
      <c r="AP5" s="47">
        <f>AN5/AC5</f>
        <v>1.0883591134514012</v>
      </c>
      <c r="AQ5">
        <v>2021</v>
      </c>
    </row>
    <row r="6" spans="1:43" ht="13.5" customHeight="1">
      <c r="A6" s="53">
        <f>SUMIF('Program Costs'!D:D,C2,'Program Costs'!L:L)</f>
        <v>29500</v>
      </c>
      <c r="B6" s="97"/>
      <c r="C6" s="99"/>
      <c r="D6" s="100"/>
      <c r="E6" s="38" t="s">
        <v>866</v>
      </c>
      <c r="F6" s="39" t="s">
        <v>867</v>
      </c>
      <c r="G6" s="39">
        <v>27</v>
      </c>
      <c r="H6" s="39"/>
      <c r="I6" s="40" t="s">
        <v>269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0.19383359782362275</v>
      </c>
      <c r="V6" s="48">
        <f t="shared" si="2"/>
        <v>2773</v>
      </c>
      <c r="W6" s="49">
        <f t="shared" si="3"/>
        <v>7.1790221416156577E-3</v>
      </c>
      <c r="X6" s="44">
        <f t="shared" si="4"/>
        <v>241.55033250207816</v>
      </c>
      <c r="Y6" s="44">
        <f t="shared" si="5"/>
        <v>2773</v>
      </c>
      <c r="Z6" s="44">
        <f t="shared" si="6"/>
        <v>453.33148567974007</v>
      </c>
      <c r="AA6" s="50">
        <f t="shared" si="7"/>
        <v>4014.5503325020782</v>
      </c>
      <c r="AB6" s="51">
        <f t="shared" si="8"/>
        <v>423.79310617905958</v>
      </c>
      <c r="AC6" s="44">
        <f t="shared" si="9"/>
        <v>3752.9684327400932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3.9203724075829003</v>
      </c>
      <c r="AP6" s="47">
        <f t="shared" ref="AP6:AP24" si="17">AN6/AC6</f>
        <v>0.53488325345476084</v>
      </c>
      <c r="AQ6">
        <v>2021</v>
      </c>
    </row>
    <row r="7" spans="1:43" ht="13.5" customHeight="1">
      <c r="A7" s="36" t="s">
        <v>249</v>
      </c>
      <c r="B7" s="97" t="s">
        <v>105</v>
      </c>
      <c r="C7" s="99">
        <v>18230684</v>
      </c>
      <c r="D7" s="100" t="s">
        <v>106</v>
      </c>
      <c r="E7" s="38" t="s">
        <v>2012</v>
      </c>
      <c r="F7" s="39" t="s">
        <v>865</v>
      </c>
      <c r="G7" s="39">
        <v>36</v>
      </c>
      <c r="H7" s="39"/>
      <c r="I7" s="40" t="s">
        <v>269</v>
      </c>
      <c r="J7" s="41">
        <v>8</v>
      </c>
      <c r="K7" s="41">
        <v>247</v>
      </c>
      <c r="L7" s="41"/>
      <c r="M7" s="42">
        <v>750</v>
      </c>
      <c r="N7" s="42">
        <v>797</v>
      </c>
      <c r="O7" s="43">
        <v>1976</v>
      </c>
      <c r="P7" s="44">
        <v>6000</v>
      </c>
      <c r="Q7" s="44">
        <v>6376</v>
      </c>
      <c r="R7" s="45"/>
      <c r="S7" s="46">
        <v>0</v>
      </c>
      <c r="T7" s="39">
        <v>36</v>
      </c>
      <c r="U7" s="47">
        <f t="shared" si="1"/>
        <v>5.3756517796418049</v>
      </c>
      <c r="V7" s="48">
        <f t="shared" si="2"/>
        <v>47</v>
      </c>
      <c r="W7" s="49">
        <f t="shared" si="3"/>
        <v>0.1493236605456057</v>
      </c>
      <c r="X7" s="44">
        <f t="shared" si="4"/>
        <v>5024.2469160432265</v>
      </c>
      <c r="Y7" s="44">
        <f t="shared" si="5"/>
        <v>376</v>
      </c>
      <c r="Z7" s="44">
        <f t="shared" si="6"/>
        <v>9429.2949021385939</v>
      </c>
      <c r="AA7" s="50">
        <f t="shared" si="7"/>
        <v>11400.246916043227</v>
      </c>
      <c r="AB7" s="51">
        <f t="shared" si="8"/>
        <v>8814.8966085244392</v>
      </c>
      <c r="AC7" s="44">
        <f t="shared" si="9"/>
        <v>10657.424433059012</v>
      </c>
      <c r="AD7" s="44">
        <f t="shared" si="10"/>
        <v>0</v>
      </c>
      <c r="AE7" s="44">
        <v>0</v>
      </c>
      <c r="AF7" s="52">
        <f>HLOOKUP(I7,GasAvoidedCostsWOCC!$A$5:$G$50,G7+1,FALSE)</f>
        <v>21.975375626131143</v>
      </c>
      <c r="AG7" s="44">
        <f t="shared" si="11"/>
        <v>43423.342237235142</v>
      </c>
      <c r="AH7" s="52">
        <f>HLOOKUP(I7,GasAvoidedCostsWOCC!$A$5:$Q$50,T7+1,FALSE)</f>
        <v>21.975375626131143</v>
      </c>
      <c r="AI7" s="44">
        <f t="shared" si="12"/>
        <v>0</v>
      </c>
      <c r="AJ7" s="44">
        <f t="shared" si="13"/>
        <v>43423.342237235142</v>
      </c>
      <c r="AK7" s="44">
        <f>HLOOKUP(I7,GasAvoidedCostsWOCC!$A$5:$Q$50,G7+1,FALSE)*J7*L7</f>
        <v>0</v>
      </c>
      <c r="AL7" s="44">
        <f t="shared" si="14"/>
        <v>43423.342237235142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43423.342237235142</v>
      </c>
      <c r="AN7" s="48">
        <f t="shared" si="15"/>
        <v>47765.676460958661</v>
      </c>
      <c r="AO7" s="47">
        <f t="shared" si="16"/>
        <v>4.9261317705351901</v>
      </c>
      <c r="AP7" s="47">
        <f t="shared" si="17"/>
        <v>4.4819155660903363</v>
      </c>
    </row>
    <row r="8" spans="1:43" ht="13.5" customHeight="1">
      <c r="A8" s="53">
        <f>SUMIF('Program Costs'!D:D,C2,'Program Costs'!O:O)</f>
        <v>33646.69</v>
      </c>
      <c r="B8" s="97" t="s">
        <v>105</v>
      </c>
      <c r="C8" s="100">
        <v>18230684</v>
      </c>
      <c r="D8" s="100" t="s">
        <v>106</v>
      </c>
      <c r="E8" s="38" t="s">
        <v>661</v>
      </c>
      <c r="F8" s="39" t="s">
        <v>662</v>
      </c>
      <c r="G8" s="39">
        <v>11</v>
      </c>
      <c r="H8" s="39"/>
      <c r="I8" s="40" t="s">
        <v>269</v>
      </c>
      <c r="J8" s="41">
        <v>310</v>
      </c>
      <c r="K8" s="41">
        <v>33</v>
      </c>
      <c r="L8" s="41"/>
      <c r="M8" s="42">
        <v>75</v>
      </c>
      <c r="N8" s="42">
        <v>172.38</v>
      </c>
      <c r="O8" s="43">
        <v>10230</v>
      </c>
      <c r="P8" s="44">
        <v>23250</v>
      </c>
      <c r="Q8" s="44">
        <v>53437.799999999697</v>
      </c>
      <c r="R8" s="45">
        <v>0</v>
      </c>
      <c r="S8" s="46">
        <v>0</v>
      </c>
      <c r="T8" s="39">
        <v>11</v>
      </c>
      <c r="U8" s="47">
        <f t="shared" si="1"/>
        <v>8.5037406483790523</v>
      </c>
      <c r="V8" s="48">
        <f t="shared" si="2"/>
        <v>97.38</v>
      </c>
      <c r="W8" s="49">
        <f t="shared" si="3"/>
        <v>0.77306733167082298</v>
      </c>
      <c r="X8" s="44">
        <f t="shared" si="4"/>
        <v>26011.156857855363</v>
      </c>
      <c r="Y8" s="44">
        <f t="shared" si="5"/>
        <v>30187.799999999697</v>
      </c>
      <c r="Z8" s="44">
        <f t="shared" si="6"/>
        <v>48816.64314214464</v>
      </c>
      <c r="AA8" s="50">
        <f t="shared" si="7"/>
        <v>79448.956857855053</v>
      </c>
      <c r="AB8" s="51">
        <f t="shared" si="8"/>
        <v>45635.826065387148</v>
      </c>
      <c r="AC8" s="44">
        <f t="shared" si="9"/>
        <v>74272.185526647707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84374.678408308813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84374.678408308813</v>
      </c>
      <c r="AK8" s="44">
        <f>HLOOKUP(I8,GasAvoidedCostsWOCC!$A$5:$Q$50,G8+1,FALSE)*J8*L8</f>
        <v>0</v>
      </c>
      <c r="AL8" s="44">
        <f t="shared" si="14"/>
        <v>84374.678408308813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84374.678408308813</v>
      </c>
      <c r="AN8" s="48">
        <f t="shared" si="15"/>
        <v>92812.146249139696</v>
      </c>
      <c r="AO8" s="47">
        <f t="shared" si="16"/>
        <v>1.8488693134954219</v>
      </c>
      <c r="AP8" s="47">
        <f t="shared" si="17"/>
        <v>1.2496218549518803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13233</v>
      </c>
      <c r="B10" s="97"/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35500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44052.819999999701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15.974835638177284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63146.69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113199.5099999997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2.4691447077928923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1.523675320898636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18230752</v>
      </c>
      <c r="D2" s="20" t="s">
        <v>319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18230752</v>
      </c>
      <c r="D5" s="61" t="s">
        <v>319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93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908</v>
      </c>
      <c r="F5" s="39" t="s">
        <v>909</v>
      </c>
      <c r="G5" s="39">
        <v>15</v>
      </c>
      <c r="H5" s="39"/>
      <c r="I5" s="40" t="s">
        <v>255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0.43074925399223407</v>
      </c>
      <c r="V5" s="48">
        <f t="shared" ref="V5:V24" si="2">N5-M5</f>
        <v>2.1399999999999997</v>
      </c>
      <c r="W5" s="49">
        <f t="shared" ref="W5:W24" si="3">(O5/A$10)</f>
        <v>2.8716616932815606E-2</v>
      </c>
      <c r="X5" s="44">
        <f t="shared" ref="X5:X24" si="4">W5*A$8</f>
        <v>6430.3971632976691</v>
      </c>
      <c r="Y5" s="44">
        <f t="shared" ref="Y5:Y24" si="5">Q5-P5</f>
        <v>46260</v>
      </c>
      <c r="Z5" s="44">
        <f t="shared" ref="Z5:Z24" si="6">X5+(A$6*W5)</f>
        <v>17498.9750789707</v>
      </c>
      <c r="AA5" s="50">
        <f t="shared" ref="AA5:AA24" si="7">Q5+X5</f>
        <v>61430.397163297668</v>
      </c>
      <c r="AB5" s="51">
        <f t="shared" ref="AB5:AB24" si="8">Z5/(1+GasDiscountRate)^1</f>
        <v>16358.768887511169</v>
      </c>
      <c r="AC5" s="44">
        <f t="shared" ref="AC5:AC24" si="9">AA5/(1+GasDiscountRate)^1</f>
        <v>57427.687354676695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1.0839149899097926</v>
      </c>
      <c r="AP5" s="47">
        <f>AN5/AC5</f>
        <v>0.33963872120682292</v>
      </c>
      <c r="AQ5">
        <v>2021</v>
      </c>
    </row>
    <row r="6" spans="1:43" ht="13.5" customHeight="1">
      <c r="A6" s="53">
        <f>SUMIF('Program Costs'!D:D,C2,'Program Costs'!L:L)</f>
        <v>385441.57</v>
      </c>
      <c r="B6" s="97" t="s">
        <v>145</v>
      </c>
      <c r="C6" s="98">
        <v>18230736</v>
      </c>
      <c r="D6" s="61" t="s">
        <v>146</v>
      </c>
      <c r="E6" s="38" t="s">
        <v>910</v>
      </c>
      <c r="F6" s="39" t="s">
        <v>911</v>
      </c>
      <c r="G6" s="39">
        <v>24</v>
      </c>
      <c r="H6" s="39"/>
      <c r="I6" s="40" t="s">
        <v>261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1.3224100667184926</v>
      </c>
      <c r="V6" s="48">
        <f t="shared" si="2"/>
        <v>2.1399999999999997</v>
      </c>
      <c r="W6" s="49">
        <f t="shared" si="3"/>
        <v>5.5100419446603856E-2</v>
      </c>
      <c r="X6" s="44">
        <f t="shared" si="4"/>
        <v>12338.416525000219</v>
      </c>
      <c r="Y6" s="44">
        <f t="shared" si="5"/>
        <v>54304</v>
      </c>
      <c r="Z6" s="44">
        <f t="shared" si="6"/>
        <v>33576.408704157744</v>
      </c>
      <c r="AA6" s="50">
        <f t="shared" si="7"/>
        <v>83412.416525000212</v>
      </c>
      <c r="AB6" s="51">
        <f t="shared" si="8"/>
        <v>31388.621766997981</v>
      </c>
      <c r="AC6" s="44">
        <f t="shared" si="9"/>
        <v>77977.392282883244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1.7936191003959499</v>
      </c>
      <c r="AP6" s="47">
        <f t="shared" ref="AP6:AP24" si="17">AN6/AC6</f>
        <v>0.79419371277981088</v>
      </c>
      <c r="AQ6">
        <v>2021</v>
      </c>
    </row>
    <row r="7" spans="1:43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</f>
        <v>223926.00000000006</v>
      </c>
      <c r="B8" s="97" t="s">
        <v>145</v>
      </c>
      <c r="C8" s="98">
        <v>18230736</v>
      </c>
      <c r="D8" s="61" t="s">
        <v>146</v>
      </c>
      <c r="E8" s="38" t="s">
        <v>931</v>
      </c>
      <c r="F8" s="39" t="s">
        <v>932</v>
      </c>
      <c r="G8" s="39">
        <v>45</v>
      </c>
      <c r="H8" s="39"/>
      <c r="I8" s="40" t="s">
        <v>269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20.863000051913339</v>
      </c>
      <c r="V8" s="48">
        <f t="shared" si="2"/>
        <v>16.3</v>
      </c>
      <c r="W8" s="49">
        <f t="shared" si="3"/>
        <v>0.46362222337585196</v>
      </c>
      <c r="X8" s="44">
        <f t="shared" si="4"/>
        <v>103817.06999166105</v>
      </c>
      <c r="Y8" s="44">
        <f t="shared" si="5"/>
        <v>354768</v>
      </c>
      <c r="Z8" s="44">
        <f t="shared" si="6"/>
        <v>282516.34765654011</v>
      </c>
      <c r="AA8" s="50">
        <f t="shared" si="7"/>
        <v>675599.069991661</v>
      </c>
      <c r="AB8" s="51">
        <f t="shared" si="8"/>
        <v>264108.01874968689</v>
      </c>
      <c r="AC8" s="44">
        <f t="shared" si="9"/>
        <v>631578.07795798907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2.9325262424651934</v>
      </c>
      <c r="AP8" s="47">
        <f t="shared" si="17"/>
        <v>1.3489291271260855</v>
      </c>
      <c r="AQ8">
        <v>2021</v>
      </c>
    </row>
    <row r="9" spans="1:43" ht="13.5" customHeight="1">
      <c r="A9" s="36" t="s">
        <v>303</v>
      </c>
      <c r="B9" s="97" t="s">
        <v>145</v>
      </c>
      <c r="C9" s="98">
        <v>18230736</v>
      </c>
      <c r="D9" s="61" t="s">
        <v>146</v>
      </c>
      <c r="E9" s="38" t="s">
        <v>937</v>
      </c>
      <c r="F9" s="39" t="s">
        <v>938</v>
      </c>
      <c r="G9" s="39">
        <v>18</v>
      </c>
      <c r="H9" s="39"/>
      <c r="I9" s="40" t="s">
        <v>269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0.10882086416645913</v>
      </c>
      <c r="V9" s="48">
        <f t="shared" si="2"/>
        <v>187</v>
      </c>
      <c r="W9" s="49">
        <f t="shared" si="3"/>
        <v>6.045603564803285E-3</v>
      </c>
      <c r="X9" s="44">
        <f t="shared" si="4"/>
        <v>1353.7678238521407</v>
      </c>
      <c r="Y9" s="44">
        <f t="shared" si="5"/>
        <v>374</v>
      </c>
      <c r="Z9" s="44">
        <f t="shared" si="6"/>
        <v>3683.9947534675157</v>
      </c>
      <c r="AA9" s="50">
        <f t="shared" si="7"/>
        <v>3327.7678238521407</v>
      </c>
      <c r="AB9" s="51">
        <f t="shared" si="8"/>
        <v>3443.9513447391937</v>
      </c>
      <c r="AC9" s="44">
        <f t="shared" si="9"/>
        <v>3110.9356117155653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1.3462288733177876</v>
      </c>
      <c r="AP9" s="47">
        <f t="shared" si="17"/>
        <v>1.6393722175548426</v>
      </c>
      <c r="AQ9">
        <v>2021</v>
      </c>
    </row>
    <row r="10" spans="1:43" ht="13.5" customHeight="1">
      <c r="A10" s="54">
        <f>SUM(O5:O999)</f>
        <v>60870.679999999993</v>
      </c>
      <c r="B10" s="97" t="s">
        <v>145</v>
      </c>
      <c r="C10" s="98">
        <v>18230736</v>
      </c>
      <c r="D10" s="61" t="s">
        <v>146</v>
      </c>
      <c r="E10" s="38" t="s">
        <v>939</v>
      </c>
      <c r="F10" s="39" t="s">
        <v>938</v>
      </c>
      <c r="G10" s="39">
        <v>20</v>
      </c>
      <c r="H10" s="39"/>
      <c r="I10" s="40" t="s">
        <v>269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6.0456035648032848E-2</v>
      </c>
      <c r="V10" s="48">
        <f t="shared" si="2"/>
        <v>187</v>
      </c>
      <c r="W10" s="49">
        <f t="shared" si="3"/>
        <v>3.0228017824016425E-3</v>
      </c>
      <c r="X10" s="44">
        <f t="shared" si="4"/>
        <v>676.88391192607037</v>
      </c>
      <c r="Y10" s="44">
        <f t="shared" si="5"/>
        <v>187</v>
      </c>
      <c r="Z10" s="44">
        <f t="shared" si="6"/>
        <v>1841.9973767337578</v>
      </c>
      <c r="AA10" s="50">
        <f t="shared" si="7"/>
        <v>1663.8839119260704</v>
      </c>
      <c r="AB10" s="51">
        <f t="shared" si="8"/>
        <v>1721.9756723695969</v>
      </c>
      <c r="AC10" s="44">
        <f t="shared" si="9"/>
        <v>1555.4678058577827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1.4708967123033554</v>
      </c>
      <c r="AP10" s="47">
        <f t="shared" si="17"/>
        <v>1.7911866643448986</v>
      </c>
      <c r="AQ10">
        <v>2021</v>
      </c>
    </row>
    <row r="11" spans="1:43" ht="13.5" customHeight="1">
      <c r="A11" s="36" t="s">
        <v>251</v>
      </c>
      <c r="B11" s="97" t="s">
        <v>145</v>
      </c>
      <c r="C11" s="98">
        <v>18230736</v>
      </c>
      <c r="D11" s="61" t="s">
        <v>146</v>
      </c>
      <c r="E11" s="38" t="s">
        <v>940</v>
      </c>
      <c r="F11" s="39" t="s">
        <v>941</v>
      </c>
      <c r="G11" s="39">
        <v>20</v>
      </c>
      <c r="H11" s="39"/>
      <c r="I11" s="40" t="s">
        <v>269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7.2284390448734942E-2</v>
      </c>
      <c r="V11" s="48">
        <f t="shared" si="2"/>
        <v>253</v>
      </c>
      <c r="W11" s="49">
        <f t="shared" si="3"/>
        <v>3.6142195224367468E-3</v>
      </c>
      <c r="X11" s="44">
        <f t="shared" si="4"/>
        <v>809.31772078117115</v>
      </c>
      <c r="Y11" s="44">
        <f t="shared" si="5"/>
        <v>506</v>
      </c>
      <c r="Z11" s="44">
        <f t="shared" si="6"/>
        <v>2202.3881678338412</v>
      </c>
      <c r="AA11" s="50">
        <f t="shared" si="7"/>
        <v>2015.3177207811711</v>
      </c>
      <c r="AB11" s="51">
        <f t="shared" si="8"/>
        <v>2058.8839560940833</v>
      </c>
      <c r="AC11" s="44">
        <f t="shared" si="9"/>
        <v>1884.0027304675807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1.4708967123033554</v>
      </c>
      <c r="AP11" s="47">
        <f t="shared" si="17"/>
        <v>1.7681748292421213</v>
      </c>
      <c r="AQ11">
        <v>2021</v>
      </c>
    </row>
    <row r="12" spans="1:43" ht="13.5" customHeight="1">
      <c r="A12" s="55">
        <f>SUM(P5:P1000)</f>
        <v>385065.39999999997</v>
      </c>
      <c r="B12" s="97" t="s">
        <v>145</v>
      </c>
      <c r="C12" s="98">
        <v>18230736</v>
      </c>
      <c r="D12" s="61" t="s">
        <v>146</v>
      </c>
      <c r="E12" s="38" t="s">
        <v>942</v>
      </c>
      <c r="F12" s="39" t="s">
        <v>943</v>
      </c>
      <c r="G12" s="39">
        <v>20</v>
      </c>
      <c r="H12" s="39"/>
      <c r="I12" s="40" t="s">
        <v>265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2.7599494534971521E-2</v>
      </c>
      <c r="V12" s="48">
        <f t="shared" si="2"/>
        <v>675.6</v>
      </c>
      <c r="W12" s="49">
        <f t="shared" si="3"/>
        <v>1.379974726748576E-3</v>
      </c>
      <c r="X12" s="44">
        <f t="shared" si="4"/>
        <v>309.01222066190172</v>
      </c>
      <c r="Y12" s="44">
        <f t="shared" si="5"/>
        <v>1351.2</v>
      </c>
      <c r="Z12" s="44">
        <f t="shared" si="6"/>
        <v>840.91184590019384</v>
      </c>
      <c r="AA12" s="50">
        <f t="shared" si="7"/>
        <v>2160.2122206619019</v>
      </c>
      <c r="AB12" s="51">
        <f t="shared" si="8"/>
        <v>786.11932869046814</v>
      </c>
      <c r="AC12" s="44">
        <f t="shared" si="9"/>
        <v>2019.4561285050966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1.4013446885246457</v>
      </c>
      <c r="AP12" s="47">
        <f t="shared" si="17"/>
        <v>0.75811823559169056</v>
      </c>
      <c r="AQ12">
        <v>2021</v>
      </c>
    </row>
    <row r="13" spans="1:43" ht="13.5" customHeight="1">
      <c r="A13" s="56" t="s">
        <v>252</v>
      </c>
      <c r="B13" s="97" t="s">
        <v>145</v>
      </c>
      <c r="C13" s="98">
        <v>18230736</v>
      </c>
      <c r="D13" s="61" t="s">
        <v>146</v>
      </c>
      <c r="E13" s="38" t="s">
        <v>952</v>
      </c>
      <c r="F13" s="39" t="s">
        <v>953</v>
      </c>
      <c r="G13" s="39">
        <v>45</v>
      </c>
      <c r="H13" s="39"/>
      <c r="I13" s="40" t="s">
        <v>269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0.15217178451103228</v>
      </c>
      <c r="V13" s="48">
        <f t="shared" si="2"/>
        <v>18.3</v>
      </c>
      <c r="W13" s="49">
        <f t="shared" si="3"/>
        <v>3.3815952113562726E-3</v>
      </c>
      <c r="X13" s="44">
        <f t="shared" si="4"/>
        <v>757.22708929816486</v>
      </c>
      <c r="Y13" s="44">
        <f t="shared" si="5"/>
        <v>5700.6</v>
      </c>
      <c r="Z13" s="44">
        <f t="shared" si="6"/>
        <v>2060.6344566678081</v>
      </c>
      <c r="AA13" s="50">
        <f t="shared" si="7"/>
        <v>8492.8270892981654</v>
      </c>
      <c r="AB13" s="51">
        <f t="shared" si="8"/>
        <v>1926.3666978291183</v>
      </c>
      <c r="AC13" s="44">
        <f t="shared" si="9"/>
        <v>7939.4475921269186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2.9325262424651943</v>
      </c>
      <c r="AP13" s="47">
        <f t="shared" si="17"/>
        <v>0.78267825453706497</v>
      </c>
      <c r="AQ13">
        <v>2021</v>
      </c>
    </row>
    <row r="14" spans="1:43" ht="13.5" customHeight="1">
      <c r="A14" s="55">
        <f>SUM(Y5:Y1000)</f>
        <v>654779.93999999983</v>
      </c>
      <c r="B14" s="97" t="s">
        <v>145</v>
      </c>
      <c r="C14" s="98">
        <v>18230736</v>
      </c>
      <c r="D14" s="61" t="s">
        <v>146</v>
      </c>
      <c r="E14" s="38" t="s">
        <v>633</v>
      </c>
      <c r="F14" s="39" t="s">
        <v>634</v>
      </c>
      <c r="G14" s="39">
        <v>14</v>
      </c>
      <c r="H14" s="39"/>
      <c r="I14" s="40" t="s">
        <v>265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2.8703474316370377E-2</v>
      </c>
      <c r="V14" s="48">
        <f t="shared" si="2"/>
        <v>0</v>
      </c>
      <c r="W14" s="49">
        <f t="shared" si="3"/>
        <v>2.050248165455027E-3</v>
      </c>
      <c r="X14" s="44">
        <f t="shared" si="4"/>
        <v>459.10387069768251</v>
      </c>
      <c r="Y14" s="44">
        <f t="shared" si="5"/>
        <v>0</v>
      </c>
      <c r="Z14" s="44">
        <f t="shared" si="6"/>
        <v>1249.3547424802878</v>
      </c>
      <c r="AA14" s="50">
        <f t="shared" si="7"/>
        <v>459.10387069768251</v>
      </c>
      <c r="AB14" s="51">
        <f t="shared" si="8"/>
        <v>1167.9487169115525</v>
      </c>
      <c r="AC14" s="44">
        <f t="shared" si="9"/>
        <v>429.18937150386319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1.0264318651043414</v>
      </c>
      <c r="AP14" s="47">
        <f t="shared" si="17"/>
        <v>26.924398746869702</v>
      </c>
      <c r="AQ14">
        <v>2021</v>
      </c>
    </row>
    <row r="15" spans="1:43" ht="13.5" customHeight="1">
      <c r="A15" s="57" t="s">
        <v>253</v>
      </c>
      <c r="B15" s="97" t="s">
        <v>145</v>
      </c>
      <c r="C15" s="98">
        <v>18230736</v>
      </c>
      <c r="D15" s="61" t="s">
        <v>146</v>
      </c>
      <c r="E15" s="38" t="s">
        <v>643</v>
      </c>
      <c r="F15" s="39" t="s">
        <v>644</v>
      </c>
      <c r="G15" s="39">
        <v>14</v>
      </c>
      <c r="H15" s="39"/>
      <c r="I15" s="40" t="s">
        <v>265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35.451549087343864</v>
      </c>
      <c r="B16" s="97" t="s">
        <v>145</v>
      </c>
      <c r="C16" s="100">
        <v>18230736</v>
      </c>
      <c r="D16" s="100" t="s">
        <v>146</v>
      </c>
      <c r="E16" s="38" t="s">
        <v>2018</v>
      </c>
      <c r="F16" s="39" t="s">
        <v>2019</v>
      </c>
      <c r="G16" s="39">
        <v>10</v>
      </c>
      <c r="H16" s="39"/>
      <c r="I16" s="40" t="s">
        <v>265</v>
      </c>
      <c r="J16" s="41">
        <v>302</v>
      </c>
      <c r="K16" s="41">
        <v>2</v>
      </c>
      <c r="L16" s="41"/>
      <c r="M16" s="42">
        <v>2</v>
      </c>
      <c r="N16" s="42">
        <v>2</v>
      </c>
      <c r="O16" s="43">
        <v>604</v>
      </c>
      <c r="P16" s="44">
        <v>604</v>
      </c>
      <c r="Q16" s="44">
        <v>604</v>
      </c>
      <c r="R16" s="45">
        <v>5.89</v>
      </c>
      <c r="S16" s="46">
        <v>0</v>
      </c>
      <c r="T16" s="39">
        <f t="shared" si="0"/>
        <v>10</v>
      </c>
      <c r="U16" s="47">
        <f t="shared" si="1"/>
        <v>9.9226754161445219E-2</v>
      </c>
      <c r="V16" s="48">
        <f t="shared" si="2"/>
        <v>0</v>
      </c>
      <c r="W16" s="49">
        <f t="shared" si="3"/>
        <v>9.9226754161445222E-3</v>
      </c>
      <c r="X16" s="44">
        <f t="shared" si="4"/>
        <v>2221.9450152355789</v>
      </c>
      <c r="Y16" s="44">
        <f t="shared" si="5"/>
        <v>0</v>
      </c>
      <c r="Z16" s="44">
        <f t="shared" si="6"/>
        <v>6046.556606234727</v>
      </c>
      <c r="AA16" s="50">
        <f t="shared" si="7"/>
        <v>2825.9450152355789</v>
      </c>
      <c r="AB16" s="51">
        <f t="shared" si="8"/>
        <v>5652.5723158219371</v>
      </c>
      <c r="AC16" s="44">
        <f t="shared" si="9"/>
        <v>2641.8108023142736</v>
      </c>
      <c r="AD16" s="44">
        <f t="shared" si="10"/>
        <v>12510.750007848696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4312.5874743818731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4312.5874743818731</v>
      </c>
      <c r="AK16" s="44">
        <f>HLOOKUP(I16,GasAvoidedCostsWOCC!$A$5:$Q$50,G16+1,FALSE)*J16*L16</f>
        <v>0</v>
      </c>
      <c r="AL16" s="44">
        <f t="shared" si="14"/>
        <v>4312.5874743818731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4312.5874743818731</v>
      </c>
      <c r="AN16" s="48">
        <f t="shared" si="15"/>
        <v>17254.596229668758</v>
      </c>
      <c r="AO16" s="47">
        <f t="shared" si="16"/>
        <v>0.76294246821232969</v>
      </c>
      <c r="AP16" s="47">
        <f t="shared" si="17"/>
        <v>6.5313519857491018</v>
      </c>
      <c r="AQ16">
        <v>2020</v>
      </c>
    </row>
    <row r="17" spans="1:42" ht="13.5" customHeight="1">
      <c r="A17" s="58" t="s">
        <v>254</v>
      </c>
      <c r="B17" s="97" t="s">
        <v>145</v>
      </c>
      <c r="C17" s="100">
        <v>18230736</v>
      </c>
      <c r="D17" s="100" t="s">
        <v>146</v>
      </c>
      <c r="E17" s="38" t="s">
        <v>2022</v>
      </c>
      <c r="F17" s="39" t="s">
        <v>2023</v>
      </c>
      <c r="G17" s="39">
        <v>10</v>
      </c>
      <c r="H17" s="39"/>
      <c r="I17" s="40" t="s">
        <v>265</v>
      </c>
      <c r="J17" s="41">
        <v>39</v>
      </c>
      <c r="K17" s="41">
        <v>2</v>
      </c>
      <c r="L17" s="41"/>
      <c r="M17" s="42">
        <v>2</v>
      </c>
      <c r="N17" s="42">
        <v>2</v>
      </c>
      <c r="O17" s="43">
        <v>78</v>
      </c>
      <c r="P17" s="44">
        <v>78</v>
      </c>
      <c r="Q17" s="44">
        <v>78</v>
      </c>
      <c r="R17" s="45">
        <v>4.53</v>
      </c>
      <c r="S17" s="46">
        <v>0</v>
      </c>
      <c r="T17" s="39">
        <f t="shared" si="0"/>
        <v>10</v>
      </c>
      <c r="U17" s="47">
        <f t="shared" si="1"/>
        <v>1.2814051034093919E-2</v>
      </c>
      <c r="V17" s="48">
        <f t="shared" si="2"/>
        <v>0</v>
      </c>
      <c r="W17" s="49">
        <f t="shared" si="3"/>
        <v>1.2814051034093919E-3</v>
      </c>
      <c r="X17" s="44">
        <f t="shared" si="4"/>
        <v>286.93991918605155</v>
      </c>
      <c r="Y17" s="44">
        <f t="shared" si="5"/>
        <v>0</v>
      </c>
      <c r="Z17" s="44">
        <f t="shared" si="6"/>
        <v>780.84671405018003</v>
      </c>
      <c r="AA17" s="50">
        <f t="shared" si="7"/>
        <v>364.93991918605155</v>
      </c>
      <c r="AB17" s="51">
        <f t="shared" si="8"/>
        <v>729.96794806972048</v>
      </c>
      <c r="AC17" s="44">
        <f t="shared" si="9"/>
        <v>341.16099764985654</v>
      </c>
      <c r="AD17" s="44">
        <f t="shared" si="10"/>
        <v>1242.5787359238518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556.92354801620218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556.92354801620218</v>
      </c>
      <c r="AK17" s="44">
        <f>HLOOKUP(I17,GasAvoidedCostsWOCC!$A$5:$Q$50,G17+1,FALSE)*J17*L17</f>
        <v>0</v>
      </c>
      <c r="AL17" s="44">
        <f t="shared" si="14"/>
        <v>556.92354801620218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556.92354801620218</v>
      </c>
      <c r="AN17" s="48">
        <f t="shared" si="15"/>
        <v>1855.1946387416742</v>
      </c>
      <c r="AO17" s="47">
        <f t="shared" si="16"/>
        <v>0.76294246821232958</v>
      </c>
      <c r="AP17" s="47">
        <f t="shared" si="17"/>
        <v>5.4378860758453831</v>
      </c>
    </row>
    <row r="18" spans="1:42" ht="13.5" customHeight="1">
      <c r="A18" s="59">
        <f>A6+A8</f>
        <v>609367.57000000007</v>
      </c>
      <c r="B18" s="97" t="s">
        <v>145</v>
      </c>
      <c r="C18" s="100">
        <v>18230736</v>
      </c>
      <c r="D18" s="100" t="s">
        <v>146</v>
      </c>
      <c r="E18" s="38" t="s">
        <v>2024</v>
      </c>
      <c r="F18" s="39" t="s">
        <v>2025</v>
      </c>
      <c r="G18" s="39">
        <v>45</v>
      </c>
      <c r="H18" s="39"/>
      <c r="I18" s="40" t="s">
        <v>269</v>
      </c>
      <c r="J18" s="41">
        <v>1153</v>
      </c>
      <c r="K18" s="41">
        <v>0.04</v>
      </c>
      <c r="L18" s="41"/>
      <c r="M18" s="42">
        <v>0.75</v>
      </c>
      <c r="N18" s="42">
        <v>0.79</v>
      </c>
      <c r="O18" s="43">
        <v>46.12</v>
      </c>
      <c r="P18" s="44">
        <v>864.75</v>
      </c>
      <c r="Q18" s="44">
        <v>910.87</v>
      </c>
      <c r="R18" s="45">
        <v>0</v>
      </c>
      <c r="S18" s="46">
        <v>0</v>
      </c>
      <c r="T18" s="39">
        <f t="shared" si="0"/>
        <v>45</v>
      </c>
      <c r="U18" s="47">
        <f t="shared" si="1"/>
        <v>3.4095232713023747E-2</v>
      </c>
      <c r="V18" s="48">
        <f t="shared" si="2"/>
        <v>4.0000000000000036E-2</v>
      </c>
      <c r="W18" s="49">
        <f t="shared" si="3"/>
        <v>7.5767183806719433E-4</v>
      </c>
      <c r="X18" s="44">
        <f t="shared" si="4"/>
        <v>169.6624240110346</v>
      </c>
      <c r="Y18" s="44">
        <f t="shared" si="5"/>
        <v>46.120000000000005</v>
      </c>
      <c r="Z18" s="44">
        <f t="shared" si="6"/>
        <v>461.70064682043977</v>
      </c>
      <c r="AA18" s="50">
        <f t="shared" si="7"/>
        <v>1080.5324240110347</v>
      </c>
      <c r="AB18" s="51">
        <f t="shared" si="8"/>
        <v>431.61694570481416</v>
      </c>
      <c r="AC18" s="44">
        <f t="shared" si="9"/>
        <v>1010.1265999916187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27.444232870165703</v>
      </c>
      <c r="AG18" s="44">
        <f t="shared" si="11"/>
        <v>1265.7280199720424</v>
      </c>
      <c r="AH18" s="52">
        <f>HLOOKUP(I18,GasAvoidedCostsWOCC!$A$5:$Q$50,T18+1,FALSE)</f>
        <v>27.444232870165703</v>
      </c>
      <c r="AI18" s="44">
        <f t="shared" si="12"/>
        <v>0</v>
      </c>
      <c r="AJ18" s="44">
        <f t="shared" si="13"/>
        <v>1265.7280199720424</v>
      </c>
      <c r="AK18" s="44">
        <f>HLOOKUP(I18,GasAvoidedCostsWOCC!$A$5:$Q$50,G18+1,FALSE)*J18*L18</f>
        <v>0</v>
      </c>
      <c r="AL18" s="44">
        <f t="shared" si="14"/>
        <v>1265.7280199720424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1265.7280199720421</v>
      </c>
      <c r="AN18" s="48">
        <f t="shared" si="15"/>
        <v>1392.3008219692465</v>
      </c>
      <c r="AO18" s="47">
        <f t="shared" si="16"/>
        <v>2.9325262424651934</v>
      </c>
      <c r="AP18" s="47">
        <f t="shared" si="17"/>
        <v>1.3783428948220933</v>
      </c>
    </row>
    <row r="19" spans="1:42" ht="13.5" customHeight="1">
      <c r="A19" s="58" t="s">
        <v>231</v>
      </c>
      <c r="B19" s="97" t="s">
        <v>145</v>
      </c>
      <c r="C19" s="100">
        <v>18230736</v>
      </c>
      <c r="D19" s="100" t="s">
        <v>146</v>
      </c>
      <c r="E19" s="38" t="s">
        <v>2026</v>
      </c>
      <c r="F19" s="39" t="s">
        <v>2027</v>
      </c>
      <c r="G19" s="39">
        <v>45</v>
      </c>
      <c r="H19" s="39"/>
      <c r="I19" s="40" t="s">
        <v>269</v>
      </c>
      <c r="J19" s="41">
        <v>4992</v>
      </c>
      <c r="K19" s="41">
        <v>0.02</v>
      </c>
      <c r="L19" s="41"/>
      <c r="M19" s="42">
        <v>0.75</v>
      </c>
      <c r="N19" s="42">
        <v>0.76</v>
      </c>
      <c r="O19" s="43">
        <v>99.84</v>
      </c>
      <c r="P19" s="44">
        <v>3744</v>
      </c>
      <c r="Q19" s="44">
        <v>3793.92</v>
      </c>
      <c r="R19" s="45">
        <v>0</v>
      </c>
      <c r="S19" s="46">
        <v>0</v>
      </c>
      <c r="T19" s="39">
        <f t="shared" si="0"/>
        <v>45</v>
      </c>
      <c r="U19" s="47">
        <f t="shared" si="1"/>
        <v>7.3808933956380982E-2</v>
      </c>
      <c r="V19" s="48">
        <f t="shared" si="2"/>
        <v>1.0000000000000009E-2</v>
      </c>
      <c r="W19" s="49">
        <f t="shared" si="3"/>
        <v>1.6401985323640218E-3</v>
      </c>
      <c r="X19" s="44">
        <f t="shared" si="4"/>
        <v>367.28309655814604</v>
      </c>
      <c r="Y19" s="44">
        <f t="shared" si="5"/>
        <v>49.920000000000073</v>
      </c>
      <c r="Z19" s="44">
        <f t="shared" si="6"/>
        <v>999.48379398423049</v>
      </c>
      <c r="AA19" s="50">
        <f t="shared" si="7"/>
        <v>4161.2030965581462</v>
      </c>
      <c r="AB19" s="51">
        <f t="shared" si="8"/>
        <v>934.35897352924223</v>
      </c>
      <c r="AC19" s="44">
        <f t="shared" si="9"/>
        <v>3890.0655291746712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27.444232870165703</v>
      </c>
      <c r="AG19" s="44">
        <f t="shared" si="11"/>
        <v>2740.0322097573435</v>
      </c>
      <c r="AH19" s="52">
        <f>HLOOKUP(I19,GasAvoidedCostsWOCC!$A$5:$Q$50,T19+1,FALSE)</f>
        <v>27.444232870165703</v>
      </c>
      <c r="AI19" s="44">
        <f t="shared" si="12"/>
        <v>0</v>
      </c>
      <c r="AJ19" s="44">
        <f t="shared" si="13"/>
        <v>2740.0322097573435</v>
      </c>
      <c r="AK19" s="44">
        <f>HLOOKUP(I19,GasAvoidedCostsWOCC!$A$5:$Q$50,G19+1,FALSE)*J19*L19</f>
        <v>0</v>
      </c>
      <c r="AL19" s="44">
        <f t="shared" si="14"/>
        <v>2740.0322097573435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2740.0322097573439</v>
      </c>
      <c r="AN19" s="48">
        <f t="shared" si="15"/>
        <v>3014.0354307330786</v>
      </c>
      <c r="AO19" s="47">
        <f t="shared" si="16"/>
        <v>2.9325262424651934</v>
      </c>
      <c r="AP19" s="47">
        <f t="shared" si="17"/>
        <v>0.77480325411704465</v>
      </c>
    </row>
    <row r="20" spans="1:42" ht="13.5" customHeight="1">
      <c r="A20" s="59">
        <f>A8+SUM(Q5:Q906)</f>
        <v>1263771.3400000001</v>
      </c>
      <c r="B20" s="97" t="s">
        <v>145</v>
      </c>
      <c r="C20" s="100">
        <v>18230736</v>
      </c>
      <c r="D20" s="100" t="s">
        <v>146</v>
      </c>
      <c r="E20" s="38" t="s">
        <v>2035</v>
      </c>
      <c r="F20" s="39" t="s">
        <v>2036</v>
      </c>
      <c r="G20" s="39">
        <v>45</v>
      </c>
      <c r="H20" s="39"/>
      <c r="I20" s="40" t="s">
        <v>269</v>
      </c>
      <c r="J20" s="41">
        <v>3300</v>
      </c>
      <c r="K20" s="41">
        <v>0.06</v>
      </c>
      <c r="L20" s="41"/>
      <c r="M20" s="42">
        <v>0.75</v>
      </c>
      <c r="N20" s="42">
        <v>0.97</v>
      </c>
      <c r="O20" s="43">
        <v>198</v>
      </c>
      <c r="P20" s="44">
        <v>2475</v>
      </c>
      <c r="Q20" s="44">
        <v>3201</v>
      </c>
      <c r="R20" s="45">
        <v>0</v>
      </c>
      <c r="S20" s="46">
        <v>0</v>
      </c>
      <c r="T20" s="39">
        <f t="shared" si="0"/>
        <v>45</v>
      </c>
      <c r="U20" s="47">
        <f t="shared" si="1"/>
        <v>0.14637589065868825</v>
      </c>
      <c r="V20" s="48">
        <f t="shared" si="2"/>
        <v>0.21999999999999997</v>
      </c>
      <c r="W20" s="49">
        <f t="shared" si="3"/>
        <v>3.252797570193072E-3</v>
      </c>
      <c r="X20" s="44">
        <f t="shared" si="4"/>
        <v>728.38594870305405</v>
      </c>
      <c r="Y20" s="44">
        <f t="shared" si="5"/>
        <v>726</v>
      </c>
      <c r="Z20" s="44">
        <f t="shared" si="6"/>
        <v>1982.149351050457</v>
      </c>
      <c r="AA20" s="50">
        <f t="shared" si="7"/>
        <v>3929.3859487030541</v>
      </c>
      <c r="AB20" s="51">
        <f t="shared" si="8"/>
        <v>1852.995560484675</v>
      </c>
      <c r="AC20" s="44">
        <f t="shared" si="9"/>
        <v>3673.3532286650966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5433.9581082928089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5433.9581082928089</v>
      </c>
      <c r="AK20" s="44">
        <f>HLOOKUP(I20,GasAvoidedCostsWOCC!$A$5:$Q$50,G20+1,FALSE)*J20*L20</f>
        <v>0</v>
      </c>
      <c r="AL20" s="44">
        <f t="shared" si="14"/>
        <v>5433.9581082928089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5433.9581082928089</v>
      </c>
      <c r="AN20" s="48">
        <f t="shared" si="15"/>
        <v>5977.3539191220907</v>
      </c>
      <c r="AO20" s="47">
        <f t="shared" si="16"/>
        <v>2.9325262424651934</v>
      </c>
      <c r="AP20" s="47">
        <f t="shared" si="17"/>
        <v>1.62722002133573</v>
      </c>
    </row>
    <row r="21" spans="1:42" ht="13.5" customHeight="1">
      <c r="A21" s="58" t="s">
        <v>245</v>
      </c>
      <c r="B21" s="97" t="s">
        <v>145</v>
      </c>
      <c r="C21" s="100">
        <v>18230736</v>
      </c>
      <c r="D21" s="100" t="s">
        <v>146</v>
      </c>
      <c r="E21" s="38" t="s">
        <v>2040</v>
      </c>
      <c r="F21" s="39" t="s">
        <v>2041</v>
      </c>
      <c r="G21" s="39">
        <v>20</v>
      </c>
      <c r="H21" s="39"/>
      <c r="I21" s="40" t="s">
        <v>269</v>
      </c>
      <c r="J21" s="41">
        <v>84</v>
      </c>
      <c r="K21" s="41">
        <v>72</v>
      </c>
      <c r="L21" s="41"/>
      <c r="M21" s="42">
        <v>200</v>
      </c>
      <c r="N21" s="42">
        <v>562</v>
      </c>
      <c r="O21" s="43">
        <v>6048</v>
      </c>
      <c r="P21" s="44">
        <v>16800</v>
      </c>
      <c r="Q21" s="44">
        <v>47208</v>
      </c>
      <c r="R21" s="45">
        <v>0</v>
      </c>
      <c r="S21" s="46">
        <v>0</v>
      </c>
      <c r="T21" s="39">
        <f t="shared" si="0"/>
        <v>20</v>
      </c>
      <c r="U21" s="47">
        <f t="shared" si="1"/>
        <v>1.9871636065179494</v>
      </c>
      <c r="V21" s="48">
        <f t="shared" si="2"/>
        <v>362</v>
      </c>
      <c r="W21" s="49">
        <f t="shared" si="3"/>
        <v>9.9358180325897466E-2</v>
      </c>
      <c r="X21" s="44">
        <f t="shared" si="4"/>
        <v>22248.879887656924</v>
      </c>
      <c r="Y21" s="44">
        <f t="shared" si="5"/>
        <v>30408</v>
      </c>
      <c r="Z21" s="44">
        <f t="shared" si="6"/>
        <v>60545.652904813949</v>
      </c>
      <c r="AA21" s="50">
        <f t="shared" si="7"/>
        <v>69456.87988765692</v>
      </c>
      <c r="AB21" s="51">
        <f t="shared" si="8"/>
        <v>56600.591665713699</v>
      </c>
      <c r="AC21" s="44">
        <f t="shared" si="9"/>
        <v>64931.176860481362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13.765480191058694</v>
      </c>
      <c r="AG21" s="44">
        <f t="shared" si="11"/>
        <v>83253.624195522993</v>
      </c>
      <c r="AH21" s="52">
        <f>HLOOKUP(I21,GasAvoidedCostsWOCC!$A$5:$Q$50,T21+1,FALSE)</f>
        <v>13.765480191058694</v>
      </c>
      <c r="AI21" s="44">
        <f t="shared" si="12"/>
        <v>0</v>
      </c>
      <c r="AJ21" s="44">
        <f t="shared" si="13"/>
        <v>83253.624195522993</v>
      </c>
      <c r="AK21" s="44">
        <f>HLOOKUP(I21,GasAvoidedCostsWOCC!$A$5:$Q$50,G21+1,FALSE)*J21*L21</f>
        <v>0</v>
      </c>
      <c r="AL21" s="44">
        <f t="shared" si="14"/>
        <v>83253.624195522993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83253.624195522993</v>
      </c>
      <c r="AN21" s="48">
        <f t="shared" si="15"/>
        <v>91578.986615075293</v>
      </c>
      <c r="AO21" s="47">
        <f t="shared" si="16"/>
        <v>1.4708967123033556</v>
      </c>
      <c r="AP21" s="47">
        <f t="shared" si="17"/>
        <v>1.4104008435247137</v>
      </c>
    </row>
    <row r="22" spans="1:42" ht="13.5" customHeight="1">
      <c r="A22" s="60">
        <f>(SUM(AM5:AM1000)/(SUM(AB5:AB1000)))</f>
        <v>2.1940471418102261</v>
      </c>
      <c r="B22" s="97" t="s">
        <v>145</v>
      </c>
      <c r="C22" s="100">
        <v>18230736</v>
      </c>
      <c r="D22" s="100" t="s">
        <v>146</v>
      </c>
      <c r="E22" s="38" t="s">
        <v>2050</v>
      </c>
      <c r="F22" s="39" t="s">
        <v>2051</v>
      </c>
      <c r="G22" s="39">
        <v>18</v>
      </c>
      <c r="H22" s="39"/>
      <c r="I22" s="40" t="s">
        <v>269</v>
      </c>
      <c r="J22" s="41">
        <v>3</v>
      </c>
      <c r="K22" s="41">
        <v>82.4</v>
      </c>
      <c r="L22" s="41"/>
      <c r="M22" s="42">
        <v>350</v>
      </c>
      <c r="N22" s="42">
        <v>603</v>
      </c>
      <c r="O22" s="43">
        <v>247.2</v>
      </c>
      <c r="P22" s="44">
        <v>1050</v>
      </c>
      <c r="Q22" s="44">
        <v>1809</v>
      </c>
      <c r="R22" s="45">
        <v>0</v>
      </c>
      <c r="S22" s="46"/>
      <c r="T22" s="39">
        <f t="shared" si="0"/>
        <v>18</v>
      </c>
      <c r="U22" s="47">
        <f t="shared" si="1"/>
        <v>7.3099232668338843E-2</v>
      </c>
      <c r="V22" s="48">
        <f t="shared" si="2"/>
        <v>253</v>
      </c>
      <c r="W22" s="49">
        <f t="shared" si="3"/>
        <v>4.0610684815743803E-3</v>
      </c>
      <c r="X22" s="44">
        <f t="shared" si="4"/>
        <v>909.37882080502493</v>
      </c>
      <c r="Y22" s="44">
        <f t="shared" si="5"/>
        <v>759</v>
      </c>
      <c r="Z22" s="44">
        <f t="shared" si="6"/>
        <v>2474.68343222057</v>
      </c>
      <c r="AA22" s="50">
        <f t="shared" si="7"/>
        <v>2718.378820805025</v>
      </c>
      <c r="AB22" s="51">
        <f t="shared" si="8"/>
        <v>2313.4368815748057</v>
      </c>
      <c r="AC22" s="44">
        <f t="shared" si="9"/>
        <v>2541.253454992077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12.598768311384578</v>
      </c>
      <c r="AG22" s="44">
        <f t="shared" si="11"/>
        <v>3114.4155265742684</v>
      </c>
      <c r="AH22" s="52">
        <f>HLOOKUP(I22,GasAvoidedCostsWOCC!$A$5:$Q$50,T22+1,FALSE)</f>
        <v>12.598768311384578</v>
      </c>
      <c r="AI22" s="44">
        <f t="shared" si="12"/>
        <v>0</v>
      </c>
      <c r="AJ22" s="44">
        <f t="shared" si="13"/>
        <v>3114.4155265742684</v>
      </c>
      <c r="AK22" s="44">
        <f>HLOOKUP(I22,GasAvoidedCostsWOCC!$A$5:$Q$50,G22+1,FALSE)*J22*L22</f>
        <v>0</v>
      </c>
      <c r="AL22" s="44">
        <f t="shared" si="14"/>
        <v>3114.4155265742684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3114.4155265742684</v>
      </c>
      <c r="AN22" s="48">
        <f t="shared" si="15"/>
        <v>3425.8570792316955</v>
      </c>
      <c r="AO22" s="47">
        <f t="shared" si="16"/>
        <v>1.3462288733177883</v>
      </c>
      <c r="AP22" s="47">
        <f t="shared" si="17"/>
        <v>1.3480973621509063</v>
      </c>
    </row>
    <row r="23" spans="1:42" ht="13.5" customHeight="1">
      <c r="A23" s="58" t="s">
        <v>246</v>
      </c>
      <c r="B23" s="97" t="s">
        <v>145</v>
      </c>
      <c r="C23" s="100">
        <v>18230736</v>
      </c>
      <c r="D23" s="100" t="s">
        <v>146</v>
      </c>
      <c r="E23" s="38" t="s">
        <v>2055</v>
      </c>
      <c r="F23" s="39" t="s">
        <v>2056</v>
      </c>
      <c r="G23" s="39">
        <v>10</v>
      </c>
      <c r="H23" s="39"/>
      <c r="I23" s="40" t="s">
        <v>265</v>
      </c>
      <c r="J23" s="41">
        <v>107</v>
      </c>
      <c r="K23" s="41">
        <v>14.1</v>
      </c>
      <c r="L23" s="41"/>
      <c r="M23" s="42">
        <v>40.4</v>
      </c>
      <c r="N23" s="42">
        <v>40.4</v>
      </c>
      <c r="O23" s="43">
        <v>1508.7</v>
      </c>
      <c r="P23" s="44">
        <v>4322.8</v>
      </c>
      <c r="Q23" s="44">
        <v>4322.8</v>
      </c>
      <c r="R23" s="45">
        <v>24.9</v>
      </c>
      <c r="S23" s="46">
        <v>0</v>
      </c>
      <c r="T23" s="39">
        <f t="shared" si="0"/>
        <v>10</v>
      </c>
      <c r="U23" s="47">
        <f t="shared" si="1"/>
        <v>0.24785331788637818</v>
      </c>
      <c r="V23" s="48">
        <f t="shared" si="2"/>
        <v>0</v>
      </c>
      <c r="W23" s="49">
        <f t="shared" si="3"/>
        <v>2.4785331788637819E-2</v>
      </c>
      <c r="X23" s="44">
        <f t="shared" si="4"/>
        <v>5550.0802061025133</v>
      </c>
      <c r="Y23" s="44">
        <f t="shared" si="5"/>
        <v>0</v>
      </c>
      <c r="Z23" s="44">
        <f t="shared" si="6"/>
        <v>15103.377403685983</v>
      </c>
      <c r="AA23" s="50">
        <f t="shared" si="7"/>
        <v>9872.8802061025126</v>
      </c>
      <c r="AB23" s="51">
        <f t="shared" si="8"/>
        <v>14119.264657087017</v>
      </c>
      <c r="AC23" s="44">
        <f t="shared" si="9"/>
        <v>9229.5785791366852</v>
      </c>
      <c r="AD23" s="44">
        <f t="shared" si="10"/>
        <v>18738.906017557696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10772.186626821078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10772.186626821078</v>
      </c>
      <c r="AK23" s="44">
        <f>HLOOKUP(I23,GasAvoidedCostsWOCC!$A$5:$Q$50,G23+1,FALSE)*J23*L23</f>
        <v>0</v>
      </c>
      <c r="AL23" s="44">
        <f t="shared" si="14"/>
        <v>10772.186626821078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10772.186626821078</v>
      </c>
      <c r="AN23" s="48">
        <f t="shared" si="15"/>
        <v>30588.311307060882</v>
      </c>
      <c r="AO23" s="47">
        <f t="shared" si="16"/>
        <v>0.76294246821232947</v>
      </c>
      <c r="AP23" s="47">
        <f t="shared" si="17"/>
        <v>3.3141612095058459</v>
      </c>
    </row>
    <row r="24" spans="1:42" ht="13.5" customHeight="1">
      <c r="A24" s="60">
        <f>(SUM(AN5:AN1000)/SUM(AC5:AC1000))</f>
        <v>1.2156579431679684</v>
      </c>
      <c r="B24" s="97" t="s">
        <v>145</v>
      </c>
      <c r="C24" s="61">
        <v>18230736</v>
      </c>
      <c r="D24" s="61" t="s">
        <v>146</v>
      </c>
      <c r="E24" s="38" t="s">
        <v>2057</v>
      </c>
      <c r="F24" s="39" t="s">
        <v>2056</v>
      </c>
      <c r="G24" s="39">
        <v>10</v>
      </c>
      <c r="H24" s="39"/>
      <c r="I24" s="40" t="s">
        <v>265</v>
      </c>
      <c r="J24" s="41">
        <v>114</v>
      </c>
      <c r="K24" s="41">
        <v>11.9</v>
      </c>
      <c r="L24" s="41"/>
      <c r="M24" s="42">
        <v>40.4</v>
      </c>
      <c r="N24" s="42">
        <v>40.4</v>
      </c>
      <c r="O24" s="43">
        <v>1356.6</v>
      </c>
      <c r="P24" s="44">
        <v>4605.6000000000004</v>
      </c>
      <c r="Q24" s="44">
        <v>4605.6000000000004</v>
      </c>
      <c r="R24" s="45">
        <v>21.41</v>
      </c>
      <c r="S24" s="46">
        <v>0</v>
      </c>
      <c r="T24" s="39">
        <f t="shared" si="0"/>
        <v>10</v>
      </c>
      <c r="U24" s="47">
        <f t="shared" si="1"/>
        <v>0.222865918369895</v>
      </c>
      <c r="V24" s="48">
        <f t="shared" si="2"/>
        <v>0</v>
      </c>
      <c r="W24" s="49">
        <f t="shared" si="3"/>
        <v>2.22865918369895E-2</v>
      </c>
      <c r="X24" s="44">
        <f t="shared" si="4"/>
        <v>4990.5473636897123</v>
      </c>
      <c r="Y24" s="44">
        <f t="shared" si="5"/>
        <v>0</v>
      </c>
      <c r="Z24" s="44">
        <f t="shared" si="6"/>
        <v>13580.72631128813</v>
      </c>
      <c r="AA24" s="50">
        <f t="shared" si="7"/>
        <v>9596.1473636897135</v>
      </c>
      <c r="AB24" s="51">
        <f t="shared" si="8"/>
        <v>12695.82715835106</v>
      </c>
      <c r="AC24" s="44">
        <f t="shared" si="9"/>
        <v>8970.8772213608609</v>
      </c>
      <c r="AD24" s="44">
        <f t="shared" si="10"/>
        <v>17166.534351722319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9686.185708189485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9686.185708189485</v>
      </c>
      <c r="AK24" s="44">
        <f>HLOOKUP(I24,GasAvoidedCostsWOCC!$A$5:$Q$50,G24+1,FALSE)*J24*L24</f>
        <v>0</v>
      </c>
      <c r="AL24" s="44">
        <f t="shared" si="14"/>
        <v>9686.185708189485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9686.185708189485</v>
      </c>
      <c r="AN24" s="48">
        <f t="shared" si="15"/>
        <v>27821.338630730752</v>
      </c>
      <c r="AO24" s="47">
        <f t="shared" si="16"/>
        <v>0.76294246821232969</v>
      </c>
      <c r="AP24" s="47">
        <f t="shared" si="17"/>
        <v>3.1012952183187186</v>
      </c>
    </row>
    <row r="25" spans="1:42" ht="13.5" customHeight="1">
      <c r="B25" s="97" t="s">
        <v>145</v>
      </c>
      <c r="C25" s="61">
        <v>18230736</v>
      </c>
      <c r="D25" s="61" t="s">
        <v>146</v>
      </c>
      <c r="E25" s="38" t="s">
        <v>2063</v>
      </c>
      <c r="F25" s="39" t="s">
        <v>2064</v>
      </c>
      <c r="G25" s="39">
        <v>45</v>
      </c>
      <c r="H25" s="39"/>
      <c r="I25" s="40" t="s">
        <v>269</v>
      </c>
      <c r="J25" s="41">
        <v>5239</v>
      </c>
      <c r="K25" s="41">
        <v>0.1</v>
      </c>
      <c r="L25" s="41"/>
      <c r="M25" s="42">
        <v>0.75</v>
      </c>
      <c r="N25" s="42">
        <v>1.04</v>
      </c>
      <c r="O25" s="43">
        <v>523.9</v>
      </c>
      <c r="P25" s="44">
        <v>3929.25</v>
      </c>
      <c r="Q25" s="44">
        <v>5448.56</v>
      </c>
      <c r="R25" s="45">
        <v>0</v>
      </c>
      <c r="S25" s="46">
        <v>0</v>
      </c>
      <c r="T25" s="39">
        <f t="shared" ref="T25:T88" si="19">G25+H25</f>
        <v>45</v>
      </c>
      <c r="U25" s="47">
        <f t="shared" ref="U25:U88" si="20">(O25/$A$10)*T25</f>
        <v>0.38730469250548871</v>
      </c>
      <c r="V25" s="48">
        <f t="shared" ref="V25:V88" si="21">N25-M25</f>
        <v>0.29000000000000004</v>
      </c>
      <c r="W25" s="49">
        <f t="shared" ref="W25:W88" si="22">(O25/A$10)</f>
        <v>8.6067709445664161E-3</v>
      </c>
      <c r="X25" s="44">
        <f t="shared" ref="X25:X88" si="23">W25*A$8</f>
        <v>1927.2797905329799</v>
      </c>
      <c r="Y25" s="44">
        <f t="shared" ref="Y25:Y88" si="24">Q25-P25</f>
        <v>1519.3100000000004</v>
      </c>
      <c r="Z25" s="44">
        <f t="shared" ref="Z25:Z88" si="25">X25+(A$6*W25)</f>
        <v>5244.6870960370425</v>
      </c>
      <c r="AA25" s="50">
        <f t="shared" ref="AA25:AA88" si="26">Q25+X25</f>
        <v>7375.8397905329803</v>
      </c>
      <c r="AB25" s="51">
        <f t="shared" ref="AB25:AB88" si="27">Z25/(1+GasDiscountRate)^1</f>
        <v>4902.9513845349557</v>
      </c>
      <c r="AC25" s="44">
        <f t="shared" ref="AC25:AC88" si="28">AA25/(1+GasDiscountRate)^1</f>
        <v>6895.2414607207438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>
        <f>HLOOKUP(I25,GasAvoidedCostsWOCC!$A$5:$G$50,G25+1,FALSE)</f>
        <v>27.444232870165703</v>
      </c>
      <c r="AG25" s="44">
        <f t="shared" ref="AG25:AG88" si="31">AF25*J25*K25</f>
        <v>14378.033600679812</v>
      </c>
      <c r="AH25" s="52">
        <f>HLOOKUP(I25,GasAvoidedCostsWOCC!$A$5:$Q$50,T25+1,FALSE)</f>
        <v>27.444232870165703</v>
      </c>
      <c r="AI25" s="44">
        <f t="shared" ref="AI25:AI88" si="32">AH25*J25*L25</f>
        <v>0</v>
      </c>
      <c r="AJ25" s="44">
        <f t="shared" ref="AJ25:AJ88" si="33">AG25+AI25</f>
        <v>14378.033600679812</v>
      </c>
      <c r="AK25" s="44">
        <f>HLOOKUP(I25,GasAvoidedCostsWOCC!$A$5:$Q$50,G25+1,FALSE)*J25*L25</f>
        <v>0</v>
      </c>
      <c r="AL25" s="44">
        <f t="shared" ref="AL25:AL88" si="34">AG25+AI25-AK25</f>
        <v>14378.033600679812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14378.033600679812</v>
      </c>
      <c r="AN25" s="48">
        <f t="shared" ref="AN25:AN88" si="35">AM25*1.1+AD25+AE25</f>
        <v>15815.836960747794</v>
      </c>
      <c r="AO25" s="47">
        <f t="shared" ref="AO25:AO88" si="36">IFERROR(AM25/AB25,0)</f>
        <v>2.9325262424651934</v>
      </c>
      <c r="AP25" s="47">
        <f t="shared" ref="AP25:AP88" si="37">AN25/AC25</f>
        <v>2.2937321413389054</v>
      </c>
    </row>
    <row r="26" spans="1:42" ht="13.5" customHeight="1">
      <c r="B26" s="97" t="s">
        <v>145</v>
      </c>
      <c r="C26" s="61">
        <v>18230736</v>
      </c>
      <c r="D26" s="61" t="s">
        <v>146</v>
      </c>
      <c r="E26" s="38" t="s">
        <v>2070</v>
      </c>
      <c r="F26" s="39" t="s">
        <v>2071</v>
      </c>
      <c r="G26" s="39">
        <v>45</v>
      </c>
      <c r="H26" s="39"/>
      <c r="I26" s="40" t="s">
        <v>269</v>
      </c>
      <c r="J26" s="41">
        <v>737</v>
      </c>
      <c r="K26" s="41">
        <v>0.98</v>
      </c>
      <c r="L26" s="41"/>
      <c r="M26" s="42">
        <v>7</v>
      </c>
      <c r="N26" s="42">
        <v>17.809999999999999</v>
      </c>
      <c r="O26" s="43">
        <v>722.26</v>
      </c>
      <c r="P26" s="44">
        <v>5159</v>
      </c>
      <c r="Q26" s="44">
        <v>13125.97</v>
      </c>
      <c r="R26" s="45">
        <v>0</v>
      </c>
      <c r="S26" s="46">
        <v>0</v>
      </c>
      <c r="T26" s="39">
        <f t="shared" si="19"/>
        <v>45</v>
      </c>
      <c r="U26" s="47">
        <f t="shared" si="20"/>
        <v>0.53394672114719277</v>
      </c>
      <c r="V26" s="48">
        <f t="shared" si="21"/>
        <v>10.809999999999999</v>
      </c>
      <c r="W26" s="49">
        <f t="shared" si="22"/>
        <v>1.1865482692159838E-2</v>
      </c>
      <c r="X26" s="44">
        <f t="shared" si="23"/>
        <v>2656.9900773245845</v>
      </c>
      <c r="Y26" s="44">
        <f t="shared" si="24"/>
        <v>7966.9699999999993</v>
      </c>
      <c r="Z26" s="44">
        <f t="shared" si="25"/>
        <v>7230.4403549984991</v>
      </c>
      <c r="AA26" s="50">
        <f t="shared" si="26"/>
        <v>15782.960077324584</v>
      </c>
      <c r="AB26" s="51">
        <f t="shared" si="27"/>
        <v>6759.3160278568739</v>
      </c>
      <c r="AC26" s="44">
        <f t="shared" si="28"/>
        <v>14754.566773230423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27.444232870165703</v>
      </c>
      <c r="AG26" s="44">
        <f t="shared" si="31"/>
        <v>19821.87163280588</v>
      </c>
      <c r="AH26" s="52">
        <f>HLOOKUP(I26,GasAvoidedCostsWOCC!$A$5:$Q$50,T26+1,FALSE)</f>
        <v>27.444232870165703</v>
      </c>
      <c r="AI26" s="44">
        <f t="shared" si="32"/>
        <v>0</v>
      </c>
      <c r="AJ26" s="44">
        <f t="shared" si="33"/>
        <v>19821.87163280588</v>
      </c>
      <c r="AK26" s="44">
        <f>HLOOKUP(I26,GasAvoidedCostsWOCC!$A$5:$Q$50,G26+1,FALSE)*J26*L26</f>
        <v>0</v>
      </c>
      <c r="AL26" s="44">
        <f t="shared" si="34"/>
        <v>19821.87163280588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19821.87163280588</v>
      </c>
      <c r="AN26" s="48">
        <f t="shared" si="35"/>
        <v>21804.058796086469</v>
      </c>
      <c r="AO26" s="47">
        <f t="shared" si="36"/>
        <v>2.9325262424651943</v>
      </c>
      <c r="AP26" s="47">
        <f t="shared" si="37"/>
        <v>1.477783735110821</v>
      </c>
    </row>
    <row r="27" spans="1:42" ht="13.5" customHeight="1">
      <c r="B27" s="97" t="s">
        <v>145</v>
      </c>
      <c r="C27" s="61">
        <v>18230736</v>
      </c>
      <c r="D27" s="61" t="s">
        <v>146</v>
      </c>
      <c r="E27" s="38" t="s">
        <v>2075</v>
      </c>
      <c r="F27" s="39" t="s">
        <v>2076</v>
      </c>
      <c r="G27" s="39">
        <v>24</v>
      </c>
      <c r="H27" s="39"/>
      <c r="I27" s="40" t="s">
        <v>261</v>
      </c>
      <c r="J27" s="41">
        <v>1</v>
      </c>
      <c r="K27" s="41">
        <v>0</v>
      </c>
      <c r="L27" s="41"/>
      <c r="M27" s="42">
        <v>11660</v>
      </c>
      <c r="N27" s="42">
        <v>36251</v>
      </c>
      <c r="O27" s="43">
        <v>1746</v>
      </c>
      <c r="P27" s="44">
        <v>8730</v>
      </c>
      <c r="Q27" s="44">
        <v>20101</v>
      </c>
      <c r="R27" s="45">
        <v>0</v>
      </c>
      <c r="S27" s="46">
        <v>0</v>
      </c>
      <c r="T27" s="39">
        <f t="shared" si="19"/>
        <v>24</v>
      </c>
      <c r="U27" s="47">
        <f t="shared" si="20"/>
        <v>0.68841024940086104</v>
      </c>
      <c r="V27" s="48">
        <f t="shared" si="21"/>
        <v>24591</v>
      </c>
      <c r="W27" s="49">
        <f t="shared" si="22"/>
        <v>2.8683760391702545E-2</v>
      </c>
      <c r="X27" s="44">
        <f t="shared" si="23"/>
        <v>6423.0397294723853</v>
      </c>
      <c r="Y27" s="44">
        <f t="shared" si="24"/>
        <v>11371</v>
      </c>
      <c r="Z27" s="44">
        <f t="shared" si="25"/>
        <v>17478.953368354028</v>
      </c>
      <c r="AA27" s="50">
        <f t="shared" si="26"/>
        <v>26524.039729472384</v>
      </c>
      <c r="AB27" s="51">
        <f t="shared" si="27"/>
        <v>16340.051760637587</v>
      </c>
      <c r="AC27" s="44">
        <f t="shared" si="28"/>
        <v>24795.774263319043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16.785698132496019</v>
      </c>
      <c r="AG27" s="44">
        <f t="shared" si="31"/>
        <v>0</v>
      </c>
      <c r="AH27" s="52">
        <f>HLOOKUP(I27,GasAvoidedCostsWOCC!$A$5:$Q$50,T27+1,FALSE)</f>
        <v>16.785698132496019</v>
      </c>
      <c r="AI27" s="44">
        <f t="shared" si="32"/>
        <v>0</v>
      </c>
      <c r="AJ27" s="44">
        <f t="shared" si="33"/>
        <v>0</v>
      </c>
      <c r="AK27" s="44">
        <f>HLOOKUP(I27,GasAvoidedCostsWOCC!$A$5:$Q$50,G27+1,FALSE)*J27*L27</f>
        <v>0</v>
      </c>
      <c r="AL27" s="44">
        <f t="shared" si="34"/>
        <v>0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145</v>
      </c>
      <c r="C28" s="61">
        <v>18230736</v>
      </c>
      <c r="D28" s="61" t="s">
        <v>146</v>
      </c>
      <c r="E28" s="38" t="s">
        <v>2077</v>
      </c>
      <c r="F28" s="39" t="s">
        <v>911</v>
      </c>
      <c r="G28" s="39">
        <v>24</v>
      </c>
      <c r="H28" s="39"/>
      <c r="I28" s="40" t="s">
        <v>261</v>
      </c>
      <c r="J28" s="41">
        <v>1</v>
      </c>
      <c r="K28" s="41"/>
      <c r="L28" s="41"/>
      <c r="M28" s="42">
        <v>3670</v>
      </c>
      <c r="N28" s="42">
        <v>6000</v>
      </c>
      <c r="O28" s="43">
        <v>4492</v>
      </c>
      <c r="P28" s="44">
        <v>22460</v>
      </c>
      <c r="Q28" s="44">
        <v>73712</v>
      </c>
      <c r="R28" s="45">
        <v>0</v>
      </c>
      <c r="S28" s="46">
        <v>0</v>
      </c>
      <c r="T28" s="39">
        <f t="shared" si="19"/>
        <v>24</v>
      </c>
      <c r="U28" s="47">
        <f t="shared" si="20"/>
        <v>1.7710989921584583</v>
      </c>
      <c r="V28" s="48">
        <f t="shared" si="21"/>
        <v>2330</v>
      </c>
      <c r="W28" s="49">
        <f t="shared" si="22"/>
        <v>7.379579133993576E-2</v>
      </c>
      <c r="X28" s="44">
        <f t="shared" si="23"/>
        <v>16524.796371586461</v>
      </c>
      <c r="Y28" s="44">
        <f t="shared" si="24"/>
        <v>51252</v>
      </c>
      <c r="Z28" s="44">
        <f t="shared" si="25"/>
        <v>44968.762045043703</v>
      </c>
      <c r="AA28" s="50">
        <f t="shared" si="26"/>
        <v>90236.796371586461</v>
      </c>
      <c r="AB28" s="51">
        <f t="shared" si="27"/>
        <v>42038.666958066467</v>
      </c>
      <c r="AC28" s="44">
        <f t="shared" si="28"/>
        <v>84357.106077953125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16.785698132496019</v>
      </c>
      <c r="AG28" s="44">
        <f t="shared" si="31"/>
        <v>0</v>
      </c>
      <c r="AH28" s="52">
        <f>HLOOKUP(I28,GasAvoidedCostsWOCC!$A$5:$Q$50,T28+1,FALSE)</f>
        <v>16.785698132496019</v>
      </c>
      <c r="AI28" s="44">
        <f t="shared" si="32"/>
        <v>0</v>
      </c>
      <c r="AJ28" s="44">
        <f t="shared" si="33"/>
        <v>0</v>
      </c>
      <c r="AK28" s="44">
        <f>HLOOKUP(I28,GasAvoidedCostsWOCC!$A$5:$Q$50,G28+1,FALSE)*J28*L28</f>
        <v>0</v>
      </c>
      <c r="AL28" s="44">
        <f t="shared" si="34"/>
        <v>0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145</v>
      </c>
      <c r="C29" s="61">
        <v>18230736</v>
      </c>
      <c r="D29" s="61" t="s">
        <v>146</v>
      </c>
      <c r="E29" s="38" t="s">
        <v>2080</v>
      </c>
      <c r="F29" s="39" t="s">
        <v>932</v>
      </c>
      <c r="G29" s="39">
        <v>45</v>
      </c>
      <c r="H29" s="39"/>
      <c r="I29" s="40" t="s">
        <v>269</v>
      </c>
      <c r="J29" s="41">
        <v>8129</v>
      </c>
      <c r="K29" s="41">
        <v>0.98</v>
      </c>
      <c r="L29" s="41"/>
      <c r="M29" s="42">
        <v>7</v>
      </c>
      <c r="N29" s="42">
        <v>17.809999999999999</v>
      </c>
      <c r="O29" s="43">
        <v>7966.42</v>
      </c>
      <c r="P29" s="44">
        <v>58919</v>
      </c>
      <c r="Q29" s="44">
        <v>144777.49</v>
      </c>
      <c r="R29" s="45">
        <v>0</v>
      </c>
      <c r="S29" s="46">
        <v>0</v>
      </c>
      <c r="T29" s="39">
        <f t="shared" si="19"/>
        <v>45</v>
      </c>
      <c r="U29" s="47">
        <f t="shared" si="20"/>
        <v>5.8893526407130663</v>
      </c>
      <c r="V29" s="48">
        <f t="shared" si="21"/>
        <v>10.809999999999999</v>
      </c>
      <c r="W29" s="49">
        <f t="shared" si="22"/>
        <v>0.13087450312695703</v>
      </c>
      <c r="X29" s="44">
        <f t="shared" si="23"/>
        <v>29306.203987206987</v>
      </c>
      <c r="Y29" s="44">
        <f t="shared" si="24"/>
        <v>85858.489999999991</v>
      </c>
      <c r="Z29" s="44">
        <f t="shared" si="25"/>
        <v>79750.677945431205</v>
      </c>
      <c r="AA29" s="50">
        <f t="shared" si="26"/>
        <v>174083.69398720696</v>
      </c>
      <c r="AB29" s="51">
        <f t="shared" si="27"/>
        <v>74554.246934122843</v>
      </c>
      <c r="AC29" s="44">
        <f t="shared" si="28"/>
        <v>162740.66933458627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218632.28562154545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218632.28562154545</v>
      </c>
      <c r="AK29" s="44">
        <f>HLOOKUP(I29,GasAvoidedCostsWOCC!$A$5:$Q$50,G29+1,FALSE)*J29*L29</f>
        <v>0</v>
      </c>
      <c r="AL29" s="44">
        <f t="shared" si="34"/>
        <v>218632.28562154545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218632.28562154545</v>
      </c>
      <c r="AN29" s="48">
        <f t="shared" si="35"/>
        <v>240495.51418370003</v>
      </c>
      <c r="AO29" s="47">
        <f t="shared" si="36"/>
        <v>2.9325262424651939</v>
      </c>
      <c r="AP29" s="47">
        <f t="shared" si="37"/>
        <v>1.4777837351108214</v>
      </c>
    </row>
    <row r="30" spans="1:42">
      <c r="B30" s="97" t="s">
        <v>145</v>
      </c>
      <c r="C30" s="61">
        <v>18230736</v>
      </c>
      <c r="D30" s="61" t="s">
        <v>146</v>
      </c>
      <c r="E30" s="38" t="s">
        <v>937</v>
      </c>
      <c r="F30" s="39" t="s">
        <v>938</v>
      </c>
      <c r="G30" s="39">
        <v>18</v>
      </c>
      <c r="H30" s="39"/>
      <c r="I30" s="40" t="s">
        <v>269</v>
      </c>
      <c r="J30" s="41">
        <v>3</v>
      </c>
      <c r="K30" s="41">
        <v>184</v>
      </c>
      <c r="L30" s="41"/>
      <c r="M30" s="42">
        <v>800</v>
      </c>
      <c r="N30" s="42">
        <v>987</v>
      </c>
      <c r="O30" s="43">
        <v>552</v>
      </c>
      <c r="P30" s="44">
        <v>2400</v>
      </c>
      <c r="Q30" s="44">
        <v>2961</v>
      </c>
      <c r="R30" s="45">
        <v>0</v>
      </c>
      <c r="S30" s="46">
        <v>0</v>
      </c>
      <c r="T30" s="39">
        <f t="shared" si="19"/>
        <v>18</v>
      </c>
      <c r="U30" s="47">
        <f t="shared" si="20"/>
        <v>0.16323129624968871</v>
      </c>
      <c r="V30" s="48">
        <f t="shared" si="21"/>
        <v>187</v>
      </c>
      <c r="W30" s="49">
        <f t="shared" si="22"/>
        <v>9.0684053472049279E-3</v>
      </c>
      <c r="X30" s="44">
        <f t="shared" si="23"/>
        <v>2030.6517357782111</v>
      </c>
      <c r="Y30" s="44">
        <f t="shared" si="24"/>
        <v>561</v>
      </c>
      <c r="Z30" s="44">
        <f t="shared" si="25"/>
        <v>5525.9921302012735</v>
      </c>
      <c r="AA30" s="50">
        <f t="shared" si="26"/>
        <v>4991.6517357782113</v>
      </c>
      <c r="AB30" s="51">
        <f t="shared" si="27"/>
        <v>5165.9270171087901</v>
      </c>
      <c r="AC30" s="44">
        <f t="shared" si="28"/>
        <v>4666.4034175733486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12.598768311384578</v>
      </c>
      <c r="AG30" s="44">
        <f t="shared" si="31"/>
        <v>6954.5201078842874</v>
      </c>
      <c r="AH30" s="52">
        <f>HLOOKUP(I30,GasAvoidedCostsWOCC!$A$5:$Q$50,T30+1,FALSE)</f>
        <v>12.598768311384578</v>
      </c>
      <c r="AI30" s="44">
        <f t="shared" si="32"/>
        <v>0</v>
      </c>
      <c r="AJ30" s="44">
        <f t="shared" si="33"/>
        <v>6954.5201078842874</v>
      </c>
      <c r="AK30" s="44">
        <f>HLOOKUP(I30,GasAvoidedCostsWOCC!$A$5:$Q$50,G30+1,FALSE)*J30*L30</f>
        <v>0</v>
      </c>
      <c r="AL30" s="44">
        <f t="shared" si="34"/>
        <v>6954.5201078842874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6954.5201078842874</v>
      </c>
      <c r="AN30" s="48">
        <f t="shared" si="35"/>
        <v>7649.9721186727165</v>
      </c>
      <c r="AO30" s="47">
        <f t="shared" si="36"/>
        <v>1.3462288733177878</v>
      </c>
      <c r="AP30" s="47">
        <f t="shared" si="37"/>
        <v>1.6393722175548426</v>
      </c>
    </row>
    <row r="31" spans="1:42">
      <c r="B31" s="97" t="s">
        <v>145</v>
      </c>
      <c r="C31" s="61">
        <v>18230736</v>
      </c>
      <c r="D31" s="61" t="s">
        <v>146</v>
      </c>
      <c r="E31" s="38" t="s">
        <v>940</v>
      </c>
      <c r="F31" s="39" t="s">
        <v>941</v>
      </c>
      <c r="G31" s="39">
        <v>20</v>
      </c>
      <c r="H31" s="39"/>
      <c r="I31" s="40" t="s">
        <v>269</v>
      </c>
      <c r="J31" s="41">
        <v>1</v>
      </c>
      <c r="K31" s="41">
        <v>110</v>
      </c>
      <c r="L31" s="41"/>
      <c r="M31" s="42">
        <v>350</v>
      </c>
      <c r="N31" s="42">
        <v>603</v>
      </c>
      <c r="O31" s="43">
        <v>110</v>
      </c>
      <c r="P31" s="44">
        <v>350</v>
      </c>
      <c r="Q31" s="44">
        <v>603</v>
      </c>
      <c r="R31" s="45">
        <v>0</v>
      </c>
      <c r="S31" s="46">
        <v>0</v>
      </c>
      <c r="T31" s="39">
        <f t="shared" si="19"/>
        <v>20</v>
      </c>
      <c r="U31" s="47">
        <f t="shared" si="20"/>
        <v>3.6142195224367471E-2</v>
      </c>
      <c r="V31" s="48">
        <f t="shared" si="21"/>
        <v>253</v>
      </c>
      <c r="W31" s="49">
        <f t="shared" si="22"/>
        <v>1.8071097612183734E-3</v>
      </c>
      <c r="X31" s="44">
        <f t="shared" si="23"/>
        <v>404.65886039058557</v>
      </c>
      <c r="Y31" s="44">
        <f t="shared" si="24"/>
        <v>253</v>
      </c>
      <c r="Z31" s="44">
        <f t="shared" si="25"/>
        <v>1101.1940839169206</v>
      </c>
      <c r="AA31" s="50">
        <f t="shared" si="26"/>
        <v>1007.6588603905856</v>
      </c>
      <c r="AB31" s="51">
        <f t="shared" si="27"/>
        <v>1029.4419780470416</v>
      </c>
      <c r="AC31" s="44">
        <f t="shared" si="28"/>
        <v>942.00136523379035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13.765480191058694</v>
      </c>
      <c r="AG31" s="44">
        <f t="shared" si="31"/>
        <v>1514.2028210164565</v>
      </c>
      <c r="AH31" s="52">
        <f>HLOOKUP(I31,GasAvoidedCostsWOCC!$A$5:$Q$50,T31+1,FALSE)</f>
        <v>13.765480191058694</v>
      </c>
      <c r="AI31" s="44">
        <f t="shared" si="32"/>
        <v>0</v>
      </c>
      <c r="AJ31" s="44">
        <f t="shared" si="33"/>
        <v>1514.2028210164565</v>
      </c>
      <c r="AK31" s="44">
        <f>HLOOKUP(I31,GasAvoidedCostsWOCC!$A$5:$Q$50,G31+1,FALSE)*J31*L31</f>
        <v>0</v>
      </c>
      <c r="AL31" s="44">
        <f t="shared" si="34"/>
        <v>1514.2028210164565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1514.2028210164565</v>
      </c>
      <c r="AN31" s="48">
        <f t="shared" si="35"/>
        <v>1665.6231031181023</v>
      </c>
      <c r="AO31" s="47">
        <f t="shared" si="36"/>
        <v>1.4708967123033554</v>
      </c>
      <c r="AP31" s="47">
        <f t="shared" si="37"/>
        <v>1.7681748292421213</v>
      </c>
    </row>
    <row r="32" spans="1:42">
      <c r="B32" s="97" t="s">
        <v>145</v>
      </c>
      <c r="C32" s="61">
        <v>18230736</v>
      </c>
      <c r="D32" s="61" t="s">
        <v>146</v>
      </c>
      <c r="E32" s="38" t="s">
        <v>1695</v>
      </c>
      <c r="F32" s="39" t="s">
        <v>943</v>
      </c>
      <c r="G32" s="39">
        <v>20</v>
      </c>
      <c r="H32" s="39"/>
      <c r="I32" s="40" t="s">
        <v>265</v>
      </c>
      <c r="J32" s="41">
        <v>1</v>
      </c>
      <c r="K32" s="41">
        <v>51</v>
      </c>
      <c r="L32" s="41"/>
      <c r="M32" s="42">
        <v>250</v>
      </c>
      <c r="N32" s="42">
        <v>808.33</v>
      </c>
      <c r="O32" s="43">
        <v>51</v>
      </c>
      <c r="P32" s="44">
        <v>250</v>
      </c>
      <c r="Q32" s="44">
        <v>808.33</v>
      </c>
      <c r="R32" s="45">
        <v>11.51</v>
      </c>
      <c r="S32" s="46">
        <v>0</v>
      </c>
      <c r="T32" s="39">
        <f t="shared" si="19"/>
        <v>20</v>
      </c>
      <c r="U32" s="47">
        <f t="shared" si="20"/>
        <v>1.6756835967661279E-2</v>
      </c>
      <c r="V32" s="48">
        <f t="shared" si="21"/>
        <v>558.33000000000004</v>
      </c>
      <c r="W32" s="49">
        <f t="shared" si="22"/>
        <v>8.3784179838306396E-4</v>
      </c>
      <c r="X32" s="44">
        <f t="shared" si="23"/>
        <v>187.61456254472603</v>
      </c>
      <c r="Y32" s="44">
        <f t="shared" si="24"/>
        <v>558.33000000000004</v>
      </c>
      <c r="Z32" s="44">
        <f t="shared" si="25"/>
        <v>510.55362072511764</v>
      </c>
      <c r="AA32" s="50">
        <f t="shared" si="26"/>
        <v>995.94456254472607</v>
      </c>
      <c r="AB32" s="51">
        <f t="shared" si="27"/>
        <v>477.28673527635561</v>
      </c>
      <c r="AC32" s="44">
        <f t="shared" si="28"/>
        <v>931.05035294449465</v>
      </c>
      <c r="AD32" s="44">
        <f t="shared" si="29"/>
        <v>122.22193947355203</v>
      </c>
      <c r="AE32" s="44">
        <f t="shared" si="30"/>
        <v>0</v>
      </c>
      <c r="AF32" s="52">
        <f>HLOOKUP(I32,GasAvoidedCostsWOCC!$A$5:$G$50,G32+1,FALSE)</f>
        <v>13.114573164368423</v>
      </c>
      <c r="AG32" s="44">
        <f t="shared" si="31"/>
        <v>668.84323138278955</v>
      </c>
      <c r="AH32" s="52">
        <f>HLOOKUP(I32,GasAvoidedCostsWOCC!$A$5:$Q$50,T32+1,FALSE)</f>
        <v>13.114573164368423</v>
      </c>
      <c r="AI32" s="44">
        <f t="shared" si="32"/>
        <v>0</v>
      </c>
      <c r="AJ32" s="44">
        <f t="shared" si="33"/>
        <v>668.84323138278955</v>
      </c>
      <c r="AK32" s="44">
        <f>HLOOKUP(I32,GasAvoidedCostsWOCC!$A$5:$Q$50,G32+1,FALSE)*J32*L32</f>
        <v>0</v>
      </c>
      <c r="AL32" s="44">
        <f t="shared" si="34"/>
        <v>668.84323138278955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668.84323138278955</v>
      </c>
      <c r="AN32" s="48">
        <f t="shared" si="35"/>
        <v>857.94949399462052</v>
      </c>
      <c r="AO32" s="47">
        <f t="shared" si="36"/>
        <v>1.4013446885246457</v>
      </c>
      <c r="AP32" s="47">
        <f t="shared" si="37"/>
        <v>0.92148560094662024</v>
      </c>
    </row>
    <row r="33" spans="2:42">
      <c r="B33" s="97" t="s">
        <v>145</v>
      </c>
      <c r="C33" s="61">
        <v>18230736</v>
      </c>
      <c r="D33" s="61" t="s">
        <v>146</v>
      </c>
      <c r="E33" s="38" t="s">
        <v>2083</v>
      </c>
      <c r="F33" s="39" t="s">
        <v>2084</v>
      </c>
      <c r="G33" s="39">
        <v>10</v>
      </c>
      <c r="H33" s="39"/>
      <c r="I33" s="40" t="s">
        <v>265</v>
      </c>
      <c r="J33" s="41">
        <v>5</v>
      </c>
      <c r="K33" s="41">
        <v>2.2000000000000002</v>
      </c>
      <c r="L33" s="41"/>
      <c r="M33" s="42">
        <v>33</v>
      </c>
      <c r="N33" s="42">
        <v>33</v>
      </c>
      <c r="O33" s="43">
        <v>11</v>
      </c>
      <c r="P33" s="44">
        <v>165</v>
      </c>
      <c r="Q33" s="44">
        <v>165</v>
      </c>
      <c r="R33" s="45">
        <v>3.52</v>
      </c>
      <c r="S33" s="46">
        <v>0</v>
      </c>
      <c r="T33" s="39">
        <f t="shared" si="19"/>
        <v>10</v>
      </c>
      <c r="U33" s="47">
        <f t="shared" si="20"/>
        <v>1.8071097612183734E-3</v>
      </c>
      <c r="V33" s="48">
        <f t="shared" si="21"/>
        <v>0</v>
      </c>
      <c r="W33" s="49">
        <f t="shared" si="22"/>
        <v>1.8071097612183733E-4</v>
      </c>
      <c r="X33" s="44">
        <f t="shared" si="23"/>
        <v>40.465886039058553</v>
      </c>
      <c r="Y33" s="44">
        <f t="shared" si="24"/>
        <v>0</v>
      </c>
      <c r="Z33" s="44">
        <f t="shared" si="25"/>
        <v>110.11940839169205</v>
      </c>
      <c r="AA33" s="50">
        <f t="shared" si="26"/>
        <v>205.46588603905855</v>
      </c>
      <c r="AB33" s="51">
        <f t="shared" si="27"/>
        <v>102.94419780470416</v>
      </c>
      <c r="AC33" s="44">
        <f t="shared" si="28"/>
        <v>192.07804621768582</v>
      </c>
      <c r="AD33" s="44">
        <f t="shared" si="29"/>
        <v>123.78664035919959</v>
      </c>
      <c r="AE33" s="44">
        <f t="shared" si="30"/>
        <v>0</v>
      </c>
      <c r="AF33" s="52">
        <f>HLOOKUP(I33,GasAvoidedCostsWOCC!$A$5:$G$50,G33+1,FALSE)</f>
        <v>7.1400454873872068</v>
      </c>
      <c r="AG33" s="44">
        <f t="shared" si="31"/>
        <v>78.540500361259276</v>
      </c>
      <c r="AH33" s="52">
        <f>HLOOKUP(I33,GasAvoidedCostsWOCC!$A$5:$Q$50,T33+1,FALSE)</f>
        <v>7.1400454873872068</v>
      </c>
      <c r="AI33" s="44">
        <f t="shared" si="32"/>
        <v>0</v>
      </c>
      <c r="AJ33" s="44">
        <f t="shared" si="33"/>
        <v>78.540500361259276</v>
      </c>
      <c r="AK33" s="44">
        <f>HLOOKUP(I33,GasAvoidedCostsWOCC!$A$5:$Q$50,G33+1,FALSE)*J33*L33</f>
        <v>0</v>
      </c>
      <c r="AL33" s="44">
        <f t="shared" si="34"/>
        <v>78.540500361259276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78.540500361259276</v>
      </c>
      <c r="AN33" s="48">
        <f t="shared" si="35"/>
        <v>210.18119075658481</v>
      </c>
      <c r="AO33" s="47">
        <f t="shared" si="36"/>
        <v>0.76294246821232958</v>
      </c>
      <c r="AP33" s="47">
        <f t="shared" si="37"/>
        <v>1.0942488998372168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93" si="38">G89+H89</f>
        <v>0</v>
      </c>
      <c r="U89" s="47">
        <f t="shared" ref="U89:U93" si="39">(O89/$A$10)*T89</f>
        <v>0</v>
      </c>
      <c r="V89" s="48">
        <f t="shared" ref="V89:V93" si="40">N89-M89</f>
        <v>0</v>
      </c>
      <c r="W89" s="49">
        <f t="shared" ref="W89:W93" si="41">(O89/A$10)</f>
        <v>0</v>
      </c>
      <c r="X89" s="44">
        <f t="shared" ref="X89:X93" si="42">W89*A$8</f>
        <v>0</v>
      </c>
      <c r="Y89" s="44">
        <f t="shared" ref="Y89:Y93" si="43">Q89-P89</f>
        <v>0</v>
      </c>
      <c r="Z89" s="44">
        <f t="shared" ref="Z89:Z93" si="44">X89+(A$6*W89)</f>
        <v>0</v>
      </c>
      <c r="AA89" s="50">
        <f t="shared" ref="AA89:AA93" si="45">Q89+X89</f>
        <v>0</v>
      </c>
      <c r="AB89" s="51">
        <f t="shared" ref="AB89:AB93" si="46">Z89/(1+GasDiscountRate)^1</f>
        <v>0</v>
      </c>
      <c r="AC89" s="44">
        <f t="shared" ref="AC89:AC93" si="47">AA89/(1+GasDiscountRate)^1</f>
        <v>0</v>
      </c>
      <c r="AD89" s="44">
        <f t="shared" ref="AD89:AD93" si="48">-PV(GasDiscountRate,T89,R89)*J89</f>
        <v>0</v>
      </c>
      <c r="AE89" s="44">
        <f t="shared" ref="AE89:AE93" si="49">-PV(GasDiscountRate,T89,S89)*J89</f>
        <v>0</v>
      </c>
      <c r="AF89" s="52" t="e">
        <f>HLOOKUP(I89,GasAvoidedCostsWOCC!$A$5:$G$50,G89+1,FALSE)</f>
        <v>#N/A</v>
      </c>
      <c r="AG89" s="44" t="e">
        <f t="shared" ref="AG89:AG93" si="50">AF89*J89*K89</f>
        <v>#N/A</v>
      </c>
      <c r="AH89" s="52" t="e">
        <f>HLOOKUP(I89,GasAvoidedCostsWOCC!$A$5:$Q$50,T89+1,FALSE)</f>
        <v>#N/A</v>
      </c>
      <c r="AI89" s="44" t="e">
        <f t="shared" ref="AI89:AI93" si="51">AH89*J89*L89</f>
        <v>#N/A</v>
      </c>
      <c r="AJ89" s="44" t="e">
        <f t="shared" ref="AJ89:AJ93" si="52">AG89+AI89</f>
        <v>#N/A</v>
      </c>
      <c r="AK89" s="44" t="e">
        <f>HLOOKUP(I89,GasAvoidedCostsWOCC!$A$5:$Q$50,G89+1,FALSE)*J89*L89</f>
        <v>#N/A</v>
      </c>
      <c r="AL89" s="44" t="e">
        <f t="shared" ref="AL89:AL93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93" si="54">AM89*1.1+AD89+AE89</f>
        <v>0</v>
      </c>
      <c r="AO89" s="47">
        <f t="shared" ref="AO89:AO93" si="55">IFERROR(AM89/AB89,0)</f>
        <v>0</v>
      </c>
      <c r="AP89" s="47" t="e">
        <f t="shared" ref="AP89:AP93" si="56"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93 R5:S93">
    <cfRule type="expression" dxfId="77" priority="2">
      <formula>ISTEXT(M5)</formula>
    </cfRule>
  </conditionalFormatting>
  <conditionalFormatting sqref="M5:N93 R5:S93">
    <cfRule type="notContainsBlanks" dxfId="76" priority="3">
      <formula>LEN(TRIM(M5))&gt;0</formula>
    </cfRule>
  </conditionalFormatting>
  <conditionalFormatting sqref="R5:S93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0.62953230411602701</v>
      </c>
      <c r="V5" s="48">
        <f t="shared" ref="V5:V24" si="2">N5-M5</f>
        <v>0</v>
      </c>
      <c r="W5" s="49">
        <f t="shared" ref="W5:W24" si="3">(O5/A$10)</f>
        <v>4.1968820274401797E-2</v>
      </c>
      <c r="X5" s="44">
        <f t="shared" ref="X5:X24" si="4">W5*A$8</f>
        <v>11858.428665639132</v>
      </c>
      <c r="Y5" s="44">
        <f t="shared" ref="Y5:Y24" si="5">Q5-P5</f>
        <v>0</v>
      </c>
      <c r="Z5" s="44">
        <f t="shared" ref="Z5:Z24" si="6">X5+(A$6*W5)</f>
        <v>26734.180063926015</v>
      </c>
      <c r="AA5" s="50">
        <f t="shared" ref="AA5:AA24" si="7">Q5+X5</f>
        <v>25144.428665639134</v>
      </c>
      <c r="AB5" s="51">
        <f t="shared" ref="AB5:AB24" si="8">Z5/(1+GasDiscountRate)^1</f>
        <v>24992.222178111631</v>
      </c>
      <c r="AC5" s="44">
        <f t="shared" ref="AC5:AC24" si="9">AA5/(1+GasDiscountRate)^1</f>
        <v>23506.056525791468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1.2821612361814303</v>
      </c>
      <c r="AP5" s="47">
        <f>AN5/AC5</f>
        <v>1.4995481820786858</v>
      </c>
      <c r="AQ5">
        <v>2021</v>
      </c>
    </row>
    <row r="6" spans="1:43" ht="13.5" customHeight="1">
      <c r="A6" s="53">
        <f>SUMIF('Program Costs'!D:D,C2,'Program Costs'!L:L)</f>
        <v>354447.69</v>
      </c>
      <c r="B6" s="97" t="s">
        <v>102</v>
      </c>
      <c r="C6" s="98">
        <v>18230673</v>
      </c>
      <c r="D6" s="61" t="s">
        <v>103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0.72182075447861127</v>
      </c>
      <c r="V6" s="48">
        <f t="shared" si="2"/>
        <v>0</v>
      </c>
      <c r="W6" s="49">
        <f t="shared" si="3"/>
        <v>4.8121383631907419E-2</v>
      </c>
      <c r="X6" s="44">
        <f t="shared" si="4"/>
        <v>13596.855745761426</v>
      </c>
      <c r="Y6" s="44">
        <f t="shared" si="5"/>
        <v>0</v>
      </c>
      <c r="Z6" s="44">
        <f t="shared" si="6"/>
        <v>30653.369013694821</v>
      </c>
      <c r="AA6" s="50">
        <f t="shared" si="7"/>
        <v>23948.855745761426</v>
      </c>
      <c r="AB6" s="51">
        <f t="shared" si="8"/>
        <v>28656.042828545218</v>
      </c>
      <c r="AC6" s="44">
        <f t="shared" si="9"/>
        <v>22388.38529098011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1.2821612361814301</v>
      </c>
      <c r="AP6" s="47">
        <f t="shared" ref="AP6:AP24" si="17">AN6/AC6</f>
        <v>1.8052143333047754</v>
      </c>
      <c r="AQ6">
        <v>2021</v>
      </c>
    </row>
    <row r="7" spans="1:43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0.10991232281375547</v>
      </c>
      <c r="V7" s="48">
        <f t="shared" si="2"/>
        <v>0</v>
      </c>
      <c r="W7" s="49">
        <f t="shared" si="3"/>
        <v>7.3274881875836978E-3</v>
      </c>
      <c r="X7" s="44">
        <f t="shared" si="4"/>
        <v>2070.4059681127928</v>
      </c>
      <c r="Y7" s="44">
        <f t="shared" si="5"/>
        <v>0</v>
      </c>
      <c r="Z7" s="44">
        <f t="shared" si="6"/>
        <v>4667.6172297041212</v>
      </c>
      <c r="AA7" s="50">
        <f t="shared" si="7"/>
        <v>4391.0959681127933</v>
      </c>
      <c r="AB7" s="51">
        <f t="shared" si="8"/>
        <v>4363.4824994896899</v>
      </c>
      <c r="AC7" s="44">
        <f t="shared" si="9"/>
        <v>4104.9789362557658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1.2821612361814299</v>
      </c>
      <c r="AP7" s="47">
        <f t="shared" si="17"/>
        <v>1.4991933022621649</v>
      </c>
      <c r="AQ7">
        <v>2021</v>
      </c>
    </row>
    <row r="8" spans="1:43" ht="13.5" customHeight="1">
      <c r="A8" s="53">
        <f>SUMIF('Program Costs'!D:D,C2,'Program Costs'!O:O)</f>
        <v>282553.3</v>
      </c>
      <c r="B8" s="97" t="s">
        <v>102</v>
      </c>
      <c r="C8" s="98">
        <v>18230673</v>
      </c>
      <c r="D8" s="61" t="s">
        <v>103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1.5169795588346768</v>
      </c>
      <c r="V8" s="48">
        <f t="shared" si="2"/>
        <v>0</v>
      </c>
      <c r="W8" s="49">
        <f t="shared" si="3"/>
        <v>0.10113197058897845</v>
      </c>
      <c r="X8" s="44">
        <f t="shared" si="4"/>
        <v>28575.172025418804</v>
      </c>
      <c r="Y8" s="44">
        <f t="shared" si="5"/>
        <v>0</v>
      </c>
      <c r="Z8" s="44">
        <f t="shared" si="6"/>
        <v>64421.165385830158</v>
      </c>
      <c r="AA8" s="50">
        <f t="shared" si="7"/>
        <v>70819.172025418811</v>
      </c>
      <c r="AB8" s="51">
        <f t="shared" si="8"/>
        <v>60223.581738646491</v>
      </c>
      <c r="AC8" s="44">
        <f t="shared" si="9"/>
        <v>66204.704146413758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1.2821612361814301</v>
      </c>
      <c r="AP8" s="47">
        <f t="shared" si="17"/>
        <v>1.2829598335245642</v>
      </c>
      <c r="AQ8">
        <v>2021</v>
      </c>
    </row>
    <row r="9" spans="1:43" ht="13.5" customHeight="1">
      <c r="A9" s="36" t="s">
        <v>303</v>
      </c>
      <c r="B9" s="97" t="s">
        <v>102</v>
      </c>
      <c r="C9" s="100">
        <v>18230673</v>
      </c>
      <c r="D9" s="100" t="s">
        <v>103</v>
      </c>
      <c r="E9" s="38" t="s">
        <v>974</v>
      </c>
      <c r="F9" s="39" t="s">
        <v>975</v>
      </c>
      <c r="G9" s="39">
        <v>15</v>
      </c>
      <c r="H9" s="39"/>
      <c r="I9" s="40" t="s">
        <v>269</v>
      </c>
      <c r="J9" s="41">
        <v>1</v>
      </c>
      <c r="K9" s="41">
        <v>16994</v>
      </c>
      <c r="L9" s="41"/>
      <c r="M9" s="42">
        <v>41231</v>
      </c>
      <c r="N9" s="42">
        <v>41231</v>
      </c>
      <c r="O9" s="43">
        <v>16994</v>
      </c>
      <c r="P9" s="44">
        <v>41231</v>
      </c>
      <c r="Q9" s="44">
        <v>41231</v>
      </c>
      <c r="R9" s="45"/>
      <c r="S9" s="46"/>
      <c r="T9" s="39">
        <f t="shared" si="0"/>
        <v>15</v>
      </c>
      <c r="U9" s="47">
        <f t="shared" si="1"/>
        <v>3.2204310584430349</v>
      </c>
      <c r="V9" s="48">
        <f t="shared" si="2"/>
        <v>0</v>
      </c>
      <c r="W9" s="49">
        <f t="shared" si="3"/>
        <v>0.21469540389620234</v>
      </c>
      <c r="X9" s="44">
        <f t="shared" si="4"/>
        <v>60662.894865704824</v>
      </c>
      <c r="Y9" s="44">
        <f t="shared" si="5"/>
        <v>0</v>
      </c>
      <c r="Z9" s="44">
        <f t="shared" si="6"/>
        <v>136761.18483033075</v>
      </c>
      <c r="AA9" s="50">
        <f t="shared" si="7"/>
        <v>101893.89486570482</v>
      </c>
      <c r="AB9" s="51">
        <f t="shared" si="8"/>
        <v>127850.0372350479</v>
      </c>
      <c r="AC9" s="44">
        <f t="shared" si="9"/>
        <v>95254.646036930731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10.768151117636117</v>
      </c>
      <c r="AG9" s="44">
        <f t="shared" si="11"/>
        <v>182993.96009310818</v>
      </c>
      <c r="AH9" s="52">
        <f>HLOOKUP(I9,GasAvoidedCostsWOCC!$A$5:$Q$50,T9+1,FALSE)</f>
        <v>10.768151117636117</v>
      </c>
      <c r="AI9" s="44">
        <f t="shared" si="12"/>
        <v>0</v>
      </c>
      <c r="AJ9" s="44">
        <f t="shared" si="13"/>
        <v>182993.96009310818</v>
      </c>
      <c r="AK9" s="44">
        <f>HLOOKUP(I9,GasAvoidedCostsWOCC!$A$5:$Q$50,G9+1,FALSE)*J9*L9</f>
        <v>0</v>
      </c>
      <c r="AL9" s="44">
        <f t="shared" si="14"/>
        <v>182993.96009310818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182993.96009310818</v>
      </c>
      <c r="AN9" s="48">
        <f t="shared" si="15"/>
        <v>201293.35610241903</v>
      </c>
      <c r="AO9" s="47">
        <f t="shared" si="16"/>
        <v>1.4313172217281414</v>
      </c>
      <c r="AP9" s="47">
        <f t="shared" si="17"/>
        <v>2.1132129977615635</v>
      </c>
      <c r="AQ9">
        <v>2020</v>
      </c>
    </row>
    <row r="10" spans="1:43" ht="13.5" customHeight="1">
      <c r="A10" s="54">
        <f>SUM(O5:O999)</f>
        <v>79154</v>
      </c>
      <c r="B10" s="97" t="s">
        <v>102</v>
      </c>
      <c r="C10" s="100">
        <v>18230673</v>
      </c>
      <c r="D10" s="100" t="s">
        <v>103</v>
      </c>
      <c r="E10" s="38" t="s">
        <v>974</v>
      </c>
      <c r="F10" s="39" t="s">
        <v>975</v>
      </c>
      <c r="G10" s="39">
        <v>15</v>
      </c>
      <c r="H10" s="39"/>
      <c r="I10" s="40" t="s">
        <v>269</v>
      </c>
      <c r="J10" s="41">
        <v>1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/>
      <c r="S10" s="46"/>
      <c r="T10" s="39">
        <f t="shared" si="0"/>
        <v>15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10.768151117636117</v>
      </c>
      <c r="AG10" s="44">
        <f t="shared" si="11"/>
        <v>0</v>
      </c>
      <c r="AH10" s="52">
        <f>HLOOKUP(I10,GasAvoidedCostsWOCC!$A$5:$Q$50,T10+1,FALSE)</f>
        <v>10.768151117636117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102</v>
      </c>
      <c r="C11" s="100">
        <v>18230673</v>
      </c>
      <c r="D11" s="100" t="s">
        <v>103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>
        <v>7016</v>
      </c>
      <c r="L11" s="41"/>
      <c r="M11" s="42">
        <v>27504</v>
      </c>
      <c r="N11" s="42">
        <v>27504</v>
      </c>
      <c r="O11" s="43">
        <v>7016</v>
      </c>
      <c r="P11" s="44">
        <v>27504</v>
      </c>
      <c r="Q11" s="44">
        <v>27504</v>
      </c>
      <c r="R11" s="45"/>
      <c r="S11" s="46"/>
      <c r="T11" s="39">
        <f t="shared" si="0"/>
        <v>15</v>
      </c>
      <c r="U11" s="47">
        <f t="shared" si="1"/>
        <v>1.3295600980367386</v>
      </c>
      <c r="V11" s="48">
        <f t="shared" si="2"/>
        <v>0</v>
      </c>
      <c r="W11" s="49">
        <f t="shared" si="3"/>
        <v>8.86373398691159E-2</v>
      </c>
      <c r="X11" s="44">
        <f t="shared" si="4"/>
        <v>25044.772883240264</v>
      </c>
      <c r="Y11" s="44">
        <f t="shared" si="5"/>
        <v>0</v>
      </c>
      <c r="Z11" s="44">
        <f t="shared" si="6"/>
        <v>56462.073247593296</v>
      </c>
      <c r="AA11" s="50">
        <f t="shared" si="7"/>
        <v>52548.772883240264</v>
      </c>
      <c r="AB11" s="51">
        <f t="shared" si="8"/>
        <v>52783.09175244769</v>
      </c>
      <c r="AC11" s="44">
        <f t="shared" si="9"/>
        <v>49124.775996298267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10.768151117636117</v>
      </c>
      <c r="AG11" s="44">
        <f t="shared" si="11"/>
        <v>75549.348241334999</v>
      </c>
      <c r="AH11" s="52">
        <f>HLOOKUP(I11,GasAvoidedCostsWOCC!$A$5:$Q$50,T11+1,FALSE)</f>
        <v>10.768151117636117</v>
      </c>
      <c r="AI11" s="44">
        <f t="shared" si="12"/>
        <v>0</v>
      </c>
      <c r="AJ11" s="44">
        <f t="shared" si="13"/>
        <v>75549.348241334999</v>
      </c>
      <c r="AK11" s="44">
        <f>HLOOKUP(I11,GasAvoidedCostsWOCC!$A$5:$Q$50,G11+1,FALSE)*J11*L11</f>
        <v>0</v>
      </c>
      <c r="AL11" s="44">
        <f t="shared" si="14"/>
        <v>75549.348241334999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75549.348241334999</v>
      </c>
      <c r="AN11" s="48">
        <f t="shared" si="15"/>
        <v>83104.283065468509</v>
      </c>
      <c r="AO11" s="47">
        <f t="shared" si="16"/>
        <v>1.4313172217281414</v>
      </c>
      <c r="AP11" s="47">
        <f t="shared" si="17"/>
        <v>1.6916979544442243</v>
      </c>
      <c r="AQ11">
        <v>2020</v>
      </c>
    </row>
    <row r="12" spans="1:43" ht="13.5" customHeight="1">
      <c r="A12" s="55">
        <f>SUM(P5:P1000)</f>
        <v>354447.69</v>
      </c>
      <c r="B12" s="97" t="s">
        <v>102</v>
      </c>
      <c r="C12" s="100">
        <v>18230673</v>
      </c>
      <c r="D12" s="100" t="s">
        <v>103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15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10.768151117636117</v>
      </c>
      <c r="AG12" s="44">
        <f t="shared" si="11"/>
        <v>0</v>
      </c>
      <c r="AH12" s="52">
        <f>HLOOKUP(I12,GasAvoidedCostsWOCC!$A$5:$Q$50,T12+1,FALSE)</f>
        <v>10.768151117636117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 t="s">
        <v>102</v>
      </c>
      <c r="C13" s="100">
        <v>18230673</v>
      </c>
      <c r="D13" s="100" t="s">
        <v>103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14824</v>
      </c>
      <c r="L13" s="41"/>
      <c r="M13" s="42">
        <v>87839</v>
      </c>
      <c r="N13" s="42">
        <v>87839</v>
      </c>
      <c r="O13" s="43">
        <v>14824</v>
      </c>
      <c r="P13" s="44">
        <v>87839</v>
      </c>
      <c r="Q13" s="44">
        <v>87839</v>
      </c>
      <c r="R13" s="45"/>
      <c r="S13" s="46"/>
      <c r="T13" s="39">
        <f t="shared" si="0"/>
        <v>15</v>
      </c>
      <c r="U13" s="47">
        <f t="shared" si="1"/>
        <v>2.8092073679157088</v>
      </c>
      <c r="V13" s="48">
        <f t="shared" si="2"/>
        <v>0</v>
      </c>
      <c r="W13" s="49">
        <f t="shared" si="3"/>
        <v>0.18728049119438059</v>
      </c>
      <c r="X13" s="44">
        <f t="shared" si="4"/>
        <v>52916.720812593172</v>
      </c>
      <c r="Y13" s="44">
        <f t="shared" si="5"/>
        <v>0</v>
      </c>
      <c r="Z13" s="44">
        <f t="shared" si="6"/>
        <v>119297.8582985067</v>
      </c>
      <c r="AA13" s="50">
        <f t="shared" si="7"/>
        <v>140755.72081259318</v>
      </c>
      <c r="AB13" s="51">
        <f t="shared" si="8"/>
        <v>111524.59409040543</v>
      </c>
      <c r="AC13" s="44">
        <f t="shared" si="9"/>
        <v>131584.29542170063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159627.07216783782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159627.07216783782</v>
      </c>
      <c r="AK13" s="44">
        <f>HLOOKUP(I13,GasAvoidedCostsWOCC!$A$5:$Q$50,G13+1,FALSE)*J13*L13</f>
        <v>0</v>
      </c>
      <c r="AL13" s="44">
        <f t="shared" si="14"/>
        <v>159627.07216783782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159627.07216783782</v>
      </c>
      <c r="AN13" s="48">
        <f t="shared" si="15"/>
        <v>175589.77938462162</v>
      </c>
      <c r="AO13" s="47">
        <f t="shared" si="16"/>
        <v>1.4313172217281416</v>
      </c>
      <c r="AP13" s="47">
        <f t="shared" si="17"/>
        <v>1.3344280852201431</v>
      </c>
      <c r="AQ13">
        <v>2020</v>
      </c>
    </row>
    <row r="14" spans="1:43" ht="13.5" customHeight="1">
      <c r="A14" s="55">
        <f>SUM(Y5:Y1000)</f>
        <v>0</v>
      </c>
      <c r="B14" s="97" t="s">
        <v>102</v>
      </c>
      <c r="C14" s="100">
        <v>18230673</v>
      </c>
      <c r="D14" s="100" t="s">
        <v>103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3163</v>
      </c>
      <c r="L14" s="41"/>
      <c r="M14" s="42">
        <v>15816</v>
      </c>
      <c r="N14" s="42">
        <v>15816</v>
      </c>
      <c r="O14" s="43">
        <v>3163</v>
      </c>
      <c r="P14" s="44">
        <v>15816</v>
      </c>
      <c r="Q14" s="44">
        <v>15816</v>
      </c>
      <c r="R14" s="45"/>
      <c r="S14" s="46"/>
      <c r="T14" s="39">
        <f t="shared" si="0"/>
        <v>15</v>
      </c>
      <c r="U14" s="47">
        <f t="shared" si="1"/>
        <v>0.59940116734466997</v>
      </c>
      <c r="V14" s="48">
        <f t="shared" si="2"/>
        <v>0</v>
      </c>
      <c r="W14" s="49">
        <f t="shared" si="3"/>
        <v>3.9960077822977995E-2</v>
      </c>
      <c r="X14" s="44">
        <f t="shared" si="4"/>
        <v>11290.851857139247</v>
      </c>
      <c r="Y14" s="44">
        <f t="shared" si="5"/>
        <v>0</v>
      </c>
      <c r="Z14" s="44">
        <f t="shared" si="6"/>
        <v>25454.609133714024</v>
      </c>
      <c r="AA14" s="50">
        <f t="shared" si="7"/>
        <v>27106.851857139249</v>
      </c>
      <c r="AB14" s="51">
        <f t="shared" si="8"/>
        <v>23796.026113596356</v>
      </c>
      <c r="AC14" s="44">
        <f t="shared" si="9"/>
        <v>25340.611252817842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10.768151117636117</v>
      </c>
      <c r="AG14" s="44">
        <f t="shared" si="11"/>
        <v>34059.661985083039</v>
      </c>
      <c r="AH14" s="52">
        <f>HLOOKUP(I14,GasAvoidedCostsWOCC!$A$5:$Q$50,T14+1,FALSE)</f>
        <v>10.768151117636117</v>
      </c>
      <c r="AI14" s="44">
        <f t="shared" si="12"/>
        <v>0</v>
      </c>
      <c r="AJ14" s="44">
        <f t="shared" si="13"/>
        <v>34059.661985083039</v>
      </c>
      <c r="AK14" s="44">
        <f>HLOOKUP(I14,GasAvoidedCostsWOCC!$A$5:$Q$50,G14+1,FALSE)*J14*L14</f>
        <v>0</v>
      </c>
      <c r="AL14" s="44">
        <f t="shared" si="14"/>
        <v>34059.661985083039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34059.661985083039</v>
      </c>
      <c r="AN14" s="48">
        <f t="shared" si="15"/>
        <v>37465.628183591347</v>
      </c>
      <c r="AO14" s="47">
        <f t="shared" si="16"/>
        <v>1.4313172217281416</v>
      </c>
      <c r="AP14" s="47">
        <f t="shared" si="17"/>
        <v>1.4784816281582482</v>
      </c>
      <c r="AQ14">
        <v>2020</v>
      </c>
    </row>
    <row r="15" spans="1:43" ht="13.5" customHeight="1">
      <c r="A15" s="57" t="s">
        <v>253</v>
      </c>
      <c r="B15" s="97" t="s">
        <v>102</v>
      </c>
      <c r="C15" s="100">
        <v>18230673</v>
      </c>
      <c r="D15" s="100" t="s">
        <v>103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/>
      <c r="S15" s="46"/>
      <c r="T15" s="39">
        <f t="shared" si="0"/>
        <v>15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10.768151117636117</v>
      </c>
      <c r="AG15" s="44">
        <f t="shared" si="11"/>
        <v>0</v>
      </c>
      <c r="AH15" s="52">
        <f>HLOOKUP(I15,GasAvoidedCostsWOCC!$A$5:$Q$50,T15+1,FALSE)</f>
        <v>10.768151117636117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  <c r="AQ15">
        <v>2020</v>
      </c>
    </row>
    <row r="16" spans="1:43" ht="13.5" customHeight="1">
      <c r="A16" s="54">
        <f>SUM(U5:U999)</f>
        <v>15.000000000000002</v>
      </c>
      <c r="B16" s="97" t="s">
        <v>102</v>
      </c>
      <c r="C16" s="100">
        <v>18230673</v>
      </c>
      <c r="D16" s="100" t="s">
        <v>103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5123</v>
      </c>
      <c r="L16" s="41"/>
      <c r="M16" s="42">
        <v>20491</v>
      </c>
      <c r="N16" s="42">
        <v>20491</v>
      </c>
      <c r="O16" s="43">
        <v>5123</v>
      </c>
      <c r="P16" s="44">
        <v>20491</v>
      </c>
      <c r="Q16" s="44">
        <v>20491</v>
      </c>
      <c r="R16" s="45"/>
      <c r="S16" s="46"/>
      <c r="T16" s="39">
        <f t="shared" si="0"/>
        <v>15</v>
      </c>
      <c r="U16" s="47">
        <f t="shared" si="1"/>
        <v>0.97082901685322287</v>
      </c>
      <c r="V16" s="48">
        <f t="shared" si="2"/>
        <v>0</v>
      </c>
      <c r="W16" s="49">
        <f t="shared" si="3"/>
        <v>6.4721934456881527E-2</v>
      </c>
      <c r="X16" s="44">
        <f t="shared" si="4"/>
        <v>18287.396163175581</v>
      </c>
      <c r="Y16" s="44">
        <f t="shared" si="5"/>
        <v>0</v>
      </c>
      <c r="Z16" s="44">
        <f t="shared" si="6"/>
        <v>41227.93632374864</v>
      </c>
      <c r="AA16" s="50">
        <f t="shared" si="7"/>
        <v>38778.396163175581</v>
      </c>
      <c r="AB16" s="51">
        <f t="shared" si="8"/>
        <v>38541.587663595994</v>
      </c>
      <c r="AC16" s="44">
        <f t="shared" si="9"/>
        <v>36251.655756918364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10.768151117636117</v>
      </c>
      <c r="AG16" s="44">
        <f t="shared" si="11"/>
        <v>55165.238175649829</v>
      </c>
      <c r="AH16" s="52">
        <f>HLOOKUP(I16,GasAvoidedCostsWOCC!$A$5:$Q$50,T16+1,FALSE)</f>
        <v>10.768151117636117</v>
      </c>
      <c r="AI16" s="44">
        <f t="shared" si="12"/>
        <v>0</v>
      </c>
      <c r="AJ16" s="44">
        <f t="shared" si="13"/>
        <v>55165.238175649829</v>
      </c>
      <c r="AK16" s="44">
        <f>HLOOKUP(I16,GasAvoidedCostsWOCC!$A$5:$Q$50,G16+1,FALSE)*J16*L16</f>
        <v>0</v>
      </c>
      <c r="AL16" s="44">
        <f t="shared" si="14"/>
        <v>55165.238175649829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55165.238175649829</v>
      </c>
      <c r="AN16" s="48">
        <f t="shared" si="15"/>
        <v>60681.761993214815</v>
      </c>
      <c r="AO16" s="47">
        <f t="shared" si="16"/>
        <v>1.4313172217281414</v>
      </c>
      <c r="AP16" s="47">
        <f t="shared" si="17"/>
        <v>1.6739031839017213</v>
      </c>
      <c r="AQ16">
        <v>2020</v>
      </c>
    </row>
    <row r="17" spans="1:43" ht="13.5" customHeight="1">
      <c r="A17" s="58" t="s">
        <v>254</v>
      </c>
      <c r="B17" s="97" t="s">
        <v>102</v>
      </c>
      <c r="C17" s="100">
        <v>18230673</v>
      </c>
      <c r="D17" s="100" t="s">
        <v>103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16318</v>
      </c>
      <c r="L17" s="41"/>
      <c r="M17" s="42">
        <v>93364</v>
      </c>
      <c r="N17" s="42">
        <v>93364</v>
      </c>
      <c r="O17" s="43">
        <v>16318</v>
      </c>
      <c r="P17" s="44">
        <v>93364</v>
      </c>
      <c r="Q17" s="44">
        <v>93364</v>
      </c>
      <c r="R17" s="45"/>
      <c r="S17" s="46"/>
      <c r="T17" s="39">
        <f t="shared" si="0"/>
        <v>15</v>
      </c>
      <c r="U17" s="47">
        <f t="shared" si="1"/>
        <v>3.0923263511635546</v>
      </c>
      <c r="V17" s="48">
        <f t="shared" si="2"/>
        <v>0</v>
      </c>
      <c r="W17" s="49">
        <f t="shared" si="3"/>
        <v>0.2061550900775703</v>
      </c>
      <c r="X17" s="44">
        <f t="shared" si="4"/>
        <v>58249.801013214739</v>
      </c>
      <c r="Y17" s="44">
        <f t="shared" si="5"/>
        <v>0</v>
      </c>
      <c r="Z17" s="44">
        <f t="shared" si="6"/>
        <v>131320.99647295146</v>
      </c>
      <c r="AA17" s="50">
        <f t="shared" si="7"/>
        <v>151613.80101321475</v>
      </c>
      <c r="AB17" s="51">
        <f t="shared" si="8"/>
        <v>122764.32314943578</v>
      </c>
      <c r="AC17" s="44">
        <f t="shared" si="9"/>
        <v>141734.87988521522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10.768151117636117</v>
      </c>
      <c r="AG17" s="44">
        <f t="shared" si="11"/>
        <v>175714.68993758617</v>
      </c>
      <c r="AH17" s="52">
        <f>HLOOKUP(I17,GasAvoidedCostsWOCC!$A$5:$Q$50,T17+1,FALSE)</f>
        <v>10.768151117636117</v>
      </c>
      <c r="AI17" s="44">
        <f t="shared" si="12"/>
        <v>0</v>
      </c>
      <c r="AJ17" s="44">
        <f t="shared" si="13"/>
        <v>175714.68993758617</v>
      </c>
      <c r="AK17" s="44">
        <f>HLOOKUP(I17,GasAvoidedCostsWOCC!$A$5:$Q$50,G17+1,FALSE)*J17*L17</f>
        <v>0</v>
      </c>
      <c r="AL17" s="44">
        <f t="shared" si="14"/>
        <v>175714.68993758617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175714.68993758617</v>
      </c>
      <c r="AN17" s="48">
        <f t="shared" si="15"/>
        <v>193286.15893134481</v>
      </c>
      <c r="AO17" s="47">
        <f t="shared" si="16"/>
        <v>1.4313172217281414</v>
      </c>
      <c r="AP17" s="47">
        <f t="shared" si="17"/>
        <v>1.363716250282772</v>
      </c>
      <c r="AQ17">
        <v>2020</v>
      </c>
    </row>
    <row r="18" spans="1:43" ht="13.5" customHeight="1">
      <c r="A18" s="59">
        <f>A6+A8</f>
        <v>637000.99</v>
      </c>
      <c r="B18" s="97" t="s">
        <v>102</v>
      </c>
      <c r="C18" s="100">
        <v>18230673</v>
      </c>
      <c r="D18" s="100" t="s">
        <v>103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10.768151117636117</v>
      </c>
      <c r="AG18" s="44">
        <f t="shared" si="11"/>
        <v>0</v>
      </c>
      <c r="AH18" s="52">
        <f>HLOOKUP(I18,GasAvoidedCostsWOCC!$A$5:$Q$50,T18+1,FALSE)</f>
        <v>10.768151117636117</v>
      </c>
      <c r="AI18" s="44">
        <f t="shared" si="12"/>
        <v>0</v>
      </c>
      <c r="AJ18" s="44">
        <f t="shared" si="13"/>
        <v>0</v>
      </c>
      <c r="AK18" s="44">
        <f>HLOOKUP(I18,GasAvoidedCostsWOCC!$A$5:$Q$50,G18+1,FALSE)*J18*L18</f>
        <v>0</v>
      </c>
      <c r="AL18" s="44">
        <f t="shared" si="14"/>
        <v>0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3" ht="13.5" customHeight="1">
      <c r="A19" s="58" t="s">
        <v>231</v>
      </c>
      <c r="B19" s="97" t="s">
        <v>102</v>
      </c>
      <c r="C19" s="100">
        <v>18230673</v>
      </c>
      <c r="D19" s="100" t="s">
        <v>103</v>
      </c>
      <c r="E19" s="38" t="s">
        <v>976</v>
      </c>
      <c r="F19" s="39" t="s">
        <v>977</v>
      </c>
      <c r="G19" s="39">
        <v>15</v>
      </c>
      <c r="H19" s="39"/>
      <c r="I19" s="40" t="s">
        <v>248</v>
      </c>
      <c r="J19" s="41">
        <v>1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15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3" ht="13.5" customHeight="1">
      <c r="A20" s="59">
        <f>A8+SUM(Q5:Q906)</f>
        <v>637000.99</v>
      </c>
      <c r="B20" s="97" t="s">
        <v>102</v>
      </c>
      <c r="C20" s="100">
        <v>18230673</v>
      </c>
      <c r="D20" s="100" t="s">
        <v>103</v>
      </c>
      <c r="E20" s="38" t="s">
        <v>976</v>
      </c>
      <c r="F20" s="39" t="s">
        <v>977</v>
      </c>
      <c r="G20" s="39">
        <v>15</v>
      </c>
      <c r="H20" s="39"/>
      <c r="I20" s="40" t="s">
        <v>248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0</v>
      </c>
      <c r="R20" s="45"/>
      <c r="S20" s="46"/>
      <c r="T20" s="39">
        <f t="shared" si="0"/>
        <v>15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3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(SUM(AM5:AM1000)/(SUM(AB5:AB1000)))</f>
        <v>1.4017023511107103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1.5418725862217819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3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8.2751575413854764E-3</v>
      </c>
      <c r="V5" s="48">
        <f t="shared" ref="V5:V24" si="2">N5-M5</f>
        <v>1566.5500000000002</v>
      </c>
      <c r="W5" s="49">
        <f t="shared" ref="W5:W24" si="3">(O5/A$10)</f>
        <v>3.4479823089106153E-4</v>
      </c>
      <c r="X5" s="44">
        <f t="shared" ref="X5:X24" si="4">W5*A$8</f>
        <v>285.15265380373262</v>
      </c>
      <c r="Y5" s="44">
        <f t="shared" ref="Y5:Y24" si="5">Q5-P5</f>
        <v>1566.5500000000002</v>
      </c>
      <c r="Z5" s="44">
        <f t="shared" ref="Z5:Z24" si="6">X5+(A$6*W5)</f>
        <v>1173.0420437340474</v>
      </c>
      <c r="AA5" s="50">
        <f t="shared" ref="AA5:AA24" si="7">Q5+X5</f>
        <v>3657.7026538037326</v>
      </c>
      <c r="AB5" s="51">
        <f t="shared" ref="AB5:AB24" si="8">Z5/(1+GasDiscountRate)^1</f>
        <v>1096.6084357614727</v>
      </c>
      <c r="AC5" s="44">
        <f t="shared" ref="AC5:AC24" si="9">AA5/(1+GasDiscountRate)^1</f>
        <v>3419.372397685082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3.9491854858628517</v>
      </c>
      <c r="AP5" s="47">
        <f>AN5/AC5</f>
        <v>1.3931741196798146</v>
      </c>
      <c r="AQ5">
        <v>2021</v>
      </c>
    </row>
    <row r="6" spans="1:43" ht="13.5" customHeight="1">
      <c r="A6" s="53">
        <f>SUMIF('Program Costs'!D:D,C2,'Program Costs'!L:L)</f>
        <v>2575098.4500000002</v>
      </c>
      <c r="B6" s="97" t="s">
        <v>141</v>
      </c>
      <c r="C6" s="98">
        <v>18230731</v>
      </c>
      <c r="D6" s="61" t="s">
        <v>142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0.10811028251136599</v>
      </c>
      <c r="V6" s="48">
        <f t="shared" si="2"/>
        <v>14697</v>
      </c>
      <c r="W6" s="49">
        <f t="shared" si="3"/>
        <v>7.2073521674243992E-3</v>
      </c>
      <c r="X6" s="44">
        <f t="shared" si="4"/>
        <v>5960.574658773372</v>
      </c>
      <c r="Y6" s="44">
        <f t="shared" si="5"/>
        <v>14697</v>
      </c>
      <c r="Z6" s="44">
        <f t="shared" si="6"/>
        <v>24520.216053712087</v>
      </c>
      <c r="AA6" s="50">
        <f t="shared" si="7"/>
        <v>47622.574658773374</v>
      </c>
      <c r="AB6" s="51">
        <f t="shared" si="8"/>
        <v>22922.516643649702</v>
      </c>
      <c r="AC6" s="44">
        <f t="shared" si="9"/>
        <v>44519.561240322866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2.6801742611896211</v>
      </c>
      <c r="AP6" s="47">
        <f t="shared" ref="AP6:AP24" si="17">AN6/AC6</f>
        <v>1.517983806178917</v>
      </c>
      <c r="AQ6">
        <v>2021</v>
      </c>
    </row>
    <row r="7" spans="1:43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0.53537943909346397</v>
      </c>
      <c r="V7" s="48">
        <f t="shared" si="2"/>
        <v>31696</v>
      </c>
      <c r="W7" s="49">
        <f t="shared" si="3"/>
        <v>3.5691962606230934E-2</v>
      </c>
      <c r="X7" s="44">
        <f t="shared" si="4"/>
        <v>29517.720640063126</v>
      </c>
      <c r="Y7" s="44">
        <f t="shared" si="5"/>
        <v>31696</v>
      </c>
      <c r="Z7" s="44">
        <f t="shared" si="6"/>
        <v>121428.03822482638</v>
      </c>
      <c r="AA7" s="50">
        <f t="shared" si="7"/>
        <v>135172.72064006311</v>
      </c>
      <c r="AB7" s="51">
        <f t="shared" si="8"/>
        <v>113515.97478248703</v>
      </c>
      <c r="AC7" s="44">
        <f t="shared" si="9"/>
        <v>126365.07491826035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2.2694259216740611</v>
      </c>
      <c r="AP7" s="47">
        <f t="shared" si="17"/>
        <v>2.2425318502626332</v>
      </c>
      <c r="AQ7">
        <v>2021</v>
      </c>
    </row>
    <row r="8" spans="1:43" ht="13.5" customHeight="1">
      <c r="A8" s="53">
        <f>SUMIF('Program Costs'!D:D,C2,'Program Costs'!O:O)</f>
        <v>827013.10000000009</v>
      </c>
      <c r="B8" s="97" t="s">
        <v>141</v>
      </c>
      <c r="C8" s="98">
        <v>18230731</v>
      </c>
      <c r="D8" s="61" t="s">
        <v>142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1.0298642042905464</v>
      </c>
      <c r="V8" s="48">
        <f t="shared" si="2"/>
        <v>70846.97</v>
      </c>
      <c r="W8" s="49">
        <f t="shared" si="3"/>
        <v>6.8657613619369756E-2</v>
      </c>
      <c r="X8" s="44">
        <f t="shared" si="4"/>
        <v>56780.745877957212</v>
      </c>
      <c r="Y8" s="44">
        <f t="shared" si="5"/>
        <v>70846.97</v>
      </c>
      <c r="Z8" s="44">
        <f t="shared" si="6"/>
        <v>233580.86028989518</v>
      </c>
      <c r="AA8" s="50">
        <f t="shared" si="7"/>
        <v>219113.84587795721</v>
      </c>
      <c r="AB8" s="51">
        <f t="shared" si="8"/>
        <v>218361.09216592985</v>
      </c>
      <c r="AC8" s="44">
        <f t="shared" si="9"/>
        <v>204836.72607082097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2.2694259216740611</v>
      </c>
      <c r="AP8" s="47">
        <f t="shared" si="17"/>
        <v>2.6611915040205916</v>
      </c>
      <c r="AQ8">
        <v>2021</v>
      </c>
    </row>
    <row r="9" spans="1:43" ht="13.5" customHeight="1">
      <c r="A9" s="36" t="s">
        <v>303</v>
      </c>
      <c r="B9" s="97" t="s">
        <v>141</v>
      </c>
      <c r="C9" s="98">
        <v>18230731</v>
      </c>
      <c r="D9" s="61" t="s">
        <v>142</v>
      </c>
      <c r="E9" s="38" t="s">
        <v>982</v>
      </c>
      <c r="F9" s="39" t="s">
        <v>983</v>
      </c>
      <c r="G9" s="39">
        <v>15</v>
      </c>
      <c r="H9" s="39"/>
      <c r="I9" s="40" t="s">
        <v>256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1.0645444914673798</v>
      </c>
      <c r="V9" s="48">
        <f t="shared" si="2"/>
        <v>348219</v>
      </c>
      <c r="W9" s="49">
        <f t="shared" si="3"/>
        <v>7.0969632764491988E-2</v>
      </c>
      <c r="X9" s="44">
        <f t="shared" si="4"/>
        <v>58692.815998424099</v>
      </c>
      <c r="Y9" s="44">
        <f t="shared" si="5"/>
        <v>348219</v>
      </c>
      <c r="Z9" s="44">
        <f t="shared" si="6"/>
        <v>241446.60732733665</v>
      </c>
      <c r="AA9" s="50">
        <f t="shared" si="7"/>
        <v>663587.81599842408</v>
      </c>
      <c r="AB9" s="51">
        <f t="shared" si="8"/>
        <v>225714.31927394282</v>
      </c>
      <c r="AC9" s="44">
        <f t="shared" si="9"/>
        <v>620349.45872527256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2.2694259216740615</v>
      </c>
      <c r="AP9" s="47">
        <f t="shared" si="17"/>
        <v>0.90830436269981074</v>
      </c>
      <c r="AQ9">
        <v>2021</v>
      </c>
    </row>
    <row r="10" spans="1:43" ht="13.5" customHeight="1">
      <c r="A10" s="54">
        <f>SUM(O5:O999)</f>
        <v>748263.7</v>
      </c>
      <c r="B10" s="97" t="s">
        <v>141</v>
      </c>
      <c r="C10" s="98">
        <v>18230731</v>
      </c>
      <c r="D10" s="61" t="s">
        <v>142</v>
      </c>
      <c r="E10" s="38" t="s">
        <v>984</v>
      </c>
      <c r="F10" s="39" t="s">
        <v>985</v>
      </c>
      <c r="G10" s="39">
        <v>30</v>
      </c>
      <c r="H10" s="39"/>
      <c r="I10" s="40" t="s">
        <v>261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7.3409948925759735E-2</v>
      </c>
      <c r="V10" s="48">
        <f t="shared" si="2"/>
        <v>48067</v>
      </c>
      <c r="W10" s="49">
        <f t="shared" si="3"/>
        <v>2.4469982975253244E-3</v>
      </c>
      <c r="X10" s="44">
        <f t="shared" si="4"/>
        <v>2023.6996477311411</v>
      </c>
      <c r="Y10" s="44">
        <f t="shared" si="5"/>
        <v>48067</v>
      </c>
      <c r="Z10" s="44">
        <f t="shared" si="6"/>
        <v>8324.9611708412431</v>
      </c>
      <c r="AA10" s="50">
        <f t="shared" si="7"/>
        <v>59083.69964773114</v>
      </c>
      <c r="AB10" s="51">
        <f t="shared" si="8"/>
        <v>7782.5195576715359</v>
      </c>
      <c r="AC10" s="44">
        <f t="shared" si="9"/>
        <v>55233.897025082857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4.6799093464111579</v>
      </c>
      <c r="AP10" s="47">
        <f t="shared" si="17"/>
        <v>0.7253450648256522</v>
      </c>
      <c r="AQ10">
        <v>2021</v>
      </c>
    </row>
    <row r="11" spans="1:43" ht="13.5" customHeight="1">
      <c r="A11" s="36" t="s">
        <v>251</v>
      </c>
      <c r="B11" s="97" t="s">
        <v>141</v>
      </c>
      <c r="C11" s="98">
        <v>18230731</v>
      </c>
      <c r="D11" s="61" t="s">
        <v>142</v>
      </c>
      <c r="E11" s="38" t="s">
        <v>986</v>
      </c>
      <c r="F11" s="39" t="s">
        <v>987</v>
      </c>
      <c r="G11" s="39">
        <v>15</v>
      </c>
      <c r="H11" s="39"/>
      <c r="I11" s="40" t="s">
        <v>256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3.8469058434880646E-2</v>
      </c>
      <c r="V11" s="48">
        <f t="shared" si="2"/>
        <v>6755</v>
      </c>
      <c r="W11" s="49">
        <f t="shared" si="3"/>
        <v>2.5646038956587099E-3</v>
      </c>
      <c r="X11" s="44">
        <f t="shared" si="4"/>
        <v>2120.9610180207865</v>
      </c>
      <c r="Y11" s="44">
        <f t="shared" si="5"/>
        <v>6755</v>
      </c>
      <c r="Z11" s="44">
        <f t="shared" si="6"/>
        <v>8725.0685345954917</v>
      </c>
      <c r="AA11" s="50">
        <f t="shared" si="7"/>
        <v>18470.961018020786</v>
      </c>
      <c r="AB11" s="51">
        <f t="shared" si="8"/>
        <v>8156.5565435126582</v>
      </c>
      <c r="AC11" s="44">
        <f t="shared" si="9"/>
        <v>17267.421723867239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2.269425921674062</v>
      </c>
      <c r="AP11" s="47">
        <f t="shared" si="17"/>
        <v>1.1792015775260942</v>
      </c>
      <c r="AQ11">
        <v>2021</v>
      </c>
    </row>
    <row r="12" spans="1:43" ht="13.5" customHeight="1">
      <c r="A12" s="55">
        <f>SUM(P5:P1000)</f>
        <v>2571738.13</v>
      </c>
      <c r="B12" s="97" t="s">
        <v>141</v>
      </c>
      <c r="C12" s="98">
        <v>18230731</v>
      </c>
      <c r="D12" s="61" t="s">
        <v>142</v>
      </c>
      <c r="E12" s="38" t="s">
        <v>988</v>
      </c>
      <c r="F12" s="39" t="s">
        <v>989</v>
      </c>
      <c r="G12" s="39">
        <v>10</v>
      </c>
      <c r="H12" s="39"/>
      <c r="I12" s="40" t="s">
        <v>256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7.3383220380729419E-2</v>
      </c>
      <c r="V12" s="48">
        <f t="shared" si="2"/>
        <v>0</v>
      </c>
      <c r="W12" s="49">
        <f t="shared" si="3"/>
        <v>7.3383220380729419E-3</v>
      </c>
      <c r="X12" s="44">
        <f t="shared" si="4"/>
        <v>6068.8884575050224</v>
      </c>
      <c r="Y12" s="44">
        <f t="shared" si="5"/>
        <v>0</v>
      </c>
      <c r="Z12" s="44">
        <f t="shared" si="6"/>
        <v>24965.790163347498</v>
      </c>
      <c r="AA12" s="50">
        <f t="shared" si="7"/>
        <v>31872.888457505022</v>
      </c>
      <c r="AB12" s="51">
        <f t="shared" si="8"/>
        <v>23339.057832427312</v>
      </c>
      <c r="AC12" s="44">
        <f t="shared" si="9"/>
        <v>29796.100268771635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1.579560570373046</v>
      </c>
      <c r="AP12" s="47">
        <f t="shared" si="17"/>
        <v>1.3609835074436074</v>
      </c>
      <c r="AQ12">
        <v>2021</v>
      </c>
    </row>
    <row r="13" spans="1:43" ht="13.5" customHeight="1">
      <c r="A13" s="56" t="s">
        <v>252</v>
      </c>
      <c r="B13" s="97" t="s">
        <v>141</v>
      </c>
      <c r="C13" s="98">
        <v>18230731</v>
      </c>
      <c r="D13" s="61" t="s">
        <v>142</v>
      </c>
      <c r="E13" s="38" t="s">
        <v>988</v>
      </c>
      <c r="F13" s="39" t="s">
        <v>989</v>
      </c>
      <c r="G13" s="39">
        <v>10</v>
      </c>
      <c r="H13" s="39"/>
      <c r="I13" s="40" t="s">
        <v>256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3.9985903365351017E-2</v>
      </c>
      <c r="V13" s="48">
        <f t="shared" si="2"/>
        <v>0</v>
      </c>
      <c r="W13" s="49">
        <f t="shared" si="3"/>
        <v>3.9985903365351017E-3</v>
      </c>
      <c r="X13" s="44">
        <f t="shared" si="4"/>
        <v>3306.886589847938</v>
      </c>
      <c r="Y13" s="44">
        <f t="shared" si="5"/>
        <v>0</v>
      </c>
      <c r="Z13" s="44">
        <f t="shared" si="6"/>
        <v>13603.650367644457</v>
      </c>
      <c r="AA13" s="50">
        <f t="shared" si="7"/>
        <v>8884.886589847938</v>
      </c>
      <c r="AB13" s="51">
        <f t="shared" si="8"/>
        <v>12717.257518598164</v>
      </c>
      <c r="AC13" s="44">
        <f t="shared" si="9"/>
        <v>8305.9611011011839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1.579560570373046</v>
      </c>
      <c r="AP13" s="47">
        <f t="shared" si="17"/>
        <v>2.6603118079488857</v>
      </c>
      <c r="AQ13">
        <v>2021</v>
      </c>
    </row>
    <row r="14" spans="1:43" ht="13.5" customHeight="1">
      <c r="A14" s="55">
        <f>SUM(Y5:Y1000)</f>
        <v>3695424.94</v>
      </c>
      <c r="B14" s="97" t="s">
        <v>141</v>
      </c>
      <c r="C14" s="98">
        <v>18230731</v>
      </c>
      <c r="D14" s="61" t="s">
        <v>142</v>
      </c>
      <c r="E14" s="38" t="s">
        <v>990</v>
      </c>
      <c r="F14" s="39" t="s">
        <v>991</v>
      </c>
      <c r="G14" s="39">
        <v>15</v>
      </c>
      <c r="H14" s="39"/>
      <c r="I14" s="40" t="s">
        <v>261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8.5117051649037642E-2</v>
      </c>
      <c r="V14" s="48">
        <f t="shared" si="2"/>
        <v>68652</v>
      </c>
      <c r="W14" s="49">
        <f t="shared" si="3"/>
        <v>5.6744701099358426E-3</v>
      </c>
      <c r="X14" s="44">
        <f t="shared" si="4"/>
        <v>4692.8611164753829</v>
      </c>
      <c r="Y14" s="44">
        <f t="shared" si="5"/>
        <v>68652</v>
      </c>
      <c r="Z14" s="44">
        <f t="shared" si="6"/>
        <v>19305.180301142504</v>
      </c>
      <c r="AA14" s="50">
        <f t="shared" si="7"/>
        <v>99234.861116475382</v>
      </c>
      <c r="AB14" s="51">
        <f t="shared" si="8"/>
        <v>18047.284566834162</v>
      </c>
      <c r="AC14" s="44">
        <f t="shared" si="9"/>
        <v>92768.870820300435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2.6801742611896211</v>
      </c>
      <c r="AP14" s="47">
        <f t="shared" si="17"/>
        <v>0.57354211459033744</v>
      </c>
      <c r="AQ14">
        <v>2021</v>
      </c>
    </row>
    <row r="15" spans="1:43" ht="13.5" customHeight="1">
      <c r="A15" s="57" t="s">
        <v>253</v>
      </c>
      <c r="B15" s="97" t="s">
        <v>141</v>
      </c>
      <c r="C15" s="98">
        <v>18230731</v>
      </c>
      <c r="D15" s="61" t="s">
        <v>142</v>
      </c>
      <c r="E15" s="38" t="s">
        <v>992</v>
      </c>
      <c r="F15" s="39" t="s">
        <v>993</v>
      </c>
      <c r="G15" s="39">
        <v>10</v>
      </c>
      <c r="H15" s="39"/>
      <c r="I15" s="40" t="s">
        <v>256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0.14359910817536653</v>
      </c>
      <c r="V15" s="48">
        <f t="shared" si="2"/>
        <v>54235</v>
      </c>
      <c r="W15" s="49">
        <f t="shared" si="3"/>
        <v>1.4359910817536653E-2</v>
      </c>
      <c r="X15" s="44">
        <f t="shared" si="4"/>
        <v>11875.834360934523</v>
      </c>
      <c r="Y15" s="44">
        <f t="shared" si="5"/>
        <v>54235</v>
      </c>
      <c r="Z15" s="44">
        <f t="shared" si="6"/>
        <v>48854.018449311392</v>
      </c>
      <c r="AA15" s="50">
        <f t="shared" si="7"/>
        <v>108489.83436093452</v>
      </c>
      <c r="AB15" s="51">
        <f t="shared" si="8"/>
        <v>45670.766055259781</v>
      </c>
      <c r="AC15" s="44">
        <f t="shared" si="9"/>
        <v>101420.80430114472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1.5795605703730462</v>
      </c>
      <c r="AP15" s="47">
        <f t="shared" si="17"/>
        <v>0.78242049009945058</v>
      </c>
      <c r="AQ15">
        <v>2021</v>
      </c>
    </row>
    <row r="16" spans="1:43" ht="13.5" customHeight="1">
      <c r="A16" s="54">
        <f>SUM(U5:U999)</f>
        <v>16.150254916816092</v>
      </c>
      <c r="B16" s="97" t="s">
        <v>141</v>
      </c>
      <c r="C16" s="98">
        <v>18230731</v>
      </c>
      <c r="D16" s="61" t="s">
        <v>142</v>
      </c>
      <c r="E16" s="38" t="s">
        <v>998</v>
      </c>
      <c r="F16" s="39" t="s">
        <v>999</v>
      </c>
      <c r="G16" s="39">
        <v>15</v>
      </c>
      <c r="H16" s="39"/>
      <c r="I16" s="40" t="s">
        <v>256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8.4916587561310278E-2</v>
      </c>
      <c r="V16" s="48">
        <f t="shared" si="2"/>
        <v>44907</v>
      </c>
      <c r="W16" s="49">
        <f t="shared" si="3"/>
        <v>5.6611058374206854E-3</v>
      </c>
      <c r="X16" s="44">
        <f t="shared" si="4"/>
        <v>4681.8086880333776</v>
      </c>
      <c r="Y16" s="44">
        <f t="shared" si="5"/>
        <v>44907</v>
      </c>
      <c r="Z16" s="44">
        <f t="shared" si="6"/>
        <v>19259.71355526134</v>
      </c>
      <c r="AA16" s="50">
        <f t="shared" si="7"/>
        <v>79240.808688033372</v>
      </c>
      <c r="AB16" s="51">
        <f t="shared" si="8"/>
        <v>18004.780363897669</v>
      </c>
      <c r="AC16" s="44">
        <f t="shared" si="9"/>
        <v>74077.599970116265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2.2694259216740611</v>
      </c>
      <c r="AP16" s="47">
        <f t="shared" si="17"/>
        <v>0.6067497707430749</v>
      </c>
      <c r="AQ16">
        <v>2021</v>
      </c>
    </row>
    <row r="17" spans="1:43" ht="13.5" customHeight="1">
      <c r="A17" s="58" t="s">
        <v>254</v>
      </c>
      <c r="B17" s="97" t="s">
        <v>141</v>
      </c>
      <c r="C17" s="98">
        <v>18230731</v>
      </c>
      <c r="D17" s="61" t="s">
        <v>142</v>
      </c>
      <c r="E17" s="38" t="s">
        <v>1006</v>
      </c>
      <c r="F17" s="39" t="s">
        <v>1007</v>
      </c>
      <c r="G17" s="39">
        <v>24</v>
      </c>
      <c r="H17" s="39"/>
      <c r="I17" s="40" t="s">
        <v>255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7.9704521280398885E-2</v>
      </c>
      <c r="V17" s="48">
        <f t="shared" si="2"/>
        <v>41539</v>
      </c>
      <c r="W17" s="49">
        <f t="shared" si="3"/>
        <v>3.3210217200166201E-3</v>
      </c>
      <c r="X17" s="44">
        <f t="shared" si="4"/>
        <v>2746.5284678382773</v>
      </c>
      <c r="Y17" s="44">
        <f t="shared" si="5"/>
        <v>41539</v>
      </c>
      <c r="Z17" s="44">
        <f t="shared" si="6"/>
        <v>11298.48635146941</v>
      </c>
      <c r="AA17" s="50">
        <f t="shared" si="7"/>
        <v>56710.528467838274</v>
      </c>
      <c r="AB17" s="51">
        <f t="shared" si="8"/>
        <v>10562.29442971806</v>
      </c>
      <c r="AC17" s="44">
        <f t="shared" si="9"/>
        <v>53015.358014245365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3.5658291438836893</v>
      </c>
      <c r="AP17" s="47">
        <f t="shared" si="17"/>
        <v>0.78146545804733902</v>
      </c>
      <c r="AQ17">
        <v>2021</v>
      </c>
    </row>
    <row r="18" spans="1:43" ht="13.5" customHeight="1">
      <c r="A18" s="59">
        <f>A6+A8</f>
        <v>3402111.5500000003</v>
      </c>
      <c r="B18" s="97" t="s">
        <v>141</v>
      </c>
      <c r="C18" s="98">
        <v>18230731</v>
      </c>
      <c r="D18" s="61" t="s">
        <v>142</v>
      </c>
      <c r="E18" s="38" t="s">
        <v>1006</v>
      </c>
      <c r="F18" s="39" t="s">
        <v>1007</v>
      </c>
      <c r="G18" s="39">
        <v>24</v>
      </c>
      <c r="H18" s="39"/>
      <c r="I18" s="40" t="s">
        <v>255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0.34633779508480772</v>
      </c>
      <c r="V18" s="48">
        <f t="shared" si="2"/>
        <v>139436</v>
      </c>
      <c r="W18" s="49">
        <f t="shared" si="3"/>
        <v>1.4430741461866988E-2</v>
      </c>
      <c r="X18" s="44">
        <f t="shared" si="4"/>
        <v>11934.41223167715</v>
      </c>
      <c r="Y18" s="44">
        <f t="shared" si="5"/>
        <v>139436</v>
      </c>
      <c r="Z18" s="44">
        <f t="shared" si="6"/>
        <v>49094.992202481561</v>
      </c>
      <c r="AA18" s="50">
        <f t="shared" si="7"/>
        <v>199161.41223167715</v>
      </c>
      <c r="AB18" s="51">
        <f t="shared" si="8"/>
        <v>45896.038330823183</v>
      </c>
      <c r="AC18" s="44">
        <f t="shared" si="9"/>
        <v>186184.36218722738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3.5658291438836893</v>
      </c>
      <c r="AP18" s="47">
        <f t="shared" si="17"/>
        <v>0.9669081337492017</v>
      </c>
      <c r="AQ18">
        <v>2021</v>
      </c>
    </row>
    <row r="19" spans="1:43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1006</v>
      </c>
      <c r="F19" s="39" t="s">
        <v>1007</v>
      </c>
      <c r="G19" s="39">
        <v>24</v>
      </c>
      <c r="H19" s="39"/>
      <c r="I19" s="40" t="s">
        <v>255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0.17291230351011283</v>
      </c>
      <c r="V19" s="48">
        <f t="shared" si="2"/>
        <v>40771</v>
      </c>
      <c r="W19" s="49">
        <f t="shared" si="3"/>
        <v>7.2046793129213679E-3</v>
      </c>
      <c r="X19" s="44">
        <f t="shared" si="4"/>
        <v>5958.3641730849713</v>
      </c>
      <c r="Y19" s="44">
        <f t="shared" si="5"/>
        <v>40771</v>
      </c>
      <c r="Z19" s="44">
        <f t="shared" si="6"/>
        <v>24511.12270453585</v>
      </c>
      <c r="AA19" s="50">
        <f t="shared" si="7"/>
        <v>73684.364173084978</v>
      </c>
      <c r="AB19" s="51">
        <f t="shared" si="8"/>
        <v>22914.015803062397</v>
      </c>
      <c r="AC19" s="44">
        <f t="shared" si="9"/>
        <v>68883.204798621082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3.5658291438836893</v>
      </c>
      <c r="AP19" s="47">
        <f t="shared" si="17"/>
        <v>1.3047913806003355</v>
      </c>
      <c r="AQ19">
        <v>2021</v>
      </c>
    </row>
    <row r="20" spans="1:43" ht="13.5" customHeight="1">
      <c r="A20" s="59">
        <f>A8+SUM(Q5:Q906)</f>
        <v>7094176.1699999999</v>
      </c>
      <c r="B20" s="97" t="s">
        <v>141</v>
      </c>
      <c r="C20" s="98">
        <v>18230731</v>
      </c>
      <c r="D20" s="61" t="s">
        <v>142</v>
      </c>
      <c r="E20" s="38" t="s">
        <v>1006</v>
      </c>
      <c r="F20" s="39" t="s">
        <v>1007</v>
      </c>
      <c r="G20" s="39">
        <v>24</v>
      </c>
      <c r="H20" s="39"/>
      <c r="I20" s="40" t="s">
        <v>255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0.12569900156856467</v>
      </c>
      <c r="V20" s="48">
        <f t="shared" si="2"/>
        <v>23276</v>
      </c>
      <c r="W20" s="49">
        <f t="shared" si="3"/>
        <v>5.237458398690195E-3</v>
      </c>
      <c r="X20" s="44">
        <f t="shared" si="4"/>
        <v>4331.4467064218143</v>
      </c>
      <c r="Y20" s="44">
        <f t="shared" si="5"/>
        <v>23276</v>
      </c>
      <c r="Z20" s="44">
        <f t="shared" si="6"/>
        <v>17818.417710828417</v>
      </c>
      <c r="AA20" s="50">
        <f t="shared" si="7"/>
        <v>47202.446706421812</v>
      </c>
      <c r="AB20" s="51">
        <f t="shared" si="8"/>
        <v>16657.397130810896</v>
      </c>
      <c r="AC20" s="44">
        <f t="shared" si="9"/>
        <v>44126.808176518469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3.5658291438836893</v>
      </c>
      <c r="AP20" s="47">
        <f t="shared" si="17"/>
        <v>1.4806685111679438</v>
      </c>
      <c r="AQ20">
        <v>2021</v>
      </c>
    </row>
    <row r="21" spans="1:43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1008</v>
      </c>
      <c r="F21" s="39" t="s">
        <v>1009</v>
      </c>
      <c r="G21" s="39">
        <v>30</v>
      </c>
      <c r="H21" s="39"/>
      <c r="I21" s="40" t="s">
        <v>255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0.24055690527283366</v>
      </c>
      <c r="V21" s="48">
        <f t="shared" si="2"/>
        <v>65197</v>
      </c>
      <c r="W21" s="49">
        <f t="shared" si="3"/>
        <v>8.0185635090944552E-3</v>
      </c>
      <c r="X21" s="44">
        <f t="shared" si="4"/>
        <v>6631.4570652030843</v>
      </c>
      <c r="Y21" s="44">
        <f t="shared" si="5"/>
        <v>65197</v>
      </c>
      <c r="Z21" s="44">
        <f t="shared" si="6"/>
        <v>27280.047528698778</v>
      </c>
      <c r="AA21" s="50">
        <f t="shared" si="7"/>
        <v>101828.45706520308</v>
      </c>
      <c r="AB21" s="51">
        <f t="shared" si="8"/>
        <v>25502.521761894714</v>
      </c>
      <c r="AC21" s="44">
        <f t="shared" si="9"/>
        <v>95193.472062450281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4.2515484831038828</v>
      </c>
      <c r="AP21" s="47">
        <f t="shared" si="17"/>
        <v>1.2528981861810242</v>
      </c>
      <c r="AQ21">
        <v>2021</v>
      </c>
    </row>
    <row r="22" spans="1:43" ht="13.5" customHeight="1">
      <c r="A22" s="60">
        <f>(SUM(AM5:AM1000)/(SUM(AB5:AB1000)))</f>
        <v>2.5289044756534165</v>
      </c>
      <c r="B22" s="97" t="s">
        <v>141</v>
      </c>
      <c r="C22" s="98">
        <v>18230731</v>
      </c>
      <c r="D22" s="61" t="s">
        <v>142</v>
      </c>
      <c r="E22" s="38" t="s">
        <v>1010</v>
      </c>
      <c r="F22" s="39" t="s">
        <v>1011</v>
      </c>
      <c r="G22" s="39">
        <v>15</v>
      </c>
      <c r="H22" s="39"/>
      <c r="I22" s="40" t="s">
        <v>256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0.14160783157060808</v>
      </c>
      <c r="V22" s="48">
        <f t="shared" si="2"/>
        <v>5588.33</v>
      </c>
      <c r="W22" s="49">
        <f t="shared" si="3"/>
        <v>9.4405221047072045E-3</v>
      </c>
      <c r="X22" s="44">
        <f t="shared" si="4"/>
        <v>7807.4354514324305</v>
      </c>
      <c r="Y22" s="44">
        <f t="shared" si="5"/>
        <v>5588.33</v>
      </c>
      <c r="Z22" s="44">
        <f t="shared" si="6"/>
        <v>32117.709290454692</v>
      </c>
      <c r="AA22" s="50">
        <f t="shared" si="7"/>
        <v>23006.765451432431</v>
      </c>
      <c r="AB22" s="51">
        <f t="shared" si="8"/>
        <v>30024.968954337375</v>
      </c>
      <c r="AC22" s="44">
        <f t="shared" si="9"/>
        <v>21507.680145304694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2.2694259216740615</v>
      </c>
      <c r="AP22" s="47">
        <f t="shared" si="17"/>
        <v>3.4849591690175079</v>
      </c>
      <c r="AQ22">
        <v>2021</v>
      </c>
    </row>
    <row r="23" spans="1:43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1010</v>
      </c>
      <c r="F23" s="39" t="s">
        <v>1011</v>
      </c>
      <c r="G23" s="39">
        <v>15</v>
      </c>
      <c r="H23" s="39"/>
      <c r="I23" s="40" t="s">
        <v>256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9.4338399684496255E-2</v>
      </c>
      <c r="V23" s="48">
        <f t="shared" si="2"/>
        <v>1939.5</v>
      </c>
      <c r="W23" s="49">
        <f t="shared" si="3"/>
        <v>6.2892266456330836E-3</v>
      </c>
      <c r="X23" s="44">
        <f t="shared" si="4"/>
        <v>5201.2728248076182</v>
      </c>
      <c r="Y23" s="44">
        <f t="shared" si="5"/>
        <v>1939.5</v>
      </c>
      <c r="Z23" s="44">
        <f t="shared" si="6"/>
        <v>21396.650611676072</v>
      </c>
      <c r="AA23" s="50">
        <f t="shared" si="7"/>
        <v>10639.772824807618</v>
      </c>
      <c r="AB23" s="51">
        <f t="shared" si="8"/>
        <v>20002.477901912753</v>
      </c>
      <c r="AC23" s="44">
        <f t="shared" si="9"/>
        <v>9946.5016591638941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2.2694259216740615</v>
      </c>
      <c r="AP23" s="47">
        <f t="shared" si="17"/>
        <v>5.0202129094444015</v>
      </c>
      <c r="AQ23">
        <v>2021</v>
      </c>
    </row>
    <row r="24" spans="1:43" ht="13.5" customHeight="1">
      <c r="A24" s="60">
        <f>(SUM(AN5:AN1000)/SUM(AC5:AC1000))</f>
        <v>1.3340487198549371</v>
      </c>
      <c r="B24" s="97" t="s">
        <v>141</v>
      </c>
      <c r="C24" s="98">
        <v>18230731</v>
      </c>
      <c r="D24" s="61" t="s">
        <v>142</v>
      </c>
      <c r="E24" s="38" t="s">
        <v>1012</v>
      </c>
      <c r="F24" s="39" t="s">
        <v>1013</v>
      </c>
      <c r="G24" s="39">
        <v>20</v>
      </c>
      <c r="H24" s="39"/>
      <c r="I24" s="40" t="s">
        <v>256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0.76173680481894279</v>
      </c>
      <c r="V24" s="48">
        <f t="shared" si="2"/>
        <v>65817.040000000008</v>
      </c>
      <c r="W24" s="49">
        <f t="shared" si="3"/>
        <v>3.8086840240947141E-2</v>
      </c>
      <c r="X24" s="44">
        <f t="shared" si="4"/>
        <v>31498.315816870447</v>
      </c>
      <c r="Y24" s="44">
        <f t="shared" si="5"/>
        <v>65817.040000000008</v>
      </c>
      <c r="Z24" s="44">
        <f t="shared" si="6"/>
        <v>129575.67908673108</v>
      </c>
      <c r="AA24" s="50">
        <f t="shared" si="7"/>
        <v>184302.35581687046</v>
      </c>
      <c r="AB24" s="51">
        <f t="shared" si="8"/>
        <v>121132.72794870625</v>
      </c>
      <c r="AC24" s="44">
        <f t="shared" si="9"/>
        <v>172293.49894070343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2.9296822252003936</v>
      </c>
      <c r="AP24" s="47">
        <f t="shared" si="17"/>
        <v>2.2657177569528892</v>
      </c>
      <c r="AQ24">
        <v>2021</v>
      </c>
    </row>
    <row r="25" spans="1:43" ht="13.5" customHeight="1">
      <c r="B25" s="97" t="s">
        <v>141</v>
      </c>
      <c r="C25" s="98">
        <v>18230731</v>
      </c>
      <c r="D25" s="61" t="s">
        <v>142</v>
      </c>
      <c r="E25" s="38" t="s">
        <v>1012</v>
      </c>
      <c r="F25" s="39" t="s">
        <v>1013</v>
      </c>
      <c r="G25" s="39">
        <v>20</v>
      </c>
      <c r="H25" s="39"/>
      <c r="I25" s="40" t="s">
        <v>256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0.83518684656224806</v>
      </c>
      <c r="V25" s="48">
        <f t="shared" ref="V25:V55" si="21">N25-M25</f>
        <v>21801</v>
      </c>
      <c r="W25" s="49">
        <f t="shared" ref="W25:W55" si="22">(O25/A$10)</f>
        <v>4.1759342328112403E-2</v>
      </c>
      <c r="X25" s="44">
        <f t="shared" ref="X25:X55" si="23">W25*A$8</f>
        <v>34535.523152733462</v>
      </c>
      <c r="Y25" s="44">
        <f t="shared" ref="Y25:Y55" si="24">Q25-P25</f>
        <v>21801</v>
      </c>
      <c r="Z25" s="44">
        <f t="shared" ref="Z25:Z55" si="25">X25+(A$6*W25)</f>
        <v>142069.94085487511</v>
      </c>
      <c r="AA25" s="50">
        <f t="shared" ref="AA25:AA55" si="26">Q25+X25</f>
        <v>238223.52315273345</v>
      </c>
      <c r="AB25" s="51">
        <f t="shared" ref="AB25:AB55" si="27">Z25/(1+GasDiscountRate)^1</f>
        <v>132812.88291565402</v>
      </c>
      <c r="AC25" s="44">
        <f t="shared" ref="AC25:AC55" si="28">AA25/(1+GasDiscountRate)^1</f>
        <v>222701.2462865602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2.9296822252003936</v>
      </c>
      <c r="AP25" s="47">
        <f t="shared" ref="AP25:AP55" si="37">AN25/AC25</f>
        <v>1.9218998713659372</v>
      </c>
      <c r="AQ25">
        <v>2021</v>
      </c>
    </row>
    <row r="26" spans="1:43" ht="13.5" customHeight="1">
      <c r="B26" s="97" t="s">
        <v>141</v>
      </c>
      <c r="C26" s="98">
        <v>18230731</v>
      </c>
      <c r="D26" s="61" t="s">
        <v>142</v>
      </c>
      <c r="E26" s="38" t="s">
        <v>1012</v>
      </c>
      <c r="F26" s="39" t="s">
        <v>1013</v>
      </c>
      <c r="G26" s="39">
        <v>20</v>
      </c>
      <c r="H26" s="39"/>
      <c r="I26" s="40" t="s">
        <v>256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0.59994892175044712</v>
      </c>
      <c r="V26" s="48">
        <f t="shared" si="21"/>
        <v>54955</v>
      </c>
      <c r="W26" s="49">
        <f t="shared" si="22"/>
        <v>2.9997446087522354E-2</v>
      </c>
      <c r="X26" s="44">
        <f t="shared" si="23"/>
        <v>24808.280880924736</v>
      </c>
      <c r="Y26" s="44">
        <f t="shared" si="24"/>
        <v>54955</v>
      </c>
      <c r="Z26" s="44">
        <f t="shared" si="25"/>
        <v>102054.65780486212</v>
      </c>
      <c r="AA26" s="50">
        <f t="shared" si="26"/>
        <v>123648.28088092474</v>
      </c>
      <c r="AB26" s="51">
        <f t="shared" si="27"/>
        <v>95404.93391124811</v>
      </c>
      <c r="AC26" s="44">
        <f t="shared" si="28"/>
        <v>115591.54985596403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2.929682225200394</v>
      </c>
      <c r="AP26" s="47">
        <f t="shared" si="37"/>
        <v>2.6598549233653919</v>
      </c>
      <c r="AQ26">
        <v>2021</v>
      </c>
    </row>
    <row r="27" spans="1:43" ht="13.5" customHeight="1">
      <c r="B27" s="97" t="s">
        <v>141</v>
      </c>
      <c r="C27" s="98">
        <v>18230731</v>
      </c>
      <c r="D27" s="61" t="s">
        <v>142</v>
      </c>
      <c r="E27" s="38" t="s">
        <v>1014</v>
      </c>
      <c r="F27" s="39" t="s">
        <v>1015</v>
      </c>
      <c r="G27" s="39">
        <v>10</v>
      </c>
      <c r="H27" s="39"/>
      <c r="I27" s="40" t="s">
        <v>256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4.7376346066233074E-2</v>
      </c>
      <c r="V27" s="48">
        <f t="shared" si="21"/>
        <v>12594</v>
      </c>
      <c r="W27" s="49">
        <f t="shared" si="22"/>
        <v>4.7376346066233073E-3</v>
      </c>
      <c r="X27" s="44">
        <f t="shared" si="23"/>
        <v>3918.0858826908225</v>
      </c>
      <c r="Y27" s="44">
        <f t="shared" si="24"/>
        <v>12594</v>
      </c>
      <c r="Z27" s="44">
        <f t="shared" si="25"/>
        <v>16117.961414872861</v>
      </c>
      <c r="AA27" s="50">
        <f t="shared" si="26"/>
        <v>33108.085882690822</v>
      </c>
      <c r="AB27" s="51">
        <f t="shared" si="27"/>
        <v>15067.739940986126</v>
      </c>
      <c r="AC27" s="44">
        <f t="shared" si="28"/>
        <v>30950.814137319641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1.579560570373046</v>
      </c>
      <c r="AP27" s="47">
        <f t="shared" si="37"/>
        <v>0.8458726988183094</v>
      </c>
      <c r="AQ27">
        <v>2021</v>
      </c>
    </row>
    <row r="28" spans="1:43" ht="13.5" customHeight="1">
      <c r="B28" s="97" t="s">
        <v>141</v>
      </c>
      <c r="C28" s="98">
        <v>18230731</v>
      </c>
      <c r="D28" s="61" t="s">
        <v>142</v>
      </c>
      <c r="E28" s="38" t="s">
        <v>1014</v>
      </c>
      <c r="F28" s="39" t="s">
        <v>1015</v>
      </c>
      <c r="G28" s="39">
        <v>10</v>
      </c>
      <c r="H28" s="39"/>
      <c r="I28" s="40" t="s">
        <v>256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6.7984054284605813E-2</v>
      </c>
      <c r="V28" s="48">
        <f t="shared" si="21"/>
        <v>0</v>
      </c>
      <c r="W28" s="49">
        <f t="shared" si="22"/>
        <v>6.7984054284605817E-3</v>
      </c>
      <c r="X28" s="44">
        <f t="shared" si="23"/>
        <v>5622.3703484480147</v>
      </c>
      <c r="Y28" s="44">
        <f t="shared" si="24"/>
        <v>0</v>
      </c>
      <c r="Z28" s="44">
        <f t="shared" si="25"/>
        <v>23128.933629748444</v>
      </c>
      <c r="AA28" s="50">
        <f t="shared" si="26"/>
        <v>6948.3703484480147</v>
      </c>
      <c r="AB28" s="51">
        <f t="shared" si="27"/>
        <v>21621.888033793064</v>
      </c>
      <c r="AC28" s="44">
        <f t="shared" si="28"/>
        <v>6495.6252673160834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1.5795605703730462</v>
      </c>
      <c r="AP28" s="47">
        <f t="shared" si="37"/>
        <v>5.7836449038636069</v>
      </c>
      <c r="AQ28">
        <v>2021</v>
      </c>
    </row>
    <row r="29" spans="1:43">
      <c r="B29" s="97" t="s">
        <v>141</v>
      </c>
      <c r="C29" s="98">
        <v>18230731</v>
      </c>
      <c r="D29" s="61" t="s">
        <v>142</v>
      </c>
      <c r="E29" s="38" t="s">
        <v>1026</v>
      </c>
      <c r="F29" s="39" t="s">
        <v>1027</v>
      </c>
      <c r="G29" s="39">
        <v>5</v>
      </c>
      <c r="H29" s="39"/>
      <c r="I29" s="40" t="s">
        <v>256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4.8498944957506292E-2</v>
      </c>
      <c r="V29" s="48">
        <f t="shared" si="21"/>
        <v>5115.58</v>
      </c>
      <c r="W29" s="49">
        <f t="shared" si="22"/>
        <v>9.6997889915012587E-3</v>
      </c>
      <c r="X29" s="44">
        <f t="shared" si="23"/>
        <v>8021.8525632073306</v>
      </c>
      <c r="Y29" s="44">
        <f t="shared" si="24"/>
        <v>5115.58</v>
      </c>
      <c r="Z29" s="44">
        <f t="shared" si="25"/>
        <v>32999.76416054929</v>
      </c>
      <c r="AA29" s="50">
        <f t="shared" si="26"/>
        <v>24153.432563207331</v>
      </c>
      <c r="AB29" s="51">
        <f t="shared" si="27"/>
        <v>30849.550491305308</v>
      </c>
      <c r="AC29" s="44">
        <f t="shared" si="28"/>
        <v>22579.63219894113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0.82183041186094818</v>
      </c>
      <c r="AP29" s="47">
        <f t="shared" si="37"/>
        <v>1.2351135049003075</v>
      </c>
      <c r="AQ29">
        <v>2021</v>
      </c>
    </row>
    <row r="30" spans="1:43">
      <c r="B30" s="97" t="s">
        <v>141</v>
      </c>
      <c r="C30" s="61">
        <v>18230731</v>
      </c>
      <c r="D30" s="61" t="s">
        <v>142</v>
      </c>
      <c r="E30" s="38" t="s">
        <v>980</v>
      </c>
      <c r="F30" s="39" t="s">
        <v>981</v>
      </c>
      <c r="G30" s="39">
        <v>15</v>
      </c>
      <c r="H30" s="39"/>
      <c r="I30" s="40" t="s">
        <v>261</v>
      </c>
      <c r="J30" s="41">
        <v>1</v>
      </c>
      <c r="K30" s="41">
        <v>13402</v>
      </c>
      <c r="L30" s="41"/>
      <c r="M30" s="42">
        <v>13084</v>
      </c>
      <c r="N30" s="42">
        <v>19160.830000000002</v>
      </c>
      <c r="O30" s="43">
        <v>13402</v>
      </c>
      <c r="P30" s="44">
        <v>13084</v>
      </c>
      <c r="Q30" s="44">
        <v>19160.830000000002</v>
      </c>
      <c r="R30" s="45"/>
      <c r="S30" s="46"/>
      <c r="T30" s="39">
        <f t="shared" si="19"/>
        <v>15</v>
      </c>
      <c r="U30" s="47">
        <f t="shared" si="20"/>
        <v>0.26866197037220968</v>
      </c>
      <c r="V30" s="48">
        <f t="shared" si="21"/>
        <v>6076.8300000000017</v>
      </c>
      <c r="W30" s="49">
        <f t="shared" si="22"/>
        <v>1.7910798024813979E-2</v>
      </c>
      <c r="X30" s="44">
        <f t="shared" si="23"/>
        <v>14812.464597975288</v>
      </c>
      <c r="Y30" s="44">
        <f t="shared" si="24"/>
        <v>6076.8300000000017</v>
      </c>
      <c r="Z30" s="44">
        <f t="shared" si="25"/>
        <v>60934.532829936834</v>
      </c>
      <c r="AA30" s="50">
        <f t="shared" si="26"/>
        <v>33973.294597975291</v>
      </c>
      <c r="AB30" s="51">
        <f t="shared" si="27"/>
        <v>56964.132775485486</v>
      </c>
      <c r="AC30" s="44">
        <f t="shared" si="28"/>
        <v>31759.647188908373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11.391867070276401</v>
      </c>
      <c r="AG30" s="44">
        <f t="shared" si="31"/>
        <v>152673.80247584434</v>
      </c>
      <c r="AH30" s="52">
        <f>HLOOKUP(I30,GasAvoidedCostsWOCC!$A$5:$Q$50,T30+1,FALSE)</f>
        <v>11.391867070276401</v>
      </c>
      <c r="AI30" s="44">
        <f t="shared" si="32"/>
        <v>0</v>
      </c>
      <c r="AJ30" s="44">
        <f t="shared" si="33"/>
        <v>152673.80247584434</v>
      </c>
      <c r="AK30" s="44">
        <f>HLOOKUP(I30,GasAvoidedCostsWOCC!$A$5:$Q$50,G30+1,FALSE)*J30*L30</f>
        <v>0</v>
      </c>
      <c r="AL30" s="44">
        <f t="shared" si="34"/>
        <v>152673.80247584434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152673.80247584434</v>
      </c>
      <c r="AN30" s="48">
        <f t="shared" si="35"/>
        <v>167941.18272342879</v>
      </c>
      <c r="AO30" s="47">
        <f t="shared" si="36"/>
        <v>2.680174261189622</v>
      </c>
      <c r="AP30" s="47">
        <f t="shared" si="37"/>
        <v>5.2878793559797472</v>
      </c>
      <c r="AQ30">
        <v>2020</v>
      </c>
    </row>
    <row r="31" spans="1:43">
      <c r="B31" s="97" t="s">
        <v>141</v>
      </c>
      <c r="C31" s="61">
        <v>18230731</v>
      </c>
      <c r="D31" s="61" t="s">
        <v>142</v>
      </c>
      <c r="E31" s="38" t="s">
        <v>980</v>
      </c>
      <c r="F31" s="39" t="s">
        <v>981</v>
      </c>
      <c r="G31" s="39">
        <v>15</v>
      </c>
      <c r="H31" s="39"/>
      <c r="I31" s="40" t="s">
        <v>261</v>
      </c>
      <c r="J31" s="41">
        <v>1</v>
      </c>
      <c r="K31" s="41">
        <v>2310</v>
      </c>
      <c r="L31" s="41"/>
      <c r="M31" s="42">
        <v>11550</v>
      </c>
      <c r="N31" s="42">
        <v>33644.86</v>
      </c>
      <c r="O31" s="43">
        <v>2310</v>
      </c>
      <c r="P31" s="44">
        <v>11550</v>
      </c>
      <c r="Q31" s="44">
        <v>33644.86</v>
      </c>
      <c r="R31" s="45"/>
      <c r="S31" s="46"/>
      <c r="T31" s="39">
        <f t="shared" si="19"/>
        <v>15</v>
      </c>
      <c r="U31" s="47">
        <f t="shared" si="20"/>
        <v>4.6307204265020475E-2</v>
      </c>
      <c r="V31" s="48">
        <f t="shared" si="21"/>
        <v>22094.86</v>
      </c>
      <c r="W31" s="49">
        <f t="shared" si="22"/>
        <v>3.0871469510013651E-3</v>
      </c>
      <c r="X31" s="44">
        <f t="shared" si="23"/>
        <v>2553.1109701031874</v>
      </c>
      <c r="Y31" s="44">
        <f t="shared" si="24"/>
        <v>22094.86</v>
      </c>
      <c r="Z31" s="44">
        <f t="shared" si="25"/>
        <v>10502.818298549029</v>
      </c>
      <c r="AA31" s="50">
        <f t="shared" si="26"/>
        <v>36197.97097010319</v>
      </c>
      <c r="AB31" s="51">
        <f t="shared" si="27"/>
        <v>9818.4708783294645</v>
      </c>
      <c r="AC31" s="44">
        <f t="shared" si="28"/>
        <v>33839.367084325684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11.391867070276401</v>
      </c>
      <c r="AG31" s="44">
        <f t="shared" si="31"/>
        <v>26315.212932338487</v>
      </c>
      <c r="AH31" s="52">
        <f>HLOOKUP(I31,GasAvoidedCostsWOCC!$A$5:$Q$50,T31+1,FALSE)</f>
        <v>11.391867070276401</v>
      </c>
      <c r="AI31" s="44">
        <f t="shared" si="32"/>
        <v>0</v>
      </c>
      <c r="AJ31" s="44">
        <f t="shared" si="33"/>
        <v>26315.212932338487</v>
      </c>
      <c r="AK31" s="44">
        <f>HLOOKUP(I31,GasAvoidedCostsWOCC!$A$5:$Q$50,G31+1,FALSE)*J31*L31</f>
        <v>0</v>
      </c>
      <c r="AL31" s="44">
        <f t="shared" si="34"/>
        <v>26315.212932338487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26315.212932338487</v>
      </c>
      <c r="AN31" s="48">
        <f t="shared" si="35"/>
        <v>28946.734225572338</v>
      </c>
      <c r="AO31" s="47">
        <f t="shared" si="36"/>
        <v>2.6801742611896215</v>
      </c>
      <c r="AP31" s="47">
        <f t="shared" si="37"/>
        <v>0.85541594656421327</v>
      </c>
      <c r="AQ31">
        <v>2020</v>
      </c>
    </row>
    <row r="32" spans="1:43">
      <c r="B32" s="97" t="s">
        <v>141</v>
      </c>
      <c r="C32" s="61">
        <v>18230731</v>
      </c>
      <c r="D32" s="61" t="s">
        <v>142</v>
      </c>
      <c r="E32" s="38" t="s">
        <v>982</v>
      </c>
      <c r="F32" s="39" t="s">
        <v>983</v>
      </c>
      <c r="G32" s="39">
        <v>15</v>
      </c>
      <c r="H32" s="39"/>
      <c r="I32" s="40" t="s">
        <v>261</v>
      </c>
      <c r="J32" s="41">
        <v>1</v>
      </c>
      <c r="K32" s="41">
        <v>20563</v>
      </c>
      <c r="L32" s="41"/>
      <c r="M32" s="42">
        <v>92481</v>
      </c>
      <c r="N32" s="42">
        <v>152398.29999999999</v>
      </c>
      <c r="O32" s="43">
        <v>20563</v>
      </c>
      <c r="P32" s="44">
        <v>92481</v>
      </c>
      <c r="Q32" s="44">
        <v>152398.29999999999</v>
      </c>
      <c r="R32" s="45"/>
      <c r="S32" s="46"/>
      <c r="T32" s="39">
        <f t="shared" si="19"/>
        <v>15</v>
      </c>
      <c r="U32" s="47">
        <f t="shared" si="20"/>
        <v>0.4122143035937732</v>
      </c>
      <c r="V32" s="48">
        <f t="shared" si="21"/>
        <v>59917.299999999988</v>
      </c>
      <c r="W32" s="49">
        <f t="shared" si="22"/>
        <v>2.7480953572918212E-2</v>
      </c>
      <c r="X32" s="44">
        <f t="shared" si="23"/>
        <v>22727.108605295169</v>
      </c>
      <c r="Y32" s="44">
        <f t="shared" si="24"/>
        <v>59917.299999999988</v>
      </c>
      <c r="Z32" s="44">
        <f t="shared" si="25"/>
        <v>93493.269555438834</v>
      </c>
      <c r="AA32" s="50">
        <f t="shared" si="26"/>
        <v>175125.40860529515</v>
      </c>
      <c r="AB32" s="51">
        <f t="shared" si="27"/>
        <v>87401.392498306843</v>
      </c>
      <c r="AC32" s="44">
        <f t="shared" si="28"/>
        <v>163714.50743694039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11.391867070276401</v>
      </c>
      <c r="AG32" s="44">
        <f t="shared" si="31"/>
        <v>234250.96256609363</v>
      </c>
      <c r="AH32" s="52">
        <f>HLOOKUP(I32,GasAvoidedCostsWOCC!$A$5:$Q$50,T32+1,FALSE)</f>
        <v>11.391867070276401</v>
      </c>
      <c r="AI32" s="44">
        <f t="shared" si="32"/>
        <v>0</v>
      </c>
      <c r="AJ32" s="44">
        <f t="shared" si="33"/>
        <v>234250.96256609363</v>
      </c>
      <c r="AK32" s="44">
        <f>HLOOKUP(I32,GasAvoidedCostsWOCC!$A$5:$Q$50,G32+1,FALSE)*J32*L32</f>
        <v>0</v>
      </c>
      <c r="AL32" s="44">
        <f t="shared" si="34"/>
        <v>234250.96256609363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234250.96256609363</v>
      </c>
      <c r="AN32" s="48">
        <f t="shared" si="35"/>
        <v>257676.05882270302</v>
      </c>
      <c r="AO32" s="47">
        <f t="shared" si="36"/>
        <v>2.6801742611896211</v>
      </c>
      <c r="AP32" s="47">
        <f t="shared" si="37"/>
        <v>1.5739354004528572</v>
      </c>
      <c r="AQ32">
        <v>2020</v>
      </c>
    </row>
    <row r="33" spans="2:43">
      <c r="B33" s="97" t="s">
        <v>141</v>
      </c>
      <c r="C33" s="61">
        <v>18230731</v>
      </c>
      <c r="D33" s="61" t="s">
        <v>142</v>
      </c>
      <c r="E33" s="38" t="s">
        <v>982</v>
      </c>
      <c r="F33" s="39" t="s">
        <v>983</v>
      </c>
      <c r="G33" s="39">
        <v>15</v>
      </c>
      <c r="H33" s="39"/>
      <c r="I33" s="40" t="s">
        <v>261</v>
      </c>
      <c r="J33" s="41">
        <v>1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15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11.391867070276401</v>
      </c>
      <c r="AG33" s="44">
        <f t="shared" si="31"/>
        <v>0</v>
      </c>
      <c r="AH33" s="52">
        <f>HLOOKUP(I33,GasAvoidedCostsWOCC!$A$5:$Q$50,T33+1,FALSE)</f>
        <v>11.391867070276401</v>
      </c>
      <c r="AI33" s="44">
        <f t="shared" si="32"/>
        <v>0</v>
      </c>
      <c r="AJ33" s="44">
        <f t="shared" si="33"/>
        <v>0</v>
      </c>
      <c r="AK33" s="44">
        <f>HLOOKUP(I33,GasAvoidedCostsWOCC!$A$5:$Q$50,G33+1,FALSE)*J33*L33</f>
        <v>0</v>
      </c>
      <c r="AL33" s="44">
        <f t="shared" si="34"/>
        <v>0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2020</v>
      </c>
    </row>
    <row r="34" spans="2:43">
      <c r="B34" s="97" t="s">
        <v>141</v>
      </c>
      <c r="C34" s="61">
        <v>18230731</v>
      </c>
      <c r="D34" s="61" t="s">
        <v>142</v>
      </c>
      <c r="E34" s="38" t="s">
        <v>982</v>
      </c>
      <c r="F34" s="39" t="s">
        <v>983</v>
      </c>
      <c r="G34" s="39">
        <v>15</v>
      </c>
      <c r="H34" s="39"/>
      <c r="I34" s="40" t="s">
        <v>261</v>
      </c>
      <c r="J34" s="41">
        <v>1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15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11.391867070276401</v>
      </c>
      <c r="AG34" s="44">
        <f t="shared" si="31"/>
        <v>0</v>
      </c>
      <c r="AH34" s="52">
        <f>HLOOKUP(I34,GasAvoidedCostsWOCC!$A$5:$Q$50,T34+1,FALSE)</f>
        <v>11.391867070276401</v>
      </c>
      <c r="AI34" s="44">
        <f t="shared" si="32"/>
        <v>0</v>
      </c>
      <c r="AJ34" s="44">
        <f t="shared" si="33"/>
        <v>0</v>
      </c>
      <c r="AK34" s="44">
        <f>HLOOKUP(I34,GasAvoidedCostsWOCC!$A$5:$Q$50,G34+1,FALSE)*J34*L34</f>
        <v>0</v>
      </c>
      <c r="AL34" s="44">
        <f t="shared" si="34"/>
        <v>0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2020</v>
      </c>
    </row>
    <row r="35" spans="2:43">
      <c r="B35" s="97" t="s">
        <v>141</v>
      </c>
      <c r="C35" s="61">
        <v>18230731</v>
      </c>
      <c r="D35" s="61" t="s">
        <v>142</v>
      </c>
      <c r="E35" s="38" t="s">
        <v>982</v>
      </c>
      <c r="F35" s="39" t="s">
        <v>983</v>
      </c>
      <c r="G35" s="39">
        <v>15</v>
      </c>
      <c r="H35" s="39"/>
      <c r="I35" s="40" t="s">
        <v>261</v>
      </c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15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11.391867070276401</v>
      </c>
      <c r="AG35" s="44">
        <f t="shared" si="31"/>
        <v>0</v>
      </c>
      <c r="AH35" s="52">
        <f>HLOOKUP(I35,GasAvoidedCostsWOCC!$A$5:$Q$50,T35+1,FALSE)</f>
        <v>11.391867070276401</v>
      </c>
      <c r="AI35" s="44">
        <f t="shared" si="32"/>
        <v>0</v>
      </c>
      <c r="AJ35" s="44">
        <f t="shared" si="33"/>
        <v>0</v>
      </c>
      <c r="AK35" s="44">
        <f>HLOOKUP(I35,GasAvoidedCostsWOCC!$A$5:$Q$50,G35+1,FALSE)*J35*L35</f>
        <v>0</v>
      </c>
      <c r="AL35" s="44">
        <f t="shared" si="34"/>
        <v>0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2020</v>
      </c>
    </row>
    <row r="36" spans="2:43">
      <c r="B36" s="97" t="s">
        <v>141</v>
      </c>
      <c r="C36" s="61">
        <v>18230731</v>
      </c>
      <c r="D36" s="61" t="s">
        <v>142</v>
      </c>
      <c r="E36" s="38" t="s">
        <v>2088</v>
      </c>
      <c r="F36" s="39" t="s">
        <v>2089</v>
      </c>
      <c r="G36" s="39">
        <v>15</v>
      </c>
      <c r="H36" s="39"/>
      <c r="I36" s="40" t="s">
        <v>261</v>
      </c>
      <c r="J36" s="41">
        <v>1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15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11.391867070276401</v>
      </c>
      <c r="AG36" s="44">
        <f t="shared" si="31"/>
        <v>0</v>
      </c>
      <c r="AH36" s="52">
        <f>HLOOKUP(I36,GasAvoidedCostsWOCC!$A$5:$Q$50,T36+1,FALSE)</f>
        <v>11.391867070276401</v>
      </c>
      <c r="AI36" s="44">
        <f t="shared" si="32"/>
        <v>0</v>
      </c>
      <c r="AJ36" s="44">
        <f t="shared" si="33"/>
        <v>0</v>
      </c>
      <c r="AK36" s="44">
        <f>HLOOKUP(I36,GasAvoidedCostsWOCC!$A$5:$Q$50,G36+1,FALSE)*J36*L36</f>
        <v>0</v>
      </c>
      <c r="AL36" s="44">
        <f t="shared" si="34"/>
        <v>0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141</v>
      </c>
      <c r="C37" s="61">
        <v>18230731</v>
      </c>
      <c r="D37" s="61" t="s">
        <v>142</v>
      </c>
      <c r="E37" s="38" t="s">
        <v>1054</v>
      </c>
      <c r="F37" s="39" t="s">
        <v>1055</v>
      </c>
      <c r="G37" s="39">
        <v>15</v>
      </c>
      <c r="H37" s="39"/>
      <c r="I37" s="40" t="s">
        <v>255</v>
      </c>
      <c r="J37" s="41">
        <v>1</v>
      </c>
      <c r="K37" s="41">
        <v>5451</v>
      </c>
      <c r="L37" s="41"/>
      <c r="M37" s="42">
        <v>12985</v>
      </c>
      <c r="N37" s="42">
        <v>23871</v>
      </c>
      <c r="O37" s="43">
        <v>5451</v>
      </c>
      <c r="P37" s="44">
        <v>12985</v>
      </c>
      <c r="Q37" s="44">
        <v>23871</v>
      </c>
      <c r="R37" s="45"/>
      <c r="S37" s="46"/>
      <c r="T37" s="39">
        <f t="shared" si="19"/>
        <v>15</v>
      </c>
      <c r="U37" s="47">
        <f t="shared" si="20"/>
        <v>0.10927297422018468</v>
      </c>
      <c r="V37" s="48">
        <f t="shared" si="21"/>
        <v>10886</v>
      </c>
      <c r="W37" s="49">
        <f t="shared" si="22"/>
        <v>7.2848649480123122E-3</v>
      </c>
      <c r="X37" s="44">
        <f t="shared" si="23"/>
        <v>6024.6787437370022</v>
      </c>
      <c r="Y37" s="44">
        <f t="shared" si="24"/>
        <v>10886</v>
      </c>
      <c r="Z37" s="44">
        <f t="shared" si="25"/>
        <v>24783.923179822836</v>
      </c>
      <c r="AA37" s="50">
        <f t="shared" si="26"/>
        <v>29895.678743737</v>
      </c>
      <c r="AB37" s="51">
        <f t="shared" si="27"/>
        <v>23169.041020681343</v>
      </c>
      <c r="AC37" s="44">
        <f t="shared" si="28"/>
        <v>27947.722486432642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10.143887193159781</v>
      </c>
      <c r="AG37" s="44">
        <f t="shared" si="31"/>
        <v>55294.329089913968</v>
      </c>
      <c r="AH37" s="52">
        <f>HLOOKUP(I37,GasAvoidedCostsWOCC!$A$5:$Q$50,T37+1,FALSE)</f>
        <v>10.143887193159781</v>
      </c>
      <c r="AI37" s="44">
        <f t="shared" si="32"/>
        <v>0</v>
      </c>
      <c r="AJ37" s="44">
        <f t="shared" si="33"/>
        <v>55294.329089913968</v>
      </c>
      <c r="AK37" s="44">
        <f>HLOOKUP(I37,GasAvoidedCostsWOCC!$A$5:$Q$50,G37+1,FALSE)*J37*L37</f>
        <v>0</v>
      </c>
      <c r="AL37" s="44">
        <f t="shared" si="34"/>
        <v>55294.329089913968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55294.329089913968</v>
      </c>
      <c r="AN37" s="48">
        <f t="shared" si="35"/>
        <v>60823.761998905371</v>
      </c>
      <c r="AO37" s="47">
        <f t="shared" si="36"/>
        <v>2.3865609733504587</v>
      </c>
      <c r="AP37" s="47">
        <f t="shared" si="37"/>
        <v>2.1763405597158254</v>
      </c>
      <c r="AQ37">
        <v>2020</v>
      </c>
    </row>
    <row r="38" spans="2:43">
      <c r="B38" s="97" t="s">
        <v>141</v>
      </c>
      <c r="C38" s="61">
        <v>18230731</v>
      </c>
      <c r="D38" s="61" t="s">
        <v>142</v>
      </c>
      <c r="E38" s="38" t="s">
        <v>988</v>
      </c>
      <c r="F38" s="39" t="s">
        <v>989</v>
      </c>
      <c r="G38" s="39">
        <v>10</v>
      </c>
      <c r="H38" s="39"/>
      <c r="I38" s="40" t="s">
        <v>261</v>
      </c>
      <c r="J38" s="41">
        <v>1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8.0513997654936151</v>
      </c>
      <c r="AG38" s="44">
        <f t="shared" si="31"/>
        <v>0</v>
      </c>
      <c r="AH38" s="52">
        <f>HLOOKUP(I38,GasAvoidedCostsWOCC!$A$5:$Q$50,T38+1,FALSE)</f>
        <v>8.0513997654936151</v>
      </c>
      <c r="AI38" s="44">
        <f t="shared" si="32"/>
        <v>0</v>
      </c>
      <c r="AJ38" s="44">
        <f t="shared" si="33"/>
        <v>0</v>
      </c>
      <c r="AK38" s="44">
        <f>HLOOKUP(I38,GasAvoidedCostsWOCC!$A$5:$Q$50,G38+1,FALSE)*J38*L38</f>
        <v>0</v>
      </c>
      <c r="AL38" s="44">
        <f t="shared" si="34"/>
        <v>0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141</v>
      </c>
      <c r="C39" s="61">
        <v>18230731</v>
      </c>
      <c r="D39" s="61" t="s">
        <v>142</v>
      </c>
      <c r="E39" s="38" t="s">
        <v>988</v>
      </c>
      <c r="F39" s="39" t="s">
        <v>989</v>
      </c>
      <c r="G39" s="39">
        <v>10</v>
      </c>
      <c r="H39" s="39"/>
      <c r="I39" s="40" t="s">
        <v>261</v>
      </c>
      <c r="J39" s="41">
        <v>1</v>
      </c>
      <c r="K39" s="41">
        <v>2268</v>
      </c>
      <c r="L39" s="41"/>
      <c r="M39" s="42">
        <v>10659</v>
      </c>
      <c r="N39" s="42">
        <v>10659</v>
      </c>
      <c r="O39" s="43">
        <v>2268</v>
      </c>
      <c r="P39" s="44">
        <v>10659</v>
      </c>
      <c r="Q39" s="44">
        <v>10659</v>
      </c>
      <c r="R39" s="45"/>
      <c r="S39" s="46"/>
      <c r="T39" s="39">
        <f t="shared" si="19"/>
        <v>10</v>
      </c>
      <c r="U39" s="47">
        <f t="shared" si="20"/>
        <v>3.0310170064377043E-2</v>
      </c>
      <c r="V39" s="48">
        <f t="shared" si="21"/>
        <v>0</v>
      </c>
      <c r="W39" s="49">
        <f t="shared" si="22"/>
        <v>3.0310170064377041E-3</v>
      </c>
      <c r="X39" s="44">
        <f t="shared" si="23"/>
        <v>2506.6907706467659</v>
      </c>
      <c r="Y39" s="44">
        <f t="shared" si="24"/>
        <v>0</v>
      </c>
      <c r="Z39" s="44">
        <f t="shared" si="25"/>
        <v>10311.857965848138</v>
      </c>
      <c r="AA39" s="50">
        <f t="shared" si="26"/>
        <v>13165.690770646766</v>
      </c>
      <c r="AB39" s="51">
        <f t="shared" si="27"/>
        <v>9639.9532259962016</v>
      </c>
      <c r="AC39" s="44">
        <f t="shared" si="28"/>
        <v>12307.834692574334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8.0513997654936151</v>
      </c>
      <c r="AG39" s="44">
        <f t="shared" si="31"/>
        <v>18260.574668139518</v>
      </c>
      <c r="AH39" s="52">
        <f>HLOOKUP(I39,GasAvoidedCostsWOCC!$A$5:$Q$50,T39+1,FALSE)</f>
        <v>8.0513997654936151</v>
      </c>
      <c r="AI39" s="44">
        <f t="shared" si="32"/>
        <v>0</v>
      </c>
      <c r="AJ39" s="44">
        <f t="shared" si="33"/>
        <v>18260.574668139518</v>
      </c>
      <c r="AK39" s="44">
        <f>HLOOKUP(I39,GasAvoidedCostsWOCC!$A$5:$Q$50,G39+1,FALSE)*J39*L39</f>
        <v>0</v>
      </c>
      <c r="AL39" s="44">
        <f t="shared" si="34"/>
        <v>18260.574668139518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18260.574668139518</v>
      </c>
      <c r="AN39" s="48">
        <f t="shared" si="35"/>
        <v>20086.63213495347</v>
      </c>
      <c r="AO39" s="47">
        <f t="shared" si="36"/>
        <v>1.8942596753370091</v>
      </c>
      <c r="AP39" s="47">
        <f t="shared" si="37"/>
        <v>1.632019980498463</v>
      </c>
      <c r="AQ39">
        <v>2020</v>
      </c>
    </row>
    <row r="40" spans="2:43">
      <c r="B40" s="97" t="s">
        <v>141</v>
      </c>
      <c r="C40" s="61">
        <v>18230731</v>
      </c>
      <c r="D40" s="61" t="s">
        <v>142</v>
      </c>
      <c r="E40" s="38" t="s">
        <v>988</v>
      </c>
      <c r="F40" s="39" t="s">
        <v>989</v>
      </c>
      <c r="G40" s="39">
        <v>10</v>
      </c>
      <c r="H40" s="39"/>
      <c r="I40" s="40" t="s">
        <v>261</v>
      </c>
      <c r="J40" s="41">
        <v>1</v>
      </c>
      <c r="K40" s="41">
        <v>55</v>
      </c>
      <c r="L40" s="41"/>
      <c r="M40" s="42">
        <v>259</v>
      </c>
      <c r="N40" s="42">
        <v>259</v>
      </c>
      <c r="O40" s="43">
        <v>55</v>
      </c>
      <c r="P40" s="44">
        <v>259</v>
      </c>
      <c r="Q40" s="44">
        <v>259</v>
      </c>
      <c r="R40" s="45"/>
      <c r="S40" s="46"/>
      <c r="T40" s="39">
        <f t="shared" si="19"/>
        <v>10</v>
      </c>
      <c r="U40" s="47">
        <f t="shared" si="20"/>
        <v>7.3503498833365837E-4</v>
      </c>
      <c r="V40" s="48">
        <f t="shared" si="21"/>
        <v>0</v>
      </c>
      <c r="W40" s="49">
        <f t="shared" si="22"/>
        <v>7.350349883336584E-5</v>
      </c>
      <c r="X40" s="44">
        <f t="shared" si="23"/>
        <v>60.788356431028276</v>
      </c>
      <c r="Y40" s="44">
        <f t="shared" si="24"/>
        <v>0</v>
      </c>
      <c r="Z40" s="44">
        <f t="shared" si="25"/>
        <v>250.06710234640548</v>
      </c>
      <c r="AA40" s="50">
        <f t="shared" si="26"/>
        <v>319.78835643102826</v>
      </c>
      <c r="AB40" s="51">
        <f t="shared" si="27"/>
        <v>233.77311615070155</v>
      </c>
      <c r="AC40" s="44">
        <f t="shared" si="28"/>
        <v>298.95144099376296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8.0513997654936151</v>
      </c>
      <c r="AG40" s="44">
        <f t="shared" si="31"/>
        <v>442.82698710214885</v>
      </c>
      <c r="AH40" s="52">
        <f>HLOOKUP(I40,GasAvoidedCostsWOCC!$A$5:$Q$50,T40+1,FALSE)</f>
        <v>8.0513997654936151</v>
      </c>
      <c r="AI40" s="44">
        <f t="shared" si="32"/>
        <v>0</v>
      </c>
      <c r="AJ40" s="44">
        <f t="shared" si="33"/>
        <v>442.82698710214885</v>
      </c>
      <c r="AK40" s="44">
        <f>HLOOKUP(I40,GasAvoidedCostsWOCC!$A$5:$Q$50,G40+1,FALSE)*J40*L40</f>
        <v>0</v>
      </c>
      <c r="AL40" s="44">
        <f t="shared" si="34"/>
        <v>442.82698710214885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442.82698710214885</v>
      </c>
      <c r="AN40" s="48">
        <f t="shared" si="35"/>
        <v>487.10968581236375</v>
      </c>
      <c r="AO40" s="47">
        <f t="shared" si="36"/>
        <v>1.8942596753370091</v>
      </c>
      <c r="AP40" s="47">
        <f t="shared" si="37"/>
        <v>1.6293940052375475</v>
      </c>
      <c r="AQ40">
        <v>2020</v>
      </c>
    </row>
    <row r="41" spans="2:43">
      <c r="B41" s="97" t="s">
        <v>141</v>
      </c>
      <c r="C41" s="61">
        <v>18230731</v>
      </c>
      <c r="D41" s="61" t="s">
        <v>142</v>
      </c>
      <c r="E41" s="38" t="s">
        <v>2090</v>
      </c>
      <c r="F41" s="39" t="s">
        <v>2091</v>
      </c>
      <c r="G41" s="39">
        <v>15</v>
      </c>
      <c r="H41" s="39"/>
      <c r="I41" s="40" t="s">
        <v>261</v>
      </c>
      <c r="J41" s="41">
        <v>1</v>
      </c>
      <c r="K41" s="41">
        <v>557</v>
      </c>
      <c r="L41" s="41"/>
      <c r="M41" s="42">
        <v>673</v>
      </c>
      <c r="N41" s="42">
        <v>962</v>
      </c>
      <c r="O41" s="43">
        <v>557</v>
      </c>
      <c r="P41" s="44">
        <v>673</v>
      </c>
      <c r="Q41" s="44">
        <v>962</v>
      </c>
      <c r="R41" s="45"/>
      <c r="S41" s="46"/>
      <c r="T41" s="39">
        <f t="shared" si="19"/>
        <v>15</v>
      </c>
      <c r="U41" s="47">
        <f t="shared" si="20"/>
        <v>1.1165849686414028E-2</v>
      </c>
      <c r="V41" s="48">
        <f t="shared" si="21"/>
        <v>289</v>
      </c>
      <c r="W41" s="49">
        <f t="shared" si="22"/>
        <v>7.4438997909426858E-4</v>
      </c>
      <c r="X41" s="44">
        <f t="shared" si="23"/>
        <v>615.62026421968631</v>
      </c>
      <c r="Y41" s="44">
        <f t="shared" si="24"/>
        <v>289</v>
      </c>
      <c r="Z41" s="44">
        <f t="shared" si="25"/>
        <v>2532.4977455808698</v>
      </c>
      <c r="AA41" s="50">
        <f t="shared" si="26"/>
        <v>1577.6202642196863</v>
      </c>
      <c r="AB41" s="51">
        <f t="shared" si="27"/>
        <v>2367.4841035625591</v>
      </c>
      <c r="AC41" s="44">
        <f t="shared" si="28"/>
        <v>1474.8249642139724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11.391867070276401</v>
      </c>
      <c r="AG41" s="44">
        <f t="shared" si="31"/>
        <v>6345.2699581439556</v>
      </c>
      <c r="AH41" s="52">
        <f>HLOOKUP(I41,GasAvoidedCostsWOCC!$A$5:$Q$50,T41+1,FALSE)</f>
        <v>11.391867070276401</v>
      </c>
      <c r="AI41" s="44">
        <f t="shared" si="32"/>
        <v>0</v>
      </c>
      <c r="AJ41" s="44">
        <f t="shared" si="33"/>
        <v>6345.2699581439556</v>
      </c>
      <c r="AK41" s="44">
        <f>HLOOKUP(I41,GasAvoidedCostsWOCC!$A$5:$Q$50,G41+1,FALSE)*J41*L41</f>
        <v>0</v>
      </c>
      <c r="AL41" s="44">
        <f t="shared" si="34"/>
        <v>6345.2699581439556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6345.2699581439556</v>
      </c>
      <c r="AN41" s="48">
        <f t="shared" si="35"/>
        <v>6979.7969539583519</v>
      </c>
      <c r="AO41" s="47">
        <f t="shared" si="36"/>
        <v>2.6801742611896215</v>
      </c>
      <c r="AP41" s="47">
        <f t="shared" si="37"/>
        <v>4.7326273444783515</v>
      </c>
      <c r="AQ41">
        <v>2020</v>
      </c>
    </row>
    <row r="42" spans="2:43">
      <c r="B42" s="97" t="s">
        <v>141</v>
      </c>
      <c r="C42" s="61">
        <v>18230731</v>
      </c>
      <c r="D42" s="61" t="s">
        <v>142</v>
      </c>
      <c r="E42" s="38" t="s">
        <v>2090</v>
      </c>
      <c r="F42" s="39" t="s">
        <v>2091</v>
      </c>
      <c r="G42" s="39">
        <v>15</v>
      </c>
      <c r="H42" s="39"/>
      <c r="I42" s="40" t="s">
        <v>261</v>
      </c>
      <c r="J42" s="41">
        <v>1</v>
      </c>
      <c r="K42" s="41">
        <v>1990</v>
      </c>
      <c r="L42" s="41"/>
      <c r="M42" s="42">
        <v>9950</v>
      </c>
      <c r="N42" s="42">
        <v>23395.96</v>
      </c>
      <c r="O42" s="43">
        <v>1990</v>
      </c>
      <c r="P42" s="44">
        <v>9950</v>
      </c>
      <c r="Q42" s="44">
        <v>23395.96</v>
      </c>
      <c r="R42" s="45"/>
      <c r="S42" s="46"/>
      <c r="T42" s="39">
        <f t="shared" si="19"/>
        <v>15</v>
      </c>
      <c r="U42" s="47">
        <f t="shared" si="20"/>
        <v>3.989235345774491E-2</v>
      </c>
      <c r="V42" s="48">
        <f t="shared" si="21"/>
        <v>13445.96</v>
      </c>
      <c r="W42" s="49">
        <f t="shared" si="22"/>
        <v>2.6594902305163274E-3</v>
      </c>
      <c r="X42" s="44">
        <f t="shared" si="23"/>
        <v>2199.433259959023</v>
      </c>
      <c r="Y42" s="44">
        <f t="shared" si="24"/>
        <v>13445.96</v>
      </c>
      <c r="Z42" s="44">
        <f t="shared" si="25"/>
        <v>9047.8824303517613</v>
      </c>
      <c r="AA42" s="50">
        <f t="shared" si="26"/>
        <v>25595.393259959023</v>
      </c>
      <c r="AB42" s="51">
        <f t="shared" si="27"/>
        <v>8458.3363843617462</v>
      </c>
      <c r="AC42" s="44">
        <f t="shared" si="28"/>
        <v>23927.636963596353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11.391867070276401</v>
      </c>
      <c r="AG42" s="44">
        <f t="shared" si="31"/>
        <v>22669.815469850037</v>
      </c>
      <c r="AH42" s="52">
        <f>HLOOKUP(I42,GasAvoidedCostsWOCC!$A$5:$Q$50,T42+1,FALSE)</f>
        <v>11.391867070276401</v>
      </c>
      <c r="AI42" s="44">
        <f t="shared" si="32"/>
        <v>0</v>
      </c>
      <c r="AJ42" s="44">
        <f t="shared" si="33"/>
        <v>22669.815469850037</v>
      </c>
      <c r="AK42" s="44">
        <f>HLOOKUP(I42,GasAvoidedCostsWOCC!$A$5:$Q$50,G42+1,FALSE)*J42*L42</f>
        <v>0</v>
      </c>
      <c r="AL42" s="44">
        <f t="shared" si="34"/>
        <v>22669.815469850037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22669.815469850037</v>
      </c>
      <c r="AN42" s="48">
        <f t="shared" si="35"/>
        <v>24936.797016835044</v>
      </c>
      <c r="AO42" s="47">
        <f t="shared" si="36"/>
        <v>2.6801742611896215</v>
      </c>
      <c r="AP42" s="47">
        <f t="shared" si="37"/>
        <v>1.0421755000200827</v>
      </c>
      <c r="AQ42">
        <v>2020</v>
      </c>
    </row>
    <row r="43" spans="2:43">
      <c r="B43" s="97" t="s">
        <v>141</v>
      </c>
      <c r="C43" s="61">
        <v>18230731</v>
      </c>
      <c r="D43" s="61" t="s">
        <v>142</v>
      </c>
      <c r="E43" s="38" t="s">
        <v>990</v>
      </c>
      <c r="F43" s="39" t="s">
        <v>991</v>
      </c>
      <c r="G43" s="39">
        <v>15</v>
      </c>
      <c r="H43" s="39"/>
      <c r="I43" s="40" t="s">
        <v>261</v>
      </c>
      <c r="J43" s="41">
        <v>1</v>
      </c>
      <c r="K43" s="41">
        <v>35971.699999999997</v>
      </c>
      <c r="L43" s="41"/>
      <c r="M43" s="42">
        <v>179859</v>
      </c>
      <c r="N43" s="42">
        <v>1867094</v>
      </c>
      <c r="O43" s="43">
        <v>35971.699999999997</v>
      </c>
      <c r="P43" s="44">
        <v>179859</v>
      </c>
      <c r="Q43" s="44">
        <v>1867094</v>
      </c>
      <c r="R43" s="45"/>
      <c r="S43" s="46"/>
      <c r="T43" s="39">
        <f t="shared" si="19"/>
        <v>15</v>
      </c>
      <c r="U43" s="47">
        <f t="shared" si="20"/>
        <v>0.72110340245023241</v>
      </c>
      <c r="V43" s="48">
        <f t="shared" si="21"/>
        <v>1687235</v>
      </c>
      <c r="W43" s="49">
        <f t="shared" si="22"/>
        <v>4.8073560163348829E-2</v>
      </c>
      <c r="X43" s="44">
        <f t="shared" si="23"/>
        <v>39757.464018727624</v>
      </c>
      <c r="Y43" s="44">
        <f t="shared" si="24"/>
        <v>1687235</v>
      </c>
      <c r="Z43" s="44">
        <f t="shared" si="25"/>
        <v>163551.61428134894</v>
      </c>
      <c r="AA43" s="50">
        <f t="shared" si="26"/>
        <v>1906851.4640187277</v>
      </c>
      <c r="AB43" s="51">
        <f t="shared" si="27"/>
        <v>152894.84367705797</v>
      </c>
      <c r="AC43" s="44">
        <f t="shared" si="28"/>
        <v>1782603.9674850216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11.391867070276401</v>
      </c>
      <c r="AG43" s="44">
        <f t="shared" si="31"/>
        <v>409784.82469186158</v>
      </c>
      <c r="AH43" s="52">
        <f>HLOOKUP(I43,GasAvoidedCostsWOCC!$A$5:$Q$50,T43+1,FALSE)</f>
        <v>11.391867070276401</v>
      </c>
      <c r="AI43" s="44">
        <f t="shared" si="32"/>
        <v>0</v>
      </c>
      <c r="AJ43" s="44">
        <f t="shared" si="33"/>
        <v>409784.82469186158</v>
      </c>
      <c r="AK43" s="44">
        <f>HLOOKUP(I43,GasAvoidedCostsWOCC!$A$5:$Q$50,G43+1,FALSE)*J43*L43</f>
        <v>0</v>
      </c>
      <c r="AL43" s="44">
        <f t="shared" si="34"/>
        <v>409784.82469186158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409784.82469186158</v>
      </c>
      <c r="AN43" s="48">
        <f t="shared" si="35"/>
        <v>450763.30716104776</v>
      </c>
      <c r="AO43" s="47">
        <f t="shared" si="36"/>
        <v>2.680174261189622</v>
      </c>
      <c r="AP43" s="47">
        <f t="shared" si="37"/>
        <v>0.25286789179371405</v>
      </c>
      <c r="AQ43">
        <v>2020</v>
      </c>
    </row>
    <row r="44" spans="2:43">
      <c r="B44" s="97" t="s">
        <v>141</v>
      </c>
      <c r="C44" s="61">
        <v>18230731</v>
      </c>
      <c r="D44" s="61" t="s">
        <v>142</v>
      </c>
      <c r="E44" s="38" t="s">
        <v>990</v>
      </c>
      <c r="F44" s="39" t="s">
        <v>991</v>
      </c>
      <c r="G44" s="39">
        <v>15</v>
      </c>
      <c r="H44" s="39"/>
      <c r="I44" s="40" t="s">
        <v>261</v>
      </c>
      <c r="J44" s="41">
        <v>1</v>
      </c>
      <c r="K44" s="41">
        <v>4975</v>
      </c>
      <c r="L44" s="41"/>
      <c r="M44" s="42">
        <v>24875</v>
      </c>
      <c r="N44" s="42">
        <v>73788</v>
      </c>
      <c r="O44" s="43">
        <v>4975</v>
      </c>
      <c r="P44" s="44">
        <v>24875</v>
      </c>
      <c r="Q44" s="44">
        <v>73788</v>
      </c>
      <c r="R44" s="45"/>
      <c r="S44" s="46"/>
      <c r="T44" s="39">
        <f t="shared" si="19"/>
        <v>15</v>
      </c>
      <c r="U44" s="47">
        <f t="shared" si="20"/>
        <v>9.9730883644362278E-2</v>
      </c>
      <c r="V44" s="48">
        <f t="shared" si="21"/>
        <v>48913</v>
      </c>
      <c r="W44" s="49">
        <f t="shared" si="22"/>
        <v>6.6487255762908183E-3</v>
      </c>
      <c r="X44" s="44">
        <f t="shared" si="23"/>
        <v>5498.5831498975567</v>
      </c>
      <c r="Y44" s="44">
        <f t="shared" si="24"/>
        <v>48913</v>
      </c>
      <c r="Z44" s="44">
        <f t="shared" si="25"/>
        <v>22619.7060758794</v>
      </c>
      <c r="AA44" s="50">
        <f t="shared" si="26"/>
        <v>79286.58314989756</v>
      </c>
      <c r="AB44" s="51">
        <f t="shared" si="27"/>
        <v>21145.840960904363</v>
      </c>
      <c r="AC44" s="44">
        <f t="shared" si="28"/>
        <v>74120.391838737545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11.391867070276401</v>
      </c>
      <c r="AG44" s="44">
        <f t="shared" si="31"/>
        <v>56674.538674625095</v>
      </c>
      <c r="AH44" s="52">
        <f>HLOOKUP(I44,GasAvoidedCostsWOCC!$A$5:$Q$50,T44+1,FALSE)</f>
        <v>11.391867070276401</v>
      </c>
      <c r="AI44" s="44">
        <f t="shared" si="32"/>
        <v>0</v>
      </c>
      <c r="AJ44" s="44">
        <f t="shared" si="33"/>
        <v>56674.538674625095</v>
      </c>
      <c r="AK44" s="44">
        <f>HLOOKUP(I44,GasAvoidedCostsWOCC!$A$5:$Q$50,G44+1,FALSE)*J44*L44</f>
        <v>0</v>
      </c>
      <c r="AL44" s="44">
        <f t="shared" si="34"/>
        <v>56674.538674625095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56674.538674625095</v>
      </c>
      <c r="AN44" s="48">
        <f t="shared" si="35"/>
        <v>62341.99254208761</v>
      </c>
      <c r="AO44" s="47">
        <f t="shared" si="36"/>
        <v>2.680174261189622</v>
      </c>
      <c r="AP44" s="47">
        <f t="shared" si="37"/>
        <v>0.84109097369215213</v>
      </c>
      <c r="AQ44">
        <v>2020</v>
      </c>
    </row>
    <row r="45" spans="2:43">
      <c r="B45" s="97" t="s">
        <v>141</v>
      </c>
      <c r="C45" s="61">
        <v>18230731</v>
      </c>
      <c r="D45" s="61" t="s">
        <v>142</v>
      </c>
      <c r="E45" s="38" t="s">
        <v>990</v>
      </c>
      <c r="F45" s="39" t="s">
        <v>991</v>
      </c>
      <c r="G45" s="39">
        <v>15</v>
      </c>
      <c r="H45" s="39"/>
      <c r="I45" s="40" t="s">
        <v>261</v>
      </c>
      <c r="J45" s="41">
        <v>1</v>
      </c>
      <c r="K45" s="41">
        <v>0</v>
      </c>
      <c r="L45" s="41"/>
      <c r="M45" s="42">
        <v>0</v>
      </c>
      <c r="N45" s="42">
        <v>0</v>
      </c>
      <c r="O45" s="43">
        <v>0</v>
      </c>
      <c r="P45" s="44">
        <v>0</v>
      </c>
      <c r="Q45" s="44">
        <v>0</v>
      </c>
      <c r="R45" s="45"/>
      <c r="S45" s="46"/>
      <c r="T45" s="39">
        <f t="shared" si="19"/>
        <v>15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HLOOKUP(I45,GasAvoidedCostsWOCC!$A$5:$G$50,G45+1,FALSE)</f>
        <v>11.391867070276401</v>
      </c>
      <c r="AG45" s="44">
        <f t="shared" si="31"/>
        <v>0</v>
      </c>
      <c r="AH45" s="52">
        <f>HLOOKUP(I45,GasAvoidedCostsWOCC!$A$5:$Q$50,T45+1,FALSE)</f>
        <v>11.391867070276401</v>
      </c>
      <c r="AI45" s="44">
        <f t="shared" si="32"/>
        <v>0</v>
      </c>
      <c r="AJ45" s="44">
        <f t="shared" si="33"/>
        <v>0</v>
      </c>
      <c r="AK45" s="44">
        <f>HLOOKUP(I45,GasAvoidedCostsWOCC!$A$5:$Q$50,G45+1,FALSE)*J45*L45</f>
        <v>0</v>
      </c>
      <c r="AL45" s="44">
        <f t="shared" si="34"/>
        <v>0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2020</v>
      </c>
    </row>
    <row r="46" spans="2:43">
      <c r="B46" s="97" t="s">
        <v>141</v>
      </c>
      <c r="C46" s="61">
        <v>18230731</v>
      </c>
      <c r="D46" s="61" t="s">
        <v>142</v>
      </c>
      <c r="E46" s="38" t="s">
        <v>990</v>
      </c>
      <c r="F46" s="39" t="s">
        <v>991</v>
      </c>
      <c r="G46" s="39">
        <v>15</v>
      </c>
      <c r="H46" s="39"/>
      <c r="I46" s="40" t="s">
        <v>261</v>
      </c>
      <c r="J46" s="41">
        <v>1</v>
      </c>
      <c r="K46" s="41">
        <v>0</v>
      </c>
      <c r="L46" s="41"/>
      <c r="M46" s="42">
        <v>0</v>
      </c>
      <c r="N46" s="42">
        <v>0</v>
      </c>
      <c r="O46" s="43">
        <v>0</v>
      </c>
      <c r="P46" s="44">
        <v>0</v>
      </c>
      <c r="Q46" s="44">
        <v>0</v>
      </c>
      <c r="R46" s="45"/>
      <c r="S46" s="46"/>
      <c r="T46" s="39">
        <f t="shared" si="19"/>
        <v>15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11.391867070276401</v>
      </c>
      <c r="AG46" s="44">
        <f t="shared" si="31"/>
        <v>0</v>
      </c>
      <c r="AH46" s="52">
        <f>HLOOKUP(I46,GasAvoidedCostsWOCC!$A$5:$Q$50,T46+1,FALSE)</f>
        <v>11.391867070276401</v>
      </c>
      <c r="AI46" s="44">
        <f t="shared" si="32"/>
        <v>0</v>
      </c>
      <c r="AJ46" s="44">
        <f t="shared" si="33"/>
        <v>0</v>
      </c>
      <c r="AK46" s="44">
        <f>HLOOKUP(I46,GasAvoidedCostsWOCC!$A$5:$Q$50,G46+1,FALSE)*J46*L46</f>
        <v>0</v>
      </c>
      <c r="AL46" s="44">
        <f t="shared" si="34"/>
        <v>0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  <c r="AQ46">
        <v>2020</v>
      </c>
    </row>
    <row r="47" spans="2:43">
      <c r="B47" s="97" t="s">
        <v>141</v>
      </c>
      <c r="C47" s="61">
        <v>18230731</v>
      </c>
      <c r="D47" s="61" t="s">
        <v>142</v>
      </c>
      <c r="E47" s="38" t="s">
        <v>990</v>
      </c>
      <c r="F47" s="39" t="s">
        <v>991</v>
      </c>
      <c r="G47" s="39">
        <v>15</v>
      </c>
      <c r="H47" s="39"/>
      <c r="I47" s="40" t="s">
        <v>261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0</v>
      </c>
      <c r="R47" s="45"/>
      <c r="S47" s="46"/>
      <c r="T47" s="39">
        <f t="shared" si="19"/>
        <v>15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>
        <f>HLOOKUP(I47,GasAvoidedCostsWOCC!$A$5:$G$50,G47+1,FALSE)</f>
        <v>11.391867070276401</v>
      </c>
      <c r="AG47" s="44">
        <f t="shared" si="31"/>
        <v>0</v>
      </c>
      <c r="AH47" s="52">
        <f>HLOOKUP(I47,GasAvoidedCostsWOCC!$A$5:$Q$50,T47+1,FALSE)</f>
        <v>11.391867070276401</v>
      </c>
      <c r="AI47" s="44">
        <f t="shared" si="32"/>
        <v>0</v>
      </c>
      <c r="AJ47" s="44">
        <f t="shared" si="33"/>
        <v>0</v>
      </c>
      <c r="AK47" s="44">
        <f>HLOOKUP(I47,GasAvoidedCostsWOCC!$A$5:$Q$50,G47+1,FALSE)*J47*L47</f>
        <v>0</v>
      </c>
      <c r="AL47" s="44">
        <f t="shared" si="34"/>
        <v>0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  <c r="AQ47">
        <v>2020</v>
      </c>
    </row>
    <row r="48" spans="2:43">
      <c r="B48" s="97" t="s">
        <v>141</v>
      </c>
      <c r="C48" s="61">
        <v>18230731</v>
      </c>
      <c r="D48" s="61" t="s">
        <v>142</v>
      </c>
      <c r="E48" s="38" t="s">
        <v>990</v>
      </c>
      <c r="F48" s="39" t="s">
        <v>991</v>
      </c>
      <c r="G48" s="39">
        <v>15</v>
      </c>
      <c r="H48" s="39"/>
      <c r="I48" s="40" t="s">
        <v>261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0</v>
      </c>
      <c r="Q48" s="44">
        <v>0</v>
      </c>
      <c r="R48" s="45"/>
      <c r="S48" s="46"/>
      <c r="T48" s="39">
        <f t="shared" si="19"/>
        <v>15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11.391867070276401</v>
      </c>
      <c r="AG48" s="44">
        <f t="shared" si="31"/>
        <v>0</v>
      </c>
      <c r="AH48" s="52">
        <f>HLOOKUP(I48,GasAvoidedCostsWOCC!$A$5:$Q$50,T48+1,FALSE)</f>
        <v>11.391867070276401</v>
      </c>
      <c r="AI48" s="44">
        <f t="shared" si="32"/>
        <v>0</v>
      </c>
      <c r="AJ48" s="44">
        <f t="shared" si="33"/>
        <v>0</v>
      </c>
      <c r="AK48" s="44">
        <f>HLOOKUP(I48,GasAvoidedCostsWOCC!$A$5:$Q$50,G48+1,FALSE)*J48*L48</f>
        <v>0</v>
      </c>
      <c r="AL48" s="44">
        <f t="shared" si="34"/>
        <v>0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  <c r="AQ48">
        <v>2020</v>
      </c>
    </row>
    <row r="49" spans="2:43">
      <c r="B49" s="97" t="s">
        <v>141</v>
      </c>
      <c r="C49" s="61">
        <v>18230731</v>
      </c>
      <c r="D49" s="61" t="s">
        <v>142</v>
      </c>
      <c r="E49" s="38" t="s">
        <v>992</v>
      </c>
      <c r="F49" s="39" t="s">
        <v>993</v>
      </c>
      <c r="G49" s="39">
        <v>10</v>
      </c>
      <c r="H49" s="39"/>
      <c r="I49" s="40" t="s">
        <v>261</v>
      </c>
      <c r="J49" s="41">
        <v>1</v>
      </c>
      <c r="K49" s="41">
        <v>89539</v>
      </c>
      <c r="L49" s="41"/>
      <c r="M49" s="42">
        <v>170625</v>
      </c>
      <c r="N49" s="42">
        <v>275780.02</v>
      </c>
      <c r="O49" s="43">
        <v>89539</v>
      </c>
      <c r="P49" s="44">
        <v>170625</v>
      </c>
      <c r="Q49" s="44">
        <v>275780.02</v>
      </c>
      <c r="R49" s="45"/>
      <c r="S49" s="46"/>
      <c r="T49" s="39">
        <f t="shared" si="19"/>
        <v>10</v>
      </c>
      <c r="U49" s="47">
        <f t="shared" si="20"/>
        <v>1.1966235967346808</v>
      </c>
      <c r="V49" s="48">
        <f t="shared" si="21"/>
        <v>105155.02000000002</v>
      </c>
      <c r="W49" s="49">
        <f t="shared" si="22"/>
        <v>0.11966235967346807</v>
      </c>
      <c r="X49" s="44">
        <f t="shared" si="23"/>
        <v>98962.339026869828</v>
      </c>
      <c r="Y49" s="44">
        <f t="shared" si="24"/>
        <v>105155.02000000002</v>
      </c>
      <c r="Z49" s="44">
        <f t="shared" si="25"/>
        <v>407104.69594536</v>
      </c>
      <c r="AA49" s="50">
        <f t="shared" si="26"/>
        <v>374742.35902686988</v>
      </c>
      <c r="AB49" s="51">
        <f t="shared" si="27"/>
        <v>380578.38267304847</v>
      </c>
      <c r="AC49" s="44">
        <f t="shared" si="28"/>
        <v>350324.72564912576</v>
      </c>
      <c r="AD49" s="44">
        <f t="shared" si="29"/>
        <v>0</v>
      </c>
      <c r="AE49" s="44">
        <f t="shared" si="30"/>
        <v>0</v>
      </c>
      <c r="AF49" s="52">
        <f>HLOOKUP(I49,GasAvoidedCostsWOCC!$A$5:$G$50,G49+1,FALSE)</f>
        <v>8.0513997654936151</v>
      </c>
      <c r="AG49" s="44">
        <f t="shared" si="31"/>
        <v>720914.28360253281</v>
      </c>
      <c r="AH49" s="52">
        <f>HLOOKUP(I49,GasAvoidedCostsWOCC!$A$5:$Q$50,T49+1,FALSE)</f>
        <v>8.0513997654936151</v>
      </c>
      <c r="AI49" s="44">
        <f t="shared" si="32"/>
        <v>0</v>
      </c>
      <c r="AJ49" s="44">
        <f t="shared" si="33"/>
        <v>720914.28360253281</v>
      </c>
      <c r="AK49" s="44">
        <f>HLOOKUP(I49,GasAvoidedCostsWOCC!$A$5:$Q$50,G49+1,FALSE)*J49*L49</f>
        <v>0</v>
      </c>
      <c r="AL49" s="44">
        <f t="shared" si="34"/>
        <v>720914.28360253281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720914.28360253281</v>
      </c>
      <c r="AN49" s="48">
        <f t="shared" si="35"/>
        <v>793005.71196278615</v>
      </c>
      <c r="AO49" s="47">
        <f t="shared" si="36"/>
        <v>1.8942596753370091</v>
      </c>
      <c r="AP49" s="47">
        <f t="shared" si="37"/>
        <v>2.2636304374274618</v>
      </c>
      <c r="AQ49">
        <v>2020</v>
      </c>
    </row>
    <row r="50" spans="2:43">
      <c r="B50" s="97" t="s">
        <v>141</v>
      </c>
      <c r="C50" s="61">
        <v>18230731</v>
      </c>
      <c r="D50" s="61" t="s">
        <v>142</v>
      </c>
      <c r="E50" s="38" t="s">
        <v>992</v>
      </c>
      <c r="F50" s="39" t="s">
        <v>993</v>
      </c>
      <c r="G50" s="39">
        <v>10</v>
      </c>
      <c r="H50" s="39"/>
      <c r="I50" s="40" t="s">
        <v>261</v>
      </c>
      <c r="J50" s="41">
        <v>1</v>
      </c>
      <c r="K50" s="41">
        <v>11970</v>
      </c>
      <c r="L50" s="41"/>
      <c r="M50" s="42">
        <v>43847</v>
      </c>
      <c r="N50" s="42">
        <v>68902</v>
      </c>
      <c r="O50" s="43">
        <v>11970</v>
      </c>
      <c r="P50" s="44">
        <v>43847</v>
      </c>
      <c r="Q50" s="44">
        <v>68902</v>
      </c>
      <c r="R50" s="45"/>
      <c r="S50" s="46"/>
      <c r="T50" s="39">
        <f t="shared" si="19"/>
        <v>10</v>
      </c>
      <c r="U50" s="47">
        <f t="shared" si="20"/>
        <v>0.15997034200643437</v>
      </c>
      <c r="V50" s="48">
        <f t="shared" si="21"/>
        <v>25055</v>
      </c>
      <c r="W50" s="49">
        <f t="shared" si="22"/>
        <v>1.5997034200643436E-2</v>
      </c>
      <c r="X50" s="44">
        <f t="shared" si="23"/>
        <v>13229.756845080152</v>
      </c>
      <c r="Y50" s="44">
        <f t="shared" si="24"/>
        <v>25055</v>
      </c>
      <c r="Z50" s="44">
        <f t="shared" si="25"/>
        <v>54423.694819754062</v>
      </c>
      <c r="AA50" s="50">
        <f t="shared" si="26"/>
        <v>82131.756845080148</v>
      </c>
      <c r="AB50" s="51">
        <f t="shared" si="27"/>
        <v>50877.530914979958</v>
      </c>
      <c r="AC50" s="44">
        <f t="shared" si="28"/>
        <v>76780.178409909451</v>
      </c>
      <c r="AD50" s="44">
        <f t="shared" si="29"/>
        <v>0</v>
      </c>
      <c r="AE50" s="44">
        <f t="shared" si="30"/>
        <v>0</v>
      </c>
      <c r="AF50" s="52">
        <f>HLOOKUP(I50,GasAvoidedCostsWOCC!$A$5:$G$50,G50+1,FALSE)</f>
        <v>8.0513997654936151</v>
      </c>
      <c r="AG50" s="44">
        <f t="shared" si="31"/>
        <v>96375.255192958575</v>
      </c>
      <c r="AH50" s="52">
        <f>HLOOKUP(I50,GasAvoidedCostsWOCC!$A$5:$Q$50,T50+1,FALSE)</f>
        <v>8.0513997654936151</v>
      </c>
      <c r="AI50" s="44">
        <f t="shared" si="32"/>
        <v>0</v>
      </c>
      <c r="AJ50" s="44">
        <f t="shared" si="33"/>
        <v>96375.255192958575</v>
      </c>
      <c r="AK50" s="44">
        <f>HLOOKUP(I50,GasAvoidedCostsWOCC!$A$5:$Q$50,G50+1,FALSE)*J50*L50</f>
        <v>0</v>
      </c>
      <c r="AL50" s="44">
        <f t="shared" si="34"/>
        <v>96375.255192958575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96375.255192958575</v>
      </c>
      <c r="AN50" s="48">
        <f t="shared" si="35"/>
        <v>106012.78071225445</v>
      </c>
      <c r="AO50" s="47">
        <f t="shared" si="36"/>
        <v>1.8942596753370091</v>
      </c>
      <c r="AP50" s="47">
        <f t="shared" si="37"/>
        <v>1.3807311067484074</v>
      </c>
      <c r="AQ50">
        <v>2020</v>
      </c>
    </row>
    <row r="51" spans="2:43">
      <c r="B51" s="97" t="s">
        <v>141</v>
      </c>
      <c r="C51" s="61">
        <v>18230731</v>
      </c>
      <c r="D51" s="61" t="s">
        <v>142</v>
      </c>
      <c r="E51" s="38" t="s">
        <v>1006</v>
      </c>
      <c r="F51" s="39" t="s">
        <v>1007</v>
      </c>
      <c r="G51" s="39">
        <v>24</v>
      </c>
      <c r="H51" s="39"/>
      <c r="I51" s="40" t="s">
        <v>255</v>
      </c>
      <c r="J51" s="41">
        <v>1</v>
      </c>
      <c r="K51" s="41">
        <v>6707</v>
      </c>
      <c r="L51" s="41"/>
      <c r="M51" s="42">
        <v>33535</v>
      </c>
      <c r="N51" s="42">
        <v>119250</v>
      </c>
      <c r="O51" s="43">
        <v>6707</v>
      </c>
      <c r="P51" s="44">
        <v>33535</v>
      </c>
      <c r="Q51" s="44">
        <v>119250</v>
      </c>
      <c r="R51" s="45"/>
      <c r="S51" s="46"/>
      <c r="T51" s="39">
        <f t="shared" si="19"/>
        <v>24</v>
      </c>
      <c r="U51" s="47">
        <f t="shared" si="20"/>
        <v>0.21512202182198603</v>
      </c>
      <c r="V51" s="48">
        <f t="shared" si="21"/>
        <v>85715</v>
      </c>
      <c r="W51" s="49">
        <f t="shared" si="22"/>
        <v>8.9634175759160852E-3</v>
      </c>
      <c r="X51" s="44">
        <f t="shared" si="23"/>
        <v>7412.8637560528477</v>
      </c>
      <c r="Y51" s="44">
        <f t="shared" si="24"/>
        <v>85715</v>
      </c>
      <c r="Z51" s="44">
        <f t="shared" si="25"/>
        <v>30494.546462497117</v>
      </c>
      <c r="AA51" s="50">
        <f t="shared" si="26"/>
        <v>126662.86375605284</v>
      </c>
      <c r="AB51" s="51">
        <f t="shared" si="27"/>
        <v>28507.56890950464</v>
      </c>
      <c r="AC51" s="44">
        <f t="shared" si="28"/>
        <v>118409.70716654467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15.156272556848696</v>
      </c>
      <c r="AG51" s="44">
        <f t="shared" si="31"/>
        <v>101653.12003878421</v>
      </c>
      <c r="AH51" s="52">
        <f>HLOOKUP(I51,GasAvoidedCostsWOCC!$A$5:$Q$50,T51+1,FALSE)</f>
        <v>15.156272556848696</v>
      </c>
      <c r="AI51" s="44">
        <f t="shared" si="32"/>
        <v>0</v>
      </c>
      <c r="AJ51" s="44">
        <f t="shared" si="33"/>
        <v>101653.12003878421</v>
      </c>
      <c r="AK51" s="44">
        <f>HLOOKUP(I51,GasAvoidedCostsWOCC!$A$5:$Q$50,G51+1,FALSE)*J51*L51</f>
        <v>0</v>
      </c>
      <c r="AL51" s="44">
        <f t="shared" si="34"/>
        <v>101653.12003878421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101653.12003878421</v>
      </c>
      <c r="AN51" s="48">
        <f t="shared" si="35"/>
        <v>111818.43204266264</v>
      </c>
      <c r="AO51" s="47">
        <f t="shared" si="36"/>
        <v>3.5658291438836893</v>
      </c>
      <c r="AP51" s="47">
        <f t="shared" si="37"/>
        <v>0.94433501035002709</v>
      </c>
      <c r="AQ51">
        <v>2020</v>
      </c>
    </row>
    <row r="52" spans="2:43">
      <c r="B52" s="97" t="s">
        <v>141</v>
      </c>
      <c r="C52" s="61">
        <v>18230731</v>
      </c>
      <c r="D52" s="61" t="s">
        <v>142</v>
      </c>
      <c r="E52" s="38" t="s">
        <v>1006</v>
      </c>
      <c r="F52" s="39" t="s">
        <v>1007</v>
      </c>
      <c r="G52" s="39">
        <v>24</v>
      </c>
      <c r="H52" s="39"/>
      <c r="I52" s="40" t="s">
        <v>255</v>
      </c>
      <c r="J52" s="41">
        <v>1</v>
      </c>
      <c r="K52" s="41">
        <v>8143</v>
      </c>
      <c r="L52" s="41"/>
      <c r="M52" s="42">
        <v>40715</v>
      </c>
      <c r="N52" s="42">
        <v>68745</v>
      </c>
      <c r="O52" s="43">
        <v>8143</v>
      </c>
      <c r="P52" s="44">
        <v>40715</v>
      </c>
      <c r="Q52" s="44">
        <v>68745</v>
      </c>
      <c r="R52" s="45"/>
      <c r="S52" s="46"/>
      <c r="T52" s="39">
        <f t="shared" si="19"/>
        <v>24</v>
      </c>
      <c r="U52" s="47">
        <f t="shared" si="20"/>
        <v>0.2611806506182246</v>
      </c>
      <c r="V52" s="48">
        <f t="shared" si="21"/>
        <v>28030</v>
      </c>
      <c r="W52" s="49">
        <f t="shared" si="22"/>
        <v>1.0882527109092691E-2</v>
      </c>
      <c r="X52" s="44">
        <f t="shared" si="23"/>
        <v>8999.992480324785</v>
      </c>
      <c r="Y52" s="44">
        <f t="shared" si="24"/>
        <v>28030</v>
      </c>
      <c r="Z52" s="44">
        <f t="shared" si="25"/>
        <v>37023.571171032352</v>
      </c>
      <c r="AA52" s="50">
        <f t="shared" si="26"/>
        <v>77744.992480324785</v>
      </c>
      <c r="AB52" s="51">
        <f t="shared" si="27"/>
        <v>34611.172451184771</v>
      </c>
      <c r="AC52" s="44">
        <f t="shared" si="28"/>
        <v>72679.24883642589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15.156272556848696</v>
      </c>
      <c r="AG52" s="44">
        <f t="shared" si="31"/>
        <v>123417.52743041894</v>
      </c>
      <c r="AH52" s="52">
        <f>HLOOKUP(I52,GasAvoidedCostsWOCC!$A$5:$Q$50,T52+1,FALSE)</f>
        <v>15.156272556848696</v>
      </c>
      <c r="AI52" s="44">
        <f t="shared" si="32"/>
        <v>0</v>
      </c>
      <c r="AJ52" s="44">
        <f t="shared" si="33"/>
        <v>123417.52743041894</v>
      </c>
      <c r="AK52" s="44">
        <f>HLOOKUP(I52,GasAvoidedCostsWOCC!$A$5:$Q$50,G52+1,FALSE)*J52*L52</f>
        <v>0</v>
      </c>
      <c r="AL52" s="44">
        <f t="shared" si="34"/>
        <v>123417.52743041894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123417.52743041894</v>
      </c>
      <c r="AN52" s="48">
        <f t="shared" si="35"/>
        <v>135759.28017346084</v>
      </c>
      <c r="AO52" s="47">
        <f t="shared" si="36"/>
        <v>3.5658291438836898</v>
      </c>
      <c r="AP52" s="47">
        <f t="shared" si="37"/>
        <v>1.8679235455364263</v>
      </c>
      <c r="AQ52">
        <v>2020</v>
      </c>
    </row>
    <row r="53" spans="2:43">
      <c r="B53" s="97" t="s">
        <v>141</v>
      </c>
      <c r="C53" s="61">
        <v>18230731</v>
      </c>
      <c r="D53" s="61" t="s">
        <v>142</v>
      </c>
      <c r="E53" s="38" t="s">
        <v>1010</v>
      </c>
      <c r="F53" s="39" t="s">
        <v>1011</v>
      </c>
      <c r="G53" s="39">
        <v>15</v>
      </c>
      <c r="H53" s="39"/>
      <c r="I53" s="40" t="s">
        <v>256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15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9.6460139924167869</v>
      </c>
      <c r="AG53" s="44">
        <f t="shared" si="31"/>
        <v>0</v>
      </c>
      <c r="AH53" s="52">
        <f>HLOOKUP(I53,GasAvoidedCostsWOCC!$A$5:$Q$50,T53+1,FALSE)</f>
        <v>9.6460139924167869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2020</v>
      </c>
    </row>
    <row r="54" spans="2:43">
      <c r="B54" s="97" t="s">
        <v>141</v>
      </c>
      <c r="C54" s="61">
        <v>18230731</v>
      </c>
      <c r="D54" s="61" t="s">
        <v>142</v>
      </c>
      <c r="E54" s="38" t="s">
        <v>1012</v>
      </c>
      <c r="F54" s="39" t="s">
        <v>1013</v>
      </c>
      <c r="G54" s="39">
        <v>20</v>
      </c>
      <c r="H54" s="39"/>
      <c r="I54" s="40" t="s">
        <v>256</v>
      </c>
      <c r="J54" s="41">
        <v>1</v>
      </c>
      <c r="K54" s="41">
        <v>89557</v>
      </c>
      <c r="L54" s="41"/>
      <c r="M54" s="42">
        <v>361118</v>
      </c>
      <c r="N54" s="42">
        <v>546292</v>
      </c>
      <c r="O54" s="43">
        <v>89557</v>
      </c>
      <c r="P54" s="44">
        <v>361118</v>
      </c>
      <c r="Q54" s="44">
        <v>546292</v>
      </c>
      <c r="R54" s="45"/>
      <c r="S54" s="46"/>
      <c r="T54" s="39">
        <f t="shared" si="19"/>
        <v>20</v>
      </c>
      <c r="U54" s="47">
        <f t="shared" si="20"/>
        <v>2.3937283072799072</v>
      </c>
      <c r="V54" s="48">
        <f t="shared" si="21"/>
        <v>185174</v>
      </c>
      <c r="W54" s="49">
        <f t="shared" si="22"/>
        <v>0.11968641536399535</v>
      </c>
      <c r="X54" s="44">
        <f t="shared" si="23"/>
        <v>98982.233398065437</v>
      </c>
      <c r="Y54" s="44">
        <f t="shared" si="24"/>
        <v>185174</v>
      </c>
      <c r="Z54" s="44">
        <f t="shared" si="25"/>
        <v>407186.53608794609</v>
      </c>
      <c r="AA54" s="50">
        <f t="shared" si="26"/>
        <v>645274.23339806544</v>
      </c>
      <c r="AB54" s="51">
        <f t="shared" si="27"/>
        <v>380654.89023833419</v>
      </c>
      <c r="AC54" s="44">
        <f t="shared" si="28"/>
        <v>603229.1608844212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12.452380783934862</v>
      </c>
      <c r="AG54" s="44">
        <f t="shared" si="31"/>
        <v>1115197.8658668543</v>
      </c>
      <c r="AH54" s="52">
        <f>HLOOKUP(I54,GasAvoidedCostsWOCC!$A$5:$Q$50,T54+1,FALSE)</f>
        <v>12.452380783934862</v>
      </c>
      <c r="AI54" s="44">
        <f t="shared" si="32"/>
        <v>0</v>
      </c>
      <c r="AJ54" s="44">
        <f t="shared" si="33"/>
        <v>1115197.8658668543</v>
      </c>
      <c r="AK54" s="44">
        <f>HLOOKUP(I54,GasAvoidedCostsWOCC!$A$5:$Q$50,G54+1,FALSE)*J54*L54</f>
        <v>0</v>
      </c>
      <c r="AL54" s="44">
        <f t="shared" si="34"/>
        <v>1115197.8658668543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1115197.8658668543</v>
      </c>
      <c r="AN54" s="48">
        <f t="shared" si="35"/>
        <v>1226717.6524535399</v>
      </c>
      <c r="AO54" s="47">
        <f t="shared" si="36"/>
        <v>2.9296822252003931</v>
      </c>
      <c r="AP54" s="47">
        <f t="shared" si="37"/>
        <v>2.0335847999373811</v>
      </c>
      <c r="AQ54">
        <v>2020</v>
      </c>
    </row>
    <row r="55" spans="2:43">
      <c r="B55" s="97" t="s">
        <v>141</v>
      </c>
      <c r="C55" s="61">
        <v>18230731</v>
      </c>
      <c r="D55" s="61" t="s">
        <v>142</v>
      </c>
      <c r="E55" s="38" t="s">
        <v>1012</v>
      </c>
      <c r="F55" s="39" t="s">
        <v>1013</v>
      </c>
      <c r="G55" s="39">
        <v>20</v>
      </c>
      <c r="H55" s="39"/>
      <c r="I55" s="40" t="s">
        <v>256</v>
      </c>
      <c r="J55" s="41">
        <v>1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20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>
        <f>HLOOKUP(I55,GasAvoidedCostsWOCC!$A$5:$G$50,G55+1,FALSE)</f>
        <v>12.452380783934862</v>
      </c>
      <c r="AG55" s="44">
        <f t="shared" si="31"/>
        <v>0</v>
      </c>
      <c r="AH55" s="52">
        <f>HLOOKUP(I55,GasAvoidedCostsWOCC!$A$5:$Q$50,T55+1,FALSE)</f>
        <v>12.452380783934862</v>
      </c>
      <c r="AI55" s="44">
        <f t="shared" si="32"/>
        <v>0</v>
      </c>
      <c r="AJ55" s="44">
        <f t="shared" si="33"/>
        <v>0</v>
      </c>
      <c r="AK55" s="44">
        <f>HLOOKUP(I55,GasAvoidedCostsWOCC!$A$5:$Q$50,G55+1,FALSE)*J55*L55</f>
        <v>0</v>
      </c>
      <c r="AL55" s="44">
        <f t="shared" si="34"/>
        <v>0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  <c r="AQ55">
        <v>2020</v>
      </c>
    </row>
    <row r="56" spans="2:43">
      <c r="B56" s="97" t="s">
        <v>141</v>
      </c>
      <c r="C56" s="61">
        <v>18230731</v>
      </c>
      <c r="D56" s="61" t="s">
        <v>142</v>
      </c>
      <c r="E56" s="38" t="s">
        <v>1012</v>
      </c>
      <c r="F56" s="39" t="s">
        <v>1013</v>
      </c>
      <c r="G56" s="39">
        <v>20</v>
      </c>
      <c r="H56" s="39"/>
      <c r="I56" s="40" t="s">
        <v>256</v>
      </c>
      <c r="J56" s="41">
        <v>1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0</v>
      </c>
      <c r="R56" s="45"/>
      <c r="S56" s="46"/>
      <c r="T56" s="39">
        <f t="shared" ref="T56:T93" si="38">G56+H56</f>
        <v>20</v>
      </c>
      <c r="U56" s="47">
        <f t="shared" ref="U56:U93" si="39">(O56/$A$10)*T56</f>
        <v>0</v>
      </c>
      <c r="V56" s="48">
        <f t="shared" ref="V56:V93" si="40">N56-M56</f>
        <v>0</v>
      </c>
      <c r="W56" s="49">
        <f t="shared" ref="W56:W93" si="41">(O56/A$10)</f>
        <v>0</v>
      </c>
      <c r="X56" s="44">
        <f t="shared" ref="X56:X93" si="42">W56*A$8</f>
        <v>0</v>
      </c>
      <c r="Y56" s="44">
        <f t="shared" ref="Y56:Y93" si="43">Q56-P56</f>
        <v>0</v>
      </c>
      <c r="Z56" s="44">
        <f t="shared" ref="Z56:Z93" si="44">X56+(A$6*W56)</f>
        <v>0</v>
      </c>
      <c r="AA56" s="50">
        <f t="shared" ref="AA56:AA93" si="45">Q56+X56</f>
        <v>0</v>
      </c>
      <c r="AB56" s="51">
        <f t="shared" ref="AB56:AB93" si="46">Z56/(1+GasDiscountRate)^1</f>
        <v>0</v>
      </c>
      <c r="AC56" s="44">
        <f t="shared" ref="AC56:AC93" si="47">AA56/(1+GasDiscountRate)^1</f>
        <v>0</v>
      </c>
      <c r="AD56" s="44">
        <f t="shared" ref="AD56:AD93" si="48">-PV(GasDiscountRate,T56,R56)*J56</f>
        <v>0</v>
      </c>
      <c r="AE56" s="44">
        <f t="shared" ref="AE56:AE93" si="49">-PV(GasDiscountRate,T56,S56)*J56</f>
        <v>0</v>
      </c>
      <c r="AF56" s="52">
        <f>HLOOKUP(I56,GasAvoidedCostsWOCC!$A$5:$G$50,G56+1,FALSE)</f>
        <v>12.452380783934862</v>
      </c>
      <c r="AG56" s="44">
        <f t="shared" ref="AG56:AG93" si="50">AF56*J56*K56</f>
        <v>0</v>
      </c>
      <c r="AH56" s="52">
        <f>HLOOKUP(I56,GasAvoidedCostsWOCC!$A$5:$Q$50,T56+1,FALSE)</f>
        <v>12.452380783934862</v>
      </c>
      <c r="AI56" s="44">
        <f t="shared" ref="AI56:AI93" si="51">AH56*J56*L56</f>
        <v>0</v>
      </c>
      <c r="AJ56" s="44">
        <f t="shared" ref="AJ56:AJ93" si="52">AG56+AI56</f>
        <v>0</v>
      </c>
      <c r="AK56" s="44">
        <f>HLOOKUP(I56,GasAvoidedCostsWOCC!$A$5:$Q$50,G56+1,FALSE)*J56*L56</f>
        <v>0</v>
      </c>
      <c r="AL56" s="44">
        <f t="shared" ref="AL56:AL93" si="53">AG56+AI56-AK56</f>
        <v>0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ref="AN56:AN93" si="54">AM56*1.1+AD56+AE56</f>
        <v>0</v>
      </c>
      <c r="AO56" s="47">
        <f t="shared" ref="AO56:AO93" si="55">IFERROR(AM56/AB56,0)</f>
        <v>0</v>
      </c>
      <c r="AP56" s="47" t="e">
        <f t="shared" ref="AP56:AP93" si="56">AN56/AC56</f>
        <v>#DIV/0!</v>
      </c>
      <c r="AQ56">
        <v>2020</v>
      </c>
    </row>
    <row r="57" spans="2:43">
      <c r="B57" s="97" t="s">
        <v>141</v>
      </c>
      <c r="C57" s="61">
        <v>18230731</v>
      </c>
      <c r="D57" s="61" t="s">
        <v>142</v>
      </c>
      <c r="E57" s="38" t="s">
        <v>1012</v>
      </c>
      <c r="F57" s="39" t="s">
        <v>1013</v>
      </c>
      <c r="G57" s="39">
        <v>20</v>
      </c>
      <c r="H57" s="39"/>
      <c r="I57" s="40" t="s">
        <v>256</v>
      </c>
      <c r="J57" s="41">
        <v>1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0</v>
      </c>
      <c r="R57" s="45"/>
      <c r="S57" s="46"/>
      <c r="T57" s="39">
        <f t="shared" si="38"/>
        <v>20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>
        <f>HLOOKUP(I57,GasAvoidedCostsWOCC!$A$5:$G$50,G57+1,FALSE)</f>
        <v>12.452380783934862</v>
      </c>
      <c r="AG57" s="44">
        <f t="shared" si="50"/>
        <v>0</v>
      </c>
      <c r="AH57" s="52">
        <f>HLOOKUP(I57,GasAvoidedCostsWOCC!$A$5:$Q$50,T57+1,FALSE)</f>
        <v>12.452380783934862</v>
      </c>
      <c r="AI57" s="44">
        <f t="shared" si="51"/>
        <v>0</v>
      </c>
      <c r="AJ57" s="44">
        <f t="shared" si="52"/>
        <v>0</v>
      </c>
      <c r="AK57" s="44">
        <f>HLOOKUP(I57,GasAvoidedCostsWOCC!$A$5:$Q$50,G57+1,FALSE)*J57*L57</f>
        <v>0</v>
      </c>
      <c r="AL57" s="44">
        <f t="shared" si="53"/>
        <v>0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  <c r="AQ57">
        <v>2020</v>
      </c>
    </row>
    <row r="58" spans="2:43">
      <c r="B58" s="97" t="s">
        <v>141</v>
      </c>
      <c r="C58" s="61">
        <v>18230731</v>
      </c>
      <c r="D58" s="61" t="s">
        <v>142</v>
      </c>
      <c r="E58" s="38" t="s">
        <v>1012</v>
      </c>
      <c r="F58" s="39" t="s">
        <v>1013</v>
      </c>
      <c r="G58" s="39">
        <v>20</v>
      </c>
      <c r="H58" s="39"/>
      <c r="I58" s="40" t="s">
        <v>256</v>
      </c>
      <c r="J58" s="41">
        <v>1</v>
      </c>
      <c r="K58" s="41">
        <v>91451</v>
      </c>
      <c r="L58" s="41"/>
      <c r="M58" s="42">
        <v>237081</v>
      </c>
      <c r="N58" s="42">
        <v>369546</v>
      </c>
      <c r="O58" s="43">
        <v>91451</v>
      </c>
      <c r="P58" s="44">
        <v>237081</v>
      </c>
      <c r="Q58" s="44">
        <v>369546</v>
      </c>
      <c r="R58" s="45"/>
      <c r="S58" s="46"/>
      <c r="T58" s="39">
        <f t="shared" si="38"/>
        <v>20</v>
      </c>
      <c r="U58" s="47">
        <f t="shared" si="39"/>
        <v>2.4443521715673233</v>
      </c>
      <c r="V58" s="48">
        <f t="shared" si="40"/>
        <v>132465</v>
      </c>
      <c r="W58" s="49">
        <f t="shared" si="41"/>
        <v>0.12221760857836617</v>
      </c>
      <c r="X58" s="44">
        <f t="shared" si="42"/>
        <v>101075.5633449812</v>
      </c>
      <c r="Y58" s="44">
        <f t="shared" si="43"/>
        <v>132465</v>
      </c>
      <c r="Z58" s="44">
        <f t="shared" si="44"/>
        <v>415797.93775783863</v>
      </c>
      <c r="AA58" s="50">
        <f t="shared" si="45"/>
        <v>470621.56334498117</v>
      </c>
      <c r="AB58" s="51">
        <f t="shared" si="46"/>
        <v>388705.18627450557</v>
      </c>
      <c r="AC58" s="44">
        <f t="shared" si="47"/>
        <v>439956.58908570732</v>
      </c>
      <c r="AD58" s="44">
        <f t="shared" si="48"/>
        <v>0</v>
      </c>
      <c r="AE58" s="44">
        <f t="shared" si="49"/>
        <v>0</v>
      </c>
      <c r="AF58" s="52">
        <f>HLOOKUP(I58,GasAvoidedCostsWOCC!$A$5:$G$50,G58+1,FALSE)</f>
        <v>12.452380783934862</v>
      </c>
      <c r="AG58" s="44">
        <f t="shared" si="50"/>
        <v>1138782.6750716271</v>
      </c>
      <c r="AH58" s="52">
        <f>HLOOKUP(I58,GasAvoidedCostsWOCC!$A$5:$Q$50,T58+1,FALSE)</f>
        <v>12.452380783934862</v>
      </c>
      <c r="AI58" s="44">
        <f t="shared" si="51"/>
        <v>0</v>
      </c>
      <c r="AJ58" s="44">
        <f t="shared" si="52"/>
        <v>1138782.6750716271</v>
      </c>
      <c r="AK58" s="44">
        <f>HLOOKUP(I58,GasAvoidedCostsWOCC!$A$5:$Q$50,G58+1,FALSE)*J58*L58</f>
        <v>0</v>
      </c>
      <c r="AL58" s="44">
        <f t="shared" si="53"/>
        <v>1138782.6750716271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1138782.6750716271</v>
      </c>
      <c r="AN58" s="48">
        <f t="shared" si="54"/>
        <v>1252660.94257879</v>
      </c>
      <c r="AO58" s="47">
        <f t="shared" si="55"/>
        <v>2.929682225200394</v>
      </c>
      <c r="AP58" s="47">
        <f t="shared" si="56"/>
        <v>2.8472375994686168</v>
      </c>
      <c r="AQ58">
        <v>2020</v>
      </c>
    </row>
    <row r="59" spans="2:43">
      <c r="B59" s="97" t="s">
        <v>141</v>
      </c>
      <c r="C59" s="61">
        <v>18230731</v>
      </c>
      <c r="D59" s="61" t="s">
        <v>142</v>
      </c>
      <c r="E59" s="38" t="s">
        <v>2094</v>
      </c>
      <c r="F59" s="39" t="s">
        <v>2095</v>
      </c>
      <c r="G59" s="39">
        <v>10</v>
      </c>
      <c r="H59" s="39"/>
      <c r="I59" s="40" t="s">
        <v>256</v>
      </c>
      <c r="J59" s="41">
        <v>1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0</v>
      </c>
      <c r="Q59" s="44">
        <v>0</v>
      </c>
      <c r="R59" s="45"/>
      <c r="S59" s="46"/>
      <c r="T59" s="39">
        <f t="shared" si="38"/>
        <v>10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>
        <f>HLOOKUP(I59,GasAvoidedCostsWOCC!$A$5:$G$50,G59+1,FALSE)</f>
        <v>6.7137963033615717</v>
      </c>
      <c r="AG59" s="44">
        <f t="shared" si="50"/>
        <v>0</v>
      </c>
      <c r="AH59" s="52">
        <f>HLOOKUP(I59,GasAvoidedCostsWOCC!$A$5:$Q$50,T59+1,FALSE)</f>
        <v>6.7137963033615717</v>
      </c>
      <c r="AI59" s="44">
        <f t="shared" si="51"/>
        <v>0</v>
      </c>
      <c r="AJ59" s="44">
        <f t="shared" si="52"/>
        <v>0</v>
      </c>
      <c r="AK59" s="44">
        <f>HLOOKUP(I59,GasAvoidedCostsWOCC!$A$5:$Q$50,G59+1,FALSE)*J59*L59</f>
        <v>0</v>
      </c>
      <c r="AL59" s="44">
        <f t="shared" si="53"/>
        <v>0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  <c r="AQ59">
        <v>2020</v>
      </c>
    </row>
    <row r="60" spans="2:43">
      <c r="B60" s="97" t="s">
        <v>141</v>
      </c>
      <c r="C60" s="61">
        <v>18230731</v>
      </c>
      <c r="D60" s="61" t="s">
        <v>142</v>
      </c>
      <c r="E60" s="38" t="s">
        <v>1014</v>
      </c>
      <c r="F60" s="39" t="s">
        <v>1015</v>
      </c>
      <c r="G60" s="39">
        <v>10</v>
      </c>
      <c r="H60" s="39"/>
      <c r="I60" s="40" t="s">
        <v>261</v>
      </c>
      <c r="J60" s="41">
        <v>1</v>
      </c>
      <c r="K60" s="41">
        <v>0</v>
      </c>
      <c r="L60" s="41"/>
      <c r="M60" s="42">
        <v>0</v>
      </c>
      <c r="N60" s="42">
        <v>0</v>
      </c>
      <c r="O60" s="43">
        <v>0</v>
      </c>
      <c r="P60" s="44">
        <v>0</v>
      </c>
      <c r="Q60" s="44">
        <v>0</v>
      </c>
      <c r="R60" s="45"/>
      <c r="S60" s="46"/>
      <c r="T60" s="39">
        <f t="shared" si="38"/>
        <v>10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>
        <f>HLOOKUP(I60,GasAvoidedCostsWOCC!$A$5:$G$50,G60+1,FALSE)</f>
        <v>8.0513997654936151</v>
      </c>
      <c r="AG60" s="44">
        <f t="shared" si="50"/>
        <v>0</v>
      </c>
      <c r="AH60" s="52">
        <f>HLOOKUP(I60,GasAvoidedCostsWOCC!$A$5:$Q$50,T60+1,FALSE)</f>
        <v>8.0513997654936151</v>
      </c>
      <c r="AI60" s="44">
        <f t="shared" si="51"/>
        <v>0</v>
      </c>
      <c r="AJ60" s="44">
        <f t="shared" si="52"/>
        <v>0</v>
      </c>
      <c r="AK60" s="44">
        <f>HLOOKUP(I60,GasAvoidedCostsWOCC!$A$5:$Q$50,G60+1,FALSE)*J60*L60</f>
        <v>0</v>
      </c>
      <c r="AL60" s="44">
        <f t="shared" si="53"/>
        <v>0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  <c r="AQ60">
        <v>2020</v>
      </c>
    </row>
    <row r="61" spans="2:43">
      <c r="B61" s="97" t="s">
        <v>141</v>
      </c>
      <c r="C61" s="61">
        <v>18230731</v>
      </c>
      <c r="D61" s="61" t="s">
        <v>142</v>
      </c>
      <c r="E61" s="38" t="s">
        <v>1014</v>
      </c>
      <c r="F61" s="39" t="s">
        <v>1015</v>
      </c>
      <c r="G61" s="39">
        <v>10</v>
      </c>
      <c r="H61" s="39"/>
      <c r="I61" s="40" t="s">
        <v>261</v>
      </c>
      <c r="J61" s="41">
        <v>1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0</v>
      </c>
      <c r="R61" s="45"/>
      <c r="S61" s="46"/>
      <c r="T61" s="39">
        <f t="shared" si="38"/>
        <v>10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>
        <f>HLOOKUP(I61,GasAvoidedCostsWOCC!$A$5:$G$50,G61+1,FALSE)</f>
        <v>8.0513997654936151</v>
      </c>
      <c r="AG61" s="44">
        <f t="shared" si="50"/>
        <v>0</v>
      </c>
      <c r="AH61" s="52">
        <f>HLOOKUP(I61,GasAvoidedCostsWOCC!$A$5:$Q$50,T61+1,FALSE)</f>
        <v>8.0513997654936151</v>
      </c>
      <c r="AI61" s="44">
        <f t="shared" si="51"/>
        <v>0</v>
      </c>
      <c r="AJ61" s="44">
        <f t="shared" si="52"/>
        <v>0</v>
      </c>
      <c r="AK61" s="44">
        <f>HLOOKUP(I61,GasAvoidedCostsWOCC!$A$5:$Q$50,G61+1,FALSE)*J61*L61</f>
        <v>0</v>
      </c>
      <c r="AL61" s="44">
        <f t="shared" si="5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  <c r="AQ61">
        <v>2020</v>
      </c>
    </row>
    <row r="62" spans="2:43">
      <c r="B62" s="97" t="s">
        <v>141</v>
      </c>
      <c r="C62" s="61">
        <v>18230731</v>
      </c>
      <c r="D62" s="61" t="s">
        <v>142</v>
      </c>
      <c r="E62" s="38" t="s">
        <v>1014</v>
      </c>
      <c r="F62" s="39" t="s">
        <v>1015</v>
      </c>
      <c r="G62" s="39">
        <v>10</v>
      </c>
      <c r="H62" s="39"/>
      <c r="I62" s="40" t="s">
        <v>261</v>
      </c>
      <c r="J62" s="41">
        <v>1</v>
      </c>
      <c r="K62" s="41">
        <v>36633</v>
      </c>
      <c r="L62" s="41"/>
      <c r="M62" s="42">
        <v>174284</v>
      </c>
      <c r="N62" s="42">
        <v>253927</v>
      </c>
      <c r="O62" s="43">
        <v>36633</v>
      </c>
      <c r="P62" s="44">
        <v>174284</v>
      </c>
      <c r="Q62" s="44">
        <v>253927</v>
      </c>
      <c r="R62" s="45"/>
      <c r="S62" s="46"/>
      <c r="T62" s="39">
        <f t="shared" si="38"/>
        <v>10</v>
      </c>
      <c r="U62" s="47">
        <f t="shared" si="39"/>
        <v>0.48957339504776198</v>
      </c>
      <c r="V62" s="48">
        <f t="shared" si="40"/>
        <v>79643</v>
      </c>
      <c r="W62" s="49">
        <f t="shared" si="41"/>
        <v>4.8957339504776196E-2</v>
      </c>
      <c r="X62" s="44">
        <f t="shared" si="42"/>
        <v>40488.361111597427</v>
      </c>
      <c r="Y62" s="44">
        <f t="shared" si="43"/>
        <v>79643</v>
      </c>
      <c r="Z62" s="44">
        <f t="shared" si="44"/>
        <v>166558.33018647038</v>
      </c>
      <c r="AA62" s="50">
        <f t="shared" si="45"/>
        <v>294415.36111159745</v>
      </c>
      <c r="AB62" s="51">
        <f t="shared" si="46"/>
        <v>155705.64661724816</v>
      </c>
      <c r="AC62" s="44">
        <f t="shared" si="47"/>
        <v>275231.71086435206</v>
      </c>
      <c r="AD62" s="44">
        <f t="shared" si="48"/>
        <v>0</v>
      </c>
      <c r="AE62" s="44">
        <f t="shared" si="49"/>
        <v>0</v>
      </c>
      <c r="AF62" s="52">
        <f>HLOOKUP(I62,GasAvoidedCostsWOCC!$A$5:$G$50,G62+1,FALSE)</f>
        <v>8.0513997654936151</v>
      </c>
      <c r="AG62" s="44">
        <f t="shared" si="50"/>
        <v>294946.9276093276</v>
      </c>
      <c r="AH62" s="52">
        <f>HLOOKUP(I62,GasAvoidedCostsWOCC!$A$5:$Q$50,T62+1,FALSE)</f>
        <v>8.0513997654936151</v>
      </c>
      <c r="AI62" s="44">
        <f t="shared" si="51"/>
        <v>0</v>
      </c>
      <c r="AJ62" s="44">
        <f t="shared" si="52"/>
        <v>294946.9276093276</v>
      </c>
      <c r="AK62" s="44">
        <f>HLOOKUP(I62,GasAvoidedCostsWOCC!$A$5:$Q$50,G62+1,FALSE)*J62*L62</f>
        <v>0</v>
      </c>
      <c r="AL62" s="44">
        <f t="shared" si="53"/>
        <v>294946.9276093276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294946.9276093276</v>
      </c>
      <c r="AN62" s="48">
        <f t="shared" si="54"/>
        <v>324441.62037026038</v>
      </c>
      <c r="AO62" s="47">
        <f t="shared" si="55"/>
        <v>1.8942596753370093</v>
      </c>
      <c r="AP62" s="47">
        <f t="shared" si="56"/>
        <v>1.1787944759394438</v>
      </c>
      <c r="AQ62">
        <v>2020</v>
      </c>
    </row>
    <row r="63" spans="2:43">
      <c r="B63" s="97" t="s">
        <v>141</v>
      </c>
      <c r="C63" s="61">
        <v>18230731</v>
      </c>
      <c r="D63" s="61" t="s">
        <v>142</v>
      </c>
      <c r="E63" s="38" t="s">
        <v>1014</v>
      </c>
      <c r="F63" s="39" t="s">
        <v>1015</v>
      </c>
      <c r="G63" s="39">
        <v>10</v>
      </c>
      <c r="H63" s="39"/>
      <c r="I63" s="40" t="s">
        <v>261</v>
      </c>
      <c r="J63" s="41">
        <v>1</v>
      </c>
      <c r="K63" s="41">
        <v>-425</v>
      </c>
      <c r="L63" s="41"/>
      <c r="M63" s="42">
        <v>0</v>
      </c>
      <c r="N63" s="42">
        <v>0</v>
      </c>
      <c r="O63" s="43">
        <v>-425</v>
      </c>
      <c r="P63" s="44">
        <v>0</v>
      </c>
      <c r="Q63" s="44">
        <v>0</v>
      </c>
      <c r="R63" s="45"/>
      <c r="S63" s="46"/>
      <c r="T63" s="39">
        <f t="shared" si="38"/>
        <v>10</v>
      </c>
      <c r="U63" s="47">
        <f t="shared" si="39"/>
        <v>-5.6798158189419051E-3</v>
      </c>
      <c r="V63" s="48">
        <f t="shared" si="40"/>
        <v>0</v>
      </c>
      <c r="W63" s="49">
        <f t="shared" si="41"/>
        <v>-5.6798158189419056E-4</v>
      </c>
      <c r="X63" s="44">
        <f t="shared" si="42"/>
        <v>-469.72820878521844</v>
      </c>
      <c r="Y63" s="44">
        <f t="shared" si="43"/>
        <v>0</v>
      </c>
      <c r="Z63" s="44">
        <f t="shared" si="44"/>
        <v>-1932.3366999494967</v>
      </c>
      <c r="AA63" s="50">
        <f t="shared" si="45"/>
        <v>-469.72820878521844</v>
      </c>
      <c r="AB63" s="51">
        <f t="shared" si="46"/>
        <v>-1806.4286248008755</v>
      </c>
      <c r="AC63" s="44">
        <f t="shared" si="47"/>
        <v>-439.12144412939926</v>
      </c>
      <c r="AD63" s="44">
        <f t="shared" si="48"/>
        <v>0</v>
      </c>
      <c r="AE63" s="44">
        <f t="shared" si="49"/>
        <v>0</v>
      </c>
      <c r="AF63" s="52">
        <f>HLOOKUP(I63,GasAvoidedCostsWOCC!$A$5:$G$50,G63+1,FALSE)</f>
        <v>8.0513997654936151</v>
      </c>
      <c r="AG63" s="44">
        <f t="shared" si="50"/>
        <v>-3421.8449003347864</v>
      </c>
      <c r="AH63" s="52">
        <f>HLOOKUP(I63,GasAvoidedCostsWOCC!$A$5:$Q$50,T63+1,FALSE)</f>
        <v>8.0513997654936151</v>
      </c>
      <c r="AI63" s="44">
        <f t="shared" si="51"/>
        <v>0</v>
      </c>
      <c r="AJ63" s="44">
        <f t="shared" si="52"/>
        <v>-3421.8449003347864</v>
      </c>
      <c r="AK63" s="44">
        <f>HLOOKUP(I63,GasAvoidedCostsWOCC!$A$5:$Q$50,G63+1,FALSE)*J63*L63</f>
        <v>0</v>
      </c>
      <c r="AL63" s="44">
        <f t="shared" si="53"/>
        <v>-3421.8449003347864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-3421.8449003347864</v>
      </c>
      <c r="AN63" s="48">
        <f t="shared" si="54"/>
        <v>-3764.0293903682655</v>
      </c>
      <c r="AO63" s="47">
        <f t="shared" si="55"/>
        <v>1.8942596753370091</v>
      </c>
      <c r="AP63" s="47">
        <f t="shared" si="56"/>
        <v>8.5717275726099373</v>
      </c>
      <c r="AQ63">
        <v>2020</v>
      </c>
    </row>
    <row r="64" spans="2:43">
      <c r="B64" s="97" t="s">
        <v>141</v>
      </c>
      <c r="C64" s="61">
        <v>18230731</v>
      </c>
      <c r="D64" s="61" t="s">
        <v>142</v>
      </c>
      <c r="E64" s="38" t="s">
        <v>1014</v>
      </c>
      <c r="F64" s="39" t="s">
        <v>1015</v>
      </c>
      <c r="G64" s="39">
        <v>10</v>
      </c>
      <c r="H64" s="39"/>
      <c r="I64" s="40" t="s">
        <v>261</v>
      </c>
      <c r="J64" s="41">
        <v>1</v>
      </c>
      <c r="K64" s="41">
        <v>0</v>
      </c>
      <c r="L64" s="41"/>
      <c r="M64" s="42">
        <v>0</v>
      </c>
      <c r="N64" s="42">
        <v>0</v>
      </c>
      <c r="O64" s="43">
        <v>0</v>
      </c>
      <c r="P64" s="44">
        <v>0</v>
      </c>
      <c r="Q64" s="44">
        <v>0</v>
      </c>
      <c r="R64" s="45"/>
      <c r="S64" s="46"/>
      <c r="T64" s="39">
        <f t="shared" si="38"/>
        <v>10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>
        <f>HLOOKUP(I64,GasAvoidedCostsWOCC!$A$5:$G$50,G64+1,FALSE)</f>
        <v>8.0513997654936151</v>
      </c>
      <c r="AG64" s="44">
        <f t="shared" si="50"/>
        <v>0</v>
      </c>
      <c r="AH64" s="52">
        <f>HLOOKUP(I64,GasAvoidedCostsWOCC!$A$5:$Q$50,T64+1,FALSE)</f>
        <v>8.0513997654936151</v>
      </c>
      <c r="AI64" s="44">
        <f t="shared" si="51"/>
        <v>0</v>
      </c>
      <c r="AJ64" s="44">
        <f t="shared" si="52"/>
        <v>0</v>
      </c>
      <c r="AK64" s="44">
        <f>HLOOKUP(I64,GasAvoidedCostsWOCC!$A$5:$Q$50,G64+1,FALSE)*J64*L64</f>
        <v>0</v>
      </c>
      <c r="AL64" s="44">
        <f t="shared" si="5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  <c r="AQ64">
        <v>2020</v>
      </c>
    </row>
    <row r="65" spans="2:43">
      <c r="B65" s="97" t="s">
        <v>141</v>
      </c>
      <c r="C65" s="61">
        <v>18230731</v>
      </c>
      <c r="D65" s="61" t="s">
        <v>142</v>
      </c>
      <c r="E65" s="38" t="s">
        <v>1042</v>
      </c>
      <c r="F65" s="39" t="s">
        <v>1043</v>
      </c>
      <c r="G65" s="39">
        <v>15</v>
      </c>
      <c r="H65" s="39"/>
      <c r="I65" s="40" t="s">
        <v>256</v>
      </c>
      <c r="J65" s="41">
        <v>1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0</v>
      </c>
      <c r="R65" s="45"/>
      <c r="S65" s="46"/>
      <c r="T65" s="39">
        <f t="shared" si="38"/>
        <v>15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>
        <f>HLOOKUP(I65,GasAvoidedCostsWOCC!$A$5:$G$50,G65+1,FALSE)</f>
        <v>9.6460139924167869</v>
      </c>
      <c r="AG65" s="44">
        <f t="shared" si="50"/>
        <v>0</v>
      </c>
      <c r="AH65" s="52">
        <f>HLOOKUP(I65,GasAvoidedCostsWOCC!$A$5:$Q$50,T65+1,FALSE)</f>
        <v>9.6460139924167869</v>
      </c>
      <c r="AI65" s="44">
        <f t="shared" si="51"/>
        <v>0</v>
      </c>
      <c r="AJ65" s="44">
        <f t="shared" si="52"/>
        <v>0</v>
      </c>
      <c r="AK65" s="44">
        <f>HLOOKUP(I65,GasAvoidedCostsWOCC!$A$5:$Q$50,G65+1,FALSE)*J65*L65</f>
        <v>0</v>
      </c>
      <c r="AL65" s="44">
        <f t="shared" si="5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  <c r="AQ65">
        <v>2020</v>
      </c>
    </row>
    <row r="66" spans="2:43">
      <c r="B66" s="97" t="s">
        <v>141</v>
      </c>
      <c r="C66" s="61">
        <v>18230731</v>
      </c>
      <c r="D66" s="61" t="s">
        <v>142</v>
      </c>
      <c r="E66" s="38" t="s">
        <v>1042</v>
      </c>
      <c r="F66" s="39" t="s">
        <v>1043</v>
      </c>
      <c r="G66" s="39">
        <v>15</v>
      </c>
      <c r="H66" s="39"/>
      <c r="I66" s="40" t="s">
        <v>256</v>
      </c>
      <c r="J66" s="41">
        <v>1</v>
      </c>
      <c r="K66" s="41">
        <v>20405</v>
      </c>
      <c r="L66" s="41"/>
      <c r="M66" s="42">
        <v>60456</v>
      </c>
      <c r="N66" s="42">
        <v>98115</v>
      </c>
      <c r="O66" s="43">
        <v>20405</v>
      </c>
      <c r="P66" s="44">
        <v>60456</v>
      </c>
      <c r="Q66" s="44">
        <v>98115</v>
      </c>
      <c r="R66" s="45"/>
      <c r="S66" s="46"/>
      <c r="T66" s="39">
        <f t="shared" si="38"/>
        <v>15</v>
      </c>
      <c r="U66" s="47">
        <f t="shared" si="39"/>
        <v>0.40904697100768089</v>
      </c>
      <c r="V66" s="48">
        <f t="shared" si="40"/>
        <v>37659</v>
      </c>
      <c r="W66" s="49">
        <f t="shared" si="41"/>
        <v>2.7269798067178726E-2</v>
      </c>
      <c r="X66" s="44">
        <f t="shared" si="42"/>
        <v>22552.480235911487</v>
      </c>
      <c r="Y66" s="44">
        <f t="shared" si="43"/>
        <v>37659</v>
      </c>
      <c r="Z66" s="44">
        <f t="shared" si="44"/>
        <v>92774.894970516427</v>
      </c>
      <c r="AA66" s="50">
        <f t="shared" si="45"/>
        <v>120667.48023591148</v>
      </c>
      <c r="AB66" s="51">
        <f t="shared" si="46"/>
        <v>86729.826091910276</v>
      </c>
      <c r="AC66" s="44">
        <f t="shared" si="47"/>
        <v>112804.97357755584</v>
      </c>
      <c r="AD66" s="44">
        <f t="shared" si="48"/>
        <v>0</v>
      </c>
      <c r="AE66" s="44">
        <f t="shared" si="49"/>
        <v>0</v>
      </c>
      <c r="AF66" s="52">
        <f>HLOOKUP(I66,GasAvoidedCostsWOCC!$A$5:$G$50,G66+1,FALSE)</f>
        <v>9.6460139924167869</v>
      </c>
      <c r="AG66" s="44">
        <f t="shared" si="50"/>
        <v>196826.91551526453</v>
      </c>
      <c r="AH66" s="52">
        <f>HLOOKUP(I66,GasAvoidedCostsWOCC!$A$5:$Q$50,T66+1,FALSE)</f>
        <v>9.6460139924167869</v>
      </c>
      <c r="AI66" s="44">
        <f t="shared" si="51"/>
        <v>0</v>
      </c>
      <c r="AJ66" s="44">
        <f t="shared" si="52"/>
        <v>196826.91551526453</v>
      </c>
      <c r="AK66" s="44">
        <f>HLOOKUP(I66,GasAvoidedCostsWOCC!$A$5:$Q$50,G66+1,FALSE)*J66*L66</f>
        <v>0</v>
      </c>
      <c r="AL66" s="44">
        <f t="shared" si="53"/>
        <v>196826.91551526453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196826.91551526453</v>
      </c>
      <c r="AN66" s="48">
        <f t="shared" si="54"/>
        <v>216509.60706679101</v>
      </c>
      <c r="AO66" s="47">
        <f t="shared" si="55"/>
        <v>2.2694259216740611</v>
      </c>
      <c r="AP66" s="47">
        <f t="shared" si="56"/>
        <v>1.9193267832108132</v>
      </c>
      <c r="AQ66">
        <v>2020</v>
      </c>
    </row>
    <row r="67" spans="2:43">
      <c r="B67" s="97" t="s">
        <v>141</v>
      </c>
      <c r="C67" s="61">
        <v>18230731</v>
      </c>
      <c r="D67" s="61" t="s">
        <v>142</v>
      </c>
      <c r="E67" s="38" t="s">
        <v>1020</v>
      </c>
      <c r="F67" s="39" t="s">
        <v>1021</v>
      </c>
      <c r="G67" s="39">
        <v>7</v>
      </c>
      <c r="H67" s="39"/>
      <c r="I67" s="40" t="s">
        <v>261</v>
      </c>
      <c r="J67" s="41">
        <v>1</v>
      </c>
      <c r="K67" s="41">
        <v>0</v>
      </c>
      <c r="L67" s="41"/>
      <c r="M67" s="42">
        <v>3346</v>
      </c>
      <c r="N67" s="42">
        <v>3346</v>
      </c>
      <c r="O67" s="43">
        <v>0</v>
      </c>
      <c r="P67" s="44">
        <v>3346</v>
      </c>
      <c r="Q67" s="44">
        <v>3346</v>
      </c>
      <c r="R67" s="45"/>
      <c r="S67" s="46"/>
      <c r="T67" s="39">
        <f t="shared" si="38"/>
        <v>7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3346</v>
      </c>
      <c r="AB67" s="51">
        <f t="shared" si="46"/>
        <v>0</v>
      </c>
      <c r="AC67" s="44">
        <f t="shared" si="47"/>
        <v>3127.9798074226414</v>
      </c>
      <c r="AD67" s="44">
        <f t="shared" si="48"/>
        <v>0</v>
      </c>
      <c r="AE67" s="44">
        <f t="shared" si="49"/>
        <v>0</v>
      </c>
      <c r="AF67" s="52">
        <f>HLOOKUP(I67,GasAvoidedCostsWOCC!$A$5:$G$50,G67+1,FALSE)</f>
        <v>5.8580628482175126</v>
      </c>
      <c r="AG67" s="44">
        <f t="shared" si="50"/>
        <v>0</v>
      </c>
      <c r="AH67" s="52">
        <f>HLOOKUP(I67,GasAvoidedCostsWOCC!$A$5:$Q$50,T67+1,FALSE)</f>
        <v>5.8580628482175126</v>
      </c>
      <c r="AI67" s="44">
        <f t="shared" si="51"/>
        <v>0</v>
      </c>
      <c r="AJ67" s="44">
        <f t="shared" si="52"/>
        <v>0</v>
      </c>
      <c r="AK67" s="44">
        <f>HLOOKUP(I67,GasAvoidedCostsWOCC!$A$5:$Q$50,G67+1,FALSE)*J67*L67</f>
        <v>0</v>
      </c>
      <c r="AL67" s="44">
        <f t="shared" si="5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>
        <f t="shared" si="56"/>
        <v>0</v>
      </c>
      <c r="AQ67">
        <v>2020</v>
      </c>
    </row>
    <row r="68" spans="2:43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3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3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3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3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3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3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3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93 R5:S93">
    <cfRule type="expression" dxfId="67" priority="2">
      <formula>ISTEXT(M5)</formula>
    </cfRule>
  </conditionalFormatting>
  <conditionalFormatting sqref="M5:N93 R5:S93">
    <cfRule type="notContainsBlanks" dxfId="66" priority="3">
      <formula>LEN(TRIM(M5))&gt;0</formula>
    </cfRule>
  </conditionalFormatting>
  <conditionalFormatting sqref="R5:S93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18230220</v>
      </c>
      <c r="D2" s="20" t="s">
        <v>320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18230220</v>
      </c>
      <c r="D5" s="100" t="s">
        <v>320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  <c r="AQ5">
        <v>2021</v>
      </c>
    </row>
    <row r="6" spans="1:43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581.18999999999994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581.18999999999994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581.18999999999994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workbookViewId="0">
      <selection activeCell="D128" sqref="D128"/>
    </sheetView>
  </sheetViews>
  <sheetFormatPr defaultRowHeight="15"/>
  <cols>
    <col min="2" max="2" width="8.85546875" bestFit="1" customWidth="1"/>
    <col min="3" max="3" width="45.42578125" bestFit="1" customWidth="1"/>
    <col min="4" max="4" width="11.42578125" bestFit="1" customWidth="1"/>
    <col min="5" max="7" width="13.5703125" bestFit="1" customWidth="1"/>
    <col min="8" max="8" width="18" bestFit="1" customWidth="1"/>
    <col min="9" max="9" width="15.85546875" bestFit="1" customWidth="1"/>
    <col min="10" max="10" width="10.85546875" bestFit="1" customWidth="1"/>
    <col min="11" max="11" width="13.85546875" bestFit="1" customWidth="1"/>
    <col min="12" max="12" width="14.5703125" bestFit="1" customWidth="1"/>
    <col min="13" max="13" width="12.5703125" bestFit="1" customWidth="1"/>
    <col min="14" max="14" width="19.42578125" style="514" customWidth="1"/>
    <col min="15" max="15" width="13.5703125" bestFit="1" customWidth="1"/>
    <col min="16" max="16" width="40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514" t="s">
        <v>1822</v>
      </c>
      <c r="O1" t="s">
        <v>1823</v>
      </c>
      <c r="P1" t="s">
        <v>1824</v>
      </c>
    </row>
    <row r="2" spans="1:16" hidden="1">
      <c r="B2" t="s">
        <v>19</v>
      </c>
      <c r="C2" s="396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15">
        <f t="shared" ref="N2:N33" si="0">SUM(E2:M2)</f>
        <v>1593608.4600000002</v>
      </c>
      <c r="O2" s="4">
        <f t="shared" ref="O2:O33" si="1">N2-L2</f>
        <v>1593608.4600000002</v>
      </c>
      <c r="P2" t="s">
        <v>524</v>
      </c>
    </row>
    <row r="3" spans="1:16" hidden="1">
      <c r="B3" t="s">
        <v>23</v>
      </c>
      <c r="C3" s="396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15">
        <f t="shared" si="0"/>
        <v>429714.39000000007</v>
      </c>
      <c r="O3" s="4">
        <f t="shared" si="1"/>
        <v>429714.39000000007</v>
      </c>
      <c r="P3" t="s">
        <v>524</v>
      </c>
    </row>
    <row r="4" spans="1:16" hidden="1">
      <c r="B4" t="s">
        <v>29</v>
      </c>
      <c r="C4" s="396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15">
        <f t="shared" si="0"/>
        <v>121941</v>
      </c>
      <c r="O4" s="4">
        <f t="shared" si="1"/>
        <v>121941</v>
      </c>
      <c r="P4" t="s">
        <v>525</v>
      </c>
    </row>
    <row r="5" spans="1:16" hidden="1">
      <c r="B5" t="s">
        <v>1825</v>
      </c>
      <c r="C5" s="396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15">
        <f t="shared" si="0"/>
        <v>472.23</v>
      </c>
      <c r="O5" s="4">
        <f t="shared" si="1"/>
        <v>472.23</v>
      </c>
      <c r="P5" t="s">
        <v>524</v>
      </c>
    </row>
    <row r="6" spans="1:16" hidden="1">
      <c r="B6" t="s">
        <v>1827</v>
      </c>
      <c r="C6" s="39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15">
        <f t="shared" si="0"/>
        <v>9.42</v>
      </c>
      <c r="O6" s="4">
        <f t="shared" si="1"/>
        <v>9.42</v>
      </c>
      <c r="P6" t="s">
        <v>524</v>
      </c>
    </row>
    <row r="7" spans="1:16" hidden="1">
      <c r="B7" t="s">
        <v>65</v>
      </c>
      <c r="C7" s="396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15">
        <f t="shared" si="0"/>
        <v>24502867.289999999</v>
      </c>
      <c r="O7" s="4">
        <f t="shared" si="1"/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15">
        <f t="shared" si="0"/>
        <v>0</v>
      </c>
      <c r="O8" s="4">
        <f t="shared" si="1"/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15">
        <f t="shared" si="0"/>
        <v>42645</v>
      </c>
      <c r="O9" s="4">
        <f t="shared" si="1"/>
        <v>42645</v>
      </c>
      <c r="P9" t="s">
        <v>523</v>
      </c>
    </row>
    <row r="10" spans="1:16" hidden="1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15">
        <f t="shared" si="0"/>
        <v>42645</v>
      </c>
      <c r="O10" s="4">
        <f t="shared" si="1"/>
        <v>42645</v>
      </c>
      <c r="P10" t="s">
        <v>523</v>
      </c>
    </row>
    <row r="11" spans="1:16" hidden="1">
      <c r="B11" t="s">
        <v>70</v>
      </c>
      <c r="C11" s="396" t="s">
        <v>1829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15">
        <f t="shared" si="0"/>
        <v>288495.48</v>
      </c>
      <c r="O11" s="4">
        <f t="shared" si="1"/>
        <v>115129.28999999998</v>
      </c>
      <c r="P11" t="s">
        <v>523</v>
      </c>
    </row>
    <row r="12" spans="1:16" hidden="1">
      <c r="B12" t="s">
        <v>31</v>
      </c>
      <c r="C12" s="396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15">
        <f t="shared" si="0"/>
        <v>1549528.2000000002</v>
      </c>
      <c r="O12" s="4">
        <f t="shared" si="1"/>
        <v>774722.0900000002</v>
      </c>
      <c r="P12" t="s">
        <v>523</v>
      </c>
    </row>
    <row r="13" spans="1:16" hidden="1">
      <c r="B13" t="s">
        <v>70</v>
      </c>
      <c r="C13" s="396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15">
        <f t="shared" si="0"/>
        <v>394482.74</v>
      </c>
      <c r="O13" s="4">
        <f t="shared" si="1"/>
        <v>103784.87</v>
      </c>
      <c r="P13" t="s">
        <v>523</v>
      </c>
    </row>
    <row r="14" spans="1:16" hidden="1">
      <c r="B14" t="s">
        <v>31</v>
      </c>
      <c r="C14" s="396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15">
        <f t="shared" si="0"/>
        <v>51292.77</v>
      </c>
      <c r="O14" s="4">
        <f t="shared" si="1"/>
        <v>49042.77</v>
      </c>
      <c r="P14" t="s">
        <v>523</v>
      </c>
    </row>
    <row r="15" spans="1:16" hidden="1">
      <c r="B15" t="s">
        <v>129</v>
      </c>
      <c r="C15" s="396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v>92844.7</v>
      </c>
      <c r="J15" s="4">
        <v>26.4</v>
      </c>
      <c r="K15" s="4">
        <v>366.3</v>
      </c>
      <c r="L15" s="4">
        <v>4722671.5999999996</v>
      </c>
      <c r="M15" s="4">
        <v>0</v>
      </c>
      <c r="N15" s="515">
        <f t="shared" si="0"/>
        <v>5293041.09</v>
      </c>
      <c r="O15" s="4">
        <f t="shared" si="1"/>
        <v>570369.49000000022</v>
      </c>
      <c r="P15" t="s">
        <v>523</v>
      </c>
    </row>
    <row r="16" spans="1:16" hidden="1">
      <c r="B16" t="s">
        <v>123</v>
      </c>
      <c r="C16" s="39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15">
        <f t="shared" si="0"/>
        <v>548963.35</v>
      </c>
      <c r="O16" s="4">
        <f t="shared" si="1"/>
        <v>119245.34999999998</v>
      </c>
      <c r="P16" t="s">
        <v>523</v>
      </c>
    </row>
    <row r="17" spans="2:16" hidden="1">
      <c r="B17" t="s">
        <v>65</v>
      </c>
      <c r="C17" s="396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15">
        <f t="shared" si="0"/>
        <v>6293271.54</v>
      </c>
      <c r="O17" s="4">
        <f t="shared" si="1"/>
        <v>2206073.09</v>
      </c>
      <c r="P17" t="s">
        <v>523</v>
      </c>
    </row>
    <row r="18" spans="2:16" hidden="1">
      <c r="B18" t="s">
        <v>141</v>
      </c>
      <c r="C18" s="396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15">
        <f t="shared" si="0"/>
        <v>3402111.5500000003</v>
      </c>
      <c r="O18" s="4">
        <f t="shared" si="1"/>
        <v>827013.10000000009</v>
      </c>
      <c r="P18" t="s">
        <v>523</v>
      </c>
    </row>
    <row r="19" spans="2:16" hidden="1">
      <c r="B19" t="s">
        <v>70</v>
      </c>
      <c r="C19" s="396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15">
        <f t="shared" si="0"/>
        <v>837852.2300000001</v>
      </c>
      <c r="O19" s="4">
        <f t="shared" si="1"/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15">
        <f t="shared" si="0"/>
        <v>3676313.24</v>
      </c>
      <c r="O20" s="4">
        <f t="shared" si="1"/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15">
        <f t="shared" si="0"/>
        <v>228431.46</v>
      </c>
      <c r="O21" s="4">
        <f t="shared" si="1"/>
        <v>33516.459999999992</v>
      </c>
      <c r="P21" t="s">
        <v>522</v>
      </c>
    </row>
    <row r="22" spans="2:16" hidden="1">
      <c r="B22" t="s">
        <v>84</v>
      </c>
      <c r="C22" s="396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15">
        <f t="shared" si="0"/>
        <v>0</v>
      </c>
      <c r="O22" s="4">
        <f t="shared" si="1"/>
        <v>0</v>
      </c>
      <c r="P22" t="s">
        <v>522</v>
      </c>
    </row>
    <row r="23" spans="2:16" hidden="1">
      <c r="B23" t="s">
        <v>136</v>
      </c>
      <c r="C23" s="396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15">
        <f t="shared" si="0"/>
        <v>2536224.3099999996</v>
      </c>
      <c r="O23" s="4">
        <f t="shared" si="1"/>
        <v>1552628.3099999996</v>
      </c>
      <c r="P23" t="s">
        <v>523</v>
      </c>
    </row>
    <row r="24" spans="2:16" hidden="1">
      <c r="B24" t="s">
        <v>112</v>
      </c>
      <c r="C24" s="396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15">
        <f t="shared" si="0"/>
        <v>1026378.5800000002</v>
      </c>
      <c r="O24" s="4">
        <f t="shared" si="1"/>
        <v>766385.58000000019</v>
      </c>
      <c r="P24" t="s">
        <v>523</v>
      </c>
    </row>
    <row r="25" spans="2:16" hidden="1">
      <c r="B25" t="s">
        <v>43</v>
      </c>
      <c r="C25" s="396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15">
        <f t="shared" si="0"/>
        <v>558169.54</v>
      </c>
      <c r="O25" s="4">
        <f t="shared" si="1"/>
        <v>558169.54</v>
      </c>
      <c r="P25" t="s">
        <v>525</v>
      </c>
    </row>
    <row r="26" spans="2:16" hidden="1">
      <c r="B26" t="s">
        <v>45</v>
      </c>
      <c r="C26" s="39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15">
        <f t="shared" si="0"/>
        <v>81567.28</v>
      </c>
      <c r="O26" s="4">
        <f t="shared" si="1"/>
        <v>81567.28</v>
      </c>
      <c r="P26" t="s">
        <v>525</v>
      </c>
    </row>
    <row r="27" spans="2:16" hidden="1">
      <c r="B27" t="s">
        <v>47</v>
      </c>
      <c r="C27" s="396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15">
        <f t="shared" si="0"/>
        <v>1103167.3</v>
      </c>
      <c r="O27" s="4">
        <f t="shared" si="1"/>
        <v>1103167.3</v>
      </c>
      <c r="P27" t="s">
        <v>524</v>
      </c>
    </row>
    <row r="28" spans="2:16" hidden="1">
      <c r="B28" t="s">
        <v>55</v>
      </c>
      <c r="C28" s="396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15">
        <f t="shared" si="0"/>
        <v>155685.05000000002</v>
      </c>
      <c r="O28" s="4">
        <f t="shared" si="1"/>
        <v>155685.05000000002</v>
      </c>
      <c r="P28" t="s">
        <v>524</v>
      </c>
    </row>
    <row r="29" spans="2:16" hidden="1">
      <c r="B29" t="s">
        <v>47</v>
      </c>
      <c r="C29" s="396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15">
        <f t="shared" si="0"/>
        <v>953588.23</v>
      </c>
      <c r="O29" s="4">
        <f t="shared" si="1"/>
        <v>953588.23</v>
      </c>
      <c r="P29" t="s">
        <v>524</v>
      </c>
    </row>
    <row r="30" spans="2:16" hidden="1">
      <c r="B30" t="s">
        <v>55</v>
      </c>
      <c r="C30" s="396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15">
        <f t="shared" si="0"/>
        <v>169578.16</v>
      </c>
      <c r="O30" s="4">
        <f t="shared" si="1"/>
        <v>169578.16</v>
      </c>
      <c r="P30" t="s">
        <v>524</v>
      </c>
    </row>
    <row r="31" spans="2:16" hidden="1">
      <c r="B31" t="s">
        <v>61</v>
      </c>
      <c r="C31" s="396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15">
        <f t="shared" si="0"/>
        <v>1991317.5299999998</v>
      </c>
      <c r="O31" s="4">
        <f t="shared" si="1"/>
        <v>1991317.5299999998</v>
      </c>
      <c r="P31" t="s">
        <v>524</v>
      </c>
    </row>
    <row r="32" spans="2:16" hidden="1">
      <c r="B32" t="s">
        <v>63</v>
      </c>
      <c r="C32" s="396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15">
        <f t="shared" si="0"/>
        <v>297496.19</v>
      </c>
      <c r="O32" s="4">
        <f t="shared" si="1"/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15">
        <f t="shared" si="0"/>
        <v>-28.67</v>
      </c>
      <c r="O33" s="4">
        <f t="shared" si="1"/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15">
        <f t="shared" ref="N34:N65" si="2">SUM(E34:M34)</f>
        <v>141413.37</v>
      </c>
      <c r="O34" s="4">
        <f t="shared" ref="O34:O65" si="3">N34-L34</f>
        <v>141413.37</v>
      </c>
      <c r="P34" t="s">
        <v>524</v>
      </c>
    </row>
    <row r="35" spans="2:16" hidden="1">
      <c r="B35" t="s">
        <v>55</v>
      </c>
      <c r="C35" s="396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15">
        <f t="shared" si="2"/>
        <v>62765.67</v>
      </c>
      <c r="O35" s="4">
        <f t="shared" si="3"/>
        <v>62765.67</v>
      </c>
      <c r="P35" t="s">
        <v>524</v>
      </c>
    </row>
    <row r="36" spans="2:16" hidden="1">
      <c r="B36" t="s">
        <v>68</v>
      </c>
      <c r="C36" s="39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15">
        <f t="shared" si="2"/>
        <v>1106899.18</v>
      </c>
      <c r="O36" s="4">
        <f t="shared" si="3"/>
        <v>1106899.18</v>
      </c>
      <c r="P36" t="s">
        <v>524</v>
      </c>
    </row>
    <row r="37" spans="2:16" hidden="1">
      <c r="B37" t="s">
        <v>72</v>
      </c>
      <c r="C37" s="396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15">
        <f t="shared" si="2"/>
        <v>133593.23000000001</v>
      </c>
      <c r="O37" s="4">
        <f t="shared" si="3"/>
        <v>133593.23000000001</v>
      </c>
      <c r="P37" t="s">
        <v>524</v>
      </c>
    </row>
    <row r="38" spans="2:16" hidden="1">
      <c r="B38" t="s">
        <v>15</v>
      </c>
      <c r="C38" s="396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15">
        <f t="shared" si="2"/>
        <v>72507.95</v>
      </c>
      <c r="O38" s="4">
        <f t="shared" si="3"/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15">
        <f t="shared" si="2"/>
        <v>70424.309999999983</v>
      </c>
      <c r="O39" s="4">
        <f t="shared" si="3"/>
        <v>70424.309999999983</v>
      </c>
      <c r="P39" t="s">
        <v>520</v>
      </c>
    </row>
    <row r="40" spans="2:16" hidden="1">
      <c r="B40" t="s">
        <v>76</v>
      </c>
      <c r="C40" s="396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15">
        <f t="shared" si="2"/>
        <v>2013309.85</v>
      </c>
      <c r="O40" s="4">
        <f t="shared" si="3"/>
        <v>2013309.85</v>
      </c>
      <c r="P40" t="s">
        <v>524</v>
      </c>
    </row>
    <row r="41" spans="2:16" hidden="1">
      <c r="B41" t="s">
        <v>86</v>
      </c>
      <c r="C41" s="396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15">
        <f t="shared" si="2"/>
        <v>286118.09000000003</v>
      </c>
      <c r="O41" s="4">
        <f t="shared" si="3"/>
        <v>286118.09000000003</v>
      </c>
      <c r="P41" t="s">
        <v>524</v>
      </c>
    </row>
    <row r="42" spans="2:16" hidden="1">
      <c r="B42" t="s">
        <v>88</v>
      </c>
      <c r="C42" s="396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15">
        <f t="shared" si="2"/>
        <v>1716538.03</v>
      </c>
      <c r="O42" s="4">
        <f t="shared" si="3"/>
        <v>1700306.53</v>
      </c>
      <c r="P42" t="s">
        <v>524</v>
      </c>
    </row>
    <row r="43" spans="2:16" hidden="1">
      <c r="B43" t="s">
        <v>90</v>
      </c>
      <c r="C43" s="396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15">
        <f t="shared" si="2"/>
        <v>391137.31</v>
      </c>
      <c r="O43" s="4">
        <f t="shared" si="3"/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15">
        <f t="shared" si="2"/>
        <v>10.029999999999999</v>
      </c>
      <c r="O44" s="4">
        <f t="shared" si="3"/>
        <v>10.029999999999999</v>
      </c>
      <c r="P44" t="s">
        <v>523</v>
      </c>
    </row>
    <row r="45" spans="2:16" hidden="1">
      <c r="B45" t="s">
        <v>92</v>
      </c>
      <c r="C45" s="396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15">
        <f t="shared" si="2"/>
        <v>487407.77</v>
      </c>
      <c r="O45" s="4">
        <f t="shared" si="3"/>
        <v>487407.77</v>
      </c>
      <c r="P45" t="s">
        <v>524</v>
      </c>
    </row>
    <row r="46" spans="2:16" hidden="1">
      <c r="B46" t="s">
        <v>94</v>
      </c>
      <c r="C46" s="39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15">
        <f t="shared" si="2"/>
        <v>77327.249999999985</v>
      </c>
      <c r="O46" s="4">
        <f t="shared" si="3"/>
        <v>77327.249999999985</v>
      </c>
      <c r="P46" t="s">
        <v>524</v>
      </c>
    </row>
    <row r="47" spans="2:16" hidden="1">
      <c r="B47" t="s">
        <v>96</v>
      </c>
      <c r="C47" s="396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15">
        <f t="shared" si="2"/>
        <v>0</v>
      </c>
      <c r="O47" s="4">
        <f t="shared" si="3"/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15">
        <f t="shared" si="2"/>
        <v>0</v>
      </c>
      <c r="O48" s="4">
        <f t="shared" si="3"/>
        <v>0</v>
      </c>
      <c r="P48" t="s">
        <v>526</v>
      </c>
    </row>
    <row r="49" spans="2:16" hidden="1">
      <c r="B49" t="s">
        <v>156</v>
      </c>
      <c r="C49" s="396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15">
        <f t="shared" si="2"/>
        <v>222713.3</v>
      </c>
      <c r="O49" s="4">
        <f t="shared" si="3"/>
        <v>127330.79999999999</v>
      </c>
      <c r="P49" t="s">
        <v>522</v>
      </c>
    </row>
    <row r="50" spans="2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15">
        <f t="shared" si="2"/>
        <v>74400.320000000007</v>
      </c>
      <c r="O50" s="4">
        <f t="shared" si="3"/>
        <v>54570.320000000007</v>
      </c>
      <c r="P50" t="s">
        <v>522</v>
      </c>
    </row>
    <row r="51" spans="2:16" hidden="1">
      <c r="B51" t="s">
        <v>133</v>
      </c>
      <c r="C51" s="396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15">
        <f t="shared" si="2"/>
        <v>2591634.09</v>
      </c>
      <c r="O51" s="4">
        <f t="shared" si="3"/>
        <v>436096.56999999983</v>
      </c>
      <c r="P51" t="s">
        <v>523</v>
      </c>
    </row>
    <row r="52" spans="2:16" hidden="1">
      <c r="B52" t="s">
        <v>133</v>
      </c>
      <c r="C52" s="396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15">
        <f t="shared" si="2"/>
        <v>5023040.66</v>
      </c>
      <c r="O52" s="4">
        <f t="shared" si="3"/>
        <v>468989.23000000045</v>
      </c>
      <c r="P52" t="s">
        <v>523</v>
      </c>
    </row>
    <row r="53" spans="2:16" hidden="1">
      <c r="B53" t="s">
        <v>15</v>
      </c>
      <c r="C53" s="396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15">
        <f t="shared" si="2"/>
        <v>2121552.25</v>
      </c>
      <c r="O53" s="4">
        <f t="shared" si="3"/>
        <v>550253.53</v>
      </c>
      <c r="P53" t="s">
        <v>520</v>
      </c>
    </row>
    <row r="54" spans="2:16" hidden="1">
      <c r="B54" t="s">
        <v>15</v>
      </c>
      <c r="C54" s="396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15">
        <f t="shared" si="2"/>
        <v>599661.3899999999</v>
      </c>
      <c r="O54" s="4">
        <f t="shared" si="3"/>
        <v>268789.84999999992</v>
      </c>
      <c r="P54" t="s">
        <v>520</v>
      </c>
    </row>
    <row r="55" spans="2:16" hidden="1">
      <c r="B55" t="s">
        <v>15</v>
      </c>
      <c r="C55" s="396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15">
        <f t="shared" si="2"/>
        <v>2880060.0700000003</v>
      </c>
      <c r="O55" s="4">
        <f t="shared" si="3"/>
        <v>1570971.7400000002</v>
      </c>
      <c r="P55" t="s">
        <v>520</v>
      </c>
    </row>
    <row r="56" spans="2:16" hidden="1">
      <c r="B56" t="s">
        <v>33</v>
      </c>
      <c r="C56" s="39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15">
        <f t="shared" si="2"/>
        <v>1841791.7599999998</v>
      </c>
      <c r="O56" s="4">
        <f t="shared" si="3"/>
        <v>946123.68999999983</v>
      </c>
      <c r="P56" t="s">
        <v>520</v>
      </c>
    </row>
    <row r="57" spans="2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15">
        <f t="shared" si="2"/>
        <v>1248511.23</v>
      </c>
      <c r="O57" s="4">
        <f t="shared" si="3"/>
        <v>430042.25</v>
      </c>
      <c r="P57" t="s">
        <v>523</v>
      </c>
    </row>
    <row r="58" spans="2:16">
      <c r="B58" t="s">
        <v>141</v>
      </c>
      <c r="C58" s="396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15">
        <f t="shared" si="2"/>
        <v>581.18999999999994</v>
      </c>
      <c r="O58" s="4">
        <f t="shared" si="3"/>
        <v>581.18999999999994</v>
      </c>
      <c r="P58" t="s">
        <v>523</v>
      </c>
    </row>
    <row r="59" spans="2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15">
        <f t="shared" si="2"/>
        <v>150799.75</v>
      </c>
      <c r="O59" s="4">
        <f t="shared" si="3"/>
        <v>72437.19</v>
      </c>
      <c r="P59" t="s">
        <v>523</v>
      </c>
    </row>
    <row r="60" spans="2:16" hidden="1">
      <c r="B60" t="s">
        <v>70</v>
      </c>
      <c r="C60" s="396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15">
        <f t="shared" si="2"/>
        <v>3030735.44</v>
      </c>
      <c r="O60" s="4">
        <f t="shared" si="3"/>
        <v>689715.66000000015</v>
      </c>
      <c r="P60" t="s">
        <v>523</v>
      </c>
    </row>
    <row r="61" spans="2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15">
        <f t="shared" si="2"/>
        <v>178511.5</v>
      </c>
      <c r="O61" s="4">
        <f t="shared" si="3"/>
        <v>0</v>
      </c>
      <c r="P61" t="s">
        <v>519</v>
      </c>
    </row>
    <row r="62" spans="2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15">
        <f t="shared" si="2"/>
        <v>0</v>
      </c>
      <c r="O62" s="4">
        <f t="shared" si="3"/>
        <v>0</v>
      </c>
      <c r="P62" t="s">
        <v>526</v>
      </c>
    </row>
    <row r="63" spans="2:16" hidden="1">
      <c r="B63" t="s">
        <v>70</v>
      </c>
      <c r="C63" s="396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15">
        <f t="shared" si="2"/>
        <v>18.75</v>
      </c>
      <c r="O63" s="4">
        <f t="shared" si="3"/>
        <v>18.75</v>
      </c>
      <c r="P63" t="s">
        <v>523</v>
      </c>
    </row>
    <row r="64" spans="2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15">
        <f t="shared" si="2"/>
        <v>18.75</v>
      </c>
      <c r="O64" s="4">
        <f t="shared" si="3"/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15">
        <f t="shared" si="2"/>
        <v>601376.22</v>
      </c>
      <c r="O65" s="4">
        <f t="shared" si="3"/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15">
        <f t="shared" ref="N66:N97" si="4">SUM(E66:M66)</f>
        <v>0</v>
      </c>
      <c r="O66" s="4">
        <f t="shared" ref="O66:O97" si="5">N66-L66</f>
        <v>0</v>
      </c>
      <c r="P66" t="s">
        <v>523</v>
      </c>
    </row>
    <row r="67" spans="2:16" hidden="1">
      <c r="B67" t="s">
        <v>74</v>
      </c>
      <c r="C67" s="396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15">
        <f t="shared" si="4"/>
        <v>7125204.8200000003</v>
      </c>
      <c r="O67" s="4">
        <f t="shared" si="5"/>
        <v>265808.41000000015</v>
      </c>
      <c r="P67" t="s">
        <v>520</v>
      </c>
    </row>
    <row r="68" spans="2:16" hidden="1">
      <c r="B68" t="s">
        <v>108</v>
      </c>
      <c r="C68" s="396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15">
        <f t="shared" si="4"/>
        <v>1254182.27</v>
      </c>
      <c r="O68" s="4">
        <f t="shared" si="5"/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15">
        <f t="shared" si="4"/>
        <v>653250.1</v>
      </c>
      <c r="O69" s="4">
        <f t="shared" si="5"/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15">
        <f t="shared" si="4"/>
        <v>306397.58</v>
      </c>
      <c r="O70" s="4">
        <f t="shared" si="5"/>
        <v>113342.13</v>
      </c>
      <c r="P70" t="s">
        <v>520</v>
      </c>
    </row>
    <row r="71" spans="2:16" hidden="1">
      <c r="B71" t="s">
        <v>110</v>
      </c>
      <c r="C71" s="396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15">
        <f t="shared" si="4"/>
        <v>2197486.69</v>
      </c>
      <c r="O71" s="4">
        <f t="shared" si="5"/>
        <v>2085068.8199999998</v>
      </c>
      <c r="P71" t="s">
        <v>524</v>
      </c>
    </row>
    <row r="72" spans="2:16" hidden="1">
      <c r="B72" t="s">
        <v>114</v>
      </c>
      <c r="C72" s="396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15">
        <f t="shared" si="4"/>
        <v>332664.81</v>
      </c>
      <c r="O72" s="4">
        <f t="shared" si="5"/>
        <v>315866.74</v>
      </c>
      <c r="P72" t="s">
        <v>524</v>
      </c>
    </row>
    <row r="73" spans="2:16" hidden="1">
      <c r="B73" t="s">
        <v>116</v>
      </c>
      <c r="C73" s="396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15">
        <f t="shared" si="4"/>
        <v>319791.76</v>
      </c>
      <c r="O73" s="4">
        <f t="shared" si="5"/>
        <v>319791.76</v>
      </c>
      <c r="P73" t="s">
        <v>525</v>
      </c>
    </row>
    <row r="74" spans="2:16" hidden="1">
      <c r="B74" t="s">
        <v>119</v>
      </c>
      <c r="C74" s="396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15">
        <f t="shared" si="4"/>
        <v>48393.36</v>
      </c>
      <c r="O74" s="4">
        <f t="shared" si="5"/>
        <v>48393.36</v>
      </c>
      <c r="P74" t="s">
        <v>525</v>
      </c>
    </row>
    <row r="75" spans="2:16" hidden="1">
      <c r="B75" t="s">
        <v>59</v>
      </c>
      <c r="C75" s="396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15">
        <f t="shared" si="4"/>
        <v>2096891.28</v>
      </c>
      <c r="O75" s="4">
        <f t="shared" si="5"/>
        <v>869646.28</v>
      </c>
      <c r="P75" t="s">
        <v>520</v>
      </c>
    </row>
    <row r="76" spans="2:16" hidden="1">
      <c r="B76" t="s">
        <v>102</v>
      </c>
      <c r="C76" s="39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15">
        <f t="shared" si="4"/>
        <v>637000.99</v>
      </c>
      <c r="O76" s="4">
        <f t="shared" si="5"/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15">
        <f t="shared" si="4"/>
        <v>10754498.18</v>
      </c>
      <c r="O77" s="4">
        <f t="shared" si="5"/>
        <v>2824928.75</v>
      </c>
      <c r="P77" t="s">
        <v>520</v>
      </c>
    </row>
    <row r="78" spans="2:16" hidden="1">
      <c r="B78" t="s">
        <v>145</v>
      </c>
      <c r="C78" s="396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15">
        <f t="shared" si="4"/>
        <v>609367.57000000007</v>
      </c>
      <c r="O78" s="4">
        <f t="shared" si="5"/>
        <v>223926.00000000006</v>
      </c>
      <c r="P78" t="s">
        <v>520</v>
      </c>
    </row>
    <row r="79" spans="2:16" hidden="1">
      <c r="B79" t="s">
        <v>121</v>
      </c>
      <c r="C79" s="396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15">
        <f t="shared" si="4"/>
        <v>1563521.19</v>
      </c>
      <c r="O79" s="4">
        <f t="shared" si="5"/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15">
        <f t="shared" si="4"/>
        <v>5521224.79</v>
      </c>
      <c r="O80" s="4">
        <f t="shared" si="5"/>
        <v>5521224.79</v>
      </c>
      <c r="P80" t="s">
        <v>429</v>
      </c>
    </row>
    <row r="81" spans="2:16" hidden="1">
      <c r="B81" t="s">
        <v>49</v>
      </c>
      <c r="C81" s="396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15">
        <f t="shared" si="4"/>
        <v>7940964.6100000013</v>
      </c>
      <c r="O81" s="4">
        <f t="shared" si="5"/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15">
        <f t="shared" si="4"/>
        <v>37623.279999999999</v>
      </c>
      <c r="O82" s="4">
        <f t="shared" si="5"/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15">
        <f t="shared" si="4"/>
        <v>2854.83</v>
      </c>
      <c r="O83" s="4">
        <f t="shared" si="5"/>
        <v>2854.83</v>
      </c>
      <c r="P83" t="s">
        <v>523</v>
      </c>
    </row>
    <row r="84" spans="2:16" hidden="1">
      <c r="B84" t="s">
        <v>139</v>
      </c>
      <c r="C84" s="396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15">
        <f t="shared" si="4"/>
        <v>3210779.8800000004</v>
      </c>
      <c r="O84" s="4">
        <f t="shared" si="5"/>
        <v>3160779.89</v>
      </c>
      <c r="P84" t="s">
        <v>525</v>
      </c>
    </row>
    <row r="85" spans="2:16" hidden="1">
      <c r="B85" t="s">
        <v>143</v>
      </c>
      <c r="C85" s="396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15">
        <f t="shared" si="4"/>
        <v>672623.29</v>
      </c>
      <c r="O85" s="4">
        <f t="shared" si="5"/>
        <v>672623.29</v>
      </c>
      <c r="P85" t="s">
        <v>525</v>
      </c>
    </row>
    <row r="86" spans="2:16" hidden="1">
      <c r="B86" t="s">
        <v>147</v>
      </c>
      <c r="C86" s="39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15">
        <f t="shared" si="4"/>
        <v>1158611.7400000002</v>
      </c>
      <c r="O86" s="4">
        <f t="shared" si="5"/>
        <v>1158611.7400000002</v>
      </c>
      <c r="P86" t="s">
        <v>524</v>
      </c>
    </row>
    <row r="87" spans="2:16" hidden="1">
      <c r="B87" t="s">
        <v>150</v>
      </c>
      <c r="C87" s="396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15">
        <f t="shared" si="4"/>
        <v>174898.61000000002</v>
      </c>
      <c r="O87" s="4">
        <f t="shared" si="5"/>
        <v>174898.61000000002</v>
      </c>
      <c r="P87" t="s">
        <v>524</v>
      </c>
    </row>
    <row r="88" spans="2:16" hidden="1">
      <c r="B88" t="s">
        <v>47</v>
      </c>
      <c r="C88" s="396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15">
        <f t="shared" si="4"/>
        <v>239200.63999999998</v>
      </c>
      <c r="O88" s="4">
        <f t="shared" si="5"/>
        <v>239446.09999999998</v>
      </c>
      <c r="P88" t="s">
        <v>524</v>
      </c>
    </row>
    <row r="89" spans="2:16" hidden="1">
      <c r="B89" t="s">
        <v>55</v>
      </c>
      <c r="C89" s="396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15">
        <f t="shared" si="4"/>
        <v>113199.13999999998</v>
      </c>
      <c r="O89" s="4">
        <f t="shared" si="5"/>
        <v>113318.78999999998</v>
      </c>
      <c r="P89" t="s">
        <v>524</v>
      </c>
    </row>
    <row r="90" spans="2:16" hidden="1">
      <c r="B90" t="s">
        <v>152</v>
      </c>
      <c r="C90" s="396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15">
        <f t="shared" si="4"/>
        <v>1156693.92</v>
      </c>
      <c r="O90" s="4">
        <f t="shared" si="5"/>
        <v>1156693.92</v>
      </c>
      <c r="P90" t="s">
        <v>524</v>
      </c>
    </row>
    <row r="91" spans="2:16" hidden="1">
      <c r="B91" t="s">
        <v>154</v>
      </c>
      <c r="C91" s="396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15">
        <f t="shared" si="4"/>
        <v>112950.68000000001</v>
      </c>
      <c r="O91" s="4">
        <f t="shared" si="5"/>
        <v>112950.68000000001</v>
      </c>
      <c r="P91" t="s">
        <v>524</v>
      </c>
    </row>
    <row r="92" spans="2:16" hidden="1">
      <c r="B92" t="s">
        <v>15</v>
      </c>
      <c r="C92" s="396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15">
        <f t="shared" si="4"/>
        <v>4932137.22</v>
      </c>
      <c r="O92" s="4">
        <f t="shared" si="5"/>
        <v>1306785.0099999998</v>
      </c>
      <c r="P92" t="s">
        <v>520</v>
      </c>
    </row>
    <row r="93" spans="2:16" hidden="1">
      <c r="B93" t="s">
        <v>15</v>
      </c>
      <c r="C93" s="396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15">
        <f t="shared" si="4"/>
        <v>379553.35</v>
      </c>
      <c r="O93" s="4">
        <f t="shared" si="5"/>
        <v>200184.21999999997</v>
      </c>
      <c r="P93" t="s">
        <v>520</v>
      </c>
    </row>
    <row r="94" spans="2:16" hidden="1">
      <c r="B94" t="s">
        <v>33</v>
      </c>
      <c r="C94" s="396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15">
        <f t="shared" si="4"/>
        <v>185141.91999999998</v>
      </c>
      <c r="O94" s="4">
        <f t="shared" si="5"/>
        <v>121239.04999999999</v>
      </c>
      <c r="P94" t="s">
        <v>520</v>
      </c>
    </row>
    <row r="95" spans="2:16" hidden="1">
      <c r="B95" t="s">
        <v>136</v>
      </c>
      <c r="C95" s="396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15">
        <f t="shared" si="4"/>
        <v>0</v>
      </c>
      <c r="O95" s="4">
        <f t="shared" si="5"/>
        <v>0</v>
      </c>
      <c r="P95" t="s">
        <v>523</v>
      </c>
    </row>
    <row r="96" spans="2:16" hidden="1">
      <c r="B96" t="s">
        <v>112</v>
      </c>
      <c r="C96" s="3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15">
        <f t="shared" si="4"/>
        <v>0</v>
      </c>
      <c r="O96" s="4">
        <f t="shared" si="5"/>
        <v>0</v>
      </c>
      <c r="P96" t="s">
        <v>523</v>
      </c>
    </row>
    <row r="97" spans="2:16" hidden="1">
      <c r="B97" t="s">
        <v>156</v>
      </c>
      <c r="C97" s="396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15">
        <f t="shared" si="4"/>
        <v>271514.23999999999</v>
      </c>
      <c r="O97" s="4">
        <f t="shared" si="5"/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15">
        <f t="shared" ref="N98:N124" si="6">SUM(E98:M98)</f>
        <v>0</v>
      </c>
      <c r="O98" s="4">
        <f t="shared" ref="O98:O124" si="7">N98-L98</f>
        <v>0</v>
      </c>
      <c r="P98" t="s">
        <v>522</v>
      </c>
    </row>
    <row r="99" spans="2:16" hidden="1">
      <c r="B99" t="s">
        <v>15</v>
      </c>
      <c r="C99" s="396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15">
        <f t="shared" si="6"/>
        <v>12899305.91</v>
      </c>
      <c r="O99" s="4">
        <f t="shared" si="7"/>
        <v>1260113.7200000007</v>
      </c>
      <c r="P99" t="s">
        <v>520</v>
      </c>
    </row>
    <row r="100" spans="2:16" hidden="1">
      <c r="B100" t="s">
        <v>33</v>
      </c>
      <c r="C100" s="396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15">
        <f t="shared" si="6"/>
        <v>3641889.33</v>
      </c>
      <c r="O100" s="4">
        <f t="shared" si="7"/>
        <v>258949.83999999985</v>
      </c>
      <c r="P100" t="s">
        <v>520</v>
      </c>
    </row>
    <row r="101" spans="2:16" hidden="1">
      <c r="B101" t="s">
        <v>15</v>
      </c>
      <c r="C101" s="396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15">
        <f t="shared" si="6"/>
        <v>2248115.85</v>
      </c>
      <c r="O101" s="4">
        <f t="shared" si="7"/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15">
        <f t="shared" si="6"/>
        <v>769092.9800000001</v>
      </c>
      <c r="O102" s="4">
        <f t="shared" si="7"/>
        <v>126263.42000000004</v>
      </c>
      <c r="P102" t="s">
        <v>520</v>
      </c>
    </row>
    <row r="103" spans="2:16" hidden="1">
      <c r="B103" t="s">
        <v>15</v>
      </c>
      <c r="C103" s="396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15">
        <f t="shared" si="6"/>
        <v>1920563.5799999998</v>
      </c>
      <c r="O103" s="4">
        <f t="shared" si="7"/>
        <v>310313.93999999994</v>
      </c>
      <c r="P103" t="s">
        <v>520</v>
      </c>
    </row>
    <row r="104" spans="2:16" hidden="1">
      <c r="B104" t="s">
        <v>33</v>
      </c>
      <c r="C104" s="396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15">
        <f t="shared" si="6"/>
        <v>4353413.6900000004</v>
      </c>
      <c r="O104" s="4">
        <f t="shared" si="7"/>
        <v>349374.63000000035</v>
      </c>
      <c r="P104" t="s">
        <v>520</v>
      </c>
    </row>
    <row r="105" spans="2:16" hidden="1">
      <c r="B105" t="s">
        <v>156</v>
      </c>
      <c r="C105" s="396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15">
        <f t="shared" si="6"/>
        <v>177451.96</v>
      </c>
      <c r="O105" s="4">
        <f t="shared" si="7"/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15">
        <f t="shared" si="6"/>
        <v>118930.83</v>
      </c>
      <c r="O106" s="4">
        <f t="shared" si="7"/>
        <v>56680.83</v>
      </c>
      <c r="P106" t="s">
        <v>520</v>
      </c>
    </row>
    <row r="107" spans="2:16" hidden="1">
      <c r="B107" t="s">
        <v>105</v>
      </c>
      <c r="C107" s="396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15">
        <f t="shared" si="6"/>
        <v>63146.69</v>
      </c>
      <c r="O107" s="4">
        <f t="shared" si="7"/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15">
        <f t="shared" si="6"/>
        <v>12671565.1</v>
      </c>
      <c r="O108" s="4">
        <f t="shared" si="7"/>
        <v>2463019.0600000005</v>
      </c>
      <c r="P108" t="s">
        <v>523</v>
      </c>
    </row>
    <row r="109" spans="2:16" hidden="1">
      <c r="B109" t="s">
        <v>31</v>
      </c>
      <c r="C109" s="396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15">
        <f t="shared" si="6"/>
        <v>34591.82</v>
      </c>
      <c r="O109" s="4">
        <f t="shared" si="7"/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15">
        <f t="shared" si="6"/>
        <v>891667.42</v>
      </c>
      <c r="O110" s="4">
        <f t="shared" si="7"/>
        <v>268900.27</v>
      </c>
      <c r="P110" t="s">
        <v>520</v>
      </c>
    </row>
    <row r="111" spans="2:16" hidden="1">
      <c r="B111" t="s">
        <v>33</v>
      </c>
      <c r="C111" s="396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15">
        <f t="shared" si="6"/>
        <v>1975650.5499999998</v>
      </c>
      <c r="O111" s="4">
        <f t="shared" si="7"/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15">
        <f t="shared" si="6"/>
        <v>4866.1400000000003</v>
      </c>
      <c r="O112" s="4">
        <f t="shared" si="7"/>
        <v>4866.1400000000003</v>
      </c>
      <c r="P112" t="s">
        <v>522</v>
      </c>
    </row>
    <row r="113" spans="2:16" hidden="1">
      <c r="B113" t="s">
        <v>84</v>
      </c>
      <c r="C113" s="396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15">
        <f t="shared" si="6"/>
        <v>828.63</v>
      </c>
      <c r="O113" s="4">
        <f t="shared" si="7"/>
        <v>828.63</v>
      </c>
      <c r="P113" t="s">
        <v>522</v>
      </c>
    </row>
    <row r="114" spans="2:16" hidden="1">
      <c r="B114" t="s">
        <v>39</v>
      </c>
      <c r="C114" s="396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15">
        <f t="shared" si="6"/>
        <v>4621</v>
      </c>
      <c r="O114" s="4">
        <f t="shared" si="7"/>
        <v>4621</v>
      </c>
      <c r="P114" t="s">
        <v>520</v>
      </c>
    </row>
    <row r="115" spans="2:16" hidden="1">
      <c r="B115" t="s">
        <v>169</v>
      </c>
      <c r="C115" s="396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15">
        <f t="shared" si="6"/>
        <v>494483.25</v>
      </c>
      <c r="O115" s="4">
        <f t="shared" si="7"/>
        <v>494483.25</v>
      </c>
      <c r="P115" t="s">
        <v>525</v>
      </c>
    </row>
    <row r="116" spans="2:16" hidden="1">
      <c r="B116" t="s">
        <v>171</v>
      </c>
      <c r="C116" s="39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15">
        <f t="shared" si="6"/>
        <v>74897.86</v>
      </c>
      <c r="O116" s="4">
        <f t="shared" si="7"/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15">
        <f t="shared" si="6"/>
        <v>0</v>
      </c>
      <c r="O117" s="4">
        <f t="shared" si="7"/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15">
        <f t="shared" si="6"/>
        <v>0</v>
      </c>
      <c r="O118" s="4">
        <f t="shared" si="7"/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15">
        <f t="shared" si="6"/>
        <v>25615.18</v>
      </c>
      <c r="O119" s="4">
        <f t="shared" si="7"/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15">
        <f t="shared" si="6"/>
        <v>10978.16</v>
      </c>
      <c r="O120" s="4">
        <f t="shared" si="7"/>
        <v>10978.16</v>
      </c>
      <c r="P120" t="s">
        <v>521</v>
      </c>
    </row>
    <row r="121" spans="2:16" hidden="1">
      <c r="B121" t="s">
        <v>180</v>
      </c>
      <c r="C121" s="396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15">
        <f t="shared" si="6"/>
        <v>322126.34000000003</v>
      </c>
      <c r="O121" s="4">
        <f t="shared" si="7"/>
        <v>322126.34000000003</v>
      </c>
      <c r="P121" t="s">
        <v>524</v>
      </c>
    </row>
    <row r="122" spans="2:16" hidden="1">
      <c r="B122" t="s">
        <v>182</v>
      </c>
      <c r="C122" s="396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15">
        <f t="shared" si="6"/>
        <v>39559.259999999995</v>
      </c>
      <c r="O122" s="4">
        <f t="shared" si="7"/>
        <v>39559.259999999995</v>
      </c>
      <c r="P122" t="s">
        <v>524</v>
      </c>
    </row>
    <row r="123" spans="2:16" hidden="1">
      <c r="B123" t="s">
        <v>184</v>
      </c>
      <c r="C123" s="396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15">
        <f t="shared" si="6"/>
        <v>21334.039999999979</v>
      </c>
      <c r="O123" s="4">
        <f t="shared" si="7"/>
        <v>21334.039999999979</v>
      </c>
      <c r="P123" t="s">
        <v>524</v>
      </c>
    </row>
    <row r="124" spans="2:16" hidden="1">
      <c r="B124" t="s">
        <v>186</v>
      </c>
      <c r="C124" s="396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15">
        <f t="shared" si="6"/>
        <v>-114464.12999999995</v>
      </c>
      <c r="O124" s="4">
        <f t="shared" si="7"/>
        <v>-114464.12999999995</v>
      </c>
      <c r="P124" t="s">
        <v>524</v>
      </c>
    </row>
  </sheetData>
  <autoFilter ref="A1:P124">
    <filterColumn colId="2">
      <filters>
        <filter val="Industrial Energy Management {G}"/>
      </filters>
    </filterColumn>
  </autoFilter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4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0.98445140183628244</v>
      </c>
      <c r="V5" s="48">
        <f t="shared" ref="V5:V24" si="2">N5-M5</f>
        <v>599</v>
      </c>
      <c r="W5" s="49">
        <f t="shared" ref="W5:W24" si="3">(O5/A$10)</f>
        <v>6.5630093455752159E-2</v>
      </c>
      <c r="X5" s="44">
        <f t="shared" ref="X5:X24" si="4">W5*A$8</f>
        <v>7826.0834646638741</v>
      </c>
      <c r="Y5" s="44">
        <f t="shared" ref="Y5:Y24" si="5">Q5-P5</f>
        <v>599</v>
      </c>
      <c r="Z5" s="44">
        <f t="shared" ref="Z5:Z24" si="6">X5+(A$6*W5)</f>
        <v>36028.515964282778</v>
      </c>
      <c r="AA5" s="50">
        <f t="shared" ref="AA5:AA24" si="7">Q5+X5</f>
        <v>12604.083464663874</v>
      </c>
      <c r="AB5" s="51">
        <f t="shared" ref="AB5:AB24" si="8">Z5/(1+GasDiscountRate)^1</f>
        <v>33680.9535049853</v>
      </c>
      <c r="AC5" s="44">
        <f t="shared" ref="AC5:AC24" si="9">AA5/(1+GasDiscountRate)^1</f>
        <v>11782.820851326422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1.6856807991410241</v>
      </c>
      <c r="AP5" s="47">
        <f>AN5/AC5</f>
        <v>5.3003326682248888</v>
      </c>
      <c r="AQ5">
        <v>2021</v>
      </c>
    </row>
    <row r="6" spans="1:43" ht="13.5" customHeight="1">
      <c r="A6" s="53">
        <f>SUMIF('Program Costs'!D:D,C2,'Program Costs'!L:L)</f>
        <v>429718</v>
      </c>
      <c r="B6" s="97" t="s">
        <v>123</v>
      </c>
      <c r="C6" s="98">
        <v>18230706</v>
      </c>
      <c r="D6" s="61" t="s">
        <v>124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0.65606641573152291</v>
      </c>
      <c r="V6" s="48">
        <f t="shared" si="2"/>
        <v>0</v>
      </c>
      <c r="W6" s="49">
        <f t="shared" si="3"/>
        <v>4.3737761048768191E-2</v>
      </c>
      <c r="X6" s="44">
        <f t="shared" si="4"/>
        <v>5215.5246244767286</v>
      </c>
      <c r="Y6" s="44">
        <f t="shared" si="5"/>
        <v>0</v>
      </c>
      <c r="Z6" s="44">
        <f t="shared" si="6"/>
        <v>24010.427826831299</v>
      </c>
      <c r="AA6" s="50">
        <f t="shared" si="7"/>
        <v>23864.52462447673</v>
      </c>
      <c r="AB6" s="51">
        <f t="shared" si="8"/>
        <v>22445.945430336822</v>
      </c>
      <c r="AC6" s="44">
        <f t="shared" si="9"/>
        <v>22309.549055320862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1.6029457214614062</v>
      </c>
      <c r="AP6" s="47">
        <f t="shared" ref="AP6:AP24" si="17">AN6/AC6</f>
        <v>1.7740204121896743</v>
      </c>
      <c r="AQ6">
        <v>2021</v>
      </c>
    </row>
    <row r="7" spans="1:43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7.5627044711014166</v>
      </c>
      <c r="V7" s="48">
        <f t="shared" si="2"/>
        <v>0</v>
      </c>
      <c r="W7" s="49">
        <f t="shared" si="3"/>
        <v>0.50418029807342779</v>
      </c>
      <c r="X7" s="44">
        <f t="shared" si="4"/>
        <v>60121.156106870214</v>
      </c>
      <c r="Y7" s="44">
        <f t="shared" si="5"/>
        <v>0</v>
      </c>
      <c r="Z7" s="44">
        <f t="shared" si="6"/>
        <v>276776.50543438748</v>
      </c>
      <c r="AA7" s="50">
        <f t="shared" si="7"/>
        <v>297416.15610687021</v>
      </c>
      <c r="AB7" s="51">
        <f t="shared" si="8"/>
        <v>258742.17578235717</v>
      </c>
      <c r="AC7" s="44">
        <f t="shared" si="9"/>
        <v>278036.97869203531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1.6029457214614065</v>
      </c>
      <c r="AP7" s="47">
        <f t="shared" si="17"/>
        <v>1.6408775269438942</v>
      </c>
      <c r="AQ7">
        <v>2021</v>
      </c>
    </row>
    <row r="8" spans="1:43" ht="13.5" customHeight="1">
      <c r="A8" s="53">
        <f>SUMIF('Program Costs'!D:D,C2,'Program Costs'!O:O)</f>
        <v>119245.34999999998</v>
      </c>
      <c r="B8" s="97" t="s">
        <v>123</v>
      </c>
      <c r="C8" s="100">
        <v>18230706</v>
      </c>
      <c r="D8" s="100" t="s">
        <v>124</v>
      </c>
      <c r="E8" s="38" t="s">
        <v>1054</v>
      </c>
      <c r="F8" s="39" t="s">
        <v>1055</v>
      </c>
      <c r="G8" s="39">
        <v>15</v>
      </c>
      <c r="H8" s="39"/>
      <c r="I8" s="40" t="s">
        <v>255</v>
      </c>
      <c r="J8" s="41">
        <v>1</v>
      </c>
      <c r="K8" s="41">
        <v>2182</v>
      </c>
      <c r="L8" s="41">
        <v>15720</v>
      </c>
      <c r="M8" s="42">
        <v>24233</v>
      </c>
      <c r="N8" s="42"/>
      <c r="O8" s="43">
        <v>2182</v>
      </c>
      <c r="P8" s="44">
        <v>15720</v>
      </c>
      <c r="Q8" s="44">
        <v>24233</v>
      </c>
      <c r="R8" s="45"/>
      <c r="S8" s="46"/>
      <c r="T8" s="39">
        <f t="shared" si="0"/>
        <v>15</v>
      </c>
      <c r="U8" s="47">
        <f t="shared" si="1"/>
        <v>0.38379005874696592</v>
      </c>
      <c r="V8" s="48">
        <f t="shared" si="2"/>
        <v>-24233</v>
      </c>
      <c r="W8" s="49">
        <f t="shared" si="3"/>
        <v>2.5586003916464393E-2</v>
      </c>
      <c r="X8" s="44">
        <f t="shared" si="4"/>
        <v>3051.0119921201667</v>
      </c>
      <c r="Y8" s="44">
        <f t="shared" si="5"/>
        <v>8513</v>
      </c>
      <c r="Z8" s="44">
        <f t="shared" si="6"/>
        <v>14045.778423095413</v>
      </c>
      <c r="AA8" s="50">
        <f t="shared" si="7"/>
        <v>27284.011992120166</v>
      </c>
      <c r="AB8" s="51">
        <f t="shared" si="8"/>
        <v>13130.577192760036</v>
      </c>
      <c r="AC8" s="44">
        <f t="shared" si="9"/>
        <v>25506.227907002118</v>
      </c>
      <c r="AD8" s="44">
        <f t="shared" si="10"/>
        <v>0</v>
      </c>
      <c r="AE8" s="44">
        <v>0</v>
      </c>
      <c r="AF8" s="52">
        <f>HLOOKUP(I8,GasAvoidedCostsWOCC!$A$5:$G$50,G8+1,FALSE)</f>
        <v>10.143887193159781</v>
      </c>
      <c r="AG8" s="44">
        <f t="shared" si="11"/>
        <v>22133.961855474641</v>
      </c>
      <c r="AH8" s="52">
        <f>HLOOKUP(I8,GasAvoidedCostsWOCC!$A$5:$Q$50,T8+1,FALSE)</f>
        <v>10.143887193159781</v>
      </c>
      <c r="AI8" s="44">
        <f t="shared" si="12"/>
        <v>159461.90667647176</v>
      </c>
      <c r="AJ8" s="44">
        <f t="shared" si="13"/>
        <v>181595.86853194638</v>
      </c>
      <c r="AK8" s="44">
        <f>HLOOKUP(I8,GasAvoidedCostsWOCC!$A$5:$Q$50,G8+1,FALSE)*J8*L8</f>
        <v>159461.90667647176</v>
      </c>
      <c r="AL8" s="44">
        <f t="shared" si="14"/>
        <v>22133.961855474627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22133.961855474641</v>
      </c>
      <c r="AN8" s="48">
        <f t="shared" si="15"/>
        <v>24347.358041022107</v>
      </c>
      <c r="AO8" s="47">
        <f t="shared" si="16"/>
        <v>1.6856807991410241</v>
      </c>
      <c r="AP8" s="47">
        <f t="shared" si="17"/>
        <v>0.95456521951402029</v>
      </c>
      <c r="AQ8">
        <v>2020</v>
      </c>
    </row>
    <row r="9" spans="1:43" ht="13.5" customHeight="1">
      <c r="A9" s="36" t="s">
        <v>303</v>
      </c>
      <c r="B9" s="97" t="s">
        <v>123</v>
      </c>
      <c r="C9" s="100">
        <v>18230706</v>
      </c>
      <c r="D9" s="100" t="s">
        <v>124</v>
      </c>
      <c r="E9" s="38" t="s">
        <v>974</v>
      </c>
      <c r="F9" s="39" t="s">
        <v>975</v>
      </c>
      <c r="G9" s="39">
        <v>15</v>
      </c>
      <c r="H9" s="39"/>
      <c r="I9" s="40" t="s">
        <v>261</v>
      </c>
      <c r="J9" s="41">
        <v>1</v>
      </c>
      <c r="K9" s="41">
        <v>17142</v>
      </c>
      <c r="L9" s="41">
        <v>85710</v>
      </c>
      <c r="M9" s="42">
        <v>85710</v>
      </c>
      <c r="N9" s="42"/>
      <c r="O9" s="43">
        <v>17142</v>
      </c>
      <c r="P9" s="44">
        <v>85710</v>
      </c>
      <c r="Q9" s="44">
        <v>85710</v>
      </c>
      <c r="R9" s="45"/>
      <c r="S9" s="46"/>
      <c r="T9" s="39">
        <f t="shared" si="0"/>
        <v>15</v>
      </c>
      <c r="U9" s="47">
        <f t="shared" si="1"/>
        <v>3.0150912864530204</v>
      </c>
      <c r="V9" s="48">
        <f t="shared" si="2"/>
        <v>-85710</v>
      </c>
      <c r="W9" s="49">
        <f t="shared" si="3"/>
        <v>0.20100608576353468</v>
      </c>
      <c r="X9" s="44">
        <f t="shared" si="4"/>
        <v>23969.041049002706</v>
      </c>
      <c r="Y9" s="44">
        <f t="shared" si="5"/>
        <v>0</v>
      </c>
      <c r="Z9" s="44">
        <f t="shared" si="6"/>
        <v>110344.97421113731</v>
      </c>
      <c r="AA9" s="50">
        <f t="shared" si="7"/>
        <v>109679.0410490027</v>
      </c>
      <c r="AB9" s="51">
        <f t="shared" si="8"/>
        <v>103155.0661037088</v>
      </c>
      <c r="AC9" s="44">
        <f t="shared" si="9"/>
        <v>102532.52411797951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11.391867070276401</v>
      </c>
      <c r="AG9" s="44">
        <f t="shared" si="11"/>
        <v>195279.38531867808</v>
      </c>
      <c r="AH9" s="52">
        <f>HLOOKUP(I9,GasAvoidedCostsWOCC!$A$5:$Q$50,T9+1,FALSE)</f>
        <v>11.391867070276401</v>
      </c>
      <c r="AI9" s="44">
        <f t="shared" si="12"/>
        <v>976396.92659339029</v>
      </c>
      <c r="AJ9" s="44">
        <f t="shared" si="13"/>
        <v>1171676.3119120684</v>
      </c>
      <c r="AK9" s="44">
        <f>HLOOKUP(I9,GasAvoidedCostsWOCC!$A$5:$Q$50,G9+1,FALSE)*J9*L9</f>
        <v>976396.92659339029</v>
      </c>
      <c r="AL9" s="44">
        <f t="shared" si="14"/>
        <v>195279.38531867811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195279.38531867808</v>
      </c>
      <c r="AN9" s="48">
        <f t="shared" si="15"/>
        <v>214807.32385054589</v>
      </c>
      <c r="AO9" s="47">
        <f t="shared" si="16"/>
        <v>1.8930663581985439</v>
      </c>
      <c r="AP9" s="47">
        <f t="shared" si="17"/>
        <v>2.0950164418402193</v>
      </c>
      <c r="AQ9">
        <v>2020</v>
      </c>
    </row>
    <row r="10" spans="1:43" ht="13.5" customHeight="1">
      <c r="A10" s="54">
        <f>SUM(O5:O999)</f>
        <v>85281</v>
      </c>
      <c r="B10" s="97" t="s">
        <v>123</v>
      </c>
      <c r="C10" s="100">
        <v>18230706</v>
      </c>
      <c r="D10" s="100" t="s">
        <v>124</v>
      </c>
      <c r="E10" s="38" t="s">
        <v>974</v>
      </c>
      <c r="F10" s="39" t="s">
        <v>975</v>
      </c>
      <c r="G10" s="39">
        <v>15</v>
      </c>
      <c r="H10" s="39"/>
      <c r="I10" s="40" t="s">
        <v>261</v>
      </c>
      <c r="J10" s="41">
        <v>1</v>
      </c>
      <c r="K10" s="41">
        <v>6073</v>
      </c>
      <c r="L10" s="41">
        <v>30365</v>
      </c>
      <c r="M10" s="42">
        <v>30365</v>
      </c>
      <c r="N10" s="42"/>
      <c r="O10" s="43">
        <v>6073</v>
      </c>
      <c r="P10" s="44">
        <v>30365</v>
      </c>
      <c r="Q10" s="44">
        <v>30365</v>
      </c>
      <c r="R10" s="45"/>
      <c r="S10" s="46"/>
      <c r="T10" s="39">
        <f t="shared" si="0"/>
        <v>15</v>
      </c>
      <c r="U10" s="47">
        <f t="shared" si="1"/>
        <v>1.0681746227178388</v>
      </c>
      <c r="V10" s="48">
        <f t="shared" si="2"/>
        <v>-30365</v>
      </c>
      <c r="W10" s="49">
        <f t="shared" si="3"/>
        <v>7.1211641514522583E-2</v>
      </c>
      <c r="X10" s="44">
        <f t="shared" si="4"/>
        <v>8491.6571164737743</v>
      </c>
      <c r="Y10" s="44">
        <f t="shared" si="5"/>
        <v>0</v>
      </c>
      <c r="Z10" s="44">
        <f t="shared" si="6"/>
        <v>39092.581284811393</v>
      </c>
      <c r="AA10" s="50">
        <f t="shared" si="7"/>
        <v>38856.657116473776</v>
      </c>
      <c r="AB10" s="51">
        <f t="shared" si="8"/>
        <v>36545.369061242767</v>
      </c>
      <c r="AC10" s="44">
        <f t="shared" si="9"/>
        <v>36324.817347362601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11.391867070276401</v>
      </c>
      <c r="AG10" s="44">
        <f t="shared" si="11"/>
        <v>69182.80871778859</v>
      </c>
      <c r="AH10" s="52">
        <f>HLOOKUP(I10,GasAvoidedCostsWOCC!$A$5:$Q$50,T10+1,FALSE)</f>
        <v>11.391867070276401</v>
      </c>
      <c r="AI10" s="44">
        <f t="shared" si="12"/>
        <v>345914.04358894291</v>
      </c>
      <c r="AJ10" s="44">
        <f t="shared" si="13"/>
        <v>415096.85230673151</v>
      </c>
      <c r="AK10" s="44">
        <f>HLOOKUP(I10,GasAvoidedCostsWOCC!$A$5:$Q$50,G10+1,FALSE)*J10*L10</f>
        <v>345914.04358894291</v>
      </c>
      <c r="AL10" s="44">
        <f t="shared" si="14"/>
        <v>69182.808717788605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69182.80871778859</v>
      </c>
      <c r="AN10" s="48">
        <f t="shared" si="15"/>
        <v>76101.089589567462</v>
      </c>
      <c r="AO10" s="47">
        <f t="shared" si="16"/>
        <v>1.8930663581985441</v>
      </c>
      <c r="AP10" s="47">
        <f t="shared" si="17"/>
        <v>2.0950164418402193</v>
      </c>
      <c r="AQ10">
        <v>2020</v>
      </c>
    </row>
    <row r="11" spans="1:43" ht="13.5" customHeight="1">
      <c r="A11" s="36" t="s">
        <v>251</v>
      </c>
      <c r="B11" s="97" t="s">
        <v>123</v>
      </c>
      <c r="C11" s="100">
        <v>18230706</v>
      </c>
      <c r="D11" s="100" t="s">
        <v>124</v>
      </c>
      <c r="E11" s="38" t="s">
        <v>1006</v>
      </c>
      <c r="F11" s="39" t="s">
        <v>1007</v>
      </c>
      <c r="G11" s="39">
        <v>24</v>
      </c>
      <c r="H11" s="39"/>
      <c r="I11" s="40" t="s">
        <v>255</v>
      </c>
      <c r="J11" s="41">
        <v>1</v>
      </c>
      <c r="K11" s="41">
        <v>7560</v>
      </c>
      <c r="L11" s="41">
        <v>37800</v>
      </c>
      <c r="M11" s="42">
        <v>91262</v>
      </c>
      <c r="N11" s="42"/>
      <c r="O11" s="43">
        <v>7560</v>
      </c>
      <c r="P11" s="44">
        <v>37800</v>
      </c>
      <c r="Q11" s="44">
        <v>91262</v>
      </c>
      <c r="R11" s="45"/>
      <c r="S11" s="46"/>
      <c r="T11" s="39">
        <f t="shared" si="0"/>
        <v>24</v>
      </c>
      <c r="U11" s="47">
        <f t="shared" si="1"/>
        <v>2.1275547894607238</v>
      </c>
      <c r="V11" s="48">
        <f t="shared" si="2"/>
        <v>-91262</v>
      </c>
      <c r="W11" s="49">
        <f t="shared" si="3"/>
        <v>8.864811622753016E-2</v>
      </c>
      <c r="X11" s="44">
        <f t="shared" si="4"/>
        <v>10570.875646392511</v>
      </c>
      <c r="Y11" s="44">
        <f t="shared" si="5"/>
        <v>53462</v>
      </c>
      <c r="Z11" s="44">
        <f t="shared" si="6"/>
        <v>48664.566855454315</v>
      </c>
      <c r="AA11" s="50">
        <f t="shared" si="7"/>
        <v>101832.87564639251</v>
      </c>
      <c r="AB11" s="51">
        <f t="shared" si="8"/>
        <v>45493.658834677306</v>
      </c>
      <c r="AC11" s="44">
        <f t="shared" si="9"/>
        <v>95197.602735713284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15.156272556848696</v>
      </c>
      <c r="AG11" s="44">
        <f t="shared" si="11"/>
        <v>114581.42052977615</v>
      </c>
      <c r="AH11" s="52">
        <f>HLOOKUP(I11,GasAvoidedCostsWOCC!$A$5:$Q$50,T11+1,FALSE)</f>
        <v>15.156272556848696</v>
      </c>
      <c r="AI11" s="44">
        <f t="shared" si="12"/>
        <v>572907.10264888068</v>
      </c>
      <c r="AJ11" s="44">
        <f t="shared" si="13"/>
        <v>687488.52317865682</v>
      </c>
      <c r="AK11" s="44">
        <f>HLOOKUP(I11,GasAvoidedCostsWOCC!$A$5:$Q$50,G11+1,FALSE)*J11*L11</f>
        <v>572907.10264888068</v>
      </c>
      <c r="AL11" s="44">
        <f t="shared" si="14"/>
        <v>114581.42052977614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114581.42052977615</v>
      </c>
      <c r="AN11" s="48">
        <f t="shared" si="15"/>
        <v>126039.56258275377</v>
      </c>
      <c r="AO11" s="47">
        <f t="shared" si="16"/>
        <v>2.5186239899094915</v>
      </c>
      <c r="AP11" s="47">
        <f t="shared" si="17"/>
        <v>1.3239783246713015</v>
      </c>
      <c r="AQ11">
        <v>2020</v>
      </c>
    </row>
    <row r="12" spans="1:43" ht="13.5" customHeight="1">
      <c r="A12" s="55">
        <f>SUM(P5:P1000)</f>
        <v>429718</v>
      </c>
      <c r="B12" s="97"/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62574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15.797833046047772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548963.35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611537.35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1.770641626300584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1.7484117604685288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4" si="19">G25+H25</f>
        <v>0</v>
      </c>
      <c r="U25" s="47">
        <f t="shared" ref="U25:U44" si="20">(O25/$A$10)*T25</f>
        <v>0</v>
      </c>
      <c r="V25" s="48">
        <f t="shared" ref="V25:V44" si="21">N25-M25</f>
        <v>0</v>
      </c>
      <c r="W25" s="49">
        <f t="shared" ref="W25:W44" si="22">(O25/A$10)</f>
        <v>0</v>
      </c>
      <c r="X25" s="44">
        <f t="shared" ref="X25:X44" si="23">W25*A$8</f>
        <v>0</v>
      </c>
      <c r="Y25" s="44">
        <f t="shared" ref="Y25:Y44" si="24">Q25-P25</f>
        <v>0</v>
      </c>
      <c r="Z25" s="44">
        <f t="shared" ref="Z25:Z44" si="25">X25+(A$6*W25)</f>
        <v>0</v>
      </c>
      <c r="AA25" s="50">
        <f t="shared" ref="AA25:AA44" si="26">Q25+X25</f>
        <v>0</v>
      </c>
      <c r="AB25" s="51">
        <f t="shared" ref="AB25:AB44" si="27">Z25/(1+GasDiscountRate)^1</f>
        <v>0</v>
      </c>
      <c r="AC25" s="44">
        <f t="shared" ref="AC25:AC44" si="28">AA25/(1+GasDiscountRate)^1</f>
        <v>0</v>
      </c>
      <c r="AD25" s="44">
        <f t="shared" ref="AD25:AD44" si="29">-PV(GasDiscountRate,T25,R25)*J25</f>
        <v>0</v>
      </c>
      <c r="AE25" s="44">
        <f t="shared" ref="AE25:AE44" si="30">-PV(GasDiscountRate,T25,S25)*J25</f>
        <v>0</v>
      </c>
      <c r="AF25" s="52" t="e">
        <f>HLOOKUP(I25,GasAvoidedCostsWOCC!$A$5:$G$50,G25+1,FALSE)</f>
        <v>#N/A</v>
      </c>
      <c r="AG25" s="44" t="e">
        <f t="shared" ref="AG25:AG44" si="31">AF25*J25*K25</f>
        <v>#N/A</v>
      </c>
      <c r="AH25" s="52" t="e">
        <f>HLOOKUP(I25,GasAvoidedCostsWOCC!$A$5:$Q$50,T25+1,FALSE)</f>
        <v>#N/A</v>
      </c>
      <c r="AI25" s="44" t="e">
        <f t="shared" ref="AI25:AI44" si="32">AH25*J25*L25</f>
        <v>#N/A</v>
      </c>
      <c r="AJ25" s="44" t="e">
        <f t="shared" ref="AJ25:AJ44" si="33">AG25+AI25</f>
        <v>#N/A</v>
      </c>
      <c r="AK25" s="44" t="e">
        <f>HLOOKUP(I25,GasAvoidedCostsWOCC!$A$5:$Q$50,G25+1,FALSE)*J25*L25</f>
        <v>#N/A</v>
      </c>
      <c r="AL25" s="44" t="e">
        <f t="shared" ref="AL25:AL44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4" si="35">AM25*1.1+AD25+AE25</f>
        <v>0</v>
      </c>
      <c r="AO25" s="47">
        <f t="shared" ref="AO25:AO44" si="36">IFERROR(AM25/AB25,0)</f>
        <v>0</v>
      </c>
      <c r="AP25" s="47" t="e">
        <f t="shared" ref="AP25:AP44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</sheetData>
  <conditionalFormatting sqref="J5:L4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44 R5:S44">
    <cfRule type="expression" dxfId="52" priority="2">
      <formula>ISTEXT(M5)</formula>
    </cfRule>
  </conditionalFormatting>
  <conditionalFormatting sqref="M5:N44 R5:S44">
    <cfRule type="notContainsBlanks" dxfId="51" priority="3">
      <formula>LEN(TRIM(M5))&gt;0</formula>
    </cfRule>
  </conditionalFormatting>
  <conditionalFormatting sqref="R5:S4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5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0.36243883536272764</v>
      </c>
      <c r="V5" s="48">
        <f t="shared" ref="V5:V24" si="2">N5-M5</f>
        <v>10804</v>
      </c>
      <c r="W5" s="49">
        <f t="shared" ref="W5:W24" si="3">(O5/A$10)</f>
        <v>0.12081294512090922</v>
      </c>
      <c r="X5" s="44">
        <f t="shared" ref="X5:X24" si="4">W5*A$8</f>
        <v>92589.299017996207</v>
      </c>
      <c r="Y5" s="44">
        <f t="shared" ref="Y5:Y24" si="5">Q5-P5</f>
        <v>10804</v>
      </c>
      <c r="Z5" s="44">
        <f t="shared" ref="Z5:Z24" si="6">X5+(A$6*W5)</f>
        <v>123999.81905881676</v>
      </c>
      <c r="AA5" s="50">
        <f t="shared" ref="AA5:AA24" si="7">Q5+X5</f>
        <v>121702.29901799621</v>
      </c>
      <c r="AB5" s="51">
        <f t="shared" ref="AB5:AB24" si="8">Z5/(1+GasDiscountRate)^1</f>
        <v>115920.18234908549</v>
      </c>
      <c r="AC5" s="44">
        <f t="shared" ref="AC5:AC24" si="9">AA5/(1+GasDiscountRate)^1</f>
        <v>113772.36516593082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1.8652730807696505</v>
      </c>
      <c r="AP5" s="47">
        <f>AN5/AC5</f>
        <v>2.0905346818811408</v>
      </c>
      <c r="AQ5">
        <v>2021</v>
      </c>
    </row>
    <row r="6" spans="1:43" ht="13.5" customHeight="1">
      <c r="A6" s="53">
        <f>SUMIF('Program Costs'!D:D,C2,'Program Costs'!L:L)</f>
        <v>259993</v>
      </c>
      <c r="B6" s="97" t="s">
        <v>112</v>
      </c>
      <c r="C6" s="98">
        <v>18230691</v>
      </c>
      <c r="D6" s="61" t="s">
        <v>113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0.2098058376275943</v>
      </c>
      <c r="V6" s="48">
        <f t="shared" si="2"/>
        <v>6856</v>
      </c>
      <c r="W6" s="49">
        <f t="shared" si="3"/>
        <v>6.9935279209198106E-2</v>
      </c>
      <c r="X6" s="44">
        <f t="shared" si="4"/>
        <v>53597.389519203243</v>
      </c>
      <c r="Y6" s="44">
        <f t="shared" si="5"/>
        <v>6856</v>
      </c>
      <c r="Z6" s="44">
        <f t="shared" si="6"/>
        <v>71780.072566640287</v>
      </c>
      <c r="AA6" s="50">
        <f t="shared" si="7"/>
        <v>70450.389519203251</v>
      </c>
      <c r="AB6" s="51">
        <f t="shared" si="8"/>
        <v>67102.993892343904</v>
      </c>
      <c r="AC6" s="44">
        <f t="shared" si="9"/>
        <v>65859.950938770911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1.8652730807696505</v>
      </c>
      <c r="AP6" s="47">
        <f t="shared" ref="AP6:AP24" si="17">AN6/AC6</f>
        <v>2.0905261391567742</v>
      </c>
      <c r="AQ6">
        <v>2021</v>
      </c>
    </row>
    <row r="7" spans="1:43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7.9932222481629549E-3</v>
      </c>
      <c r="V7" s="48">
        <f t="shared" si="2"/>
        <v>239</v>
      </c>
      <c r="W7" s="49">
        <f t="shared" si="3"/>
        <v>2.6644074160543183E-3</v>
      </c>
      <c r="X7" s="44">
        <f t="shared" si="4"/>
        <v>2041.9634229090905</v>
      </c>
      <c r="Y7" s="44">
        <f t="shared" si="5"/>
        <v>239</v>
      </c>
      <c r="Z7" s="44">
        <f t="shared" si="6"/>
        <v>2734.690700231301</v>
      </c>
      <c r="AA7" s="50">
        <f t="shared" si="7"/>
        <v>2683.9634229090907</v>
      </c>
      <c r="AB7" s="51">
        <f t="shared" si="8"/>
        <v>2556.5024775463221</v>
      </c>
      <c r="AC7" s="44">
        <f t="shared" si="9"/>
        <v>2509.0805112733387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1.8652730807696503</v>
      </c>
      <c r="AP7" s="47">
        <f t="shared" si="17"/>
        <v>2.0905796980005489</v>
      </c>
      <c r="AQ7">
        <v>2021</v>
      </c>
    </row>
    <row r="8" spans="1:43" ht="13.5" customHeight="1">
      <c r="A8" s="53">
        <f>SUMIF('Program Costs'!D:D,C2,'Program Costs'!O:O)</f>
        <v>766385.58000000019</v>
      </c>
      <c r="B8" s="97" t="s">
        <v>112</v>
      </c>
      <c r="C8" s="98">
        <v>18230691</v>
      </c>
      <c r="D8" s="61" t="s">
        <v>113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0.70298476209272709</v>
      </c>
      <c r="V8" s="48">
        <f t="shared" si="2"/>
        <v>21662</v>
      </c>
      <c r="W8" s="49">
        <f t="shared" si="3"/>
        <v>0.23432825403090904</v>
      </c>
      <c r="X8" s="44">
        <f t="shared" si="4"/>
        <v>179585.7948758656</v>
      </c>
      <c r="Y8" s="44">
        <f t="shared" si="5"/>
        <v>21662</v>
      </c>
      <c r="Z8" s="44">
        <f t="shared" si="6"/>
        <v>240509.50062612374</v>
      </c>
      <c r="AA8" s="50">
        <f t="shared" si="7"/>
        <v>232816.7948758656</v>
      </c>
      <c r="AB8" s="51">
        <f t="shared" si="8"/>
        <v>224838.2729981525</v>
      </c>
      <c r="AC8" s="44">
        <f t="shared" si="9"/>
        <v>217646.81207428774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1.8652730807696505</v>
      </c>
      <c r="AP8" s="47">
        <f t="shared" si="17"/>
        <v>2.119595741231215</v>
      </c>
      <c r="AQ8">
        <v>2021</v>
      </c>
    </row>
    <row r="9" spans="1:43" ht="13.5" customHeight="1">
      <c r="A9" s="36" t="s">
        <v>303</v>
      </c>
      <c r="B9" s="97" t="s">
        <v>112</v>
      </c>
      <c r="C9" s="100">
        <v>18230691</v>
      </c>
      <c r="D9" s="100" t="s">
        <v>113</v>
      </c>
      <c r="E9" s="38" t="s">
        <v>2108</v>
      </c>
      <c r="F9" s="39" t="s">
        <v>2109</v>
      </c>
      <c r="G9" s="39">
        <v>3</v>
      </c>
      <c r="H9" s="39"/>
      <c r="I9" s="40" t="s">
        <v>261</v>
      </c>
      <c r="J9" s="41">
        <v>1</v>
      </c>
      <c r="K9" s="41">
        <v>29486</v>
      </c>
      <c r="L9" s="41">
        <v>4815</v>
      </c>
      <c r="M9" s="42">
        <v>8551</v>
      </c>
      <c r="N9" s="42"/>
      <c r="O9" s="43">
        <v>29486</v>
      </c>
      <c r="P9" s="44">
        <v>4815</v>
      </c>
      <c r="Q9" s="44">
        <v>8551</v>
      </c>
      <c r="R9" s="45"/>
      <c r="S9" s="46"/>
      <c r="T9" s="39">
        <f t="shared" si="0"/>
        <v>3</v>
      </c>
      <c r="U9" s="47">
        <f t="shared" si="1"/>
        <v>0.10645354616501035</v>
      </c>
      <c r="V9" s="48">
        <f t="shared" si="2"/>
        <v>-8551</v>
      </c>
      <c r="W9" s="49">
        <f t="shared" si="3"/>
        <v>3.5484515388336781E-2</v>
      </c>
      <c r="X9" s="44">
        <f t="shared" si="4"/>
        <v>27194.820906909415</v>
      </c>
      <c r="Y9" s="44">
        <f t="shared" si="5"/>
        <v>3736</v>
      </c>
      <c r="Z9" s="44">
        <f t="shared" si="6"/>
        <v>36420.546516269256</v>
      </c>
      <c r="AA9" s="50">
        <f t="shared" si="7"/>
        <v>35745.820906909415</v>
      </c>
      <c r="AB9" s="51">
        <f t="shared" si="8"/>
        <v>34047.43995163995</v>
      </c>
      <c r="AC9" s="44">
        <f t="shared" si="9"/>
        <v>33416.678420967946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2.6658883639788167</v>
      </c>
      <c r="AG9" s="44">
        <f t="shared" si="11"/>
        <v>78606.384300279387</v>
      </c>
      <c r="AH9" s="52">
        <f>HLOOKUP(I9,GasAvoidedCostsWOCC!$A$5:$Q$50,T9+1,FALSE)</f>
        <v>2.6658883639788167</v>
      </c>
      <c r="AI9" s="44">
        <f t="shared" si="12"/>
        <v>12836.252472558002</v>
      </c>
      <c r="AJ9" s="44">
        <f t="shared" si="13"/>
        <v>91442.636772837388</v>
      </c>
      <c r="AK9" s="44">
        <f>HLOOKUP(I9,GasAvoidedCostsWOCC!$A$5:$Q$50,G9+1,FALSE)*J9*L9</f>
        <v>12836.252472558002</v>
      </c>
      <c r="AL9" s="44">
        <f t="shared" si="14"/>
        <v>78606.384300279387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78606.384300279387</v>
      </c>
      <c r="AN9" s="48">
        <f t="shared" si="15"/>
        <v>86467.022730307333</v>
      </c>
      <c r="AO9" s="47">
        <f t="shared" si="16"/>
        <v>2.3087311237476222</v>
      </c>
      <c r="AP9" s="47">
        <f t="shared" si="17"/>
        <v>2.587540917174219</v>
      </c>
      <c r="AQ9">
        <v>2020</v>
      </c>
    </row>
    <row r="10" spans="1:43" ht="13.5" customHeight="1">
      <c r="A10" s="54">
        <f>SUM(O5:O999)</f>
        <v>830954</v>
      </c>
      <c r="B10" s="97" t="s">
        <v>112</v>
      </c>
      <c r="C10" s="100">
        <v>18230691</v>
      </c>
      <c r="D10" s="100" t="s">
        <v>113</v>
      </c>
      <c r="E10" s="38" t="s">
        <v>1056</v>
      </c>
      <c r="F10" s="39" t="s">
        <v>1057</v>
      </c>
      <c r="G10" s="39">
        <v>3</v>
      </c>
      <c r="H10" s="39"/>
      <c r="I10" s="40" t="s">
        <v>261</v>
      </c>
      <c r="J10" s="41">
        <v>1</v>
      </c>
      <c r="K10" s="41">
        <v>129999</v>
      </c>
      <c r="L10" s="41">
        <v>23320</v>
      </c>
      <c r="M10" s="42">
        <v>37699</v>
      </c>
      <c r="N10" s="42"/>
      <c r="O10" s="43">
        <v>129999</v>
      </c>
      <c r="P10" s="44">
        <v>23320</v>
      </c>
      <c r="Q10" s="44">
        <v>37699</v>
      </c>
      <c r="R10" s="45"/>
      <c r="S10" s="46"/>
      <c r="T10" s="39">
        <f t="shared" si="0"/>
        <v>3</v>
      </c>
      <c r="U10" s="47">
        <f t="shared" si="1"/>
        <v>0.46933644943041369</v>
      </c>
      <c r="V10" s="48">
        <f t="shared" si="2"/>
        <v>-37699</v>
      </c>
      <c r="W10" s="49">
        <f t="shared" si="3"/>
        <v>0.15644548314347123</v>
      </c>
      <c r="X10" s="44">
        <f t="shared" si="4"/>
        <v>119897.56233728945</v>
      </c>
      <c r="Y10" s="44">
        <f t="shared" si="5"/>
        <v>14379</v>
      </c>
      <c r="Z10" s="44">
        <f t="shared" si="6"/>
        <v>160572.29283620996</v>
      </c>
      <c r="AA10" s="50">
        <f t="shared" si="7"/>
        <v>157596.56233728945</v>
      </c>
      <c r="AB10" s="51">
        <f t="shared" si="8"/>
        <v>150109.65021614466</v>
      </c>
      <c r="AC10" s="44">
        <f t="shared" si="9"/>
        <v>147327.81372093991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2.6658883639788167</v>
      </c>
      <c r="AG10" s="44">
        <f t="shared" si="11"/>
        <v>346562.82142888219</v>
      </c>
      <c r="AH10" s="52">
        <f>HLOOKUP(I10,GasAvoidedCostsWOCC!$A$5:$Q$50,T10+1,FALSE)</f>
        <v>2.6658883639788167</v>
      </c>
      <c r="AI10" s="44">
        <f t="shared" si="12"/>
        <v>62168.516647986005</v>
      </c>
      <c r="AJ10" s="44">
        <f t="shared" si="13"/>
        <v>408731.33807686821</v>
      </c>
      <c r="AK10" s="44">
        <f>HLOOKUP(I10,GasAvoidedCostsWOCC!$A$5:$Q$50,G10+1,FALSE)*J10*L10</f>
        <v>62168.516647986005</v>
      </c>
      <c r="AL10" s="44">
        <f t="shared" si="14"/>
        <v>346562.82142888219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346562.82142888219</v>
      </c>
      <c r="AN10" s="48">
        <f t="shared" si="15"/>
        <v>381219.10357177042</v>
      </c>
      <c r="AO10" s="47">
        <f t="shared" si="16"/>
        <v>2.3087311237476227</v>
      </c>
      <c r="AP10" s="47">
        <f t="shared" si="17"/>
        <v>2.5875569177579347</v>
      </c>
      <c r="AQ10">
        <v>2020</v>
      </c>
    </row>
    <row r="11" spans="1:43" ht="13.5" customHeight="1">
      <c r="A11" s="36" t="s">
        <v>251</v>
      </c>
      <c r="B11" s="97" t="s">
        <v>112</v>
      </c>
      <c r="C11" s="100">
        <v>18230691</v>
      </c>
      <c r="D11" s="100" t="s">
        <v>113</v>
      </c>
      <c r="E11" s="38" t="s">
        <v>1058</v>
      </c>
      <c r="F11" s="39" t="s">
        <v>1059</v>
      </c>
      <c r="G11" s="39">
        <v>3</v>
      </c>
      <c r="H11" s="39"/>
      <c r="I11" s="40" t="s">
        <v>261</v>
      </c>
      <c r="J11" s="41">
        <v>1</v>
      </c>
      <c r="K11" s="41">
        <v>8184</v>
      </c>
      <c r="L11" s="41">
        <v>1228</v>
      </c>
      <c r="M11" s="42">
        <v>2373</v>
      </c>
      <c r="N11" s="42"/>
      <c r="O11" s="43">
        <v>8184</v>
      </c>
      <c r="P11" s="44">
        <v>1228</v>
      </c>
      <c r="Q11" s="44">
        <v>2373</v>
      </c>
      <c r="R11" s="45"/>
      <c r="S11" s="46"/>
      <c r="T11" s="39">
        <f t="shared" si="0"/>
        <v>3</v>
      </c>
      <c r="U11" s="47">
        <f t="shared" si="1"/>
        <v>2.9546761914618622E-2</v>
      </c>
      <c r="V11" s="48">
        <f t="shared" si="2"/>
        <v>-2373</v>
      </c>
      <c r="W11" s="49">
        <f t="shared" si="3"/>
        <v>9.8489206382062072E-3</v>
      </c>
      <c r="X11" s="44">
        <f t="shared" si="4"/>
        <v>7548.070755685636</v>
      </c>
      <c r="Y11" s="44">
        <f t="shared" si="5"/>
        <v>1145</v>
      </c>
      <c r="Z11" s="44">
        <f t="shared" si="6"/>
        <v>10108.721179174783</v>
      </c>
      <c r="AA11" s="50">
        <f t="shared" si="7"/>
        <v>9921.070755685636</v>
      </c>
      <c r="AB11" s="51">
        <f t="shared" si="8"/>
        <v>9450.0525186265149</v>
      </c>
      <c r="AC11" s="44">
        <f t="shared" si="9"/>
        <v>9274.6291069324434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2.6658883639788167</v>
      </c>
      <c r="AG11" s="44">
        <f t="shared" si="11"/>
        <v>21817.630370802635</v>
      </c>
      <c r="AH11" s="52">
        <f>HLOOKUP(I11,GasAvoidedCostsWOCC!$A$5:$Q$50,T11+1,FALSE)</f>
        <v>2.6658883639788167</v>
      </c>
      <c r="AI11" s="44">
        <f t="shared" si="12"/>
        <v>3273.7109109659868</v>
      </c>
      <c r="AJ11" s="44">
        <f t="shared" si="13"/>
        <v>25091.341281768622</v>
      </c>
      <c r="AK11" s="44">
        <f>HLOOKUP(I11,GasAvoidedCostsWOCC!$A$5:$Q$50,G11+1,FALSE)*J11*L11</f>
        <v>3273.7109109659868</v>
      </c>
      <c r="AL11" s="44">
        <f t="shared" si="14"/>
        <v>21817.630370802635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21817.630370802635</v>
      </c>
      <c r="AN11" s="48">
        <f t="shared" si="15"/>
        <v>23999.393407882901</v>
      </c>
      <c r="AO11" s="47">
        <f t="shared" si="16"/>
        <v>2.3087311237476213</v>
      </c>
      <c r="AP11" s="47">
        <f t="shared" si="17"/>
        <v>2.587639153132737</v>
      </c>
      <c r="AQ11">
        <v>2020</v>
      </c>
    </row>
    <row r="12" spans="1:43" ht="13.5" customHeight="1">
      <c r="A12" s="55">
        <f>SUM(P5:P1000)</f>
        <v>143240</v>
      </c>
      <c r="B12" s="97" t="s">
        <v>112</v>
      </c>
      <c r="C12" s="100">
        <v>18230691</v>
      </c>
      <c r="D12" s="100" t="s">
        <v>113</v>
      </c>
      <c r="E12" s="38" t="s">
        <v>1058</v>
      </c>
      <c r="F12" s="39" t="s">
        <v>1059</v>
      </c>
      <c r="G12" s="39">
        <v>3</v>
      </c>
      <c r="H12" s="39"/>
      <c r="I12" s="40" t="s">
        <v>261</v>
      </c>
      <c r="J12" s="41">
        <v>1</v>
      </c>
      <c r="K12" s="41">
        <v>124981</v>
      </c>
      <c r="L12" s="41">
        <v>21392</v>
      </c>
      <c r="M12" s="42">
        <v>37373</v>
      </c>
      <c r="N12" s="42"/>
      <c r="O12" s="43">
        <v>124981</v>
      </c>
      <c r="P12" s="44">
        <v>21392</v>
      </c>
      <c r="Q12" s="44">
        <v>37373</v>
      </c>
      <c r="R12" s="45"/>
      <c r="S12" s="46"/>
      <c r="T12" s="39">
        <f t="shared" si="0"/>
        <v>3</v>
      </c>
      <c r="U12" s="47">
        <f t="shared" si="1"/>
        <v>0.4512199231245051</v>
      </c>
      <c r="V12" s="48">
        <f t="shared" si="2"/>
        <v>-37373</v>
      </c>
      <c r="W12" s="49">
        <f t="shared" si="3"/>
        <v>0.1504066410415017</v>
      </c>
      <c r="X12" s="44">
        <f t="shared" si="4"/>
        <v>115269.48083044311</v>
      </c>
      <c r="Y12" s="44">
        <f t="shared" si="5"/>
        <v>15981</v>
      </c>
      <c r="Z12" s="44">
        <f t="shared" si="6"/>
        <v>154374.15465474626</v>
      </c>
      <c r="AA12" s="50">
        <f t="shared" si="7"/>
        <v>152642.48083044309</v>
      </c>
      <c r="AB12" s="51">
        <f t="shared" si="8"/>
        <v>144315.37314643944</v>
      </c>
      <c r="AC12" s="44">
        <f t="shared" si="9"/>
        <v>142696.53251420311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2.6658883639788167</v>
      </c>
      <c r="AG12" s="44">
        <f t="shared" si="11"/>
        <v>333185.39361843647</v>
      </c>
      <c r="AH12" s="52">
        <f>HLOOKUP(I12,GasAvoidedCostsWOCC!$A$5:$Q$50,T12+1,FALSE)</f>
        <v>2.6658883639788167</v>
      </c>
      <c r="AI12" s="44">
        <f t="shared" si="12"/>
        <v>57028.683882234844</v>
      </c>
      <c r="AJ12" s="44">
        <f t="shared" si="13"/>
        <v>390214.07750067132</v>
      </c>
      <c r="AK12" s="44">
        <f>HLOOKUP(I12,GasAvoidedCostsWOCC!$A$5:$Q$50,G12+1,FALSE)*J12*L12</f>
        <v>57028.683882234844</v>
      </c>
      <c r="AL12" s="44">
        <f t="shared" si="14"/>
        <v>333185.39361843647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333185.39361843647</v>
      </c>
      <c r="AN12" s="48">
        <f t="shared" si="15"/>
        <v>366503.93298028014</v>
      </c>
      <c r="AO12" s="47">
        <f t="shared" si="16"/>
        <v>2.3087311237476218</v>
      </c>
      <c r="AP12" s="47">
        <f t="shared" si="17"/>
        <v>2.5684151291048414</v>
      </c>
      <c r="AQ12">
        <v>2020</v>
      </c>
    </row>
    <row r="13" spans="1:43" ht="13.5" customHeight="1">
      <c r="A13" s="56" t="s">
        <v>252</v>
      </c>
      <c r="B13" s="97" t="s">
        <v>112</v>
      </c>
      <c r="C13" s="100">
        <v>18230691</v>
      </c>
      <c r="D13" s="100" t="s">
        <v>113</v>
      </c>
      <c r="E13" s="38" t="s">
        <v>1058</v>
      </c>
      <c r="F13" s="39" t="s">
        <v>1059</v>
      </c>
      <c r="G13" s="39">
        <v>3</v>
      </c>
      <c r="H13" s="39"/>
      <c r="I13" s="40" t="s">
        <v>261</v>
      </c>
      <c r="J13" s="41">
        <v>1</v>
      </c>
      <c r="K13" s="41">
        <v>4812</v>
      </c>
      <c r="L13" s="41">
        <v>842</v>
      </c>
      <c r="M13" s="42">
        <v>1395</v>
      </c>
      <c r="N13" s="42"/>
      <c r="O13" s="43">
        <v>4812</v>
      </c>
      <c r="P13" s="44">
        <v>842</v>
      </c>
      <c r="Q13" s="44">
        <v>1395</v>
      </c>
      <c r="R13" s="45"/>
      <c r="S13" s="46"/>
      <c r="T13" s="39">
        <f t="shared" si="0"/>
        <v>3</v>
      </c>
      <c r="U13" s="47">
        <f t="shared" si="1"/>
        <v>1.7372802826630597E-2</v>
      </c>
      <c r="V13" s="48">
        <f t="shared" si="2"/>
        <v>-1395</v>
      </c>
      <c r="W13" s="49">
        <f t="shared" si="3"/>
        <v>5.7909342755435318E-3</v>
      </c>
      <c r="X13" s="44">
        <f t="shared" si="4"/>
        <v>4438.0885235043106</v>
      </c>
      <c r="Y13" s="44">
        <f t="shared" si="5"/>
        <v>553</v>
      </c>
      <c r="Z13" s="44">
        <f t="shared" si="6"/>
        <v>5943.6908986057006</v>
      </c>
      <c r="AA13" s="50">
        <f t="shared" si="7"/>
        <v>5833.0885235043106</v>
      </c>
      <c r="AB13" s="51">
        <f t="shared" si="8"/>
        <v>5556.4091788405158</v>
      </c>
      <c r="AC13" s="44">
        <f t="shared" si="9"/>
        <v>5453.0134836910447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2.6658883639788167</v>
      </c>
      <c r="AG13" s="44">
        <f t="shared" si="11"/>
        <v>12828.254807466066</v>
      </c>
      <c r="AH13" s="52">
        <f>HLOOKUP(I13,GasAvoidedCostsWOCC!$A$5:$Q$50,T13+1,FALSE)</f>
        <v>2.6658883639788167</v>
      </c>
      <c r="AI13" s="44">
        <f t="shared" si="12"/>
        <v>2244.6780024701638</v>
      </c>
      <c r="AJ13" s="44">
        <f t="shared" si="13"/>
        <v>15072.93280993623</v>
      </c>
      <c r="AK13" s="44">
        <f>HLOOKUP(I13,GasAvoidedCostsWOCC!$A$5:$Q$50,G13+1,FALSE)*J13*L13</f>
        <v>2244.6780024701638</v>
      </c>
      <c r="AL13" s="44">
        <f t="shared" si="14"/>
        <v>12828.254807466066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12828.254807466066</v>
      </c>
      <c r="AN13" s="48">
        <f t="shared" si="15"/>
        <v>14111.080288212674</v>
      </c>
      <c r="AO13" s="47">
        <f t="shared" si="16"/>
        <v>2.3087311237476222</v>
      </c>
      <c r="AP13" s="47">
        <f t="shared" si="17"/>
        <v>2.5877581873612283</v>
      </c>
      <c r="AQ13">
        <v>2020</v>
      </c>
    </row>
    <row r="14" spans="1:43" ht="13.5" customHeight="1">
      <c r="A14" s="55">
        <f>SUM(Y5:Y1000)</f>
        <v>94939</v>
      </c>
      <c r="B14" s="97" t="s">
        <v>112</v>
      </c>
      <c r="C14" s="100">
        <v>18230691</v>
      </c>
      <c r="D14" s="100" t="s">
        <v>113</v>
      </c>
      <c r="E14" s="38" t="s">
        <v>1060</v>
      </c>
      <c r="F14" s="39" t="s">
        <v>1061</v>
      </c>
      <c r="G14" s="39">
        <v>3</v>
      </c>
      <c r="H14" s="39"/>
      <c r="I14" s="40" t="s">
        <v>261</v>
      </c>
      <c r="J14" s="41">
        <v>1</v>
      </c>
      <c r="K14" s="41">
        <v>23031</v>
      </c>
      <c r="L14" s="41">
        <v>3771</v>
      </c>
      <c r="M14" s="42">
        <v>6679</v>
      </c>
      <c r="N14" s="42"/>
      <c r="O14" s="43">
        <v>23031</v>
      </c>
      <c r="P14" s="44">
        <v>3771</v>
      </c>
      <c r="Q14" s="44">
        <v>6679</v>
      </c>
      <c r="R14" s="45"/>
      <c r="S14" s="46"/>
      <c r="T14" s="39">
        <f t="shared" si="0"/>
        <v>3</v>
      </c>
      <c r="U14" s="47">
        <f t="shared" si="1"/>
        <v>8.3149007044914638E-2</v>
      </c>
      <c r="V14" s="48">
        <f t="shared" si="2"/>
        <v>-6679</v>
      </c>
      <c r="W14" s="49">
        <f t="shared" si="3"/>
        <v>2.7716335681638213E-2</v>
      </c>
      <c r="X14" s="44">
        <f t="shared" si="4"/>
        <v>21241.399996847002</v>
      </c>
      <c r="Y14" s="44">
        <f t="shared" si="5"/>
        <v>2908</v>
      </c>
      <c r="Z14" s="44">
        <f t="shared" si="6"/>
        <v>28447.453259723166</v>
      </c>
      <c r="AA14" s="50">
        <f t="shared" si="7"/>
        <v>27920.399996847002</v>
      </c>
      <c r="AB14" s="51">
        <f t="shared" si="8"/>
        <v>26593.861138378204</v>
      </c>
      <c r="AC14" s="44">
        <f t="shared" si="9"/>
        <v>26101.149852152004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2.6658883639788167</v>
      </c>
      <c r="AG14" s="44">
        <f t="shared" si="11"/>
        <v>61398.074910796124</v>
      </c>
      <c r="AH14" s="52">
        <f>HLOOKUP(I14,GasAvoidedCostsWOCC!$A$5:$Q$50,T14+1,FALSE)</f>
        <v>2.6658883639788167</v>
      </c>
      <c r="AI14" s="44">
        <f t="shared" si="12"/>
        <v>10053.065020564118</v>
      </c>
      <c r="AJ14" s="44">
        <f t="shared" si="13"/>
        <v>71451.139931360245</v>
      </c>
      <c r="AK14" s="44">
        <f>HLOOKUP(I14,GasAvoidedCostsWOCC!$A$5:$Q$50,G14+1,FALSE)*J14*L14</f>
        <v>10053.065020564118</v>
      </c>
      <c r="AL14" s="44">
        <f t="shared" si="14"/>
        <v>61398.074910796131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61398.074910796124</v>
      </c>
      <c r="AN14" s="48">
        <f t="shared" si="15"/>
        <v>67537.882401875744</v>
      </c>
      <c r="AO14" s="47">
        <f t="shared" si="16"/>
        <v>2.3087311237476218</v>
      </c>
      <c r="AP14" s="47">
        <f t="shared" si="17"/>
        <v>2.5875443336572905</v>
      </c>
      <c r="AQ14">
        <v>2020</v>
      </c>
    </row>
    <row r="15" spans="1:43" ht="13.5" customHeight="1">
      <c r="A15" s="57" t="s">
        <v>253</v>
      </c>
      <c r="B15" s="97" t="s">
        <v>112</v>
      </c>
      <c r="C15" s="100">
        <v>18230691</v>
      </c>
      <c r="D15" s="100" t="s">
        <v>113</v>
      </c>
      <c r="E15" s="38" t="s">
        <v>1060</v>
      </c>
      <c r="F15" s="39" t="s">
        <v>1061</v>
      </c>
      <c r="G15" s="39">
        <v>3</v>
      </c>
      <c r="H15" s="39"/>
      <c r="I15" s="40" t="s">
        <v>261</v>
      </c>
      <c r="J15" s="41">
        <v>1</v>
      </c>
      <c r="K15" s="41">
        <v>135765</v>
      </c>
      <c r="L15" s="41">
        <v>24394</v>
      </c>
      <c r="M15" s="42">
        <v>38684</v>
      </c>
      <c r="N15" s="42"/>
      <c r="O15" s="43">
        <v>135765</v>
      </c>
      <c r="P15" s="44">
        <v>24394</v>
      </c>
      <c r="Q15" s="44">
        <v>38684</v>
      </c>
      <c r="R15" s="45"/>
      <c r="S15" s="46"/>
      <c r="T15" s="39">
        <f t="shared" si="0"/>
        <v>3</v>
      </c>
      <c r="U15" s="47">
        <f t="shared" si="1"/>
        <v>0.49015348623389504</v>
      </c>
      <c r="V15" s="48">
        <f t="shared" si="2"/>
        <v>-38684</v>
      </c>
      <c r="W15" s="49">
        <f t="shared" si="3"/>
        <v>0.16338449541129835</v>
      </c>
      <c r="X15" s="44">
        <f t="shared" si="4"/>
        <v>125215.52127879525</v>
      </c>
      <c r="Y15" s="44">
        <f t="shared" si="5"/>
        <v>14290</v>
      </c>
      <c r="Z15" s="44">
        <f t="shared" si="6"/>
        <v>167694.34639426495</v>
      </c>
      <c r="AA15" s="50">
        <f t="shared" si="7"/>
        <v>163899.52127879526</v>
      </c>
      <c r="AB15" s="51">
        <f t="shared" si="8"/>
        <v>156767.64176335884</v>
      </c>
      <c r="AC15" s="44">
        <f t="shared" si="9"/>
        <v>153220.08159184374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2.6658883639788167</v>
      </c>
      <c r="AG15" s="44">
        <f t="shared" si="11"/>
        <v>361934.33373558405</v>
      </c>
      <c r="AH15" s="52">
        <f>HLOOKUP(I15,GasAvoidedCostsWOCC!$A$5:$Q$50,T15+1,FALSE)</f>
        <v>2.6658883639788167</v>
      </c>
      <c r="AI15" s="44">
        <f t="shared" si="12"/>
        <v>65031.680750899257</v>
      </c>
      <c r="AJ15" s="44">
        <f t="shared" si="13"/>
        <v>426966.0144864833</v>
      </c>
      <c r="AK15" s="44">
        <f>HLOOKUP(I15,GasAvoidedCostsWOCC!$A$5:$Q$50,G15+1,FALSE)*J15*L15</f>
        <v>65031.680750899257</v>
      </c>
      <c r="AL15" s="44">
        <f t="shared" si="14"/>
        <v>361934.33373558405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361934.33373558405</v>
      </c>
      <c r="AN15" s="48">
        <f t="shared" si="15"/>
        <v>398127.7671091425</v>
      </c>
      <c r="AO15" s="47">
        <f t="shared" si="16"/>
        <v>2.3087311237476218</v>
      </c>
      <c r="AP15" s="47">
        <f t="shared" si="17"/>
        <v>2.598404614936165</v>
      </c>
      <c r="AQ15">
        <v>2020</v>
      </c>
    </row>
    <row r="16" spans="1:43" ht="13.5" customHeight="1">
      <c r="A16" s="54">
        <f>SUM(U5:U999)</f>
        <v>2.9999999999999996</v>
      </c>
      <c r="B16" s="97" t="s">
        <v>112</v>
      </c>
      <c r="C16" s="100">
        <v>18230691</v>
      </c>
      <c r="D16" s="100" t="s">
        <v>113</v>
      </c>
      <c r="E16" s="38" t="s">
        <v>1066</v>
      </c>
      <c r="F16" s="39" t="s">
        <v>1067</v>
      </c>
      <c r="G16" s="39">
        <v>3</v>
      </c>
      <c r="H16" s="39"/>
      <c r="I16" s="40" t="s">
        <v>261</v>
      </c>
      <c r="J16" s="41">
        <v>1</v>
      </c>
      <c r="K16" s="41">
        <v>19263</v>
      </c>
      <c r="L16" s="41">
        <v>3200</v>
      </c>
      <c r="M16" s="42">
        <v>5586</v>
      </c>
      <c r="N16" s="42"/>
      <c r="O16" s="43">
        <v>19263</v>
      </c>
      <c r="P16" s="44">
        <v>3200</v>
      </c>
      <c r="Q16" s="44">
        <v>5586</v>
      </c>
      <c r="R16" s="45"/>
      <c r="S16" s="46"/>
      <c r="T16" s="39">
        <f t="shared" si="0"/>
        <v>3</v>
      </c>
      <c r="U16" s="47">
        <f t="shared" si="1"/>
        <v>6.954536592879991E-2</v>
      </c>
      <c r="V16" s="48">
        <f t="shared" si="2"/>
        <v>-5586</v>
      </c>
      <c r="W16" s="49">
        <f t="shared" si="3"/>
        <v>2.3181788642933302E-2</v>
      </c>
      <c r="X16" s="44">
        <f t="shared" si="4"/>
        <v>17766.188534551857</v>
      </c>
      <c r="Y16" s="44">
        <f t="shared" si="5"/>
        <v>2386</v>
      </c>
      <c r="Z16" s="44">
        <f t="shared" si="6"/>
        <v>23793.291309194014</v>
      </c>
      <c r="AA16" s="50">
        <f t="shared" si="7"/>
        <v>23352.188534551857</v>
      </c>
      <c r="AB16" s="51">
        <f t="shared" si="8"/>
        <v>22242.957192852213</v>
      </c>
      <c r="AC16" s="44">
        <f t="shared" si="9"/>
        <v>21830.595993785038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2.6658883639788167</v>
      </c>
      <c r="AG16" s="44">
        <f t="shared" si="11"/>
        <v>51353.007555323944</v>
      </c>
      <c r="AH16" s="52">
        <f>HLOOKUP(I16,GasAvoidedCostsWOCC!$A$5:$Q$50,T16+1,FALSE)</f>
        <v>2.6658883639788167</v>
      </c>
      <c r="AI16" s="44">
        <f t="shared" si="12"/>
        <v>8530.8427647322133</v>
      </c>
      <c r="AJ16" s="44">
        <f t="shared" si="13"/>
        <v>59883.850320056154</v>
      </c>
      <c r="AK16" s="44">
        <f>HLOOKUP(I16,GasAvoidedCostsWOCC!$A$5:$Q$50,G16+1,FALSE)*J16*L16</f>
        <v>8530.8427647322133</v>
      </c>
      <c r="AL16" s="44">
        <f t="shared" si="14"/>
        <v>51353.007555323944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51353.007555323944</v>
      </c>
      <c r="AN16" s="48">
        <f t="shared" si="15"/>
        <v>56488.308310856344</v>
      </c>
      <c r="AO16" s="47">
        <f t="shared" si="16"/>
        <v>2.3087311237476222</v>
      </c>
      <c r="AP16" s="47">
        <f t="shared" si="17"/>
        <v>2.5875751778347245</v>
      </c>
      <c r="AQ16">
        <v>2020</v>
      </c>
    </row>
    <row r="17" spans="1:43" ht="13.5" customHeight="1">
      <c r="A17" s="58" t="s">
        <v>254</v>
      </c>
      <c r="B17" s="97" t="s">
        <v>112</v>
      </c>
      <c r="C17" s="100">
        <v>18230691</v>
      </c>
      <c r="D17" s="100" t="s">
        <v>113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1026378.5800000002</v>
      </c>
      <c r="B18" s="97" t="s">
        <v>112</v>
      </c>
      <c r="C18" s="100">
        <v>18230691</v>
      </c>
      <c r="D18" s="100" t="s">
        <v>113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112</v>
      </c>
      <c r="C19" s="100">
        <v>18230691</v>
      </c>
      <c r="D19" s="100" t="s">
        <v>113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1004564.5800000002</v>
      </c>
      <c r="B20" s="97" t="s">
        <v>112</v>
      </c>
      <c r="C20" s="100">
        <v>18230691</v>
      </c>
      <c r="D20" s="100" t="s">
        <v>113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(SUM(AM5:AM110)/(SUM(AB5:AB110)))</f>
        <v>2.1190459876392582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(SUM(AN5:AN110)/SUM(AC5:AC110))</f>
        <v>2.3815669002809829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2" si="19">G25+H25</f>
        <v>0</v>
      </c>
      <c r="U25" s="47">
        <f t="shared" ref="U25:U52" si="20">(O25/$A$10)*T25</f>
        <v>0</v>
      </c>
      <c r="V25" s="48">
        <f t="shared" ref="V25:V52" si="21">N25-M25</f>
        <v>0</v>
      </c>
      <c r="W25" s="49">
        <f t="shared" ref="W25:W52" si="22">(O25/A$10)</f>
        <v>0</v>
      </c>
      <c r="X25" s="44">
        <f t="shared" ref="X25:X52" si="23">W25*A$8</f>
        <v>0</v>
      </c>
      <c r="Y25" s="44">
        <f t="shared" ref="Y25:Y52" si="24">Q25-P25</f>
        <v>0</v>
      </c>
      <c r="Z25" s="44">
        <f t="shared" ref="Z25:Z52" si="25">X25+(A$6*W25)</f>
        <v>0</v>
      </c>
      <c r="AA25" s="50">
        <f t="shared" ref="AA25:AA52" si="26">Q25+X25</f>
        <v>0</v>
      </c>
      <c r="AB25" s="51">
        <f t="shared" ref="AB25:AB52" si="27">Z25/(1+GasDiscountRate)^1</f>
        <v>0</v>
      </c>
      <c r="AC25" s="44">
        <f t="shared" ref="AC25:AC52" si="28">AA25/(1+GasDiscountRate)^1</f>
        <v>0</v>
      </c>
      <c r="AD25" s="44">
        <f t="shared" ref="AD25:AD52" si="29">-PV(GasDiscountRate,T25,R25)*J25</f>
        <v>0</v>
      </c>
      <c r="AE25" s="44">
        <f t="shared" ref="AE25:AE52" si="30">-PV(GasDiscountRate,T25,S25)*J25</f>
        <v>0</v>
      </c>
      <c r="AF25" s="52" t="e">
        <f>HLOOKUP(I25,GasAvoidedCostsWOCC!$A$5:$G$50,G25+1,FALSE)</f>
        <v>#N/A</v>
      </c>
      <c r="AG25" s="44" t="e">
        <f t="shared" ref="AG25:AG52" si="31">AF25*J25*K25</f>
        <v>#N/A</v>
      </c>
      <c r="AH25" s="52" t="e">
        <f>HLOOKUP(I25,GasAvoidedCostsWOCC!$A$5:$Q$50,T25+1,FALSE)</f>
        <v>#N/A</v>
      </c>
      <c r="AI25" s="44" t="e">
        <f t="shared" ref="AI25:AI52" si="32">AH25*J25*L25</f>
        <v>#N/A</v>
      </c>
      <c r="AJ25" s="44" t="e">
        <f t="shared" ref="AJ25:AJ52" si="33">AG25+AI25</f>
        <v>#N/A</v>
      </c>
      <c r="AK25" s="44" t="e">
        <f>HLOOKUP(I25,GasAvoidedCostsWOCC!$A$5:$Q$50,G25+1,FALSE)*J25*L25</f>
        <v>#N/A</v>
      </c>
      <c r="AL25" s="44" t="e">
        <f t="shared" ref="AL25:AL52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 t="e">
        <f t="shared" ref="AP25:AP52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52 R5:S52">
    <cfRule type="expression" dxfId="47" priority="2">
      <formula>ISTEXT(M5)</formula>
    </cfRule>
  </conditionalFormatting>
  <conditionalFormatting sqref="M5:N52 R5:S52">
    <cfRule type="notContainsBlanks" dxfId="46" priority="3">
      <formula>LEN(TRIM(M5))&gt;0</formula>
    </cfRule>
  </conditionalFormatting>
  <conditionalFormatting sqref="R5:S52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C6" sqref="C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18231039</v>
      </c>
      <c r="D2" s="20" t="s">
        <v>321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18231039</v>
      </c>
      <c r="D5" s="61" t="s">
        <v>321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1713</v>
      </c>
      <c r="F5" s="39" t="s">
        <v>1714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2021</v>
      </c>
    </row>
    <row r="6" spans="1:43" ht="13.5" customHeight="1">
      <c r="A6" s="53">
        <f>SUMIF('Program Costs'!D:D,C2,'Program Costs'!L:L)</f>
        <v>774806.11</v>
      </c>
      <c r="B6" s="97" t="s">
        <v>31</v>
      </c>
      <c r="C6" s="98">
        <v>18231027</v>
      </c>
      <c r="D6" s="61" t="s">
        <v>164</v>
      </c>
      <c r="E6" s="38" t="s">
        <v>1715</v>
      </c>
      <c r="F6" s="39" t="s">
        <v>1716</v>
      </c>
      <c r="G6" s="39">
        <v>12</v>
      </c>
      <c r="H6" s="39"/>
      <c r="I6" s="40" t="s">
        <v>258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0.53646263550327034</v>
      </c>
      <c r="V6" s="48">
        <f t="shared" si="2"/>
        <v>1088</v>
      </c>
      <c r="W6" s="49">
        <f t="shared" si="3"/>
        <v>4.4705219625272526E-2</v>
      </c>
      <c r="X6" s="44">
        <f t="shared" si="4"/>
        <v>34634.121182000155</v>
      </c>
      <c r="Y6" s="44">
        <f t="shared" si="5"/>
        <v>14144</v>
      </c>
      <c r="Z6" s="44">
        <f t="shared" si="6"/>
        <v>69271.99849655322</v>
      </c>
      <c r="AA6" s="50">
        <f t="shared" si="7"/>
        <v>81278.121182000148</v>
      </c>
      <c r="AB6" s="51">
        <f t="shared" si="8"/>
        <v>64758.342055298883</v>
      </c>
      <c r="AC6" s="44">
        <f t="shared" si="9"/>
        <v>75982.164328316489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1.3340250654931254</v>
      </c>
      <c r="AP6" s="47">
        <f t="shared" ref="AP6:AP24" si="17">AN6/AC6</f>
        <v>8.2889999949213209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1717</v>
      </c>
      <c r="F7" s="39" t="s">
        <v>1716</v>
      </c>
      <c r="G7" s="39">
        <v>12</v>
      </c>
      <c r="H7" s="39"/>
      <c r="I7" s="40" t="s">
        <v>258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0.31678909823530299</v>
      </c>
      <c r="V7" s="48">
        <f t="shared" si="2"/>
        <v>31</v>
      </c>
      <c r="W7" s="49">
        <f t="shared" si="3"/>
        <v>2.6399091519608585E-2</v>
      </c>
      <c r="X7" s="44">
        <f t="shared" si="4"/>
        <v>20451.959356172443</v>
      </c>
      <c r="Y7" s="44">
        <f t="shared" si="5"/>
        <v>186</v>
      </c>
      <c r="Z7" s="44">
        <f t="shared" si="6"/>
        <v>40906.136764014358</v>
      </c>
      <c r="AA7" s="50">
        <f t="shared" si="7"/>
        <v>35637.959356172447</v>
      </c>
      <c r="AB7" s="51">
        <f t="shared" si="8"/>
        <v>38240.7560662002</v>
      </c>
      <c r="AC7" s="44">
        <f t="shared" si="9"/>
        <v>33315.844962300122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1.3340250654931256</v>
      </c>
      <c r="AP7" s="47">
        <f t="shared" si="17"/>
        <v>3.3798209584167558</v>
      </c>
      <c r="AQ7">
        <v>2021</v>
      </c>
    </row>
    <row r="8" spans="1:43" ht="13.5" customHeight="1">
      <c r="A8" s="53">
        <f>SUMIF('Program Costs'!D:D,C2,'Program Costs'!O:O)</f>
        <v>774722.0900000002</v>
      </c>
      <c r="B8" s="97" t="s">
        <v>31</v>
      </c>
      <c r="C8" s="98">
        <v>18231027</v>
      </c>
      <c r="D8" s="61" t="s">
        <v>164</v>
      </c>
      <c r="E8" s="38" t="s">
        <v>1718</v>
      </c>
      <c r="F8" s="39" t="s">
        <v>1719</v>
      </c>
      <c r="G8" s="39">
        <v>12</v>
      </c>
      <c r="H8" s="39"/>
      <c r="I8" s="40" t="s">
        <v>258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0.20384959602408823</v>
      </c>
      <c r="V8" s="48">
        <f t="shared" si="2"/>
        <v>890</v>
      </c>
      <c r="W8" s="49">
        <f t="shared" si="3"/>
        <v>1.6987466335340685E-2</v>
      </c>
      <c r="X8" s="44">
        <f t="shared" si="4"/>
        <v>13160.56542311978</v>
      </c>
      <c r="Y8" s="44">
        <f t="shared" si="5"/>
        <v>1780</v>
      </c>
      <c r="Z8" s="44">
        <f t="shared" si="6"/>
        <v>26322.558133161052</v>
      </c>
      <c r="AA8" s="50">
        <f t="shared" si="7"/>
        <v>28940.56542311978</v>
      </c>
      <c r="AB8" s="51">
        <f t="shared" si="8"/>
        <v>24607.420896663596</v>
      </c>
      <c r="AC8" s="44">
        <f t="shared" si="9"/>
        <v>27054.842874749724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1.3340250654931256</v>
      </c>
      <c r="AP8" s="47">
        <f t="shared" si="17"/>
        <v>3.654502580841076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18231027</v>
      </c>
      <c r="D9" s="61" t="s">
        <v>164</v>
      </c>
      <c r="E9" s="38" t="s">
        <v>1720</v>
      </c>
      <c r="F9" s="39" t="s">
        <v>1721</v>
      </c>
      <c r="G9" s="39">
        <v>12</v>
      </c>
      <c r="H9" s="39"/>
      <c r="I9" s="40" t="s">
        <v>258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7.4155332495825094E-2</v>
      </c>
      <c r="V9" s="48">
        <f t="shared" si="2"/>
        <v>361</v>
      </c>
      <c r="W9" s="49">
        <f t="shared" si="3"/>
        <v>6.1796110413187581E-3</v>
      </c>
      <c r="X9" s="44">
        <f t="shared" si="4"/>
        <v>4787.4811813175456</v>
      </c>
      <c r="Y9" s="44">
        <f t="shared" si="5"/>
        <v>361</v>
      </c>
      <c r="Z9" s="44">
        <f t="shared" si="6"/>
        <v>9575.4815735547818</v>
      </c>
      <c r="AA9" s="50">
        <f t="shared" si="7"/>
        <v>8148.4811813175456</v>
      </c>
      <c r="AB9" s="51">
        <f t="shared" si="8"/>
        <v>8951.5579821957381</v>
      </c>
      <c r="AC9" s="44">
        <f t="shared" si="9"/>
        <v>7617.5387317168788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1.3340250654931256</v>
      </c>
      <c r="AP9" s="47">
        <f t="shared" si="17"/>
        <v>3.7842090881846926</v>
      </c>
      <c r="AQ9">
        <v>2021</v>
      </c>
    </row>
    <row r="10" spans="1:43" ht="13.5" customHeight="1">
      <c r="A10" s="54">
        <f>SUM(O5:O999)</f>
        <v>232053.44</v>
      </c>
      <c r="B10" s="97" t="s">
        <v>31</v>
      </c>
      <c r="C10" s="98">
        <v>18231027</v>
      </c>
      <c r="D10" s="61" t="s">
        <v>164</v>
      </c>
      <c r="E10" s="38" t="s">
        <v>1722</v>
      </c>
      <c r="F10" s="39" t="s">
        <v>1723</v>
      </c>
      <c r="G10" s="39">
        <v>15</v>
      </c>
      <c r="H10" s="39"/>
      <c r="I10" s="40" t="s">
        <v>255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3.8719529432530715E-2</v>
      </c>
      <c r="V10" s="48">
        <f t="shared" si="2"/>
        <v>1909</v>
      </c>
      <c r="W10" s="49">
        <f t="shared" si="3"/>
        <v>2.5813019621687143E-3</v>
      </c>
      <c r="X10" s="44">
        <f t="shared" si="4"/>
        <v>1999.7916510524478</v>
      </c>
      <c r="Y10" s="44">
        <f t="shared" si="5"/>
        <v>1909</v>
      </c>
      <c r="Z10" s="44">
        <f t="shared" si="6"/>
        <v>3999.8001830957564</v>
      </c>
      <c r="AA10" s="50">
        <f t="shared" si="7"/>
        <v>4658.7916510524483</v>
      </c>
      <c r="AB10" s="51">
        <f t="shared" si="8"/>
        <v>3739.1793802895727</v>
      </c>
      <c r="AC10" s="44">
        <f t="shared" si="9"/>
        <v>4355.2319819131044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1.6250058664562252</v>
      </c>
      <c r="AP10" s="47">
        <f t="shared" si="17"/>
        <v>21.644309900977781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18231027</v>
      </c>
      <c r="D11" s="61" t="s">
        <v>164</v>
      </c>
      <c r="E11" s="38" t="s">
        <v>1145</v>
      </c>
      <c r="F11" s="39" t="s">
        <v>1146</v>
      </c>
      <c r="G11" s="39">
        <v>10</v>
      </c>
      <c r="H11" s="39"/>
      <c r="I11" s="40" t="s">
        <v>255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1.7237408762395419E-3</v>
      </c>
      <c r="V11" s="48">
        <f t="shared" si="2"/>
        <v>57</v>
      </c>
      <c r="W11" s="49">
        <f t="shared" si="3"/>
        <v>1.7237408762395419E-4</v>
      </c>
      <c r="X11" s="44">
        <f t="shared" si="4"/>
        <v>133.54201342587297</v>
      </c>
      <c r="Y11" s="44">
        <f t="shared" si="5"/>
        <v>57</v>
      </c>
      <c r="Z11" s="44">
        <f t="shared" si="6"/>
        <v>267.09850972258806</v>
      </c>
      <c r="AA11" s="50">
        <f t="shared" si="7"/>
        <v>190.54201342587297</v>
      </c>
      <c r="AB11" s="51">
        <f t="shared" si="8"/>
        <v>249.69478332484624</v>
      </c>
      <c r="AC11" s="44">
        <f t="shared" si="9"/>
        <v>178.12659009616991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1.1362175296117842</v>
      </c>
      <c r="AP11" s="47">
        <f t="shared" si="17"/>
        <v>20.692177193748829</v>
      </c>
      <c r="AQ11">
        <v>2021</v>
      </c>
    </row>
    <row r="12" spans="1:43" ht="13.5" customHeight="1">
      <c r="A12" s="55">
        <f>SUM(P5:P1000)</f>
        <v>515935</v>
      </c>
      <c r="B12" s="97" t="s">
        <v>31</v>
      </c>
      <c r="C12" s="98">
        <v>18231027</v>
      </c>
      <c r="D12" s="61" t="s">
        <v>164</v>
      </c>
      <c r="E12" s="38" t="s">
        <v>1724</v>
      </c>
      <c r="F12" s="39" t="s">
        <v>1725</v>
      </c>
      <c r="G12" s="39">
        <v>10</v>
      </c>
      <c r="H12" s="39"/>
      <c r="I12" s="40" t="s">
        <v>255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4.0507910591629235E-3</v>
      </c>
      <c r="V12" s="48">
        <f t="shared" si="2"/>
        <v>82</v>
      </c>
      <c r="W12" s="49">
        <f t="shared" si="3"/>
        <v>4.0507910591629237E-4</v>
      </c>
      <c r="X12" s="44">
        <f t="shared" si="4"/>
        <v>313.82373155080148</v>
      </c>
      <c r="Y12" s="44">
        <f t="shared" si="5"/>
        <v>82</v>
      </c>
      <c r="Z12" s="44">
        <f t="shared" si="6"/>
        <v>627.68149784808202</v>
      </c>
      <c r="AA12" s="50">
        <f t="shared" si="7"/>
        <v>545.82373155080154</v>
      </c>
      <c r="AB12" s="51">
        <f t="shared" si="8"/>
        <v>586.78274081338873</v>
      </c>
      <c r="AC12" s="44">
        <f t="shared" si="9"/>
        <v>510.25870015032393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1.1362175296117842</v>
      </c>
      <c r="AP12" s="47">
        <f t="shared" si="17"/>
        <v>16.960794136766765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18231027</v>
      </c>
      <c r="D13" s="61" t="s">
        <v>164</v>
      </c>
      <c r="E13" s="38" t="s">
        <v>1726</v>
      </c>
      <c r="F13" s="39" t="s">
        <v>1727</v>
      </c>
      <c r="G13" s="39">
        <v>12</v>
      </c>
      <c r="H13" s="39"/>
      <c r="I13" s="40" t="s">
        <v>258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1.0485171001989886</v>
      </c>
      <c r="V13" s="48">
        <f t="shared" si="2"/>
        <v>17</v>
      </c>
      <c r="W13" s="49">
        <f t="shared" si="3"/>
        <v>8.7376425016582382E-2</v>
      </c>
      <c r="X13" s="44">
        <f t="shared" si="4"/>
        <v>67692.446605575009</v>
      </c>
      <c r="Y13" s="44">
        <f t="shared" si="5"/>
        <v>629</v>
      </c>
      <c r="Z13" s="44">
        <f t="shared" si="6"/>
        <v>135392.2345783799</v>
      </c>
      <c r="AA13" s="50">
        <f t="shared" si="7"/>
        <v>105321.44660557501</v>
      </c>
      <c r="AB13" s="51">
        <f t="shared" si="8"/>
        <v>126570.28566736457</v>
      </c>
      <c r="AC13" s="44">
        <f t="shared" si="9"/>
        <v>98458.863798798731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1.3340250654931256</v>
      </c>
      <c r="AP13" s="47">
        <f t="shared" si="17"/>
        <v>5.943248054890355</v>
      </c>
      <c r="AQ13">
        <v>2021</v>
      </c>
    </row>
    <row r="14" spans="1:43" ht="13.5" customHeight="1">
      <c r="A14" s="55">
        <f>SUM(Y5:Y1000)</f>
        <v>37184.379999999997</v>
      </c>
      <c r="B14" s="97" t="s">
        <v>31</v>
      </c>
      <c r="C14" s="98">
        <v>18231027</v>
      </c>
      <c r="D14" s="61" t="s">
        <v>164</v>
      </c>
      <c r="E14" s="38" t="s">
        <v>1728</v>
      </c>
      <c r="F14" s="39" t="s">
        <v>1727</v>
      </c>
      <c r="G14" s="39">
        <v>12</v>
      </c>
      <c r="H14" s="39"/>
      <c r="I14" s="40" t="s">
        <v>258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3.7305717165839045</v>
      </c>
      <c r="V14" s="48">
        <f t="shared" si="2"/>
        <v>192</v>
      </c>
      <c r="W14" s="49">
        <f t="shared" si="3"/>
        <v>0.31088097638199202</v>
      </c>
      <c r="X14" s="44">
        <f t="shared" si="4"/>
        <v>240846.35976389755</v>
      </c>
      <c r="Y14" s="44">
        <f t="shared" si="5"/>
        <v>26688</v>
      </c>
      <c r="Z14" s="44">
        <f t="shared" si="6"/>
        <v>481718.83974743064</v>
      </c>
      <c r="AA14" s="50">
        <f t="shared" si="7"/>
        <v>406534.35976389755</v>
      </c>
      <c r="AB14" s="51">
        <f t="shared" si="8"/>
        <v>450330.78409594332</v>
      </c>
      <c r="AC14" s="44">
        <f t="shared" si="9"/>
        <v>380045.20871636673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1.3340250654931256</v>
      </c>
      <c r="AP14" s="47">
        <f t="shared" si="17"/>
        <v>5.6872165296134769</v>
      </c>
      <c r="AQ14">
        <v>2021</v>
      </c>
    </row>
    <row r="15" spans="1:43" ht="13.5" customHeight="1">
      <c r="A15" s="57" t="s">
        <v>253</v>
      </c>
      <c r="B15" s="97" t="s">
        <v>31</v>
      </c>
      <c r="C15" s="98">
        <v>18231027</v>
      </c>
      <c r="D15" s="61" t="s">
        <v>164</v>
      </c>
      <c r="E15" s="38" t="s">
        <v>1729</v>
      </c>
      <c r="F15" s="39" t="s">
        <v>1730</v>
      </c>
      <c r="G15" s="39">
        <v>12</v>
      </c>
      <c r="H15" s="39"/>
      <c r="I15" s="40" t="s">
        <v>258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0.26838645443049669</v>
      </c>
      <c r="V15" s="48">
        <f t="shared" si="2"/>
        <v>901</v>
      </c>
      <c r="W15" s="49">
        <f t="shared" si="3"/>
        <v>2.2365537869208058E-2</v>
      </c>
      <c r="X15" s="44">
        <f t="shared" si="4"/>
        <v>17327.076242007017</v>
      </c>
      <c r="Y15" s="44">
        <f t="shared" si="5"/>
        <v>1802</v>
      </c>
      <c r="Z15" s="44">
        <f t="shared" si="6"/>
        <v>34656.031636505795</v>
      </c>
      <c r="AA15" s="50">
        <f t="shared" si="7"/>
        <v>23129.076242007017</v>
      </c>
      <c r="AB15" s="51">
        <f t="shared" si="8"/>
        <v>32397.898136398795</v>
      </c>
      <c r="AC15" s="44">
        <f t="shared" si="9"/>
        <v>21622.021353657114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1.3340250654931256</v>
      </c>
      <c r="AP15" s="47">
        <f t="shared" si="17"/>
        <v>9.8090532362567195</v>
      </c>
      <c r="AQ15">
        <v>2021</v>
      </c>
    </row>
    <row r="16" spans="1:43" ht="13.5" customHeight="1">
      <c r="A16" s="54">
        <f>SUM(U5:U999)</f>
        <v>12.10154126566708</v>
      </c>
      <c r="B16" s="97" t="s">
        <v>31</v>
      </c>
      <c r="C16" s="98">
        <v>18231027</v>
      </c>
      <c r="D16" s="61" t="s">
        <v>164</v>
      </c>
      <c r="E16" s="38" t="s">
        <v>1731</v>
      </c>
      <c r="F16" s="39" t="s">
        <v>1732</v>
      </c>
      <c r="G16" s="39">
        <v>12</v>
      </c>
      <c r="H16" s="39"/>
      <c r="I16" s="40" t="s">
        <v>258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5.1712226287186261E-2</v>
      </c>
      <c r="V16" s="48">
        <f t="shared" si="2"/>
        <v>-2000</v>
      </c>
      <c r="W16" s="49">
        <f t="shared" si="3"/>
        <v>4.3093521905988551E-3</v>
      </c>
      <c r="X16" s="44">
        <f t="shared" si="4"/>
        <v>3338.5503356468244</v>
      </c>
      <c r="Y16" s="44">
        <f t="shared" si="5"/>
        <v>-4000</v>
      </c>
      <c r="Z16" s="44">
        <f t="shared" si="6"/>
        <v>6677.4627430647015</v>
      </c>
      <c r="AA16" s="50">
        <f t="shared" si="7"/>
        <v>3338.5503356468244</v>
      </c>
      <c r="AB16" s="51">
        <f t="shared" si="8"/>
        <v>6242.3695831211562</v>
      </c>
      <c r="AC16" s="44">
        <f t="shared" si="9"/>
        <v>3121.0155516937684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1.3340250654931254</v>
      </c>
      <c r="AP16" s="47">
        <f t="shared" si="17"/>
        <v>2.9350142892366593</v>
      </c>
      <c r="AQ16">
        <v>2021</v>
      </c>
    </row>
    <row r="17" spans="1:43" ht="13.5" customHeight="1">
      <c r="A17" s="58" t="s">
        <v>254</v>
      </c>
      <c r="B17" s="97" t="s">
        <v>31</v>
      </c>
      <c r="C17" s="98">
        <v>18231027</v>
      </c>
      <c r="D17" s="61" t="s">
        <v>164</v>
      </c>
      <c r="E17" s="38" t="s">
        <v>1733</v>
      </c>
      <c r="F17" s="39" t="s">
        <v>1734</v>
      </c>
      <c r="G17" s="39">
        <v>12</v>
      </c>
      <c r="H17" s="39"/>
      <c r="I17" s="40" t="s">
        <v>258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5.1712226287186261E-2</v>
      </c>
      <c r="V17" s="48">
        <f t="shared" si="2"/>
        <v>286</v>
      </c>
      <c r="W17" s="49">
        <f t="shared" si="3"/>
        <v>4.3093521905988551E-3</v>
      </c>
      <c r="X17" s="44">
        <f t="shared" si="4"/>
        <v>3338.5503356468244</v>
      </c>
      <c r="Y17" s="44">
        <f t="shared" si="5"/>
        <v>1144</v>
      </c>
      <c r="Z17" s="44">
        <f t="shared" si="6"/>
        <v>6677.4627430647015</v>
      </c>
      <c r="AA17" s="50">
        <f t="shared" si="7"/>
        <v>8482.5503356468253</v>
      </c>
      <c r="AB17" s="51">
        <f t="shared" si="8"/>
        <v>6242.3695831211562</v>
      </c>
      <c r="AC17" s="44">
        <f t="shared" si="9"/>
        <v>7929.8404558725106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1.3340250654931254</v>
      </c>
      <c r="AP17" s="47">
        <f t="shared" si="17"/>
        <v>1.1551588322773081</v>
      </c>
      <c r="AQ17">
        <v>2021</v>
      </c>
    </row>
    <row r="18" spans="1:43" ht="13.5" customHeight="1">
      <c r="A18" s="59">
        <f>A6+A8</f>
        <v>1549528.2000000002</v>
      </c>
      <c r="B18" s="97" t="s">
        <v>31</v>
      </c>
      <c r="C18" s="98">
        <v>18231027</v>
      </c>
      <c r="D18" s="61" t="s">
        <v>164</v>
      </c>
      <c r="E18" s="38" t="s">
        <v>1170</v>
      </c>
      <c r="F18" s="39" t="s">
        <v>1171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  <c r="AQ18">
        <v>2021</v>
      </c>
    </row>
    <row r="19" spans="1:43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1735</v>
      </c>
      <c r="F19" s="39" t="s">
        <v>1736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  <c r="AQ19">
        <v>2021</v>
      </c>
    </row>
    <row r="20" spans="1:43" ht="13.5" customHeight="1">
      <c r="A20" s="59">
        <f>A8+SUM(Q5:Q906)</f>
        <v>1327841.4700000002</v>
      </c>
      <c r="B20" s="97" t="s">
        <v>31</v>
      </c>
      <c r="C20" s="98">
        <v>18231027</v>
      </c>
      <c r="D20" s="61" t="s">
        <v>164</v>
      </c>
      <c r="E20" s="38" t="s">
        <v>1737</v>
      </c>
      <c r="F20" s="39" t="s">
        <v>1736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2021</v>
      </c>
    </row>
    <row r="21" spans="1:43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1738</v>
      </c>
      <c r="F21" s="39" t="s">
        <v>1739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  <c r="AQ21">
        <v>2021</v>
      </c>
    </row>
    <row r="22" spans="1:43" ht="13.5" customHeight="1">
      <c r="A22" s="60">
        <f>(SUM(AM5:AM1000)/(SUM(AB5:AB1000)))</f>
        <v>1.3437420973398011</v>
      </c>
      <c r="B22" s="97" t="s">
        <v>31</v>
      </c>
      <c r="C22" s="98">
        <v>18231027</v>
      </c>
      <c r="D22" s="61" t="s">
        <v>164</v>
      </c>
      <c r="E22" s="38" t="s">
        <v>1740</v>
      </c>
      <c r="F22" s="39" t="s">
        <v>1739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  <c r="AQ22">
        <v>2021</v>
      </c>
    </row>
    <row r="23" spans="1:43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1741</v>
      </c>
      <c r="F23" s="39" t="s">
        <v>1742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  <c r="AQ23">
        <v>2021</v>
      </c>
    </row>
    <row r="24" spans="1:43" ht="13.5" customHeight="1">
      <c r="A24" s="60">
        <f>(SUM(AN5:AN1000)/SUM(AC5:AC1000))</f>
        <v>5.3654009482039928</v>
      </c>
      <c r="B24" s="97" t="s">
        <v>31</v>
      </c>
      <c r="C24" s="98">
        <v>18231027</v>
      </c>
      <c r="D24" s="61" t="s">
        <v>164</v>
      </c>
      <c r="E24" s="38" t="s">
        <v>1743</v>
      </c>
      <c r="F24" s="39" t="s">
        <v>1742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31</v>
      </c>
      <c r="C25" s="98">
        <v>18231027</v>
      </c>
      <c r="D25" s="61" t="s">
        <v>164</v>
      </c>
      <c r="E25" s="38" t="s">
        <v>1744</v>
      </c>
      <c r="F25" s="39" t="s">
        <v>1745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  <c r="AQ25">
        <v>2021</v>
      </c>
    </row>
    <row r="26" spans="1:43" ht="13.5" customHeight="1">
      <c r="B26" s="97" t="s">
        <v>31</v>
      </c>
      <c r="C26" s="98">
        <v>18231027</v>
      </c>
      <c r="D26" s="61" t="s">
        <v>164</v>
      </c>
      <c r="E26" s="38" t="s">
        <v>1746</v>
      </c>
      <c r="F26" s="39" t="s">
        <v>1747</v>
      </c>
      <c r="G26" s="39">
        <v>12</v>
      </c>
      <c r="H26" s="39"/>
      <c r="I26" s="40" t="s">
        <v>258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5.2303814155911676E-2</v>
      </c>
      <c r="V26" s="48">
        <f t="shared" si="21"/>
        <v>294.77999999999997</v>
      </c>
      <c r="W26" s="49">
        <f t="shared" si="22"/>
        <v>4.3586511796593064E-3</v>
      </c>
      <c r="X26" s="44">
        <f t="shared" si="23"/>
        <v>3376.7433514866243</v>
      </c>
      <c r="Y26" s="44">
        <f t="shared" si="24"/>
        <v>589.55999999999995</v>
      </c>
      <c r="Z26" s="44">
        <f t="shared" si="25"/>
        <v>6753.8529168453624</v>
      </c>
      <c r="AA26" s="50">
        <f t="shared" si="26"/>
        <v>6966.3033514866238</v>
      </c>
      <c r="AB26" s="51">
        <f t="shared" si="27"/>
        <v>6313.7822911520634</v>
      </c>
      <c r="AC26" s="44">
        <f t="shared" si="28"/>
        <v>6512.3897835716771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1.3340250654931254</v>
      </c>
      <c r="AP26" s="47">
        <f t="shared" si="37"/>
        <v>1.4226756268922951</v>
      </c>
      <c r="AQ26">
        <v>2021</v>
      </c>
    </row>
    <row r="27" spans="1:43" ht="13.5" customHeight="1">
      <c r="B27" s="97" t="s">
        <v>31</v>
      </c>
      <c r="C27" s="98">
        <v>18231027</v>
      </c>
      <c r="D27" s="61" t="s">
        <v>164</v>
      </c>
      <c r="E27" s="38" t="s">
        <v>1748</v>
      </c>
      <c r="F27" s="39" t="s">
        <v>1749</v>
      </c>
      <c r="G27" s="39">
        <v>12</v>
      </c>
      <c r="H27" s="39"/>
      <c r="I27" s="40" t="s">
        <v>258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0.58786458843273348</v>
      </c>
      <c r="V27" s="48">
        <f t="shared" si="21"/>
        <v>648</v>
      </c>
      <c r="W27" s="49">
        <f t="shared" si="22"/>
        <v>4.8988715702727788E-2</v>
      </c>
      <c r="X27" s="44">
        <f t="shared" si="23"/>
        <v>37952.640215633102</v>
      </c>
      <c r="Y27" s="44">
        <f t="shared" si="24"/>
        <v>-22704</v>
      </c>
      <c r="Z27" s="44">
        <f t="shared" si="25"/>
        <v>75909.39646315953</v>
      </c>
      <c r="AA27" s="50">
        <f t="shared" si="26"/>
        <v>43248.640215633102</v>
      </c>
      <c r="AB27" s="51">
        <f t="shared" si="27"/>
        <v>70963.257420921305</v>
      </c>
      <c r="AC27" s="44">
        <f t="shared" si="28"/>
        <v>40430.625610575953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1.3340250654931254</v>
      </c>
      <c r="AP27" s="47">
        <f t="shared" si="37"/>
        <v>2.5756079449377989</v>
      </c>
      <c r="AQ27">
        <v>2021</v>
      </c>
    </row>
    <row r="28" spans="1:43" ht="13.5" customHeight="1">
      <c r="B28" s="97" t="s">
        <v>31</v>
      </c>
      <c r="C28" s="98">
        <v>18231027</v>
      </c>
      <c r="D28" s="61" t="s">
        <v>164</v>
      </c>
      <c r="E28" s="38" t="s">
        <v>1750</v>
      </c>
      <c r="F28" s="39" t="s">
        <v>1751</v>
      </c>
      <c r="G28" s="39">
        <v>12</v>
      </c>
      <c r="H28" s="39"/>
      <c r="I28" s="40" t="s">
        <v>258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0.23094680259857384</v>
      </c>
      <c r="V28" s="48">
        <f t="shared" si="21"/>
        <v>324</v>
      </c>
      <c r="W28" s="49">
        <f t="shared" si="22"/>
        <v>1.9245566883214486E-2</v>
      </c>
      <c r="X28" s="44">
        <f t="shared" si="23"/>
        <v>14909.965798998717</v>
      </c>
      <c r="Y28" s="44">
        <f t="shared" si="24"/>
        <v>3564</v>
      </c>
      <c r="Z28" s="44">
        <f t="shared" si="25"/>
        <v>29821.548610526959</v>
      </c>
      <c r="AA28" s="50">
        <f t="shared" si="26"/>
        <v>29473.965798998717</v>
      </c>
      <c r="AB28" s="51">
        <f t="shared" si="27"/>
        <v>27878.422558219085</v>
      </c>
      <c r="AC28" s="44">
        <f t="shared" si="28"/>
        <v>27553.487705897649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1.3340250654931254</v>
      </c>
      <c r="AP28" s="47">
        <f t="shared" si="37"/>
        <v>1.4847327628227671</v>
      </c>
      <c r="AQ28">
        <v>2021</v>
      </c>
    </row>
    <row r="29" spans="1:43">
      <c r="B29" s="97" t="s">
        <v>31</v>
      </c>
      <c r="C29" s="98">
        <v>18231027</v>
      </c>
      <c r="D29" s="61" t="s">
        <v>164</v>
      </c>
      <c r="E29" s="38" t="s">
        <v>1752</v>
      </c>
      <c r="F29" s="39" t="s">
        <v>1753</v>
      </c>
      <c r="G29" s="39">
        <v>12</v>
      </c>
      <c r="H29" s="39"/>
      <c r="I29" s="40" t="s">
        <v>258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0.50745207655615876</v>
      </c>
      <c r="V29" s="48">
        <f t="shared" si="21"/>
        <v>209</v>
      </c>
      <c r="W29" s="49">
        <f t="shared" si="22"/>
        <v>4.2287673046346563E-2</v>
      </c>
      <c r="X29" s="44">
        <f t="shared" si="23"/>
        <v>32761.194443702287</v>
      </c>
      <c r="Y29" s="44">
        <f t="shared" si="24"/>
        <v>627</v>
      </c>
      <c r="Z29" s="44">
        <f t="shared" si="25"/>
        <v>65525.94189769392</v>
      </c>
      <c r="AA29" s="50">
        <f t="shared" si="26"/>
        <v>40888.19444370229</v>
      </c>
      <c r="AB29" s="51">
        <f t="shared" si="27"/>
        <v>61256.372719167914</v>
      </c>
      <c r="AC29" s="44">
        <f t="shared" si="28"/>
        <v>38223.982839770295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1.3340250654931252</v>
      </c>
      <c r="AP29" s="47">
        <f t="shared" si="37"/>
        <v>3.5299345078240263</v>
      </c>
      <c r="AQ29">
        <v>2021</v>
      </c>
    </row>
    <row r="30" spans="1:43">
      <c r="B30" s="97" t="s">
        <v>31</v>
      </c>
      <c r="C30" s="98">
        <v>18231027</v>
      </c>
      <c r="D30" s="61" t="s">
        <v>164</v>
      </c>
      <c r="E30" s="38" t="s">
        <v>1754</v>
      </c>
      <c r="F30" s="39" t="s">
        <v>1755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  <c r="AQ30">
        <v>2021</v>
      </c>
    </row>
    <row r="31" spans="1:43">
      <c r="B31" s="97" t="s">
        <v>31</v>
      </c>
      <c r="C31" s="98">
        <v>18231027</v>
      </c>
      <c r="D31" s="61" t="s">
        <v>164</v>
      </c>
      <c r="E31" s="38" t="s">
        <v>1202</v>
      </c>
      <c r="F31" s="39" t="s">
        <v>1203</v>
      </c>
      <c r="G31" s="39">
        <v>15</v>
      </c>
      <c r="H31" s="39"/>
      <c r="I31" s="40" t="s">
        <v>258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1.7065034674771468E-2</v>
      </c>
      <c r="V31" s="48">
        <f t="shared" si="21"/>
        <v>59.139999999999986</v>
      </c>
      <c r="W31" s="49">
        <f t="shared" si="22"/>
        <v>1.1376689783180979E-3</v>
      </c>
      <c r="X31" s="44">
        <f t="shared" si="23"/>
        <v>881.37728861076164</v>
      </c>
      <c r="Y31" s="44">
        <f t="shared" si="24"/>
        <v>59.139999999999986</v>
      </c>
      <c r="Z31" s="44">
        <f t="shared" si="25"/>
        <v>1762.8501641690814</v>
      </c>
      <c r="AA31" s="50">
        <f t="shared" si="26"/>
        <v>1140.5172886107616</v>
      </c>
      <c r="AB31" s="51">
        <f t="shared" si="27"/>
        <v>1647.9855699439854</v>
      </c>
      <c r="AC31" s="44">
        <f t="shared" si="28"/>
        <v>1066.2029434521469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1.6222655680464531</v>
      </c>
      <c r="AP31" s="47">
        <f t="shared" si="37"/>
        <v>9.2896201257281117</v>
      </c>
      <c r="AQ31">
        <v>2021</v>
      </c>
    </row>
    <row r="32" spans="1:43">
      <c r="B32" s="97" t="s">
        <v>31</v>
      </c>
      <c r="C32" s="98">
        <v>18231027</v>
      </c>
      <c r="D32" s="61" t="s">
        <v>164</v>
      </c>
      <c r="E32" s="38" t="s">
        <v>1756</v>
      </c>
      <c r="F32" s="39" t="s">
        <v>1757</v>
      </c>
      <c r="G32" s="39">
        <v>15</v>
      </c>
      <c r="H32" s="39"/>
      <c r="I32" s="40" t="s">
        <v>258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0.30975623546024572</v>
      </c>
      <c r="V32" s="48">
        <f t="shared" si="21"/>
        <v>159</v>
      </c>
      <c r="W32" s="49">
        <f t="shared" si="22"/>
        <v>2.0650415697349715E-2</v>
      </c>
      <c r="X32" s="44">
        <f t="shared" si="23"/>
        <v>15998.333208419583</v>
      </c>
      <c r="Y32" s="44">
        <f t="shared" si="24"/>
        <v>1272</v>
      </c>
      <c r="Z32" s="44">
        <f t="shared" si="25"/>
        <v>31998.401464766052</v>
      </c>
      <c r="AA32" s="50">
        <f t="shared" si="26"/>
        <v>37270.333208419586</v>
      </c>
      <c r="AB32" s="51">
        <f t="shared" si="27"/>
        <v>29913.435042316582</v>
      </c>
      <c r="AC32" s="44">
        <f t="shared" si="28"/>
        <v>34841.855855304835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1.6222655680464533</v>
      </c>
      <c r="AP32" s="47">
        <f t="shared" si="37"/>
        <v>5.2096779847156762</v>
      </c>
      <c r="AQ32">
        <v>2021</v>
      </c>
    </row>
    <row r="33" spans="2:43">
      <c r="B33" s="97" t="s">
        <v>31</v>
      </c>
      <c r="C33" s="98">
        <v>18231027</v>
      </c>
      <c r="D33" s="61" t="s">
        <v>164</v>
      </c>
      <c r="E33" s="38" t="s">
        <v>1758</v>
      </c>
      <c r="F33" s="39" t="s">
        <v>1759</v>
      </c>
      <c r="G33" s="39">
        <v>20</v>
      </c>
      <c r="H33" s="39"/>
      <c r="I33" s="40" t="s">
        <v>258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1.3789927009916336E-2</v>
      </c>
      <c r="V33" s="48">
        <f t="shared" si="21"/>
        <v>27.690000000000055</v>
      </c>
      <c r="W33" s="49">
        <f t="shared" si="22"/>
        <v>6.8949635049581678E-4</v>
      </c>
      <c r="X33" s="44">
        <f t="shared" si="23"/>
        <v>534.16805370349186</v>
      </c>
      <c r="Y33" s="44">
        <f t="shared" si="24"/>
        <v>27.690000000000055</v>
      </c>
      <c r="Z33" s="44">
        <f t="shared" si="25"/>
        <v>1068.3940388903522</v>
      </c>
      <c r="AA33" s="50">
        <f t="shared" si="26"/>
        <v>2861.8580537034918</v>
      </c>
      <c r="AB33" s="51">
        <f t="shared" si="27"/>
        <v>998.77913329938497</v>
      </c>
      <c r="AC33" s="44">
        <f t="shared" si="28"/>
        <v>2675.3838026582139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2.0857157645439353</v>
      </c>
      <c r="AP33" s="47">
        <f t="shared" si="37"/>
        <v>8.2126854550257029</v>
      </c>
      <c r="AQ33">
        <v>2021</v>
      </c>
    </row>
    <row r="34" spans="2:43">
      <c r="B34" s="97" t="s">
        <v>31</v>
      </c>
      <c r="C34" s="98">
        <v>18231027</v>
      </c>
      <c r="D34" s="61" t="s">
        <v>164</v>
      </c>
      <c r="E34" s="38" t="s">
        <v>1760</v>
      </c>
      <c r="F34" s="39" t="s">
        <v>1761</v>
      </c>
      <c r="G34" s="39">
        <v>10</v>
      </c>
      <c r="H34" s="39"/>
      <c r="I34" s="40" t="s">
        <v>258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5.3005031944365916E-3</v>
      </c>
      <c r="V34" s="48">
        <f t="shared" si="21"/>
        <v>17.329999999999998</v>
      </c>
      <c r="W34" s="49">
        <f t="shared" si="22"/>
        <v>5.3005031944365914E-4</v>
      </c>
      <c r="X34" s="44">
        <f t="shared" si="23"/>
        <v>410.64169128455933</v>
      </c>
      <c r="Y34" s="44">
        <f t="shared" si="24"/>
        <v>51.989999999999995</v>
      </c>
      <c r="Z34" s="44">
        <f t="shared" si="25"/>
        <v>821.32791739695824</v>
      </c>
      <c r="AA34" s="50">
        <f t="shared" si="26"/>
        <v>537.63169128455934</v>
      </c>
      <c r="AB34" s="51">
        <f t="shared" si="27"/>
        <v>767.81145872390221</v>
      </c>
      <c r="AC34" s="44">
        <f t="shared" si="28"/>
        <v>502.60044057638521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1.134063774033703</v>
      </c>
      <c r="AP34" s="47">
        <f t="shared" si="37"/>
        <v>2.7495634205406767</v>
      </c>
      <c r="AQ34">
        <v>2021</v>
      </c>
    </row>
    <row r="35" spans="2:43">
      <c r="B35" s="97" t="s">
        <v>31</v>
      </c>
      <c r="C35" s="98">
        <v>18231027</v>
      </c>
      <c r="D35" s="61" t="s">
        <v>164</v>
      </c>
      <c r="E35" s="38" t="s">
        <v>1762</v>
      </c>
      <c r="F35" s="39" t="s">
        <v>1763</v>
      </c>
      <c r="G35" s="39">
        <v>10</v>
      </c>
      <c r="H35" s="39"/>
      <c r="I35" s="40" t="s">
        <v>258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4.1369781029749007E-3</v>
      </c>
      <c r="V35" s="48">
        <f t="shared" si="21"/>
        <v>32</v>
      </c>
      <c r="W35" s="49">
        <f t="shared" si="22"/>
        <v>4.1369781029749011E-4</v>
      </c>
      <c r="X35" s="44">
        <f t="shared" si="23"/>
        <v>320.50083222209514</v>
      </c>
      <c r="Y35" s="44">
        <f t="shared" si="24"/>
        <v>32</v>
      </c>
      <c r="Z35" s="44">
        <f t="shared" si="25"/>
        <v>641.03642333421135</v>
      </c>
      <c r="AA35" s="50">
        <f t="shared" si="26"/>
        <v>552.50083222209514</v>
      </c>
      <c r="AB35" s="51">
        <f t="shared" si="27"/>
        <v>599.26747997963105</v>
      </c>
      <c r="AC35" s="44">
        <f t="shared" si="28"/>
        <v>516.50073125371136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1.134063774033703</v>
      </c>
      <c r="AP35" s="47">
        <f t="shared" si="37"/>
        <v>4.9692067253928442</v>
      </c>
      <c r="AQ35">
        <v>2021</v>
      </c>
    </row>
    <row r="36" spans="2:43">
      <c r="B36" s="97" t="s">
        <v>31</v>
      </c>
      <c r="C36" s="61">
        <v>18231027</v>
      </c>
      <c r="D36" s="61" t="s">
        <v>164</v>
      </c>
      <c r="E36" s="38" t="s">
        <v>2120</v>
      </c>
      <c r="F36" s="39" t="s">
        <v>2121</v>
      </c>
      <c r="G36" s="39">
        <v>12</v>
      </c>
      <c r="H36" s="39"/>
      <c r="I36" s="40" t="s">
        <v>258</v>
      </c>
      <c r="J36" s="41">
        <v>3</v>
      </c>
      <c r="K36" s="41">
        <v>714</v>
      </c>
      <c r="L36" s="41"/>
      <c r="M36" s="42">
        <v>2000</v>
      </c>
      <c r="N36" s="42">
        <v>2354</v>
      </c>
      <c r="O36" s="43">
        <v>2142</v>
      </c>
      <c r="P36" s="44">
        <v>6000</v>
      </c>
      <c r="Q36" s="44">
        <v>7062</v>
      </c>
      <c r="R36" s="45">
        <v>0</v>
      </c>
      <c r="S36" s="46"/>
      <c r="T36" s="39">
        <f t="shared" si="19"/>
        <v>12</v>
      </c>
      <c r="U36" s="47">
        <f t="shared" si="20"/>
        <v>0.11076758870715298</v>
      </c>
      <c r="V36" s="48">
        <f t="shared" si="21"/>
        <v>354</v>
      </c>
      <c r="W36" s="49">
        <f t="shared" si="22"/>
        <v>9.2306323922627474E-3</v>
      </c>
      <c r="X36" s="44">
        <f t="shared" si="23"/>
        <v>7151.1748189554974</v>
      </c>
      <c r="Y36" s="44">
        <f t="shared" si="24"/>
        <v>1062</v>
      </c>
      <c r="Z36" s="44">
        <f t="shared" si="25"/>
        <v>14303.12519564459</v>
      </c>
      <c r="AA36" s="50">
        <f t="shared" si="26"/>
        <v>14213.174818955496</v>
      </c>
      <c r="AB36" s="51">
        <f t="shared" si="27"/>
        <v>13371.155647045516</v>
      </c>
      <c r="AC36" s="44">
        <f t="shared" si="28"/>
        <v>13287.066297985879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8.327477491955495</v>
      </c>
      <c r="AG36" s="44">
        <f t="shared" si="31"/>
        <v>17837.456787768671</v>
      </c>
      <c r="AH36" s="52">
        <f>HLOOKUP(I36,GasAvoidedCostsWOCC!$A$5:$Q$50,T36+1,FALSE)</f>
        <v>8.327477491955495</v>
      </c>
      <c r="AI36" s="44">
        <f t="shared" si="32"/>
        <v>0</v>
      </c>
      <c r="AJ36" s="44">
        <f t="shared" si="33"/>
        <v>17837.456787768671</v>
      </c>
      <c r="AK36" s="44">
        <f>HLOOKUP(I36,GasAvoidedCostsWOCC!$A$5:$Q$50,G36+1,FALSE)*J36*L36</f>
        <v>0</v>
      </c>
      <c r="AL36" s="44">
        <f t="shared" si="34"/>
        <v>17837.456787768671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17837.456787768671</v>
      </c>
      <c r="AN36" s="48">
        <f t="shared" si="35"/>
        <v>19621.202466545539</v>
      </c>
      <c r="AO36" s="47">
        <f t="shared" si="36"/>
        <v>1.3340250654931256</v>
      </c>
      <c r="AP36" s="47">
        <f t="shared" si="37"/>
        <v>1.4767144248779598</v>
      </c>
      <c r="AQ36">
        <v>2020</v>
      </c>
    </row>
    <row r="37" spans="2:43">
      <c r="B37" s="97" t="s">
        <v>31</v>
      </c>
      <c r="C37" s="61">
        <v>18231027</v>
      </c>
      <c r="D37" s="61" t="s">
        <v>164</v>
      </c>
      <c r="E37" s="38" t="s">
        <v>2124</v>
      </c>
      <c r="F37" s="39" t="s">
        <v>2125</v>
      </c>
      <c r="G37" s="39">
        <v>12</v>
      </c>
      <c r="H37" s="39"/>
      <c r="I37" s="40" t="s">
        <v>258</v>
      </c>
      <c r="J37" s="41">
        <v>2</v>
      </c>
      <c r="K37" s="41">
        <v>357</v>
      </c>
      <c r="L37" s="41"/>
      <c r="M37" s="42">
        <v>1000</v>
      </c>
      <c r="N37" s="42">
        <v>1177</v>
      </c>
      <c r="O37" s="43">
        <v>714</v>
      </c>
      <c r="P37" s="44">
        <v>2000</v>
      </c>
      <c r="Q37" s="44">
        <v>2354</v>
      </c>
      <c r="R37" s="45">
        <v>0</v>
      </c>
      <c r="S37" s="46"/>
      <c r="T37" s="39">
        <f t="shared" si="19"/>
        <v>12</v>
      </c>
      <c r="U37" s="47">
        <f t="shared" si="20"/>
        <v>3.6922529569050989E-2</v>
      </c>
      <c r="V37" s="48">
        <f t="shared" si="21"/>
        <v>177</v>
      </c>
      <c r="W37" s="49">
        <f t="shared" si="22"/>
        <v>3.0768774640875826E-3</v>
      </c>
      <c r="X37" s="44">
        <f t="shared" si="23"/>
        <v>2383.7249396518328</v>
      </c>
      <c r="Y37" s="44">
        <f t="shared" si="24"/>
        <v>354</v>
      </c>
      <c r="Z37" s="44">
        <f t="shared" si="25"/>
        <v>4767.7083985481968</v>
      </c>
      <c r="AA37" s="50">
        <f t="shared" si="26"/>
        <v>4737.7249396518328</v>
      </c>
      <c r="AB37" s="51">
        <f t="shared" si="27"/>
        <v>4457.0518823485054</v>
      </c>
      <c r="AC37" s="44">
        <f t="shared" si="28"/>
        <v>4429.0220993286266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8.327477491955495</v>
      </c>
      <c r="AG37" s="44">
        <f t="shared" si="31"/>
        <v>5945.8189292562238</v>
      </c>
      <c r="AH37" s="52">
        <f>HLOOKUP(I37,GasAvoidedCostsWOCC!$A$5:$Q$50,T37+1,FALSE)</f>
        <v>8.327477491955495</v>
      </c>
      <c r="AI37" s="44">
        <f t="shared" si="32"/>
        <v>0</v>
      </c>
      <c r="AJ37" s="44">
        <f t="shared" si="33"/>
        <v>5945.8189292562238</v>
      </c>
      <c r="AK37" s="44">
        <f>HLOOKUP(I37,GasAvoidedCostsWOCC!$A$5:$Q$50,G37+1,FALSE)*J37*L37</f>
        <v>0</v>
      </c>
      <c r="AL37" s="44">
        <f t="shared" si="34"/>
        <v>5945.8189292562238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5945.8189292562238</v>
      </c>
      <c r="AN37" s="48">
        <f t="shared" si="35"/>
        <v>6540.4008221818467</v>
      </c>
      <c r="AO37" s="47">
        <f t="shared" si="36"/>
        <v>1.3340250654931256</v>
      </c>
      <c r="AP37" s="47">
        <f t="shared" si="37"/>
        <v>1.4767144248779598</v>
      </c>
      <c r="AQ37">
        <v>2020</v>
      </c>
    </row>
    <row r="38" spans="2:43">
      <c r="B38" s="97" t="s">
        <v>31</v>
      </c>
      <c r="C38" s="61">
        <v>18231027</v>
      </c>
      <c r="D38" s="61" t="s">
        <v>164</v>
      </c>
      <c r="E38" s="38" t="s">
        <v>2130</v>
      </c>
      <c r="F38" s="39" t="s">
        <v>2131</v>
      </c>
      <c r="G38" s="39">
        <v>0</v>
      </c>
      <c r="H38" s="39"/>
      <c r="I38" s="40" t="s">
        <v>258</v>
      </c>
      <c r="J38" s="41">
        <v>11</v>
      </c>
      <c r="K38" s="41">
        <v>0</v>
      </c>
      <c r="L38" s="41"/>
      <c r="M38" s="42">
        <v>50</v>
      </c>
      <c r="N38" s="42">
        <v>50</v>
      </c>
      <c r="O38" s="43">
        <v>0</v>
      </c>
      <c r="P38" s="44">
        <v>550</v>
      </c>
      <c r="Q38" s="44">
        <v>550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550</v>
      </c>
      <c r="AB38" s="51">
        <f t="shared" si="27"/>
        <v>0</v>
      </c>
      <c r="AC38" s="44">
        <f t="shared" si="28"/>
        <v>514.16284939702712</v>
      </c>
      <c r="AD38" s="44">
        <f t="shared" si="29"/>
        <v>0</v>
      </c>
      <c r="AE38" s="44">
        <f t="shared" si="30"/>
        <v>0</v>
      </c>
      <c r="AF38" s="52" t="str">
        <f>HLOOKUP(I38,GasAvoidedCostsWOCC!$A$5:$G$50,G38+1,FALSE)</f>
        <v>Comm Cooking</v>
      </c>
      <c r="AG38" s="44" t="e">
        <f t="shared" si="31"/>
        <v>#VALUE!</v>
      </c>
      <c r="AH38" s="52" t="str">
        <f>HLOOKUP(I38,GasAvoidedCostsWOCC!$A$5:$Q$50,T38+1,FALSE)</f>
        <v>Comm Cooking</v>
      </c>
      <c r="AI38" s="44" t="e">
        <f t="shared" si="32"/>
        <v>#VALUE!</v>
      </c>
      <c r="AJ38" s="44" t="e">
        <f t="shared" si="33"/>
        <v>#VALUE!</v>
      </c>
      <c r="AK38" s="44" t="e">
        <f>HLOOKUP(I38,GasAvoidedCostsWOCC!$A$5:$Q$50,G38+1,FALSE)*J38*L38</f>
        <v>#VALUE!</v>
      </c>
      <c r="AL38" s="44" t="e">
        <f t="shared" si="34"/>
        <v>#VALUE!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31</v>
      </c>
      <c r="C39" s="61">
        <v>18231027</v>
      </c>
      <c r="D39" s="61" t="s">
        <v>164</v>
      </c>
      <c r="E39" s="38" t="s">
        <v>2134</v>
      </c>
      <c r="F39" s="39" t="s">
        <v>2135</v>
      </c>
      <c r="G39" s="39">
        <v>0</v>
      </c>
      <c r="H39" s="39"/>
      <c r="I39" s="40" t="s">
        <v>258</v>
      </c>
      <c r="J39" s="41">
        <v>1</v>
      </c>
      <c r="K39" s="41">
        <v>0</v>
      </c>
      <c r="L39" s="41"/>
      <c r="M39" s="42">
        <v>50</v>
      </c>
      <c r="N39" s="42">
        <v>50</v>
      </c>
      <c r="O39" s="43">
        <v>0</v>
      </c>
      <c r="P39" s="44">
        <v>50</v>
      </c>
      <c r="Q39" s="44">
        <v>50</v>
      </c>
      <c r="R39" s="45">
        <v>0</v>
      </c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50</v>
      </c>
      <c r="AB39" s="51">
        <f t="shared" si="27"/>
        <v>0</v>
      </c>
      <c r="AC39" s="44">
        <f t="shared" si="28"/>
        <v>46.742077217911557</v>
      </c>
      <c r="AD39" s="44">
        <f t="shared" si="29"/>
        <v>0</v>
      </c>
      <c r="AE39" s="44">
        <f t="shared" si="30"/>
        <v>0</v>
      </c>
      <c r="AF39" s="52" t="str">
        <f>HLOOKUP(I39,GasAvoidedCostsWOCC!$A$5:$G$50,G39+1,FALSE)</f>
        <v>Comm Cooking</v>
      </c>
      <c r="AG39" s="44" t="e">
        <f t="shared" si="31"/>
        <v>#VALUE!</v>
      </c>
      <c r="AH39" s="52" t="str">
        <f>HLOOKUP(I39,GasAvoidedCostsWOCC!$A$5:$Q$50,T39+1,FALSE)</f>
        <v>Comm Cooking</v>
      </c>
      <c r="AI39" s="44" t="e">
        <f t="shared" si="32"/>
        <v>#VALUE!</v>
      </c>
      <c r="AJ39" s="44" t="e">
        <f t="shared" si="33"/>
        <v>#VALUE!</v>
      </c>
      <c r="AK39" s="44" t="e">
        <f>HLOOKUP(I39,GasAvoidedCostsWOCC!$A$5:$Q$50,G39+1,FALSE)*J39*L39</f>
        <v>#VALUE!</v>
      </c>
      <c r="AL39" s="44" t="e">
        <f t="shared" si="34"/>
        <v>#VALUE!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31</v>
      </c>
      <c r="C40" s="61">
        <v>18231027</v>
      </c>
      <c r="D40" s="61" t="s">
        <v>164</v>
      </c>
      <c r="E40" s="38" t="s">
        <v>2138</v>
      </c>
      <c r="F40" s="39" t="s">
        <v>2139</v>
      </c>
      <c r="G40" s="39">
        <v>0</v>
      </c>
      <c r="H40" s="39"/>
      <c r="I40" s="40" t="s">
        <v>258</v>
      </c>
      <c r="J40" s="41">
        <v>7</v>
      </c>
      <c r="K40" s="41">
        <v>0</v>
      </c>
      <c r="L40" s="41"/>
      <c r="M40" s="42">
        <v>30</v>
      </c>
      <c r="N40" s="42">
        <v>30</v>
      </c>
      <c r="O40" s="43">
        <v>0</v>
      </c>
      <c r="P40" s="44">
        <v>210</v>
      </c>
      <c r="Q40" s="44">
        <v>210</v>
      </c>
      <c r="R40" s="45">
        <v>0</v>
      </c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210</v>
      </c>
      <c r="AB40" s="51">
        <f t="shared" si="27"/>
        <v>0</v>
      </c>
      <c r="AC40" s="44">
        <f t="shared" si="28"/>
        <v>196.31672431522856</v>
      </c>
      <c r="AD40" s="44">
        <f t="shared" si="29"/>
        <v>0</v>
      </c>
      <c r="AE40" s="44">
        <f t="shared" si="30"/>
        <v>0</v>
      </c>
      <c r="AF40" s="52" t="str">
        <f>HLOOKUP(I40,GasAvoidedCostsWOCC!$A$5:$G$50,G40+1,FALSE)</f>
        <v>Comm Cooking</v>
      </c>
      <c r="AG40" s="44" t="e">
        <f t="shared" si="31"/>
        <v>#VALUE!</v>
      </c>
      <c r="AH40" s="52" t="str">
        <f>HLOOKUP(I40,GasAvoidedCostsWOCC!$A$5:$Q$50,T40+1,FALSE)</f>
        <v>Comm Cooking</v>
      </c>
      <c r="AI40" s="44" t="e">
        <f t="shared" si="32"/>
        <v>#VALUE!</v>
      </c>
      <c r="AJ40" s="44" t="e">
        <f t="shared" si="33"/>
        <v>#VALUE!</v>
      </c>
      <c r="AK40" s="44" t="e">
        <f>HLOOKUP(I40,GasAvoidedCostsWOCC!$A$5:$Q$50,G40+1,FALSE)*J40*L40</f>
        <v>#VALUE!</v>
      </c>
      <c r="AL40" s="44" t="e">
        <f t="shared" si="34"/>
        <v>#VALUE!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31</v>
      </c>
      <c r="C41" s="61">
        <v>18231027</v>
      </c>
      <c r="D41" s="61" t="s">
        <v>164</v>
      </c>
      <c r="E41" s="38" t="s">
        <v>1713</v>
      </c>
      <c r="F41" s="39" t="s">
        <v>1714</v>
      </c>
      <c r="G41" s="39">
        <v>0</v>
      </c>
      <c r="H41" s="39"/>
      <c r="I41" s="40" t="s">
        <v>258</v>
      </c>
      <c r="J41" s="41">
        <v>6</v>
      </c>
      <c r="K41" s="41">
        <v>0</v>
      </c>
      <c r="L41" s="41"/>
      <c r="M41" s="42">
        <v>50</v>
      </c>
      <c r="N41" s="42">
        <v>50</v>
      </c>
      <c r="O41" s="43">
        <v>0</v>
      </c>
      <c r="P41" s="44">
        <v>300</v>
      </c>
      <c r="Q41" s="44">
        <v>300</v>
      </c>
      <c r="R41" s="45">
        <v>0</v>
      </c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300</v>
      </c>
      <c r="AB41" s="51">
        <f t="shared" si="27"/>
        <v>0</v>
      </c>
      <c r="AC41" s="44">
        <f t="shared" si="28"/>
        <v>280.45246330746937</v>
      </c>
      <c r="AD41" s="44">
        <f t="shared" si="29"/>
        <v>0</v>
      </c>
      <c r="AE41" s="44">
        <f t="shared" si="30"/>
        <v>0</v>
      </c>
      <c r="AF41" s="52" t="str">
        <f>HLOOKUP(I41,GasAvoidedCostsWOCC!$A$5:$G$50,G41+1,FALSE)</f>
        <v>Comm Cooking</v>
      </c>
      <c r="AG41" s="44" t="e">
        <f t="shared" si="31"/>
        <v>#VALUE!</v>
      </c>
      <c r="AH41" s="52" t="str">
        <f>HLOOKUP(I41,GasAvoidedCostsWOCC!$A$5:$Q$50,T41+1,FALSE)</f>
        <v>Comm Cooking</v>
      </c>
      <c r="AI41" s="44" t="e">
        <f t="shared" si="32"/>
        <v>#VALUE!</v>
      </c>
      <c r="AJ41" s="44" t="e">
        <f t="shared" si="33"/>
        <v>#VALUE!</v>
      </c>
      <c r="AK41" s="44" t="e">
        <f>HLOOKUP(I41,GasAvoidedCostsWOCC!$A$5:$Q$50,G41+1,FALSE)*J41*L41</f>
        <v>#VALUE!</v>
      </c>
      <c r="AL41" s="44" t="e">
        <f t="shared" si="34"/>
        <v>#VALUE!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 t="s">
        <v>31</v>
      </c>
      <c r="C42" s="61">
        <v>18231027</v>
      </c>
      <c r="D42" s="61" t="s">
        <v>164</v>
      </c>
      <c r="E42" s="38" t="s">
        <v>2140</v>
      </c>
      <c r="F42" s="39" t="s">
        <v>1716</v>
      </c>
      <c r="G42" s="39">
        <v>12</v>
      </c>
      <c r="H42" s="39"/>
      <c r="I42" s="40" t="s">
        <v>258</v>
      </c>
      <c r="J42" s="41">
        <v>12</v>
      </c>
      <c r="K42" s="41">
        <v>798</v>
      </c>
      <c r="L42" s="41"/>
      <c r="M42" s="42">
        <v>2500</v>
      </c>
      <c r="N42" s="42">
        <v>2531</v>
      </c>
      <c r="O42" s="43">
        <v>9576</v>
      </c>
      <c r="P42" s="44">
        <v>30000</v>
      </c>
      <c r="Q42" s="44">
        <v>30372</v>
      </c>
      <c r="R42" s="45">
        <v>0</v>
      </c>
      <c r="S42" s="46"/>
      <c r="T42" s="39">
        <f t="shared" si="19"/>
        <v>12</v>
      </c>
      <c r="U42" s="47">
        <f t="shared" si="20"/>
        <v>0.49519627892609563</v>
      </c>
      <c r="V42" s="48">
        <f t="shared" si="21"/>
        <v>31</v>
      </c>
      <c r="W42" s="49">
        <f t="shared" si="22"/>
        <v>4.1266356577174639E-2</v>
      </c>
      <c r="X42" s="44">
        <f t="shared" si="23"/>
        <v>31969.958014153992</v>
      </c>
      <c r="Y42" s="44">
        <f t="shared" si="24"/>
        <v>372</v>
      </c>
      <c r="Z42" s="44">
        <f t="shared" si="25"/>
        <v>63943.38322758759</v>
      </c>
      <c r="AA42" s="50">
        <f t="shared" si="26"/>
        <v>62341.958014153992</v>
      </c>
      <c r="AB42" s="51">
        <f t="shared" si="27"/>
        <v>59776.931127968201</v>
      </c>
      <c r="AC42" s="44">
        <f t="shared" si="28"/>
        <v>58279.852308267727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8.327477491955495</v>
      </c>
      <c r="AG42" s="44">
        <f t="shared" si="31"/>
        <v>79743.924462965821</v>
      </c>
      <c r="AH42" s="52">
        <f>HLOOKUP(I42,GasAvoidedCostsWOCC!$A$5:$Q$50,T42+1,FALSE)</f>
        <v>8.327477491955495</v>
      </c>
      <c r="AI42" s="44">
        <f t="shared" si="32"/>
        <v>0</v>
      </c>
      <c r="AJ42" s="44">
        <f t="shared" si="33"/>
        <v>79743.924462965821</v>
      </c>
      <c r="AK42" s="44">
        <f>HLOOKUP(I42,GasAvoidedCostsWOCC!$A$5:$Q$50,G42+1,FALSE)*J42*L42</f>
        <v>0</v>
      </c>
      <c r="AL42" s="44">
        <f t="shared" si="34"/>
        <v>79743.924462965821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79743.924462965821</v>
      </c>
      <c r="AN42" s="48">
        <f t="shared" si="35"/>
        <v>87718.316909262416</v>
      </c>
      <c r="AO42" s="47">
        <f t="shared" si="36"/>
        <v>1.3340250654931254</v>
      </c>
      <c r="AP42" s="47">
        <f t="shared" si="37"/>
        <v>1.5051224983426814</v>
      </c>
      <c r="AQ42">
        <v>2020</v>
      </c>
    </row>
    <row r="43" spans="2:43">
      <c r="B43" s="97" t="s">
        <v>31</v>
      </c>
      <c r="C43" s="61">
        <v>18231027</v>
      </c>
      <c r="D43" s="61" t="s">
        <v>164</v>
      </c>
      <c r="E43" s="38" t="s">
        <v>1715</v>
      </c>
      <c r="F43" s="39" t="s">
        <v>1716</v>
      </c>
      <c r="G43" s="39">
        <v>12</v>
      </c>
      <c r="H43" s="39"/>
      <c r="I43" s="40" t="s">
        <v>258</v>
      </c>
      <c r="J43" s="41">
        <v>14</v>
      </c>
      <c r="K43" s="41">
        <v>798</v>
      </c>
      <c r="L43" s="41"/>
      <c r="M43" s="42">
        <v>2500</v>
      </c>
      <c r="N43" s="42">
        <v>3588</v>
      </c>
      <c r="O43" s="43">
        <v>11172</v>
      </c>
      <c r="P43" s="44">
        <v>35000</v>
      </c>
      <c r="Q43" s="44">
        <v>50232</v>
      </c>
      <c r="R43" s="45">
        <v>5171.0200000000004</v>
      </c>
      <c r="S43" s="46">
        <v>0</v>
      </c>
      <c r="T43" s="39">
        <f t="shared" si="19"/>
        <v>12</v>
      </c>
      <c r="U43" s="47">
        <f t="shared" si="20"/>
        <v>0.57772899208044493</v>
      </c>
      <c r="V43" s="48">
        <f t="shared" si="21"/>
        <v>1088</v>
      </c>
      <c r="W43" s="49">
        <f t="shared" si="22"/>
        <v>4.8144082673370413E-2</v>
      </c>
      <c r="X43" s="44">
        <f t="shared" si="23"/>
        <v>37298.284349846326</v>
      </c>
      <c r="Y43" s="44">
        <f t="shared" si="24"/>
        <v>15232</v>
      </c>
      <c r="Z43" s="44">
        <f t="shared" si="25"/>
        <v>74600.61376551885</v>
      </c>
      <c r="AA43" s="50">
        <f t="shared" si="26"/>
        <v>87530.284349846333</v>
      </c>
      <c r="AB43" s="51">
        <f t="shared" si="27"/>
        <v>69739.752982629565</v>
      </c>
      <c r="AC43" s="44">
        <f t="shared" si="28"/>
        <v>81826.946199725455</v>
      </c>
      <c r="AD43" s="44">
        <f t="shared" si="29"/>
        <v>575925.52023981186</v>
      </c>
      <c r="AE43" s="44">
        <f t="shared" si="30"/>
        <v>0</v>
      </c>
      <c r="AF43" s="52">
        <f>HLOOKUP(I43,GasAvoidedCostsWOCC!$A$5:$G$50,G43+1,FALSE)</f>
        <v>8.327477491955495</v>
      </c>
      <c r="AG43" s="44">
        <f t="shared" si="31"/>
        <v>93034.578540126793</v>
      </c>
      <c r="AH43" s="52">
        <f>HLOOKUP(I43,GasAvoidedCostsWOCC!$A$5:$Q$50,T43+1,FALSE)</f>
        <v>8.327477491955495</v>
      </c>
      <c r="AI43" s="44">
        <f t="shared" si="32"/>
        <v>0</v>
      </c>
      <c r="AJ43" s="44">
        <f t="shared" si="33"/>
        <v>93034.578540126793</v>
      </c>
      <c r="AK43" s="44">
        <f>HLOOKUP(I43,GasAvoidedCostsWOCC!$A$5:$Q$50,G43+1,FALSE)*J43*L43</f>
        <v>0</v>
      </c>
      <c r="AL43" s="44">
        <f t="shared" si="34"/>
        <v>93034.578540126793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93034.578540126793</v>
      </c>
      <c r="AN43" s="48">
        <f t="shared" si="35"/>
        <v>678263.55663395138</v>
      </c>
      <c r="AO43" s="47">
        <f t="shared" si="36"/>
        <v>1.3340250654931254</v>
      </c>
      <c r="AP43" s="47">
        <f t="shared" si="37"/>
        <v>8.2889999949213191</v>
      </c>
      <c r="AQ43">
        <v>2020</v>
      </c>
    </row>
    <row r="44" spans="2:43">
      <c r="B44" s="97" t="s">
        <v>31</v>
      </c>
      <c r="C44" s="61">
        <v>18231027</v>
      </c>
      <c r="D44" s="61" t="s">
        <v>164</v>
      </c>
      <c r="E44" s="38" t="s">
        <v>2141</v>
      </c>
      <c r="F44" s="39" t="s">
        <v>2142</v>
      </c>
      <c r="G44" s="39">
        <v>12</v>
      </c>
      <c r="H44" s="39"/>
      <c r="I44" s="40" t="s">
        <v>258</v>
      </c>
      <c r="J44" s="41">
        <v>1</v>
      </c>
      <c r="K44" s="41">
        <v>378</v>
      </c>
      <c r="L44" s="41"/>
      <c r="M44" s="42">
        <v>750</v>
      </c>
      <c r="N44" s="42">
        <v>858</v>
      </c>
      <c r="O44" s="43">
        <v>378</v>
      </c>
      <c r="P44" s="44">
        <v>750</v>
      </c>
      <c r="Q44" s="44">
        <v>858</v>
      </c>
      <c r="R44" s="45">
        <v>0</v>
      </c>
      <c r="S44" s="46">
        <v>0</v>
      </c>
      <c r="T44" s="39">
        <f t="shared" si="19"/>
        <v>12</v>
      </c>
      <c r="U44" s="47">
        <f t="shared" si="20"/>
        <v>1.9547221536556407E-2</v>
      </c>
      <c r="V44" s="48">
        <f t="shared" si="21"/>
        <v>108</v>
      </c>
      <c r="W44" s="49">
        <f t="shared" si="22"/>
        <v>1.6289351280463673E-3</v>
      </c>
      <c r="X44" s="44">
        <f t="shared" si="23"/>
        <v>1261.9720268744995</v>
      </c>
      <c r="Y44" s="44">
        <f t="shared" si="24"/>
        <v>108</v>
      </c>
      <c r="Z44" s="44">
        <f t="shared" si="25"/>
        <v>2524.0809168784572</v>
      </c>
      <c r="AA44" s="50">
        <f t="shared" si="26"/>
        <v>2119.9720268744995</v>
      </c>
      <c r="AB44" s="51">
        <f t="shared" si="27"/>
        <v>2359.6157024197969</v>
      </c>
      <c r="AC44" s="44">
        <f t="shared" si="28"/>
        <v>1981.8379235996067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8.327477491955495</v>
      </c>
      <c r="AG44" s="44">
        <f t="shared" si="31"/>
        <v>3147.7864919591771</v>
      </c>
      <c r="AH44" s="52">
        <f>HLOOKUP(I44,GasAvoidedCostsWOCC!$A$5:$Q$50,T44+1,FALSE)</f>
        <v>8.327477491955495</v>
      </c>
      <c r="AI44" s="44">
        <f t="shared" si="32"/>
        <v>0</v>
      </c>
      <c r="AJ44" s="44">
        <f t="shared" si="33"/>
        <v>3147.7864919591771</v>
      </c>
      <c r="AK44" s="44">
        <f>HLOOKUP(I44,GasAvoidedCostsWOCC!$A$5:$Q$50,G44+1,FALSE)*J44*L44</f>
        <v>0</v>
      </c>
      <c r="AL44" s="44">
        <f t="shared" si="34"/>
        <v>3147.7864919591771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3147.7864919591771</v>
      </c>
      <c r="AN44" s="48">
        <f t="shared" si="35"/>
        <v>3462.5651411550953</v>
      </c>
      <c r="AO44" s="47">
        <f t="shared" si="36"/>
        <v>1.3340250654931256</v>
      </c>
      <c r="AP44" s="47">
        <f t="shared" si="37"/>
        <v>1.7471484927819163</v>
      </c>
      <c r="AQ44">
        <v>2020</v>
      </c>
    </row>
    <row r="45" spans="2:43">
      <c r="B45" s="97" t="s">
        <v>31</v>
      </c>
      <c r="C45" s="61">
        <v>18231027</v>
      </c>
      <c r="D45" s="61" t="s">
        <v>164</v>
      </c>
      <c r="E45" s="38" t="s">
        <v>2151</v>
      </c>
      <c r="F45" s="39" t="s">
        <v>2152</v>
      </c>
      <c r="G45" s="39">
        <v>0</v>
      </c>
      <c r="H45" s="39"/>
      <c r="I45" s="40" t="s">
        <v>258</v>
      </c>
      <c r="J45" s="41">
        <v>1</v>
      </c>
      <c r="K45" s="41">
        <v>0</v>
      </c>
      <c r="L45" s="41"/>
      <c r="M45" s="42">
        <v>50</v>
      </c>
      <c r="N45" s="42">
        <v>50</v>
      </c>
      <c r="O45" s="43">
        <v>0</v>
      </c>
      <c r="P45" s="44">
        <v>50</v>
      </c>
      <c r="Q45" s="44">
        <v>50</v>
      </c>
      <c r="R45" s="45">
        <v>0</v>
      </c>
      <c r="S45" s="46">
        <v>0</v>
      </c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50</v>
      </c>
      <c r="AB45" s="51">
        <f t="shared" si="27"/>
        <v>0</v>
      </c>
      <c r="AC45" s="44">
        <f t="shared" si="28"/>
        <v>46.742077217911557</v>
      </c>
      <c r="AD45" s="44">
        <f t="shared" si="29"/>
        <v>0</v>
      </c>
      <c r="AE45" s="44">
        <f t="shared" si="30"/>
        <v>0</v>
      </c>
      <c r="AF45" s="52" t="str">
        <f>HLOOKUP(I45,GasAvoidedCostsWOCC!$A$5:$G$50,G45+1,FALSE)</f>
        <v>Comm Cooking</v>
      </c>
      <c r="AG45" s="44" t="e">
        <f t="shared" si="31"/>
        <v>#VALUE!</v>
      </c>
      <c r="AH45" s="52" t="str">
        <f>HLOOKUP(I45,GasAvoidedCostsWOCC!$A$5:$Q$50,T45+1,FALSE)</f>
        <v>Comm Cooking</v>
      </c>
      <c r="AI45" s="44" t="e">
        <f t="shared" si="32"/>
        <v>#VALUE!</v>
      </c>
      <c r="AJ45" s="44" t="e">
        <f t="shared" si="33"/>
        <v>#VALUE!</v>
      </c>
      <c r="AK45" s="44" t="e">
        <f>HLOOKUP(I45,GasAvoidedCostsWOCC!$A$5:$Q$50,G45+1,FALSE)*J45*L45</f>
        <v>#VALUE!</v>
      </c>
      <c r="AL45" s="44" t="e">
        <f t="shared" si="34"/>
        <v>#VALUE!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31</v>
      </c>
      <c r="C46" s="61">
        <v>18231027</v>
      </c>
      <c r="D46" s="61" t="s">
        <v>164</v>
      </c>
      <c r="E46" s="38" t="s">
        <v>2153</v>
      </c>
      <c r="F46" s="39" t="s">
        <v>2154</v>
      </c>
      <c r="G46" s="39">
        <v>15</v>
      </c>
      <c r="H46" s="39"/>
      <c r="I46" s="40" t="s">
        <v>255</v>
      </c>
      <c r="J46" s="41">
        <v>1</v>
      </c>
      <c r="K46" s="41">
        <v>261</v>
      </c>
      <c r="L46" s="41"/>
      <c r="M46" s="42">
        <v>250</v>
      </c>
      <c r="N46" s="42">
        <v>1126</v>
      </c>
      <c r="O46" s="43">
        <v>261</v>
      </c>
      <c r="P46" s="44">
        <v>250</v>
      </c>
      <c r="Q46" s="44">
        <v>1126</v>
      </c>
      <c r="R46" s="45"/>
      <c r="S46" s="46">
        <v>0</v>
      </c>
      <c r="T46" s="39">
        <f t="shared" si="19"/>
        <v>15</v>
      </c>
      <c r="U46" s="47">
        <f t="shared" si="20"/>
        <v>1.6871113826194519E-2</v>
      </c>
      <c r="V46" s="48">
        <f t="shared" si="21"/>
        <v>876</v>
      </c>
      <c r="W46" s="49">
        <f t="shared" si="22"/>
        <v>1.1247409217463012E-3</v>
      </c>
      <c r="X46" s="44">
        <f t="shared" si="23"/>
        <v>871.36163760382112</v>
      </c>
      <c r="Y46" s="44">
        <f t="shared" si="24"/>
        <v>876</v>
      </c>
      <c r="Z46" s="44">
        <f t="shared" si="25"/>
        <v>1742.8177759398873</v>
      </c>
      <c r="AA46" s="50">
        <f t="shared" si="26"/>
        <v>1997.3616376038212</v>
      </c>
      <c r="AB46" s="51">
        <f t="shared" si="27"/>
        <v>1629.258461194622</v>
      </c>
      <c r="AC46" s="44">
        <f t="shared" si="28"/>
        <v>1867.2166379394419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10.143887193159781</v>
      </c>
      <c r="AG46" s="44">
        <f t="shared" si="31"/>
        <v>2647.5545574147027</v>
      </c>
      <c r="AH46" s="52">
        <f>HLOOKUP(I46,GasAvoidedCostsWOCC!$A$5:$Q$50,T46+1,FALSE)</f>
        <v>10.143887193159781</v>
      </c>
      <c r="AI46" s="44">
        <f t="shared" si="32"/>
        <v>0</v>
      </c>
      <c r="AJ46" s="44">
        <f t="shared" si="33"/>
        <v>2647.5545574147027</v>
      </c>
      <c r="AK46" s="44">
        <f>HLOOKUP(I46,GasAvoidedCostsWOCC!$A$5:$Q$50,G46+1,FALSE)*J46*L46</f>
        <v>0</v>
      </c>
      <c r="AL46" s="44">
        <f t="shared" si="34"/>
        <v>2647.5545574147027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2647.5545574147027</v>
      </c>
      <c r="AN46" s="48">
        <f t="shared" si="35"/>
        <v>2912.3100131561732</v>
      </c>
      <c r="AO46" s="47">
        <f t="shared" si="36"/>
        <v>1.625005866456225</v>
      </c>
      <c r="AP46" s="47">
        <f t="shared" si="37"/>
        <v>1.5597065460867141</v>
      </c>
      <c r="AQ46">
        <v>2020</v>
      </c>
    </row>
    <row r="47" spans="2:43">
      <c r="B47" s="97" t="s">
        <v>31</v>
      </c>
      <c r="C47" s="61">
        <v>18231027</v>
      </c>
      <c r="D47" s="61" t="s">
        <v>164</v>
      </c>
      <c r="E47" s="38" t="s">
        <v>1722</v>
      </c>
      <c r="F47" s="39" t="s">
        <v>1723</v>
      </c>
      <c r="G47" s="39">
        <v>15</v>
      </c>
      <c r="H47" s="39"/>
      <c r="I47" s="40" t="s">
        <v>255</v>
      </c>
      <c r="J47" s="41">
        <v>1</v>
      </c>
      <c r="K47" s="41">
        <v>599</v>
      </c>
      <c r="L47" s="41"/>
      <c r="M47" s="42">
        <v>750</v>
      </c>
      <c r="N47" s="42">
        <v>2659</v>
      </c>
      <c r="O47" s="43">
        <v>599</v>
      </c>
      <c r="P47" s="44">
        <v>750</v>
      </c>
      <c r="Q47" s="44">
        <v>2659</v>
      </c>
      <c r="R47" s="45">
        <v>9597.84</v>
      </c>
      <c r="S47" s="46"/>
      <c r="T47" s="39">
        <f t="shared" si="19"/>
        <v>15</v>
      </c>
      <c r="U47" s="47">
        <f t="shared" si="20"/>
        <v>3.8719529432530715E-2</v>
      </c>
      <c r="V47" s="48">
        <f t="shared" si="21"/>
        <v>1909</v>
      </c>
      <c r="W47" s="49">
        <f t="shared" si="22"/>
        <v>2.5813019621687143E-3</v>
      </c>
      <c r="X47" s="44">
        <f t="shared" si="23"/>
        <v>1999.7916510524478</v>
      </c>
      <c r="Y47" s="44">
        <f t="shared" si="24"/>
        <v>1909</v>
      </c>
      <c r="Z47" s="44">
        <f t="shared" si="25"/>
        <v>3999.8001830957564</v>
      </c>
      <c r="AA47" s="50">
        <f t="shared" si="26"/>
        <v>4658.7916510524483</v>
      </c>
      <c r="AB47" s="51">
        <f t="shared" si="27"/>
        <v>3739.1793802895727</v>
      </c>
      <c r="AC47" s="44">
        <f t="shared" si="28"/>
        <v>4355.2319819131044</v>
      </c>
      <c r="AD47" s="44">
        <f t="shared" si="29"/>
        <v>87582.183435603903</v>
      </c>
      <c r="AE47" s="44">
        <f t="shared" si="30"/>
        <v>0</v>
      </c>
      <c r="AF47" s="52">
        <f>HLOOKUP(I47,GasAvoidedCostsWOCC!$A$5:$G$50,G47+1,FALSE)</f>
        <v>10.143887193159781</v>
      </c>
      <c r="AG47" s="44">
        <f t="shared" si="31"/>
        <v>6076.1884287027087</v>
      </c>
      <c r="AH47" s="52">
        <f>HLOOKUP(I47,GasAvoidedCostsWOCC!$A$5:$Q$50,T47+1,FALSE)</f>
        <v>10.143887193159781</v>
      </c>
      <c r="AI47" s="44">
        <f t="shared" si="32"/>
        <v>0</v>
      </c>
      <c r="AJ47" s="44">
        <f t="shared" si="33"/>
        <v>6076.1884287027087</v>
      </c>
      <c r="AK47" s="44">
        <f>HLOOKUP(I47,GasAvoidedCostsWOCC!$A$5:$Q$50,G47+1,FALSE)*J47*L47</f>
        <v>0</v>
      </c>
      <c r="AL47" s="44">
        <f t="shared" si="34"/>
        <v>6076.1884287027087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6076.1884287027087</v>
      </c>
      <c r="AN47" s="48">
        <f t="shared" si="35"/>
        <v>94265.990707176883</v>
      </c>
      <c r="AO47" s="47">
        <f t="shared" si="36"/>
        <v>1.6250058664562252</v>
      </c>
      <c r="AP47" s="47">
        <f t="shared" si="37"/>
        <v>21.644309900977781</v>
      </c>
      <c r="AQ47">
        <v>2020</v>
      </c>
    </row>
    <row r="48" spans="2:43">
      <c r="B48" s="97" t="s">
        <v>31</v>
      </c>
      <c r="C48" s="61">
        <v>18231027</v>
      </c>
      <c r="D48" s="61" t="s">
        <v>164</v>
      </c>
      <c r="E48" s="38" t="s">
        <v>2157</v>
      </c>
      <c r="F48" s="39" t="s">
        <v>2158</v>
      </c>
      <c r="G48" s="39">
        <v>20</v>
      </c>
      <c r="H48" s="39"/>
      <c r="I48" s="40" t="s">
        <v>255</v>
      </c>
      <c r="J48" s="41">
        <v>1</v>
      </c>
      <c r="K48" s="41">
        <v>484</v>
      </c>
      <c r="L48" s="41"/>
      <c r="M48" s="42">
        <v>1000</v>
      </c>
      <c r="N48" s="42">
        <v>5882</v>
      </c>
      <c r="O48" s="43">
        <v>484</v>
      </c>
      <c r="P48" s="44">
        <v>1000</v>
      </c>
      <c r="Q48" s="44">
        <v>5882</v>
      </c>
      <c r="R48" s="45">
        <v>5094.05</v>
      </c>
      <c r="S48" s="46">
        <v>0</v>
      </c>
      <c r="T48" s="39">
        <f t="shared" si="19"/>
        <v>20</v>
      </c>
      <c r="U48" s="47">
        <f t="shared" si="20"/>
        <v>4.1714529204996922E-2</v>
      </c>
      <c r="V48" s="48">
        <f t="shared" si="21"/>
        <v>4882</v>
      </c>
      <c r="W48" s="49">
        <f t="shared" si="22"/>
        <v>2.085726460249846E-3</v>
      </c>
      <c r="X48" s="44">
        <f t="shared" si="23"/>
        <v>1615.8583624530631</v>
      </c>
      <c r="Y48" s="44">
        <f t="shared" si="24"/>
        <v>4882</v>
      </c>
      <c r="Z48" s="44">
        <f t="shared" si="25"/>
        <v>3231.8919676433161</v>
      </c>
      <c r="AA48" s="50">
        <f t="shared" si="26"/>
        <v>7497.8583624530629</v>
      </c>
      <c r="AB48" s="51">
        <f t="shared" si="27"/>
        <v>3021.30687823064</v>
      </c>
      <c r="AC48" s="44">
        <f t="shared" si="28"/>
        <v>7009.3094909349002</v>
      </c>
      <c r="AD48" s="44">
        <f t="shared" si="29"/>
        <v>54092.49963294941</v>
      </c>
      <c r="AE48" s="44">
        <f t="shared" si="30"/>
        <v>0</v>
      </c>
      <c r="AF48" s="52">
        <f>HLOOKUP(I48,GasAvoidedCostsWOCC!$A$5:$G$50,G48+1,FALSE)</f>
        <v>13.039482845378327</v>
      </c>
      <c r="AG48" s="44">
        <f t="shared" si="31"/>
        <v>6311.1096971631105</v>
      </c>
      <c r="AH48" s="52">
        <f>HLOOKUP(I48,GasAvoidedCostsWOCC!$A$5:$Q$50,T48+1,FALSE)</f>
        <v>13.039482845378327</v>
      </c>
      <c r="AI48" s="44">
        <f t="shared" si="32"/>
        <v>0</v>
      </c>
      <c r="AJ48" s="44">
        <f t="shared" si="33"/>
        <v>6311.1096971631105</v>
      </c>
      <c r="AK48" s="44">
        <f>HLOOKUP(I48,GasAvoidedCostsWOCC!$A$5:$Q$50,G48+1,FALSE)*J48*L48</f>
        <v>0</v>
      </c>
      <c r="AL48" s="44">
        <f t="shared" si="34"/>
        <v>6311.1096971631105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6311.1096971631105</v>
      </c>
      <c r="AN48" s="48">
        <f t="shared" si="35"/>
        <v>61034.720299828834</v>
      </c>
      <c r="AO48" s="47">
        <f t="shared" si="36"/>
        <v>2.088867484013762</v>
      </c>
      <c r="AP48" s="47">
        <f t="shared" si="37"/>
        <v>8.7076651956608124</v>
      </c>
      <c r="AQ48">
        <v>2020</v>
      </c>
    </row>
    <row r="49" spans="2:43">
      <c r="B49" s="97" t="s">
        <v>31</v>
      </c>
      <c r="C49" s="61">
        <v>18231027</v>
      </c>
      <c r="D49" s="61" t="s">
        <v>164</v>
      </c>
      <c r="E49" s="38" t="s">
        <v>1145</v>
      </c>
      <c r="F49" s="39" t="s">
        <v>1146</v>
      </c>
      <c r="G49" s="39">
        <v>10</v>
      </c>
      <c r="H49" s="39"/>
      <c r="I49" s="40" t="s">
        <v>255</v>
      </c>
      <c r="J49" s="41">
        <v>3</v>
      </c>
      <c r="K49" s="41">
        <v>40</v>
      </c>
      <c r="L49" s="41"/>
      <c r="M49" s="42">
        <v>0</v>
      </c>
      <c r="N49" s="42">
        <v>57</v>
      </c>
      <c r="O49" s="43">
        <v>120</v>
      </c>
      <c r="P49" s="44">
        <v>0</v>
      </c>
      <c r="Q49" s="44">
        <v>171</v>
      </c>
      <c r="R49" s="45"/>
      <c r="S49" s="46">
        <v>0</v>
      </c>
      <c r="T49" s="39">
        <f t="shared" ref="T49:T98" si="38">G49+H49</f>
        <v>10</v>
      </c>
      <c r="U49" s="47">
        <f t="shared" ref="U49:U98" si="39">(O49/$A$10)*T49</f>
        <v>5.1712226287186254E-3</v>
      </c>
      <c r="V49" s="48">
        <f t="shared" ref="V49:V98" si="40">N49-M49</f>
        <v>57</v>
      </c>
      <c r="W49" s="49">
        <f t="shared" ref="W49:W98" si="41">(O49/A$10)</f>
        <v>5.1712226287186258E-4</v>
      </c>
      <c r="X49" s="44">
        <f t="shared" ref="X49:X98" si="42">W49*A$8</f>
        <v>400.62604027761887</v>
      </c>
      <c r="Y49" s="44">
        <f t="shared" ref="Y49:Y98" si="43">Q49-P49</f>
        <v>171</v>
      </c>
      <c r="Z49" s="44">
        <f t="shared" ref="Z49:Z98" si="44">X49+(A$6*W49)</f>
        <v>801.29552916776413</v>
      </c>
      <c r="AA49" s="50">
        <f t="shared" ref="AA49:AA98" si="45">Q49+X49</f>
        <v>571.62604027761881</v>
      </c>
      <c r="AB49" s="51">
        <f t="shared" ref="AB49:AB98" si="46">Z49/(1+GasDiscountRate)^1</f>
        <v>749.08434997453867</v>
      </c>
      <c r="AC49" s="44">
        <f t="shared" ref="AC49:AC98" si="47">AA49/(1+GasDiscountRate)^1</f>
        <v>534.37977028850969</v>
      </c>
      <c r="AD49" s="44">
        <f t="shared" ref="AD49:AD98" si="48">-PV(GasDiscountRate,T49,R49)*J49</f>
        <v>0</v>
      </c>
      <c r="AE49" s="44">
        <f t="shared" ref="AE49:AE98" si="49">-PV(GasDiscountRate,T49,S49)*J49</f>
        <v>0</v>
      </c>
      <c r="AF49" s="52">
        <f>HLOOKUP(I49,GasAvoidedCostsWOCC!$A$5:$G$50,G49+1,FALSE)</f>
        <v>7.0926897466576637</v>
      </c>
      <c r="AG49" s="44">
        <f t="shared" ref="AG49:AG98" si="50">AF49*J49*K49</f>
        <v>851.12276959891972</v>
      </c>
      <c r="AH49" s="52">
        <f>HLOOKUP(I49,GasAvoidedCostsWOCC!$A$5:$Q$50,T49+1,FALSE)</f>
        <v>7.0926897466576637</v>
      </c>
      <c r="AI49" s="44">
        <f t="shared" ref="AI49:AI98" si="51">AH49*J49*L49</f>
        <v>0</v>
      </c>
      <c r="AJ49" s="44">
        <f t="shared" ref="AJ49:AJ98" si="52">AG49+AI49</f>
        <v>851.12276959891972</v>
      </c>
      <c r="AK49" s="44">
        <f>HLOOKUP(I49,GasAvoidedCostsWOCC!$A$5:$Q$50,G49+1,FALSE)*J49*L49</f>
        <v>0</v>
      </c>
      <c r="AL49" s="44">
        <f t="shared" ref="AL49:AL98" si="53">AG49+AI49-AK49</f>
        <v>851.12276959891972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851.1227695989196</v>
      </c>
      <c r="AN49" s="48">
        <f t="shared" ref="AN49:AN98" si="54">AM49*1.1+AD49+AE49</f>
        <v>936.23504655881163</v>
      </c>
      <c r="AO49" s="47">
        <f t="shared" ref="AO49:AO98" si="55">IFERROR(AM49/AB49,0)</f>
        <v>1.1362175296117842</v>
      </c>
      <c r="AP49" s="47">
        <f t="shared" ref="AP49:AP98" si="56">AN49/AC49</f>
        <v>1.752003160698508</v>
      </c>
      <c r="AQ49">
        <v>2020</v>
      </c>
    </row>
    <row r="50" spans="2:43">
      <c r="B50" s="97" t="s">
        <v>31</v>
      </c>
      <c r="C50" s="61">
        <v>18231027</v>
      </c>
      <c r="D50" s="61" t="s">
        <v>164</v>
      </c>
      <c r="E50" s="38" t="s">
        <v>1724</v>
      </c>
      <c r="F50" s="39" t="s">
        <v>1725</v>
      </c>
      <c r="G50" s="39">
        <v>10</v>
      </c>
      <c r="H50" s="39"/>
      <c r="I50" s="40" t="s">
        <v>255</v>
      </c>
      <c r="J50" s="41">
        <v>1</v>
      </c>
      <c r="K50" s="41">
        <v>94</v>
      </c>
      <c r="L50" s="41"/>
      <c r="M50" s="42">
        <v>150</v>
      </c>
      <c r="N50" s="42">
        <v>232</v>
      </c>
      <c r="O50" s="43">
        <v>94</v>
      </c>
      <c r="P50" s="44">
        <v>150</v>
      </c>
      <c r="Q50" s="44">
        <v>232</v>
      </c>
      <c r="R50" s="45">
        <v>1126.21</v>
      </c>
      <c r="S50" s="46"/>
      <c r="T50" s="39">
        <f t="shared" si="38"/>
        <v>10</v>
      </c>
      <c r="U50" s="47">
        <f t="shared" si="39"/>
        <v>4.0507910591629235E-3</v>
      </c>
      <c r="V50" s="48">
        <f t="shared" si="40"/>
        <v>82</v>
      </c>
      <c r="W50" s="49">
        <f t="shared" si="41"/>
        <v>4.0507910591629237E-4</v>
      </c>
      <c r="X50" s="44">
        <f t="shared" si="42"/>
        <v>313.82373155080148</v>
      </c>
      <c r="Y50" s="44">
        <f t="shared" si="43"/>
        <v>82</v>
      </c>
      <c r="Z50" s="44">
        <f t="shared" si="44"/>
        <v>627.68149784808202</v>
      </c>
      <c r="AA50" s="50">
        <f t="shared" si="45"/>
        <v>545.82373155080154</v>
      </c>
      <c r="AB50" s="51">
        <f t="shared" si="46"/>
        <v>586.78274081338873</v>
      </c>
      <c r="AC50" s="44">
        <f t="shared" si="47"/>
        <v>510.25870015032393</v>
      </c>
      <c r="AD50" s="44">
        <f t="shared" si="48"/>
        <v>7921.008649939442</v>
      </c>
      <c r="AE50" s="44">
        <f t="shared" si="49"/>
        <v>0</v>
      </c>
      <c r="AF50" s="52">
        <f>HLOOKUP(I50,GasAvoidedCostsWOCC!$A$5:$G$50,G50+1,FALSE)</f>
        <v>7.0926897466576637</v>
      </c>
      <c r="AG50" s="44">
        <f t="shared" si="50"/>
        <v>666.71283618582038</v>
      </c>
      <c r="AH50" s="52">
        <f>HLOOKUP(I50,GasAvoidedCostsWOCC!$A$5:$Q$50,T50+1,FALSE)</f>
        <v>7.0926897466576637</v>
      </c>
      <c r="AI50" s="44">
        <f t="shared" si="51"/>
        <v>0</v>
      </c>
      <c r="AJ50" s="44">
        <f t="shared" si="52"/>
        <v>666.71283618582038</v>
      </c>
      <c r="AK50" s="44">
        <f>HLOOKUP(I50,GasAvoidedCostsWOCC!$A$5:$Q$50,G50+1,FALSE)*J50*L50</f>
        <v>0</v>
      </c>
      <c r="AL50" s="44">
        <f t="shared" si="53"/>
        <v>666.71283618582038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666.71283618582038</v>
      </c>
      <c r="AN50" s="48">
        <f t="shared" si="54"/>
        <v>8654.3927697438448</v>
      </c>
      <c r="AO50" s="47">
        <f t="shared" si="55"/>
        <v>1.1362175296117842</v>
      </c>
      <c r="AP50" s="47">
        <f t="shared" si="56"/>
        <v>16.960794136766765</v>
      </c>
      <c r="AQ50">
        <v>2020</v>
      </c>
    </row>
    <row r="51" spans="2:43">
      <c r="B51" s="97" t="s">
        <v>31</v>
      </c>
      <c r="C51" s="61">
        <v>18231027</v>
      </c>
      <c r="D51" s="61" t="s">
        <v>164</v>
      </c>
      <c r="E51" s="38" t="s">
        <v>2163</v>
      </c>
      <c r="F51" s="39" t="s">
        <v>2164</v>
      </c>
      <c r="G51" s="39">
        <v>12</v>
      </c>
      <c r="H51" s="39"/>
      <c r="I51" s="40" t="s">
        <v>258</v>
      </c>
      <c r="J51" s="41">
        <v>6</v>
      </c>
      <c r="K51" s="41">
        <v>2104</v>
      </c>
      <c r="L51" s="41"/>
      <c r="M51" s="42">
        <v>4000</v>
      </c>
      <c r="N51" s="42">
        <v>4128</v>
      </c>
      <c r="O51" s="43">
        <v>12624</v>
      </c>
      <c r="P51" s="44">
        <v>24000</v>
      </c>
      <c r="Q51" s="44">
        <v>24768</v>
      </c>
      <c r="R51" s="45">
        <v>0</v>
      </c>
      <c r="S51" s="46">
        <v>0</v>
      </c>
      <c r="T51" s="39">
        <f t="shared" si="38"/>
        <v>12</v>
      </c>
      <c r="U51" s="47">
        <f t="shared" si="39"/>
        <v>0.65281514464943946</v>
      </c>
      <c r="V51" s="48">
        <f t="shared" si="40"/>
        <v>128</v>
      </c>
      <c r="W51" s="49">
        <f t="shared" si="41"/>
        <v>5.440126205411995E-2</v>
      </c>
      <c r="X51" s="44">
        <f t="shared" si="42"/>
        <v>42145.859437205509</v>
      </c>
      <c r="Y51" s="44">
        <f t="shared" si="43"/>
        <v>768</v>
      </c>
      <c r="Z51" s="44">
        <f t="shared" si="44"/>
        <v>84296.289668448793</v>
      </c>
      <c r="AA51" s="50">
        <f t="shared" si="45"/>
        <v>66913.859437205509</v>
      </c>
      <c r="AB51" s="51">
        <f t="shared" si="46"/>
        <v>78803.673617321474</v>
      </c>
      <c r="AC51" s="44">
        <f t="shared" si="47"/>
        <v>62553.855695246799</v>
      </c>
      <c r="AD51" s="44">
        <f t="shared" si="48"/>
        <v>0</v>
      </c>
      <c r="AE51" s="44">
        <f t="shared" si="49"/>
        <v>0</v>
      </c>
      <c r="AF51" s="52">
        <f>HLOOKUP(I51,GasAvoidedCostsWOCC!$A$5:$G$50,G51+1,FALSE)</f>
        <v>8.327477491955495</v>
      </c>
      <c r="AG51" s="44">
        <f t="shared" si="50"/>
        <v>105126.07585844617</v>
      </c>
      <c r="AH51" s="52">
        <f>HLOOKUP(I51,GasAvoidedCostsWOCC!$A$5:$Q$50,T51+1,FALSE)</f>
        <v>8.327477491955495</v>
      </c>
      <c r="AI51" s="44">
        <f t="shared" si="51"/>
        <v>0</v>
      </c>
      <c r="AJ51" s="44">
        <f t="shared" si="52"/>
        <v>105126.07585844617</v>
      </c>
      <c r="AK51" s="44">
        <f>HLOOKUP(I51,GasAvoidedCostsWOCC!$A$5:$Q$50,G51+1,FALSE)*J51*L51</f>
        <v>0</v>
      </c>
      <c r="AL51" s="44">
        <f t="shared" si="53"/>
        <v>105126.07585844617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105126.07585844617</v>
      </c>
      <c r="AN51" s="48">
        <f t="shared" si="54"/>
        <v>115638.6834442908</v>
      </c>
      <c r="AO51" s="47">
        <f t="shared" si="55"/>
        <v>1.3340250654931256</v>
      </c>
      <c r="AP51" s="47">
        <f t="shared" si="56"/>
        <v>1.8486259905011369</v>
      </c>
      <c r="AQ51">
        <v>2020</v>
      </c>
    </row>
    <row r="52" spans="2:43">
      <c r="B52" s="97" t="s">
        <v>31</v>
      </c>
      <c r="C52" s="61">
        <v>18231027</v>
      </c>
      <c r="D52" s="61" t="s">
        <v>164</v>
      </c>
      <c r="E52" s="38" t="s">
        <v>1726</v>
      </c>
      <c r="F52" s="39" t="s">
        <v>1727</v>
      </c>
      <c r="G52" s="39">
        <v>12</v>
      </c>
      <c r="H52" s="39"/>
      <c r="I52" s="40" t="s">
        <v>258</v>
      </c>
      <c r="J52" s="41">
        <v>55</v>
      </c>
      <c r="K52" s="41">
        <v>548</v>
      </c>
      <c r="L52" s="41"/>
      <c r="M52" s="42">
        <v>1000</v>
      </c>
      <c r="N52" s="42">
        <v>1017</v>
      </c>
      <c r="O52" s="43">
        <v>30140</v>
      </c>
      <c r="P52" s="44">
        <v>55000</v>
      </c>
      <c r="Q52" s="44">
        <v>55935</v>
      </c>
      <c r="R52" s="45">
        <v>1357</v>
      </c>
      <c r="S52" s="46">
        <v>0</v>
      </c>
      <c r="T52" s="39">
        <f t="shared" si="38"/>
        <v>12</v>
      </c>
      <c r="U52" s="47">
        <f t="shared" si="39"/>
        <v>1.5586065002957938</v>
      </c>
      <c r="V52" s="48">
        <f t="shared" si="40"/>
        <v>17</v>
      </c>
      <c r="W52" s="49">
        <f t="shared" si="41"/>
        <v>0.12988387502464949</v>
      </c>
      <c r="X52" s="44">
        <f t="shared" si="42"/>
        <v>100623.90711639528</v>
      </c>
      <c r="Y52" s="44">
        <f t="shared" si="43"/>
        <v>935</v>
      </c>
      <c r="Z52" s="44">
        <f t="shared" si="44"/>
        <v>201258.72707597009</v>
      </c>
      <c r="AA52" s="50">
        <f t="shared" si="45"/>
        <v>156558.90711639528</v>
      </c>
      <c r="AB52" s="51">
        <f t="shared" si="46"/>
        <v>188145.01923527164</v>
      </c>
      <c r="AC52" s="44">
        <f t="shared" si="47"/>
        <v>146357.77051172784</v>
      </c>
      <c r="AD52" s="44">
        <f t="shared" si="48"/>
        <v>593751.34614362288</v>
      </c>
      <c r="AE52" s="44">
        <f t="shared" si="49"/>
        <v>0</v>
      </c>
      <c r="AF52" s="52">
        <f>HLOOKUP(I52,GasAvoidedCostsWOCC!$A$5:$G$50,G52+1,FALSE)</f>
        <v>8.327477491955495</v>
      </c>
      <c r="AG52" s="44">
        <f t="shared" si="50"/>
        <v>250990.17160753862</v>
      </c>
      <c r="AH52" s="52">
        <f>HLOOKUP(I52,GasAvoidedCostsWOCC!$A$5:$Q$50,T52+1,FALSE)</f>
        <v>8.327477491955495</v>
      </c>
      <c r="AI52" s="44">
        <f t="shared" si="51"/>
        <v>0</v>
      </c>
      <c r="AJ52" s="44">
        <f t="shared" si="52"/>
        <v>250990.17160753862</v>
      </c>
      <c r="AK52" s="44">
        <f>HLOOKUP(I52,GasAvoidedCostsWOCC!$A$5:$Q$50,G52+1,FALSE)*J52*L52</f>
        <v>0</v>
      </c>
      <c r="AL52" s="44">
        <f t="shared" si="53"/>
        <v>250990.17160753862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250990.17160753865</v>
      </c>
      <c r="AN52" s="48">
        <f t="shared" si="54"/>
        <v>869840.53491191543</v>
      </c>
      <c r="AO52" s="47">
        <f t="shared" si="55"/>
        <v>1.3340250654931258</v>
      </c>
      <c r="AP52" s="47">
        <f t="shared" si="56"/>
        <v>5.943248054890355</v>
      </c>
      <c r="AQ52">
        <v>2020</v>
      </c>
    </row>
    <row r="53" spans="2:43">
      <c r="B53" s="97" t="s">
        <v>31</v>
      </c>
      <c r="C53" s="61">
        <v>18231027</v>
      </c>
      <c r="D53" s="61" t="s">
        <v>164</v>
      </c>
      <c r="E53" s="38" t="s">
        <v>1729</v>
      </c>
      <c r="F53" s="39" t="s">
        <v>1730</v>
      </c>
      <c r="G53" s="39">
        <v>12</v>
      </c>
      <c r="H53" s="39"/>
      <c r="I53" s="40" t="s">
        <v>258</v>
      </c>
      <c r="J53" s="41">
        <v>2</v>
      </c>
      <c r="K53" s="41">
        <v>2595</v>
      </c>
      <c r="L53" s="41"/>
      <c r="M53" s="42">
        <v>2000</v>
      </c>
      <c r="N53" s="42">
        <v>2901</v>
      </c>
      <c r="O53" s="43">
        <v>5190</v>
      </c>
      <c r="P53" s="44">
        <v>4000</v>
      </c>
      <c r="Q53" s="44">
        <v>5802</v>
      </c>
      <c r="R53" s="45">
        <v>10342.030000000001</v>
      </c>
      <c r="S53" s="46">
        <v>0</v>
      </c>
      <c r="T53" s="39">
        <f t="shared" si="38"/>
        <v>12</v>
      </c>
      <c r="U53" s="47">
        <f t="shared" si="39"/>
        <v>0.26838645443049669</v>
      </c>
      <c r="V53" s="48">
        <f t="shared" si="40"/>
        <v>901</v>
      </c>
      <c r="W53" s="49">
        <f t="shared" si="41"/>
        <v>2.2365537869208058E-2</v>
      </c>
      <c r="X53" s="44">
        <f t="shared" si="42"/>
        <v>17327.076242007017</v>
      </c>
      <c r="Y53" s="44">
        <f t="shared" si="43"/>
        <v>1802</v>
      </c>
      <c r="Z53" s="44">
        <f t="shared" si="44"/>
        <v>34656.031636505795</v>
      </c>
      <c r="AA53" s="50">
        <f t="shared" si="45"/>
        <v>23129.076242007017</v>
      </c>
      <c r="AB53" s="51">
        <f t="shared" si="46"/>
        <v>32397.898136398795</v>
      </c>
      <c r="AC53" s="44">
        <f t="shared" si="47"/>
        <v>21622.021353657114</v>
      </c>
      <c r="AD53" s="44">
        <f t="shared" si="48"/>
        <v>164549.98953192827</v>
      </c>
      <c r="AE53" s="44">
        <f t="shared" si="49"/>
        <v>0</v>
      </c>
      <c r="AF53" s="52">
        <f>HLOOKUP(I53,GasAvoidedCostsWOCC!$A$5:$G$50,G53+1,FALSE)</f>
        <v>8.327477491955495</v>
      </c>
      <c r="AG53" s="44">
        <f t="shared" si="50"/>
        <v>43219.608183249016</v>
      </c>
      <c r="AH53" s="52">
        <f>HLOOKUP(I53,GasAvoidedCostsWOCC!$A$5:$Q$50,T53+1,FALSE)</f>
        <v>8.327477491955495</v>
      </c>
      <c r="AI53" s="44">
        <f t="shared" si="51"/>
        <v>0</v>
      </c>
      <c r="AJ53" s="44">
        <f t="shared" si="52"/>
        <v>43219.608183249016</v>
      </c>
      <c r="AK53" s="44">
        <f>HLOOKUP(I53,GasAvoidedCostsWOCC!$A$5:$Q$50,G53+1,FALSE)*J53*L53</f>
        <v>0</v>
      </c>
      <c r="AL53" s="44">
        <f t="shared" si="53"/>
        <v>43219.608183249016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43219.608183249016</v>
      </c>
      <c r="AN53" s="48">
        <f t="shared" si="54"/>
        <v>212091.55853350219</v>
      </c>
      <c r="AO53" s="47">
        <f t="shared" si="55"/>
        <v>1.3340250654931256</v>
      </c>
      <c r="AP53" s="47">
        <f t="shared" si="56"/>
        <v>9.8090532362567195</v>
      </c>
      <c r="AQ53">
        <v>2020</v>
      </c>
    </row>
    <row r="54" spans="2:43">
      <c r="B54" s="97" t="s">
        <v>31</v>
      </c>
      <c r="C54" s="61">
        <v>18231027</v>
      </c>
      <c r="D54" s="61" t="s">
        <v>164</v>
      </c>
      <c r="E54" s="38" t="s">
        <v>1731</v>
      </c>
      <c r="F54" s="39" t="s">
        <v>1732</v>
      </c>
      <c r="G54" s="39">
        <v>12</v>
      </c>
      <c r="H54" s="39"/>
      <c r="I54" s="40" t="s">
        <v>258</v>
      </c>
      <c r="J54" s="41">
        <v>6</v>
      </c>
      <c r="K54" s="41">
        <v>500</v>
      </c>
      <c r="L54" s="41"/>
      <c r="M54" s="42">
        <v>2000</v>
      </c>
      <c r="N54" s="42">
        <v>0</v>
      </c>
      <c r="O54" s="43">
        <v>3000</v>
      </c>
      <c r="P54" s="44">
        <v>12000</v>
      </c>
      <c r="Q54" s="44">
        <v>0</v>
      </c>
      <c r="R54" s="45">
        <v>0</v>
      </c>
      <c r="S54" s="46">
        <v>0</v>
      </c>
      <c r="T54" s="39">
        <f t="shared" si="38"/>
        <v>12</v>
      </c>
      <c r="U54" s="47">
        <f t="shared" si="39"/>
        <v>0.1551366788615588</v>
      </c>
      <c r="V54" s="48">
        <f t="shared" si="40"/>
        <v>-2000</v>
      </c>
      <c r="W54" s="49">
        <f t="shared" si="41"/>
        <v>1.2928056571796565E-2</v>
      </c>
      <c r="X54" s="44">
        <f t="shared" si="42"/>
        <v>10015.651006940472</v>
      </c>
      <c r="Y54" s="44">
        <f t="shared" si="43"/>
        <v>-12000</v>
      </c>
      <c r="Z54" s="44">
        <f t="shared" si="44"/>
        <v>20032.388229194104</v>
      </c>
      <c r="AA54" s="50">
        <f t="shared" si="45"/>
        <v>10015.651006940472</v>
      </c>
      <c r="AB54" s="51">
        <f t="shared" si="46"/>
        <v>18727.10874936347</v>
      </c>
      <c r="AC54" s="44">
        <f t="shared" si="47"/>
        <v>9363.0466550813035</v>
      </c>
      <c r="AD54" s="44">
        <f t="shared" si="48"/>
        <v>0</v>
      </c>
      <c r="AE54" s="44">
        <f t="shared" si="49"/>
        <v>0</v>
      </c>
      <c r="AF54" s="52">
        <f>HLOOKUP(I54,GasAvoidedCostsWOCC!$A$5:$G$50,G54+1,FALSE)</f>
        <v>8.327477491955495</v>
      </c>
      <c r="AG54" s="44">
        <f t="shared" si="50"/>
        <v>24982.432475866484</v>
      </c>
      <c r="AH54" s="52">
        <f>HLOOKUP(I54,GasAvoidedCostsWOCC!$A$5:$Q$50,T54+1,FALSE)</f>
        <v>8.327477491955495</v>
      </c>
      <c r="AI54" s="44">
        <f t="shared" si="51"/>
        <v>0</v>
      </c>
      <c r="AJ54" s="44">
        <f t="shared" si="52"/>
        <v>24982.432475866484</v>
      </c>
      <c r="AK54" s="44">
        <f>HLOOKUP(I54,GasAvoidedCostsWOCC!$A$5:$Q$50,G54+1,FALSE)*J54*L54</f>
        <v>0</v>
      </c>
      <c r="AL54" s="44">
        <f t="shared" si="53"/>
        <v>24982.432475866484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24982.432475866484</v>
      </c>
      <c r="AN54" s="48">
        <f t="shared" si="54"/>
        <v>27480.675723453136</v>
      </c>
      <c r="AO54" s="47">
        <f t="shared" si="55"/>
        <v>1.3340250654931254</v>
      </c>
      <c r="AP54" s="47">
        <f t="shared" si="56"/>
        <v>2.9350142892366597</v>
      </c>
      <c r="AQ54">
        <v>2020</v>
      </c>
    </row>
    <row r="55" spans="2:43">
      <c r="B55" s="97" t="s">
        <v>31</v>
      </c>
      <c r="C55" s="61">
        <v>18231027</v>
      </c>
      <c r="D55" s="61" t="s">
        <v>164</v>
      </c>
      <c r="E55" s="38" t="s">
        <v>1733</v>
      </c>
      <c r="F55" s="39" t="s">
        <v>1734</v>
      </c>
      <c r="G55" s="39">
        <v>12</v>
      </c>
      <c r="H55" s="39"/>
      <c r="I55" s="40" t="s">
        <v>258</v>
      </c>
      <c r="J55" s="41">
        <v>5</v>
      </c>
      <c r="K55" s="41">
        <v>250</v>
      </c>
      <c r="L55" s="41"/>
      <c r="M55" s="42">
        <v>1000</v>
      </c>
      <c r="N55" s="42">
        <v>1286</v>
      </c>
      <c r="O55" s="43">
        <v>1250</v>
      </c>
      <c r="P55" s="44">
        <v>5000</v>
      </c>
      <c r="Q55" s="44">
        <v>6430</v>
      </c>
      <c r="R55" s="45">
        <v>0</v>
      </c>
      <c r="S55" s="46">
        <v>0</v>
      </c>
      <c r="T55" s="39">
        <f t="shared" si="38"/>
        <v>12</v>
      </c>
      <c r="U55" s="47">
        <f t="shared" si="39"/>
        <v>6.4640282858982823E-2</v>
      </c>
      <c r="V55" s="48">
        <f t="shared" si="40"/>
        <v>286</v>
      </c>
      <c r="W55" s="49">
        <f t="shared" si="41"/>
        <v>5.3866902382485688E-3</v>
      </c>
      <c r="X55" s="44">
        <f t="shared" si="42"/>
        <v>4173.1879195585307</v>
      </c>
      <c r="Y55" s="44">
        <f t="shared" si="43"/>
        <v>1430</v>
      </c>
      <c r="Z55" s="44">
        <f t="shared" si="44"/>
        <v>8346.8284288308787</v>
      </c>
      <c r="AA55" s="50">
        <f t="shared" si="45"/>
        <v>10603.187919558532</v>
      </c>
      <c r="AB55" s="51">
        <f t="shared" si="46"/>
        <v>7802.9619789014469</v>
      </c>
      <c r="AC55" s="44">
        <f t="shared" si="47"/>
        <v>9912.3005698406378</v>
      </c>
      <c r="AD55" s="44">
        <f t="shared" si="48"/>
        <v>0</v>
      </c>
      <c r="AE55" s="44">
        <f t="shared" si="49"/>
        <v>0</v>
      </c>
      <c r="AF55" s="52">
        <f>HLOOKUP(I55,GasAvoidedCostsWOCC!$A$5:$G$50,G55+1,FALSE)</f>
        <v>8.327477491955495</v>
      </c>
      <c r="AG55" s="44">
        <f t="shared" si="50"/>
        <v>10409.346864944368</v>
      </c>
      <c r="AH55" s="52">
        <f>HLOOKUP(I55,GasAvoidedCostsWOCC!$A$5:$Q$50,T55+1,FALSE)</f>
        <v>8.327477491955495</v>
      </c>
      <c r="AI55" s="44">
        <f t="shared" si="51"/>
        <v>0</v>
      </c>
      <c r="AJ55" s="44">
        <f t="shared" si="52"/>
        <v>10409.346864944368</v>
      </c>
      <c r="AK55" s="44">
        <f>HLOOKUP(I55,GasAvoidedCostsWOCC!$A$5:$Q$50,G55+1,FALSE)*J55*L55</f>
        <v>0</v>
      </c>
      <c r="AL55" s="44">
        <f t="shared" si="53"/>
        <v>10409.346864944368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10409.346864944368</v>
      </c>
      <c r="AN55" s="48">
        <f t="shared" si="54"/>
        <v>11450.281551438806</v>
      </c>
      <c r="AO55" s="47">
        <f t="shared" si="55"/>
        <v>1.3340250654931252</v>
      </c>
      <c r="AP55" s="47">
        <f t="shared" si="56"/>
        <v>1.1551588322773081</v>
      </c>
      <c r="AQ55">
        <v>2020</v>
      </c>
    </row>
    <row r="56" spans="2:43">
      <c r="B56" s="97" t="s">
        <v>31</v>
      </c>
      <c r="C56" s="61">
        <v>18231027</v>
      </c>
      <c r="D56" s="61" t="s">
        <v>164</v>
      </c>
      <c r="E56" s="38" t="s">
        <v>1170</v>
      </c>
      <c r="F56" s="39" t="s">
        <v>1171</v>
      </c>
      <c r="G56" s="39"/>
      <c r="H56" s="39"/>
      <c r="I56" s="40" t="s">
        <v>258</v>
      </c>
      <c r="J56" s="41">
        <v>1</v>
      </c>
      <c r="K56" s="41">
        <v>0</v>
      </c>
      <c r="L56" s="41"/>
      <c r="M56" s="42">
        <v>25</v>
      </c>
      <c r="N56" s="42">
        <v>25</v>
      </c>
      <c r="O56" s="43">
        <v>0</v>
      </c>
      <c r="P56" s="44">
        <v>25</v>
      </c>
      <c r="Q56" s="44">
        <v>25</v>
      </c>
      <c r="R56" s="45">
        <v>0</v>
      </c>
      <c r="S56" s="46">
        <v>0</v>
      </c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25</v>
      </c>
      <c r="AB56" s="51">
        <f t="shared" si="46"/>
        <v>0</v>
      </c>
      <c r="AC56" s="44">
        <f t="shared" si="47"/>
        <v>23.371038608955779</v>
      </c>
      <c r="AD56" s="44">
        <f t="shared" si="48"/>
        <v>0</v>
      </c>
      <c r="AE56" s="44">
        <f t="shared" si="49"/>
        <v>0</v>
      </c>
      <c r="AF56" s="52" t="str">
        <f>HLOOKUP(I56,GasAvoidedCostsWOCC!$A$5:$G$50,G56+1,FALSE)</f>
        <v>Comm Cooking</v>
      </c>
      <c r="AG56" s="44" t="e">
        <f t="shared" si="50"/>
        <v>#VALUE!</v>
      </c>
      <c r="AH56" s="52" t="str">
        <f>HLOOKUP(I56,GasAvoidedCostsWOCC!$A$5:$Q$50,T56+1,FALSE)</f>
        <v>Comm Cooking</v>
      </c>
      <c r="AI56" s="44" t="e">
        <f t="shared" si="51"/>
        <v>#VALUE!</v>
      </c>
      <c r="AJ56" s="44" t="e">
        <f t="shared" si="52"/>
        <v>#VALUE!</v>
      </c>
      <c r="AK56" s="44" t="e">
        <f>HLOOKUP(I56,GasAvoidedCostsWOCC!$A$5:$Q$50,G56+1,FALSE)*J56*L56</f>
        <v>#VALUE!</v>
      </c>
      <c r="AL56" s="44" t="e">
        <f t="shared" si="53"/>
        <v>#VALUE!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54"/>
        <v>0</v>
      </c>
      <c r="AO56" s="47">
        <f t="shared" si="55"/>
        <v>0</v>
      </c>
      <c r="AP56" s="47">
        <f t="shared" si="56"/>
        <v>0</v>
      </c>
      <c r="AQ56">
        <v>2020</v>
      </c>
    </row>
    <row r="57" spans="2:43">
      <c r="B57" s="97" t="s">
        <v>31</v>
      </c>
      <c r="C57" s="61">
        <v>18231027</v>
      </c>
      <c r="D57" s="61" t="s">
        <v>164</v>
      </c>
      <c r="E57" s="38" t="s">
        <v>1738</v>
      </c>
      <c r="F57" s="39" t="s">
        <v>1739</v>
      </c>
      <c r="G57" s="39"/>
      <c r="H57" s="39"/>
      <c r="I57" s="40" t="s">
        <v>258</v>
      </c>
      <c r="J57" s="41">
        <v>29</v>
      </c>
      <c r="K57" s="41">
        <v>0</v>
      </c>
      <c r="L57" s="41"/>
      <c r="M57" s="42">
        <v>50</v>
      </c>
      <c r="N57" s="42">
        <v>50</v>
      </c>
      <c r="O57" s="43">
        <v>0</v>
      </c>
      <c r="P57" s="44">
        <v>1450</v>
      </c>
      <c r="Q57" s="44">
        <v>1450</v>
      </c>
      <c r="R57" s="45">
        <v>0</v>
      </c>
      <c r="S57" s="46">
        <v>0</v>
      </c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1450</v>
      </c>
      <c r="AB57" s="51">
        <f t="shared" si="46"/>
        <v>0</v>
      </c>
      <c r="AC57" s="44">
        <f t="shared" si="47"/>
        <v>1355.5202393194352</v>
      </c>
      <c r="AD57" s="44">
        <f t="shared" si="48"/>
        <v>0</v>
      </c>
      <c r="AE57" s="44">
        <f t="shared" si="49"/>
        <v>0</v>
      </c>
      <c r="AF57" s="52" t="str">
        <f>HLOOKUP(I57,GasAvoidedCostsWOCC!$A$5:$G$50,G57+1,FALSE)</f>
        <v>Comm Cooking</v>
      </c>
      <c r="AG57" s="44" t="e">
        <f t="shared" si="50"/>
        <v>#VALUE!</v>
      </c>
      <c r="AH57" s="52" t="str">
        <f>HLOOKUP(I57,GasAvoidedCostsWOCC!$A$5:$Q$50,T57+1,FALSE)</f>
        <v>Comm Cooking</v>
      </c>
      <c r="AI57" s="44" t="e">
        <f t="shared" si="51"/>
        <v>#VALUE!</v>
      </c>
      <c r="AJ57" s="44" t="e">
        <f t="shared" si="52"/>
        <v>#VALUE!</v>
      </c>
      <c r="AK57" s="44" t="e">
        <f>HLOOKUP(I57,GasAvoidedCostsWOCC!$A$5:$Q$50,G57+1,FALSE)*J57*L57</f>
        <v>#VALUE!</v>
      </c>
      <c r="AL57" s="44" t="e">
        <f t="shared" si="53"/>
        <v>#VALUE!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>
        <f t="shared" si="56"/>
        <v>0</v>
      </c>
      <c r="AQ57">
        <v>2020</v>
      </c>
    </row>
    <row r="58" spans="2:43">
      <c r="B58" s="97" t="s">
        <v>31</v>
      </c>
      <c r="C58" s="61">
        <v>18231027</v>
      </c>
      <c r="D58" s="61" t="s">
        <v>164</v>
      </c>
      <c r="E58" s="38" t="s">
        <v>1741</v>
      </c>
      <c r="F58" s="39" t="s">
        <v>1742</v>
      </c>
      <c r="G58" s="39"/>
      <c r="H58" s="39"/>
      <c r="I58" s="40" t="s">
        <v>258</v>
      </c>
      <c r="J58" s="41">
        <v>4</v>
      </c>
      <c r="K58" s="41">
        <v>0</v>
      </c>
      <c r="L58" s="41"/>
      <c r="M58" s="42">
        <v>50</v>
      </c>
      <c r="N58" s="42">
        <v>50</v>
      </c>
      <c r="O58" s="43">
        <v>0</v>
      </c>
      <c r="P58" s="44">
        <v>200</v>
      </c>
      <c r="Q58" s="44">
        <v>200</v>
      </c>
      <c r="R58" s="45">
        <v>0</v>
      </c>
      <c r="S58" s="46">
        <v>0</v>
      </c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200</v>
      </c>
      <c r="AB58" s="51">
        <f t="shared" si="46"/>
        <v>0</v>
      </c>
      <c r="AC58" s="44">
        <f t="shared" si="47"/>
        <v>186.96830887164623</v>
      </c>
      <c r="AD58" s="44">
        <f t="shared" si="48"/>
        <v>0</v>
      </c>
      <c r="AE58" s="44">
        <f t="shared" si="49"/>
        <v>0</v>
      </c>
      <c r="AF58" s="52" t="str">
        <f>HLOOKUP(I58,GasAvoidedCostsWOCC!$A$5:$G$50,G58+1,FALSE)</f>
        <v>Comm Cooking</v>
      </c>
      <c r="AG58" s="44" t="e">
        <f t="shared" si="50"/>
        <v>#VALUE!</v>
      </c>
      <c r="AH58" s="52" t="str">
        <f>HLOOKUP(I58,GasAvoidedCostsWOCC!$A$5:$Q$50,T58+1,FALSE)</f>
        <v>Comm Cooking</v>
      </c>
      <c r="AI58" s="44" t="e">
        <f t="shared" si="51"/>
        <v>#VALUE!</v>
      </c>
      <c r="AJ58" s="44" t="e">
        <f t="shared" si="52"/>
        <v>#VALUE!</v>
      </c>
      <c r="AK58" s="44" t="e">
        <f>HLOOKUP(I58,GasAvoidedCostsWOCC!$A$5:$Q$50,G58+1,FALSE)*J58*L58</f>
        <v>#VALUE!</v>
      </c>
      <c r="AL58" s="44" t="e">
        <f t="shared" si="53"/>
        <v>#VALUE!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54"/>
        <v>0</v>
      </c>
      <c r="AO58" s="47">
        <f t="shared" si="55"/>
        <v>0</v>
      </c>
      <c r="AP58" s="47">
        <f t="shared" si="56"/>
        <v>0</v>
      </c>
      <c r="AQ58">
        <v>2020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HLOOKUP(I59,GasAvoidedCostsWOCC!$A$5:$G$50,G59+1,FALSE)</f>
        <v>#N/A</v>
      </c>
      <c r="AG59" s="44" t="e">
        <f t="shared" si="50"/>
        <v>#N/A</v>
      </c>
      <c r="AH59" s="52" t="e">
        <f>HLOOKUP(I59,GasAvoidedCostsWOCC!$A$5:$Q$50,T59+1,FALSE)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HLOOKUP(I59,GasAvoidedCostsWOCC!$A$5:$Q$50,G59+1,FALSE)*J59*L59</f>
        <v>#N/A</v>
      </c>
      <c r="AL59" s="44" t="e">
        <f t="shared" si="5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HLOOKUP(I60,GasAvoidedCostsWOCC!$A$5:$G$50,G60+1,FALSE)</f>
        <v>#N/A</v>
      </c>
      <c r="AG60" s="44" t="e">
        <f t="shared" si="50"/>
        <v>#N/A</v>
      </c>
      <c r="AH60" s="52" t="e">
        <f>HLOOKUP(I60,GasAvoidedCostsWOCC!$A$5:$Q$50,T60+1,FALSE)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HLOOKUP(I60,GasAvoidedCostsWOCC!$A$5:$Q$50,G60+1,FALSE)*J60*L60</f>
        <v>#N/A</v>
      </c>
      <c r="AL60" s="44" t="e">
        <f t="shared" si="5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HLOOKUP(I61,GasAvoidedCostsWOCC!$A$5:$G$50,G61+1,FALSE)</f>
        <v>#N/A</v>
      </c>
      <c r="AG61" s="44" t="e">
        <f t="shared" si="50"/>
        <v>#N/A</v>
      </c>
      <c r="AH61" s="52" t="e">
        <f>HLOOKUP(I61,GasAvoidedCostsWOCC!$A$5:$Q$50,T61+1,FALSE)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HLOOKUP(I61,GasAvoidedCostsWOCC!$A$5:$Q$50,G61+1,FALSE)*J61*L61</f>
        <v>#N/A</v>
      </c>
      <c r="AL61" s="44" t="e">
        <f t="shared" si="5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HLOOKUP(I62,GasAvoidedCostsWOCC!$A$5:$G$50,G62+1,FALSE)</f>
        <v>#N/A</v>
      </c>
      <c r="AG62" s="44" t="e">
        <f t="shared" si="50"/>
        <v>#N/A</v>
      </c>
      <c r="AH62" s="52" t="e">
        <f>HLOOKUP(I62,GasAvoidedCostsWOCC!$A$5:$Q$50,T62+1,FALSE)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HLOOKUP(I62,GasAvoidedCostsWOCC!$A$5:$Q$50,G62+1,FALSE)*J62*L62</f>
        <v>#N/A</v>
      </c>
      <c r="AL62" s="44" t="e">
        <f t="shared" si="5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HLOOKUP(I63,GasAvoidedCostsWOCC!$A$5:$G$50,G63+1,FALSE)</f>
        <v>#N/A</v>
      </c>
      <c r="AG63" s="44" t="e">
        <f t="shared" si="50"/>
        <v>#N/A</v>
      </c>
      <c r="AH63" s="52" t="e">
        <f>HLOOKUP(I63,GasAvoidedCostsWOCC!$A$5:$Q$50,T63+1,FALSE)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HLOOKUP(I63,GasAvoidedCostsWOCC!$A$5:$Q$50,G63+1,FALSE)*J63*L63</f>
        <v>#N/A</v>
      </c>
      <c r="AL63" s="44" t="e">
        <f t="shared" si="5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HLOOKUP(I64,GasAvoidedCostsWOCC!$A$5:$G$50,G64+1,FALSE)</f>
        <v>#N/A</v>
      </c>
      <c r="AG64" s="44" t="e">
        <f t="shared" si="50"/>
        <v>#N/A</v>
      </c>
      <c r="AH64" s="52" t="e">
        <f>HLOOKUP(I64,GasAvoidedCostsWOCC!$A$5:$Q$50,T64+1,FALSE)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HLOOKUP(I64,GasAvoidedCostsWOCC!$A$5:$Q$50,G64+1,FALSE)*J64*L64</f>
        <v>#N/A</v>
      </c>
      <c r="AL64" s="44" t="e">
        <f t="shared" si="5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HLOOKUP(I65,GasAvoidedCostsWOCC!$A$5:$G$50,G65+1,FALSE)</f>
        <v>#N/A</v>
      </c>
      <c r="AG65" s="44" t="e">
        <f t="shared" si="50"/>
        <v>#N/A</v>
      </c>
      <c r="AH65" s="52" t="e">
        <f>HLOOKUP(I65,GasAvoidedCostsWOCC!$A$5:$Q$50,T65+1,FALSE)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HLOOKUP(I65,GasAvoidedCostsWOCC!$A$5:$Q$50,G65+1,FALSE)*J65*L65</f>
        <v>#N/A</v>
      </c>
      <c r="AL65" s="44" t="e">
        <f t="shared" si="5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HLOOKUP(I66,GasAvoidedCostsWOCC!$A$5:$G$50,G66+1,FALSE)</f>
        <v>#N/A</v>
      </c>
      <c r="AG66" s="44" t="e">
        <f t="shared" si="50"/>
        <v>#N/A</v>
      </c>
      <c r="AH66" s="52" t="e">
        <f>HLOOKUP(I66,GasAvoidedCostsWOCC!$A$5:$Q$50,T66+1,FALSE)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HLOOKUP(I66,GasAvoidedCostsWOCC!$A$5:$Q$50,G66+1,FALSE)*J66*L66</f>
        <v>#N/A</v>
      </c>
      <c r="AL66" s="44" t="e">
        <f t="shared" si="5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HLOOKUP(I67,GasAvoidedCostsWOCC!$A$5:$G$50,G67+1,FALSE)</f>
        <v>#N/A</v>
      </c>
      <c r="AG67" s="44" t="e">
        <f t="shared" si="50"/>
        <v>#N/A</v>
      </c>
      <c r="AH67" s="52" t="e">
        <f>HLOOKUP(I67,GasAvoidedCostsWOCC!$A$5:$Q$50,T67+1,FALSE)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HLOOKUP(I67,GasAvoidedCostsWOCC!$A$5:$Q$50,G67+1,FALSE)*J67*L67</f>
        <v>#N/A</v>
      </c>
      <c r="AL67" s="44" t="e">
        <f t="shared" si="5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</sheetData>
  <conditionalFormatting sqref="J5:L9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98 R5:S98">
    <cfRule type="expression" dxfId="37" priority="2">
      <formula>ISTEXT(M5)</formula>
    </cfRule>
  </conditionalFormatting>
  <conditionalFormatting sqref="M5:N98 R5:S98">
    <cfRule type="notContainsBlanks" dxfId="36" priority="3">
      <formula>LEN(TRIM(M5))&gt;0</formula>
    </cfRule>
  </conditionalFormatting>
  <conditionalFormatting sqref="R5:S9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0.44449123299528598</v>
      </c>
      <c r="V5" s="48">
        <f t="shared" ref="V5:V24" si="2">N5-M5</f>
        <v>337.91</v>
      </c>
      <c r="W5" s="49">
        <f t="shared" ref="W5:W24" si="3">(O5/A$10)</f>
        <v>2.96327488663524E-2</v>
      </c>
      <c r="X5" s="44">
        <f t="shared" ref="X5:X24" si="4">W5*A$8</f>
        <v>1453.2720871202814</v>
      </c>
      <c r="Y5" s="44">
        <f t="shared" ref="Y5:Y24" si="5">Q5-P5</f>
        <v>10137.299999999999</v>
      </c>
      <c r="Z5" s="44">
        <f t="shared" ref="Z5:Z24" si="6">X5+(A$6*W5)</f>
        <v>1519.9457720695743</v>
      </c>
      <c r="AA5" s="50">
        <f t="shared" ref="AA5:AA24" si="7">Q5+X5</f>
        <v>13090.572087120281</v>
      </c>
      <c r="AB5" s="51">
        <f t="shared" ref="AB5:AB24" si="8">Z5/(1+GasDiscountRate)^1</f>
        <v>1420.908452902285</v>
      </c>
      <c r="AC5" s="44">
        <f t="shared" ref="AC5:AC24" si="9">AA5/(1+GasDiscountRate)^1</f>
        <v>12237.610626456277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3.095612790224243</v>
      </c>
      <c r="AP5" s="47">
        <f>AN5/AC5</f>
        <v>0.39537461734042434</v>
      </c>
      <c r="AQ5">
        <v>2021</v>
      </c>
    </row>
    <row r="6" spans="1:43" ht="13.5" customHeight="1">
      <c r="A6" s="53">
        <f>SUMIF('Program Costs'!D:D,C2,'Program Costs'!L:L)</f>
        <v>2250</v>
      </c>
      <c r="B6" s="97" t="s">
        <v>31</v>
      </c>
      <c r="C6" s="98">
        <v>18231029</v>
      </c>
      <c r="D6" s="61" t="s">
        <v>165</v>
      </c>
      <c r="E6" s="38" t="s">
        <v>1226</v>
      </c>
      <c r="F6" s="39" t="s">
        <v>1227</v>
      </c>
      <c r="G6" s="39">
        <v>10</v>
      </c>
      <c r="H6" s="39"/>
      <c r="I6" s="40" t="s">
        <v>261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1.8175402479013387</v>
      </c>
      <c r="V6" s="48">
        <f t="shared" si="2"/>
        <v>0</v>
      </c>
      <c r="W6" s="49">
        <f t="shared" si="3"/>
        <v>0.18175402479013386</v>
      </c>
      <c r="X6" s="44">
        <f t="shared" si="4"/>
        <v>8913.7208343568327</v>
      </c>
      <c r="Y6" s="44">
        <f t="shared" si="5"/>
        <v>0</v>
      </c>
      <c r="Z6" s="44">
        <f t="shared" si="6"/>
        <v>9322.667390134633</v>
      </c>
      <c r="AA6" s="50">
        <f t="shared" si="7"/>
        <v>8913.7208343568327</v>
      </c>
      <c r="AB6" s="51">
        <f t="shared" si="8"/>
        <v>8715.2167805315803</v>
      </c>
      <c r="AC6" s="44">
        <f t="shared" si="9"/>
        <v>8332.9165507682828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2.5838668814771077</v>
      </c>
      <c r="AP6" s="47">
        <f t="shared" ref="AP6:AP24" si="17">AN6/AC6</f>
        <v>2.9726513944551822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1230</v>
      </c>
      <c r="F7" s="39" t="s">
        <v>1231</v>
      </c>
      <c r="G7" s="39">
        <v>10</v>
      </c>
      <c r="H7" s="39"/>
      <c r="I7" s="40" t="s">
        <v>261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0.19526421884564849</v>
      </c>
      <c r="V7" s="48">
        <f t="shared" si="2"/>
        <v>0</v>
      </c>
      <c r="W7" s="49">
        <f t="shared" si="3"/>
        <v>1.9526421884564847E-2</v>
      </c>
      <c r="X7" s="44">
        <f t="shared" si="4"/>
        <v>957.62981740768032</v>
      </c>
      <c r="Y7" s="44">
        <f t="shared" si="5"/>
        <v>0</v>
      </c>
      <c r="Z7" s="44">
        <f t="shared" si="6"/>
        <v>1001.5642666479512</v>
      </c>
      <c r="AA7" s="50">
        <f t="shared" si="7"/>
        <v>957.62981740768032</v>
      </c>
      <c r="AB7" s="51">
        <f t="shared" si="8"/>
        <v>936.30388580719</v>
      </c>
      <c r="AC7" s="44">
        <f t="shared" si="9"/>
        <v>895.23213742888686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2.5838668814771073</v>
      </c>
      <c r="AP7" s="47">
        <f t="shared" si="17"/>
        <v>2.9726513944551822</v>
      </c>
      <c r="AQ7">
        <v>2021</v>
      </c>
    </row>
    <row r="8" spans="1:43" ht="13.5" customHeight="1">
      <c r="A8" s="53">
        <f>SUMIF('Program Costs'!D:D,C2,'Program Costs'!O:O)</f>
        <v>49042.77</v>
      </c>
      <c r="B8" s="97" t="s">
        <v>31</v>
      </c>
      <c r="C8" s="98">
        <v>18231029</v>
      </c>
      <c r="D8" s="61" t="s">
        <v>165</v>
      </c>
      <c r="E8" s="38" t="s">
        <v>1246</v>
      </c>
      <c r="F8" s="39" t="s">
        <v>1247</v>
      </c>
      <c r="G8" s="39">
        <v>15</v>
      </c>
      <c r="H8" s="39"/>
      <c r="I8" s="40" t="s">
        <v>256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7.7785965774175061</v>
      </c>
      <c r="V8" s="48">
        <f t="shared" si="2"/>
        <v>0</v>
      </c>
      <c r="W8" s="49">
        <f t="shared" si="3"/>
        <v>0.51857310516116706</v>
      </c>
      <c r="X8" s="44">
        <f t="shared" si="4"/>
        <v>25432.261524604928</v>
      </c>
      <c r="Y8" s="44">
        <f t="shared" si="5"/>
        <v>0</v>
      </c>
      <c r="Z8" s="44">
        <f t="shared" si="6"/>
        <v>26599.051011217554</v>
      </c>
      <c r="AA8" s="50">
        <f t="shared" si="7"/>
        <v>25432.261524604928</v>
      </c>
      <c r="AB8" s="51">
        <f t="shared" si="8"/>
        <v>24865.897925789988</v>
      </c>
      <c r="AC8" s="44">
        <f t="shared" si="9"/>
        <v>23775.134640184093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3.095612790224243</v>
      </c>
      <c r="AP8" s="47">
        <f t="shared" si="17"/>
        <v>3.5613977420898819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18231029</v>
      </c>
      <c r="D9" s="61" t="s">
        <v>165</v>
      </c>
      <c r="E9" s="38" t="s">
        <v>1248</v>
      </c>
      <c r="F9" s="39" t="s">
        <v>1249</v>
      </c>
      <c r="G9" s="39">
        <v>15</v>
      </c>
      <c r="H9" s="39"/>
      <c r="I9" s="40" t="s">
        <v>256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3.1670000350914127</v>
      </c>
      <c r="V9" s="48">
        <f t="shared" si="2"/>
        <v>0</v>
      </c>
      <c r="W9" s="49">
        <f t="shared" si="3"/>
        <v>0.21113333567276085</v>
      </c>
      <c r="X9" s="44">
        <f t="shared" si="4"/>
        <v>10354.563620732006</v>
      </c>
      <c r="Y9" s="44">
        <f t="shared" si="5"/>
        <v>0</v>
      </c>
      <c r="Z9" s="44">
        <f t="shared" si="6"/>
        <v>10829.613625995718</v>
      </c>
      <c r="AA9" s="50">
        <f t="shared" si="7"/>
        <v>10354.563620732006</v>
      </c>
      <c r="AB9" s="51">
        <f t="shared" si="8"/>
        <v>10123.972726928781</v>
      </c>
      <c r="AC9" s="44">
        <f t="shared" si="9"/>
        <v>9679.8762463606672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3.095612790224243</v>
      </c>
      <c r="AP9" s="47">
        <f t="shared" si="17"/>
        <v>3.5613977420898819</v>
      </c>
      <c r="AQ9">
        <v>2021</v>
      </c>
    </row>
    <row r="10" spans="1:43" ht="13.5" customHeight="1">
      <c r="A10" s="54">
        <f>SUM(O5:O999)</f>
        <v>15388.380000000001</v>
      </c>
      <c r="B10" s="97" t="s">
        <v>70</v>
      </c>
      <c r="C10" s="100">
        <v>18230718</v>
      </c>
      <c r="D10" s="100" t="s">
        <v>132</v>
      </c>
      <c r="E10" s="38" t="s">
        <v>1220</v>
      </c>
      <c r="F10" s="39" t="s">
        <v>1221</v>
      </c>
      <c r="G10" s="39">
        <v>15</v>
      </c>
      <c r="H10" s="39"/>
      <c r="I10" s="40" t="s">
        <v>256</v>
      </c>
      <c r="J10" s="41">
        <v>15</v>
      </c>
      <c r="K10" s="41">
        <v>15.2</v>
      </c>
      <c r="L10" s="41"/>
      <c r="M10" s="42">
        <v>50</v>
      </c>
      <c r="N10" s="42">
        <v>387.91</v>
      </c>
      <c r="O10" s="43">
        <v>228</v>
      </c>
      <c r="P10" s="44">
        <v>750</v>
      </c>
      <c r="Q10" s="44">
        <v>5818.65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0.22224561649764299</v>
      </c>
      <c r="V10" s="48">
        <f t="shared" si="2"/>
        <v>337.91</v>
      </c>
      <c r="W10" s="49">
        <f t="shared" si="3"/>
        <v>1.48163744331762E-2</v>
      </c>
      <c r="X10" s="44">
        <f t="shared" si="4"/>
        <v>726.63604356014071</v>
      </c>
      <c r="Y10" s="44">
        <f t="shared" si="5"/>
        <v>5068.6499999999996</v>
      </c>
      <c r="Z10" s="44">
        <f t="shared" si="6"/>
        <v>759.97288603478717</v>
      </c>
      <c r="AA10" s="50">
        <f t="shared" si="7"/>
        <v>6545.2860435601406</v>
      </c>
      <c r="AB10" s="51">
        <f t="shared" si="8"/>
        <v>710.45422645114252</v>
      </c>
      <c r="AC10" s="44">
        <f t="shared" si="9"/>
        <v>6118.8053132281384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9.6460139924167869</v>
      </c>
      <c r="AG10" s="44">
        <f t="shared" si="11"/>
        <v>2199.2911902710275</v>
      </c>
      <c r="AH10" s="52">
        <f>HLOOKUP(I10,GasAvoidedCostsWOCC!$A$5:$Q$50,T10+1,FALSE)</f>
        <v>9.6460139924167869</v>
      </c>
      <c r="AI10" s="44">
        <f t="shared" si="12"/>
        <v>0</v>
      </c>
      <c r="AJ10" s="44">
        <f t="shared" si="13"/>
        <v>2199.2911902710275</v>
      </c>
      <c r="AK10" s="44">
        <f>HLOOKUP(I10,GasAvoidedCostsWOCC!$A$5:$Q$50,G10+1,FALSE)*J10*L10</f>
        <v>0</v>
      </c>
      <c r="AL10" s="44">
        <f t="shared" si="14"/>
        <v>2199.2911902710275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2199.2911902710275</v>
      </c>
      <c r="AN10" s="48">
        <f t="shared" si="15"/>
        <v>2419.2203092981304</v>
      </c>
      <c r="AO10" s="47">
        <f t="shared" si="16"/>
        <v>3.095612790224243</v>
      </c>
      <c r="AP10" s="47">
        <f t="shared" si="17"/>
        <v>0.39537461734042434</v>
      </c>
      <c r="AQ10">
        <v>2020</v>
      </c>
    </row>
    <row r="11" spans="1:43" ht="13.5" customHeight="1">
      <c r="A11" s="36" t="s">
        <v>251</v>
      </c>
      <c r="B11" s="97" t="s">
        <v>2575</v>
      </c>
      <c r="C11" s="100">
        <v>18230719</v>
      </c>
      <c r="D11" s="100" t="s">
        <v>132</v>
      </c>
      <c r="E11" s="38" t="s">
        <v>1226</v>
      </c>
      <c r="F11" s="39" t="s">
        <v>1227</v>
      </c>
      <c r="G11" s="39">
        <v>10</v>
      </c>
      <c r="H11" s="39"/>
      <c r="I11" s="40" t="s">
        <v>261</v>
      </c>
      <c r="J11" s="41">
        <v>63</v>
      </c>
      <c r="K11" s="41">
        <v>6</v>
      </c>
      <c r="L11" s="41"/>
      <c r="M11" s="42">
        <v>0</v>
      </c>
      <c r="N11" s="42">
        <v>0</v>
      </c>
      <c r="O11" s="43">
        <v>378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10</v>
      </c>
      <c r="U11" s="47">
        <f t="shared" si="1"/>
        <v>0.24563989191844754</v>
      </c>
      <c r="V11" s="48">
        <f t="shared" si="2"/>
        <v>0</v>
      </c>
      <c r="W11" s="49">
        <f t="shared" si="3"/>
        <v>2.4563989191844753E-2</v>
      </c>
      <c r="X11" s="44">
        <f t="shared" si="4"/>
        <v>1204.6860722181279</v>
      </c>
      <c r="Y11" s="44">
        <f t="shared" si="5"/>
        <v>0</v>
      </c>
      <c r="Z11" s="44">
        <f t="shared" si="6"/>
        <v>1259.9550478997787</v>
      </c>
      <c r="AA11" s="50">
        <f t="shared" si="7"/>
        <v>1204.6860722181279</v>
      </c>
      <c r="AB11" s="51">
        <f t="shared" si="8"/>
        <v>1177.8583228005782</v>
      </c>
      <c r="AC11" s="44">
        <f t="shared" si="9"/>
        <v>1126.1905882192464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8.0513997654936151</v>
      </c>
      <c r="AG11" s="44">
        <f t="shared" si="11"/>
        <v>3043.4291113565864</v>
      </c>
      <c r="AH11" s="52">
        <f>HLOOKUP(I11,GasAvoidedCostsWOCC!$A$5:$Q$50,T11+1,FALSE)</f>
        <v>8.0513997654936151</v>
      </c>
      <c r="AI11" s="44">
        <f t="shared" si="12"/>
        <v>0</v>
      </c>
      <c r="AJ11" s="44">
        <f t="shared" si="13"/>
        <v>3043.4291113565864</v>
      </c>
      <c r="AK11" s="44">
        <f>HLOOKUP(I11,GasAvoidedCostsWOCC!$A$5:$Q$50,G11+1,FALSE)*J11*L11</f>
        <v>0</v>
      </c>
      <c r="AL11" s="44">
        <f t="shared" si="14"/>
        <v>3043.4291113565864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3043.4291113565869</v>
      </c>
      <c r="AN11" s="48">
        <f t="shared" si="15"/>
        <v>3347.7720224922459</v>
      </c>
      <c r="AO11" s="47">
        <f t="shared" si="16"/>
        <v>2.5838668814771082</v>
      </c>
      <c r="AP11" s="47">
        <f t="shared" si="17"/>
        <v>2.9726513944551836</v>
      </c>
      <c r="AQ11">
        <v>2020</v>
      </c>
    </row>
    <row r="12" spans="1:43" ht="13.5" customHeight="1">
      <c r="A12" s="55">
        <f>SUM(P5:P1000)</f>
        <v>2250</v>
      </c>
      <c r="B12" s="97" t="s">
        <v>2576</v>
      </c>
      <c r="C12" s="100">
        <v>18230720</v>
      </c>
      <c r="D12" s="100" t="s">
        <v>132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15205.949999999999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13.870777820667282</v>
      </c>
      <c r="B16" s="3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51292.77</v>
      </c>
      <c r="B18" s="3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66498.720000000001</v>
      </c>
      <c r="B20" s="3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2.9800378241562346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2.5284672272837856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73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1764</v>
      </c>
      <c r="F5" s="39" t="s">
        <v>1765</v>
      </c>
      <c r="G5" s="39">
        <v>15</v>
      </c>
      <c r="H5" s="39"/>
      <c r="I5" s="40" t="s">
        <v>255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-9.4712661954316713E-2</v>
      </c>
      <c r="V5" s="48">
        <f t="shared" ref="V5:V24" si="2">N5-M5</f>
        <v>0.67999999999999972</v>
      </c>
      <c r="W5" s="49">
        <f t="shared" ref="W5:W24" si="3">(O5/A$10)</f>
        <v>-6.3141774636211144E-3</v>
      </c>
      <c r="X5" s="44">
        <f t="shared" ref="X5:X24" si="4">W5*A$8</f>
        <v>-4560.8504776288892</v>
      </c>
      <c r="Y5" s="44">
        <f t="shared" ref="Y5:Y24" si="5">Q5-P5</f>
        <v>-6812.59</v>
      </c>
      <c r="Z5" s="44">
        <f t="shared" ref="Z5:Z24" si="6">X5+(A$6*W5)</f>
        <v>-23212.894209219925</v>
      </c>
      <c r="AA5" s="50">
        <f t="shared" ref="AA5:AA24" si="7">Q5+X5</f>
        <v>-11373.44047762889</v>
      </c>
      <c r="AB5" s="51">
        <f t="shared" ref="AB5:AB24" si="8">Z5/(1+GasDiscountRate)^1</f>
        <v>-21700.377871571396</v>
      </c>
      <c r="AC5" s="44">
        <f t="shared" ref="AC5:AC24" si="9">AA5/(1+GasDiscountRate)^1</f>
        <v>-10632.36466077301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3.0978050625162679</v>
      </c>
      <c r="AP5" s="47">
        <f>AN5/AC5</f>
        <v>6.95479292059954</v>
      </c>
      <c r="AQ5">
        <v>2021</v>
      </c>
    </row>
    <row r="6" spans="1:43" ht="13.5" customHeight="1">
      <c r="A6" s="53">
        <f>SUMIF('Program Costs'!D:D,C2,'Program Costs'!L:L)</f>
        <v>2953994.22</v>
      </c>
      <c r="B6" s="97" t="s">
        <v>31</v>
      </c>
      <c r="C6" s="98">
        <v>18230248</v>
      </c>
      <c r="D6" s="61" t="s">
        <v>32</v>
      </c>
      <c r="E6" s="38" t="s">
        <v>1766</v>
      </c>
      <c r="F6" s="39" t="s">
        <v>1765</v>
      </c>
      <c r="G6" s="39">
        <v>11</v>
      </c>
      <c r="H6" s="39"/>
      <c r="I6" s="40" t="s">
        <v>255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3.0781079473379873</v>
      </c>
      <c r="V6" s="48">
        <f t="shared" si="2"/>
        <v>0.67999999999999972</v>
      </c>
      <c r="W6" s="49">
        <f t="shared" si="3"/>
        <v>0.27982799521254431</v>
      </c>
      <c r="X6" s="44">
        <f t="shared" si="4"/>
        <v>202125.0832704897</v>
      </c>
      <c r="Y6" s="44">
        <f t="shared" si="5"/>
        <v>36963.00999999902</v>
      </c>
      <c r="Z6" s="44">
        <f t="shared" si="6"/>
        <v>1028735.3637225333</v>
      </c>
      <c r="AA6" s="50">
        <f t="shared" si="7"/>
        <v>535935.59327048878</v>
      </c>
      <c r="AB6" s="51">
        <f t="shared" si="8"/>
        <v>961704.55615829979</v>
      </c>
      <c r="AC6" s="44">
        <f t="shared" si="9"/>
        <v>501014.85768952861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2.3590313227668851</v>
      </c>
      <c r="AP6" s="47">
        <f t="shared" ref="AP6:AP24" si="17">AN6/AC6</f>
        <v>4.9810105429927614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1767</v>
      </c>
      <c r="F7" s="39" t="s">
        <v>1768</v>
      </c>
      <c r="G7" s="39">
        <v>11</v>
      </c>
      <c r="H7" s="39"/>
      <c r="I7" s="40" t="s">
        <v>255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1.2109270561675383</v>
      </c>
      <c r="V7" s="48">
        <f t="shared" si="2"/>
        <v>5.24</v>
      </c>
      <c r="W7" s="49">
        <f t="shared" si="3"/>
        <v>0.11008427783341257</v>
      </c>
      <c r="X7" s="44">
        <f t="shared" si="4"/>
        <v>79515.967682038288</v>
      </c>
      <c r="Y7" s="44">
        <f t="shared" si="5"/>
        <v>275382.38999999996</v>
      </c>
      <c r="Z7" s="44">
        <f t="shared" si="6"/>
        <v>404704.28811481316</v>
      </c>
      <c r="AA7" s="50">
        <f t="shared" si="7"/>
        <v>617667.80768203828</v>
      </c>
      <c r="AB7" s="51">
        <f t="shared" si="8"/>
        <v>378334.38170965051</v>
      </c>
      <c r="AC7" s="44">
        <f t="shared" si="9"/>
        <v>577421.52723383962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2.3590313227668855</v>
      </c>
      <c r="AP7" s="47">
        <f t="shared" si="17"/>
        <v>1.7002360949878423</v>
      </c>
      <c r="AQ7">
        <v>2021</v>
      </c>
    </row>
    <row r="8" spans="1:43" ht="13.5" customHeight="1">
      <c r="A8" s="53">
        <f>SUMIF('Program Costs'!D:D,C2,'Program Costs'!O:O)</f>
        <v>722319.02</v>
      </c>
      <c r="B8" s="97" t="s">
        <v>31</v>
      </c>
      <c r="C8" s="98">
        <v>18230248</v>
      </c>
      <c r="D8" s="61" t="s">
        <v>32</v>
      </c>
      <c r="E8" s="38" t="s">
        <v>1769</v>
      </c>
      <c r="F8" s="39" t="s">
        <v>1770</v>
      </c>
      <c r="G8" s="39">
        <v>11</v>
      </c>
      <c r="H8" s="39"/>
      <c r="I8" s="40" t="s">
        <v>255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0.94121472197496103</v>
      </c>
      <c r="V8" s="48">
        <f t="shared" si="2"/>
        <v>0.43000000000000016</v>
      </c>
      <c r="W8" s="49">
        <f t="shared" si="3"/>
        <v>8.5564974724996454E-2</v>
      </c>
      <c r="X8" s="44">
        <f t="shared" si="4"/>
        <v>61805.208689684208</v>
      </c>
      <c r="Y8" s="44">
        <f t="shared" si="5"/>
        <v>8764.6699999999983</v>
      </c>
      <c r="Z8" s="44">
        <f t="shared" si="6"/>
        <v>314563.64946176985</v>
      </c>
      <c r="AA8" s="50">
        <f t="shared" si="7"/>
        <v>131697.12868968421</v>
      </c>
      <c r="AB8" s="51">
        <f t="shared" si="8"/>
        <v>294067.16786180221</v>
      </c>
      <c r="AC8" s="44">
        <f t="shared" si="9"/>
        <v>123115.94717180909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2.359031322766886</v>
      </c>
      <c r="AP8" s="47">
        <f t="shared" si="17"/>
        <v>6.1981005995655716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18230248</v>
      </c>
      <c r="D9" s="61" t="s">
        <v>32</v>
      </c>
      <c r="E9" s="38" t="s">
        <v>1771</v>
      </c>
      <c r="F9" s="39" t="s">
        <v>1772</v>
      </c>
      <c r="G9" s="39">
        <v>11</v>
      </c>
      <c r="H9" s="39"/>
      <c r="I9" s="40" t="s">
        <v>255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0.27117607619804918</v>
      </c>
      <c r="V9" s="48">
        <f t="shared" si="2"/>
        <v>0.67999999999999972</v>
      </c>
      <c r="W9" s="49">
        <f t="shared" si="3"/>
        <v>2.4652370563459015E-2</v>
      </c>
      <c r="X9" s="44">
        <f t="shared" si="4"/>
        <v>17806.876146074563</v>
      </c>
      <c r="Y9" s="44">
        <f t="shared" si="5"/>
        <v>4848.8899999999994</v>
      </c>
      <c r="Z9" s="44">
        <f t="shared" si="6"/>
        <v>90629.83629983064</v>
      </c>
      <c r="AA9" s="50">
        <f t="shared" si="7"/>
        <v>91554.266146074558</v>
      </c>
      <c r="AB9" s="51">
        <f t="shared" si="8"/>
        <v>84724.53613146735</v>
      </c>
      <c r="AC9" s="44">
        <f t="shared" si="9"/>
        <v>85588.731556580868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2.3590313227668864</v>
      </c>
      <c r="AP9" s="47">
        <f t="shared" si="17"/>
        <v>2.568733219860698</v>
      </c>
      <c r="AQ9">
        <v>2021</v>
      </c>
    </row>
    <row r="10" spans="1:43" ht="13.5" customHeight="1">
      <c r="A10" s="54">
        <f>SUM(O5:O999)</f>
        <v>1049542.8800000001</v>
      </c>
      <c r="B10" s="97" t="s">
        <v>31</v>
      </c>
      <c r="C10" s="98">
        <v>18230248</v>
      </c>
      <c r="D10" s="61" t="s">
        <v>32</v>
      </c>
      <c r="E10" s="38" t="s">
        <v>1773</v>
      </c>
      <c r="F10" s="39" t="s">
        <v>1774</v>
      </c>
      <c r="G10" s="39">
        <v>11</v>
      </c>
      <c r="H10" s="39"/>
      <c r="I10" s="40" t="s">
        <v>255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0.18167033823334588</v>
      </c>
      <c r="V10" s="48">
        <f t="shared" si="2"/>
        <v>5.24</v>
      </c>
      <c r="W10" s="49">
        <f t="shared" si="3"/>
        <v>1.6515485293940535E-2</v>
      </c>
      <c r="X10" s="44">
        <f t="shared" si="4"/>
        <v>11929.449152343539</v>
      </c>
      <c r="Y10" s="44">
        <f t="shared" si="5"/>
        <v>78603.700000000012</v>
      </c>
      <c r="Z10" s="44">
        <f t="shared" si="6"/>
        <v>60716.097251138883</v>
      </c>
      <c r="AA10" s="50">
        <f t="shared" si="7"/>
        <v>165536.64915234354</v>
      </c>
      <c r="AB10" s="51">
        <f t="shared" si="8"/>
        <v>56759.930121659228</v>
      </c>
      <c r="AC10" s="44">
        <f t="shared" si="9"/>
        <v>154750.53674146353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2.359031322766886</v>
      </c>
      <c r="AP10" s="47">
        <f t="shared" si="17"/>
        <v>0.95177891747560628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18230248</v>
      </c>
      <c r="D11" s="61" t="s">
        <v>32</v>
      </c>
      <c r="E11" s="38" t="s">
        <v>1775</v>
      </c>
      <c r="F11" s="39" t="s">
        <v>1776</v>
      </c>
      <c r="G11" s="39">
        <v>11</v>
      </c>
      <c r="H11" s="39"/>
      <c r="I11" s="40" t="s">
        <v>255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0.28346549309162095</v>
      </c>
      <c r="V11" s="48">
        <f t="shared" si="2"/>
        <v>0.67999999999999972</v>
      </c>
      <c r="W11" s="49">
        <f t="shared" si="3"/>
        <v>2.5769590281056451E-2</v>
      </c>
      <c r="X11" s="44">
        <f t="shared" si="4"/>
        <v>18613.865197614221</v>
      </c>
      <c r="Y11" s="44">
        <f t="shared" si="5"/>
        <v>5445.9199999999983</v>
      </c>
      <c r="Z11" s="44">
        <f t="shared" si="6"/>
        <v>94737.085939623154</v>
      </c>
      <c r="AA11" s="50">
        <f t="shared" si="7"/>
        <v>122282.28519761423</v>
      </c>
      <c r="AB11" s="51">
        <f t="shared" si="8"/>
        <v>88564.163727795778</v>
      </c>
      <c r="AC11" s="44">
        <f t="shared" si="9"/>
        <v>114314.56034179135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2.3590313227668864</v>
      </c>
      <c r="AP11" s="47">
        <f t="shared" si="17"/>
        <v>2.010401818038225</v>
      </c>
      <c r="AQ11">
        <v>2021</v>
      </c>
    </row>
    <row r="12" spans="1:43" ht="13.5" customHeight="1">
      <c r="A12" s="55">
        <f>SUM(P5:P1000)</f>
        <v>1546791.3499999999</v>
      </c>
      <c r="B12" s="97" t="s">
        <v>31</v>
      </c>
      <c r="C12" s="98">
        <v>18230248</v>
      </c>
      <c r="D12" s="61" t="s">
        <v>32</v>
      </c>
      <c r="E12" s="38" t="s">
        <v>1777</v>
      </c>
      <c r="F12" s="39" t="s">
        <v>1778</v>
      </c>
      <c r="G12" s="39">
        <v>11</v>
      </c>
      <c r="H12" s="39"/>
      <c r="I12" s="40" t="s">
        <v>255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0.15800605497890663</v>
      </c>
      <c r="V12" s="48">
        <f t="shared" si="2"/>
        <v>5.24</v>
      </c>
      <c r="W12" s="49">
        <f t="shared" si="3"/>
        <v>1.4364186816264238E-2</v>
      </c>
      <c r="X12" s="44">
        <f t="shared" si="4"/>
        <v>10375.525344220905</v>
      </c>
      <c r="Y12" s="44">
        <f t="shared" si="5"/>
        <v>84377.12</v>
      </c>
      <c r="Z12" s="44">
        <f t="shared" si="6"/>
        <v>52807.250174465669</v>
      </c>
      <c r="AA12" s="50">
        <f t="shared" si="7"/>
        <v>175265.14534422089</v>
      </c>
      <c r="AB12" s="51">
        <f t="shared" si="8"/>
        <v>49366.411306408962</v>
      </c>
      <c r="AC12" s="44">
        <f t="shared" si="9"/>
        <v>163845.13914576132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2.3590313227668855</v>
      </c>
      <c r="AP12" s="47">
        <f t="shared" si="17"/>
        <v>0.78185170636578682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18230248</v>
      </c>
      <c r="D13" s="61" t="s">
        <v>32</v>
      </c>
      <c r="E13" s="38" t="s">
        <v>1779</v>
      </c>
      <c r="F13" s="39" t="s">
        <v>1780</v>
      </c>
      <c r="G13" s="39">
        <v>11</v>
      </c>
      <c r="H13" s="39"/>
      <c r="I13" s="40" t="s">
        <v>255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6.262983747743589E-3</v>
      </c>
      <c r="V13" s="48">
        <f t="shared" si="2"/>
        <v>0.43000000000000016</v>
      </c>
      <c r="W13" s="49">
        <f t="shared" si="3"/>
        <v>5.6936215888578085E-4</v>
      </c>
      <c r="X13" s="44">
        <f t="shared" si="4"/>
        <v>411.2611166314615</v>
      </c>
      <c r="Y13" s="44">
        <f t="shared" si="5"/>
        <v>256.71000000000004</v>
      </c>
      <c r="Z13" s="44">
        <f t="shared" si="6"/>
        <v>2093.1536430667798</v>
      </c>
      <c r="AA13" s="50">
        <f t="shared" si="7"/>
        <v>2458.9711166314614</v>
      </c>
      <c r="AB13" s="51">
        <f t="shared" si="8"/>
        <v>1956.7669842636062</v>
      </c>
      <c r="AC13" s="44">
        <f t="shared" si="9"/>
        <v>2298.7483562040397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2.359031322766886</v>
      </c>
      <c r="AP13" s="47">
        <f t="shared" si="17"/>
        <v>2.2088899179648349</v>
      </c>
      <c r="AQ13">
        <v>2021</v>
      </c>
    </row>
    <row r="14" spans="1:43" ht="13.5" customHeight="1">
      <c r="A14" s="55">
        <f>SUM(Y5:Y1000)</f>
        <v>662109.49999999895</v>
      </c>
      <c r="B14" s="97" t="s">
        <v>31</v>
      </c>
      <c r="C14" s="100">
        <v>18230248</v>
      </c>
      <c r="D14" s="100" t="s">
        <v>32</v>
      </c>
      <c r="E14" s="38" t="s">
        <v>1764</v>
      </c>
      <c r="F14" s="39" t="s">
        <v>1765</v>
      </c>
      <c r="G14" s="39">
        <v>15</v>
      </c>
      <c r="H14" s="39"/>
      <c r="I14" s="40" t="s">
        <v>255</v>
      </c>
      <c r="J14" s="41">
        <v>51</v>
      </c>
      <c r="K14" s="41">
        <v>985.87058823529412</v>
      </c>
      <c r="L14" s="41"/>
      <c r="M14" s="42">
        <v>5</v>
      </c>
      <c r="N14" s="42">
        <v>5.68</v>
      </c>
      <c r="O14" s="43">
        <v>50279.4</v>
      </c>
      <c r="P14" s="44">
        <v>28292.5</v>
      </c>
      <c r="Q14" s="44">
        <v>53691.89</v>
      </c>
      <c r="R14" s="45">
        <v>0</v>
      </c>
      <c r="S14" s="46">
        <v>0</v>
      </c>
      <c r="T14" s="39">
        <f t="shared" si="0"/>
        <v>15</v>
      </c>
      <c r="U14" s="47">
        <f t="shared" si="1"/>
        <v>0.71858998271704722</v>
      </c>
      <c r="V14" s="48">
        <f t="shared" si="2"/>
        <v>0.67999999999999972</v>
      </c>
      <c r="W14" s="49">
        <f t="shared" si="3"/>
        <v>4.7905998847803145E-2</v>
      </c>
      <c r="X14" s="44">
        <f t="shared" si="4"/>
        <v>34603.414139866298</v>
      </c>
      <c r="Y14" s="44">
        <f t="shared" si="5"/>
        <v>25399.39</v>
      </c>
      <c r="Z14" s="44">
        <f t="shared" si="6"/>
        <v>176117.45783960348</v>
      </c>
      <c r="AA14" s="50">
        <f t="shared" si="7"/>
        <v>88295.30413986629</v>
      </c>
      <c r="AB14" s="51">
        <f t="shared" si="8"/>
        <v>164641.91627522057</v>
      </c>
      <c r="AC14" s="44">
        <f t="shared" si="9"/>
        <v>82542.11848169232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10.143887193159781</v>
      </c>
      <c r="AG14" s="44">
        <f t="shared" si="11"/>
        <v>510028.56173975789</v>
      </c>
      <c r="AH14" s="52">
        <f>HLOOKUP(I14,GasAvoidedCostsWOCC!$A$5:$Q$50,T14+1,FALSE)</f>
        <v>10.143887193159781</v>
      </c>
      <c r="AI14" s="44">
        <f t="shared" si="12"/>
        <v>0</v>
      </c>
      <c r="AJ14" s="44">
        <f t="shared" si="13"/>
        <v>510028.56173975789</v>
      </c>
      <c r="AK14" s="44">
        <f>HLOOKUP(I14,GasAvoidedCostsWOCC!$A$5:$Q$50,G14+1,FALSE)*J14*L14</f>
        <v>0</v>
      </c>
      <c r="AL14" s="44">
        <f t="shared" si="14"/>
        <v>510028.56173975789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510028.56173975789</v>
      </c>
      <c r="AN14" s="48">
        <f t="shared" si="15"/>
        <v>561031.41791373375</v>
      </c>
      <c r="AO14" s="47">
        <f t="shared" si="16"/>
        <v>3.0978050625162683</v>
      </c>
      <c r="AP14" s="47">
        <f t="shared" si="17"/>
        <v>6.7969108163630354</v>
      </c>
      <c r="AQ14">
        <v>2020</v>
      </c>
    </row>
    <row r="15" spans="1:43" ht="13.5" customHeight="1">
      <c r="A15" s="57" t="s">
        <v>253</v>
      </c>
      <c r="B15" s="97" t="s">
        <v>31</v>
      </c>
      <c r="C15" s="100">
        <v>18230248</v>
      </c>
      <c r="D15" s="100" t="s">
        <v>32</v>
      </c>
      <c r="E15" s="38" t="s">
        <v>1766</v>
      </c>
      <c r="F15" s="39" t="s">
        <v>1765</v>
      </c>
      <c r="G15" s="39">
        <v>11</v>
      </c>
      <c r="H15" s="39"/>
      <c r="I15" s="40" t="s">
        <v>255</v>
      </c>
      <c r="J15" s="41">
        <v>208</v>
      </c>
      <c r="K15" s="41">
        <v>1064.7653846153846</v>
      </c>
      <c r="L15" s="41"/>
      <c r="M15" s="42">
        <v>5</v>
      </c>
      <c r="N15" s="42">
        <v>5.68</v>
      </c>
      <c r="O15" s="43">
        <v>221471.2</v>
      </c>
      <c r="P15" s="44">
        <v>243773.5</v>
      </c>
      <c r="Q15" s="44">
        <v>255374.88</v>
      </c>
      <c r="R15" s="45">
        <v>0</v>
      </c>
      <c r="S15" s="46">
        <v>0</v>
      </c>
      <c r="T15" s="39">
        <f t="shared" si="0"/>
        <v>11</v>
      </c>
      <c r="U15" s="47">
        <f t="shared" si="1"/>
        <v>2.3211850096110411</v>
      </c>
      <c r="V15" s="48">
        <f t="shared" si="2"/>
        <v>0.67999999999999972</v>
      </c>
      <c r="W15" s="49">
        <f t="shared" si="3"/>
        <v>0.2110168190555492</v>
      </c>
      <c r="X15" s="44">
        <f t="shared" si="4"/>
        <v>152421.46194372163</v>
      </c>
      <c r="Y15" s="44">
        <f t="shared" si="5"/>
        <v>11601.380000000005</v>
      </c>
      <c r="Z15" s="44">
        <f t="shared" si="6"/>
        <v>775763.92575659987</v>
      </c>
      <c r="AA15" s="50">
        <f t="shared" si="7"/>
        <v>407796.34194372164</v>
      </c>
      <c r="AB15" s="51">
        <f t="shared" si="8"/>
        <v>725216.34641170409</v>
      </c>
      <c r="AC15" s="44">
        <f t="shared" si="9"/>
        <v>381224.96208630607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7.724742887417281</v>
      </c>
      <c r="AG15" s="44">
        <f t="shared" si="11"/>
        <v>1710808.07696777</v>
      </c>
      <c r="AH15" s="52">
        <f>HLOOKUP(I15,GasAvoidedCostsWOCC!$A$5:$Q$50,T15+1,FALSE)</f>
        <v>7.724742887417281</v>
      </c>
      <c r="AI15" s="44">
        <f t="shared" si="12"/>
        <v>0</v>
      </c>
      <c r="AJ15" s="44">
        <f t="shared" si="13"/>
        <v>1710808.07696777</v>
      </c>
      <c r="AK15" s="44">
        <f>HLOOKUP(I15,GasAvoidedCostsWOCC!$A$5:$Q$50,G15+1,FALSE)*J15*L15</f>
        <v>0</v>
      </c>
      <c r="AL15" s="44">
        <f t="shared" si="14"/>
        <v>1710808.07696777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1710808.07696777</v>
      </c>
      <c r="AN15" s="48">
        <f t="shared" si="15"/>
        <v>1881888.8846645472</v>
      </c>
      <c r="AO15" s="47">
        <f t="shared" si="16"/>
        <v>2.3590313227668851</v>
      </c>
      <c r="AP15" s="47">
        <f t="shared" si="17"/>
        <v>4.9364261835469829</v>
      </c>
      <c r="AQ15">
        <v>2020</v>
      </c>
    </row>
    <row r="16" spans="1:43" ht="13.5" customHeight="1">
      <c r="A16" s="54">
        <f>SUM(U5:U999)</f>
        <v>11.375947288594819</v>
      </c>
      <c r="B16" s="97" t="s">
        <v>31</v>
      </c>
      <c r="C16" s="100">
        <v>18230248</v>
      </c>
      <c r="D16" s="100" t="s">
        <v>32</v>
      </c>
      <c r="E16" s="38" t="s">
        <v>2193</v>
      </c>
      <c r="F16" s="39" t="s">
        <v>1768</v>
      </c>
      <c r="G16" s="39">
        <v>20</v>
      </c>
      <c r="H16" s="39"/>
      <c r="I16" s="40" t="s">
        <v>255</v>
      </c>
      <c r="J16" s="41">
        <v>3</v>
      </c>
      <c r="K16" s="41">
        <v>2335.9333333333334</v>
      </c>
      <c r="L16" s="41"/>
      <c r="M16" s="42">
        <v>5</v>
      </c>
      <c r="N16" s="42">
        <v>10.24</v>
      </c>
      <c r="O16" s="43">
        <v>7007.8</v>
      </c>
      <c r="P16" s="44">
        <v>2499.5</v>
      </c>
      <c r="Q16" s="44">
        <v>15356.93</v>
      </c>
      <c r="R16" s="45">
        <v>0</v>
      </c>
      <c r="S16" s="46">
        <v>0</v>
      </c>
      <c r="T16" s="39">
        <f t="shared" si="0"/>
        <v>20</v>
      </c>
      <c r="U16" s="47">
        <f t="shared" si="1"/>
        <v>0.13354004173702744</v>
      </c>
      <c r="V16" s="48">
        <f t="shared" si="2"/>
        <v>5.24</v>
      </c>
      <c r="W16" s="49">
        <f t="shared" si="3"/>
        <v>6.677002086851372E-3</v>
      </c>
      <c r="X16" s="44">
        <f t="shared" si="4"/>
        <v>4822.9256039124384</v>
      </c>
      <c r="Y16" s="44">
        <f t="shared" si="5"/>
        <v>12857.43</v>
      </c>
      <c r="Z16" s="44">
        <f t="shared" si="6"/>
        <v>24546.751175399331</v>
      </c>
      <c r="AA16" s="50">
        <f t="shared" si="7"/>
        <v>20179.855603912438</v>
      </c>
      <c r="AB16" s="51">
        <f t="shared" si="8"/>
        <v>22947.322777787536</v>
      </c>
      <c r="AC16" s="44">
        <f t="shared" si="9"/>
        <v>18864.967377687608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13.039482845378327</v>
      </c>
      <c r="AG16" s="44">
        <f t="shared" si="11"/>
        <v>91378.087883842236</v>
      </c>
      <c r="AH16" s="52">
        <f>HLOOKUP(I16,GasAvoidedCostsWOCC!$A$5:$Q$50,T16+1,FALSE)</f>
        <v>13.039482845378327</v>
      </c>
      <c r="AI16" s="44">
        <f t="shared" si="12"/>
        <v>0</v>
      </c>
      <c r="AJ16" s="44">
        <f t="shared" si="13"/>
        <v>91378.087883842236</v>
      </c>
      <c r="AK16" s="44">
        <f>HLOOKUP(I16,GasAvoidedCostsWOCC!$A$5:$Q$50,G16+1,FALSE)*J16*L16</f>
        <v>0</v>
      </c>
      <c r="AL16" s="44">
        <f t="shared" si="14"/>
        <v>91378.087883842236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91378.08788384225</v>
      </c>
      <c r="AN16" s="48">
        <f t="shared" si="15"/>
        <v>100515.89667222649</v>
      </c>
      <c r="AO16" s="47">
        <f t="shared" si="16"/>
        <v>3.9820805576628779</v>
      </c>
      <c r="AP16" s="47">
        <f t="shared" si="17"/>
        <v>5.32817760348268</v>
      </c>
      <c r="AQ16">
        <v>2020</v>
      </c>
    </row>
    <row r="17" spans="1:43" ht="13.5" customHeight="1">
      <c r="A17" s="58" t="s">
        <v>254</v>
      </c>
      <c r="B17" s="97" t="s">
        <v>31</v>
      </c>
      <c r="C17" s="100">
        <v>18230248</v>
      </c>
      <c r="D17" s="100" t="s">
        <v>32</v>
      </c>
      <c r="E17" s="38" t="s">
        <v>1767</v>
      </c>
      <c r="F17" s="39" t="s">
        <v>1768</v>
      </c>
      <c r="G17" s="39">
        <v>11</v>
      </c>
      <c r="H17" s="39"/>
      <c r="I17" s="40" t="s">
        <v>255</v>
      </c>
      <c r="J17" s="41">
        <v>12</v>
      </c>
      <c r="K17" s="41">
        <v>2394.6583333333333</v>
      </c>
      <c r="L17" s="41"/>
      <c r="M17" s="42">
        <v>5</v>
      </c>
      <c r="N17" s="42">
        <v>10.24</v>
      </c>
      <c r="O17" s="43">
        <v>28735.9</v>
      </c>
      <c r="P17" s="44">
        <v>53485</v>
      </c>
      <c r="Q17" s="44">
        <v>99299.34</v>
      </c>
      <c r="R17" s="45">
        <v>0</v>
      </c>
      <c r="S17" s="46">
        <v>0</v>
      </c>
      <c r="T17" s="39">
        <f t="shared" si="0"/>
        <v>11</v>
      </c>
      <c r="U17" s="47">
        <f t="shared" si="1"/>
        <v>0.30117387866992151</v>
      </c>
      <c r="V17" s="48">
        <f t="shared" si="2"/>
        <v>5.24</v>
      </c>
      <c r="W17" s="49">
        <f t="shared" si="3"/>
        <v>2.737944351544741E-2</v>
      </c>
      <c r="X17" s="44">
        <f t="shared" si="4"/>
        <v>19776.692808223328</v>
      </c>
      <c r="Y17" s="44">
        <f t="shared" si="5"/>
        <v>45814.34</v>
      </c>
      <c r="Z17" s="44">
        <f t="shared" si="6"/>
        <v>100655.41069967145</v>
      </c>
      <c r="AA17" s="50">
        <f t="shared" si="7"/>
        <v>119076.03280822333</v>
      </c>
      <c r="AB17" s="51">
        <f t="shared" si="8"/>
        <v>94096.859586492894</v>
      </c>
      <c r="AC17" s="44">
        <f t="shared" si="9"/>
        <v>111317.22240649091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7.724742887417281</v>
      </c>
      <c r="AG17" s="44">
        <f t="shared" si="11"/>
        <v>221977.43913853425</v>
      </c>
      <c r="AH17" s="52">
        <f>HLOOKUP(I17,GasAvoidedCostsWOCC!$A$5:$Q$50,T17+1,FALSE)</f>
        <v>7.724742887417281</v>
      </c>
      <c r="AI17" s="44">
        <f t="shared" si="12"/>
        <v>0</v>
      </c>
      <c r="AJ17" s="44">
        <f t="shared" si="13"/>
        <v>221977.43913853425</v>
      </c>
      <c r="AK17" s="44">
        <f>HLOOKUP(I17,GasAvoidedCostsWOCC!$A$5:$Q$50,G17+1,FALSE)*J17*L17</f>
        <v>0</v>
      </c>
      <c r="AL17" s="44">
        <f t="shared" si="14"/>
        <v>221977.43913853425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221977.43913853425</v>
      </c>
      <c r="AN17" s="48">
        <f t="shared" si="15"/>
        <v>244175.1830523877</v>
      </c>
      <c r="AO17" s="47">
        <f t="shared" si="16"/>
        <v>2.3590313227668855</v>
      </c>
      <c r="AP17" s="47">
        <f t="shared" si="17"/>
        <v>2.1935076870742134</v>
      </c>
      <c r="AQ17">
        <v>2020</v>
      </c>
    </row>
    <row r="18" spans="1:43" ht="13.5" customHeight="1">
      <c r="A18" s="59">
        <f>A6+A8</f>
        <v>3676313.24</v>
      </c>
      <c r="B18" s="97" t="s">
        <v>31</v>
      </c>
      <c r="C18" s="100">
        <v>18230248</v>
      </c>
      <c r="D18" s="100" t="s">
        <v>32</v>
      </c>
      <c r="E18" s="38" t="s">
        <v>2194</v>
      </c>
      <c r="F18" s="39" t="s">
        <v>1770</v>
      </c>
      <c r="G18" s="39">
        <v>20</v>
      </c>
      <c r="H18" s="39"/>
      <c r="I18" s="40" t="s">
        <v>255</v>
      </c>
      <c r="J18" s="41">
        <v>17</v>
      </c>
      <c r="K18" s="41">
        <v>813.28823529411761</v>
      </c>
      <c r="L18" s="41"/>
      <c r="M18" s="42">
        <v>3</v>
      </c>
      <c r="N18" s="42">
        <v>3.43</v>
      </c>
      <c r="O18" s="43">
        <v>13825.9</v>
      </c>
      <c r="P18" s="44">
        <v>8224.5</v>
      </c>
      <c r="Q18" s="44">
        <v>11451.07</v>
      </c>
      <c r="R18" s="45">
        <v>0</v>
      </c>
      <c r="S18" s="46">
        <v>0</v>
      </c>
      <c r="T18" s="39">
        <f t="shared" si="0"/>
        <v>20</v>
      </c>
      <c r="U18" s="47">
        <f t="shared" si="1"/>
        <v>0.26346517638231226</v>
      </c>
      <c r="V18" s="48">
        <f t="shared" si="2"/>
        <v>0.43000000000000016</v>
      </c>
      <c r="W18" s="49">
        <f t="shared" si="3"/>
        <v>1.3173258819115612E-2</v>
      </c>
      <c r="X18" s="44">
        <f t="shared" si="4"/>
        <v>9515.2954004299463</v>
      </c>
      <c r="Y18" s="44">
        <f t="shared" si="5"/>
        <v>3226.5699999999997</v>
      </c>
      <c r="Z18" s="44">
        <f t="shared" si="6"/>
        <v>48429.025810661493</v>
      </c>
      <c r="AA18" s="50">
        <f t="shared" si="7"/>
        <v>20966.365400429946</v>
      </c>
      <c r="AB18" s="51">
        <f t="shared" si="8"/>
        <v>45273.465280603428</v>
      </c>
      <c r="AC18" s="44">
        <f t="shared" si="9"/>
        <v>19600.229410516917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13.039482845378327</v>
      </c>
      <c r="AG18" s="44">
        <f t="shared" si="11"/>
        <v>180282.58587191621</v>
      </c>
      <c r="AH18" s="52">
        <f>HLOOKUP(I18,GasAvoidedCostsWOCC!$A$5:$Q$50,T18+1,FALSE)</f>
        <v>13.039482845378327</v>
      </c>
      <c r="AI18" s="44">
        <f t="shared" si="12"/>
        <v>0</v>
      </c>
      <c r="AJ18" s="44">
        <f t="shared" si="13"/>
        <v>180282.58587191621</v>
      </c>
      <c r="AK18" s="44">
        <f>HLOOKUP(I18,GasAvoidedCostsWOCC!$A$5:$Q$50,G18+1,FALSE)*J18*L18</f>
        <v>0</v>
      </c>
      <c r="AL18" s="44">
        <f t="shared" si="14"/>
        <v>180282.58587191621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180282.58587191621</v>
      </c>
      <c r="AN18" s="48">
        <f t="shared" si="15"/>
        <v>198310.84445910784</v>
      </c>
      <c r="AO18" s="47">
        <f t="shared" si="16"/>
        <v>3.9820805576628771</v>
      </c>
      <c r="AP18" s="47">
        <f t="shared" si="17"/>
        <v>10.117781802732368</v>
      </c>
      <c r="AQ18">
        <v>2020</v>
      </c>
    </row>
    <row r="19" spans="1:43" ht="13.5" customHeight="1">
      <c r="A19" s="58" t="s">
        <v>231</v>
      </c>
      <c r="B19" s="97" t="s">
        <v>31</v>
      </c>
      <c r="C19" s="100">
        <v>18230248</v>
      </c>
      <c r="D19" s="100" t="s">
        <v>32</v>
      </c>
      <c r="E19" s="38" t="s">
        <v>1769</v>
      </c>
      <c r="F19" s="39" t="s">
        <v>1770</v>
      </c>
      <c r="G19" s="39">
        <v>11</v>
      </c>
      <c r="H19" s="39"/>
      <c r="I19" s="40" t="s">
        <v>255</v>
      </c>
      <c r="J19" s="41">
        <v>94</v>
      </c>
      <c r="K19" s="41">
        <v>882.52021276595735</v>
      </c>
      <c r="L19" s="41"/>
      <c r="M19" s="42">
        <v>3</v>
      </c>
      <c r="N19" s="42">
        <v>3.43</v>
      </c>
      <c r="O19" s="43">
        <v>82956.899999999994</v>
      </c>
      <c r="P19" s="44">
        <v>57526.65</v>
      </c>
      <c r="Q19" s="44">
        <v>63724.500000000102</v>
      </c>
      <c r="R19" s="45">
        <v>0</v>
      </c>
      <c r="S19" s="46">
        <v>0</v>
      </c>
      <c r="T19" s="39">
        <f t="shared" si="0"/>
        <v>11</v>
      </c>
      <c r="U19" s="47">
        <f t="shared" si="1"/>
        <v>0.86945080319157608</v>
      </c>
      <c r="V19" s="48">
        <f t="shared" si="2"/>
        <v>0.43000000000000016</v>
      </c>
      <c r="W19" s="49">
        <f t="shared" si="3"/>
        <v>7.9040982108325095E-2</v>
      </c>
      <c r="X19" s="44">
        <f t="shared" si="4"/>
        <v>57092.80473632292</v>
      </c>
      <c r="Y19" s="44">
        <f t="shared" si="5"/>
        <v>6197.8500000001004</v>
      </c>
      <c r="Z19" s="44">
        <f t="shared" si="6"/>
        <v>290579.40902743867</v>
      </c>
      <c r="AA19" s="50">
        <f t="shared" si="7"/>
        <v>120817.30473632301</v>
      </c>
      <c r="AB19" s="51">
        <f t="shared" si="8"/>
        <v>271645.70349391294</v>
      </c>
      <c r="AC19" s="44">
        <f t="shared" si="9"/>
        <v>112945.03574490325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7.724742887417281</v>
      </c>
      <c r="AG19" s="44">
        <f t="shared" si="11"/>
        <v>640820.72323718655</v>
      </c>
      <c r="AH19" s="52">
        <f>HLOOKUP(I19,GasAvoidedCostsWOCC!$A$5:$Q$50,T19+1,FALSE)</f>
        <v>7.724742887417281</v>
      </c>
      <c r="AI19" s="44">
        <f t="shared" si="12"/>
        <v>0</v>
      </c>
      <c r="AJ19" s="44">
        <f t="shared" si="13"/>
        <v>640820.72323718655</v>
      </c>
      <c r="AK19" s="44">
        <f>HLOOKUP(I19,GasAvoidedCostsWOCC!$A$5:$Q$50,G19+1,FALSE)*J19*L19</f>
        <v>0</v>
      </c>
      <c r="AL19" s="44">
        <f t="shared" si="14"/>
        <v>640820.72323718655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640820.72323718655</v>
      </c>
      <c r="AN19" s="48">
        <f t="shared" si="15"/>
        <v>704902.79556090524</v>
      </c>
      <c r="AO19" s="47">
        <f t="shared" si="16"/>
        <v>2.3590313227668851</v>
      </c>
      <c r="AP19" s="47">
        <f t="shared" si="17"/>
        <v>6.2411135727380973</v>
      </c>
      <c r="AQ19">
        <v>2020</v>
      </c>
    </row>
    <row r="20" spans="1:43" ht="13.5" customHeight="1">
      <c r="A20" s="59">
        <f>A8+SUM(Q5:Q906)</f>
        <v>2931219.8699999987</v>
      </c>
      <c r="B20" s="97" t="s">
        <v>31</v>
      </c>
      <c r="C20" s="100">
        <v>18230248</v>
      </c>
      <c r="D20" s="100" t="s">
        <v>32</v>
      </c>
      <c r="E20" s="38" t="s">
        <v>2195</v>
      </c>
      <c r="F20" s="39" t="s">
        <v>1772</v>
      </c>
      <c r="G20" s="39">
        <v>15</v>
      </c>
      <c r="H20" s="39"/>
      <c r="I20" s="40" t="s">
        <v>255</v>
      </c>
      <c r="J20" s="41">
        <v>22</v>
      </c>
      <c r="K20" s="41">
        <v>92.590909090909093</v>
      </c>
      <c r="L20" s="41"/>
      <c r="M20" s="42">
        <v>5</v>
      </c>
      <c r="N20" s="42">
        <v>5.68</v>
      </c>
      <c r="O20" s="43">
        <v>2037</v>
      </c>
      <c r="P20" s="44">
        <v>7497.5</v>
      </c>
      <c r="Q20" s="44">
        <v>17034.310000000001</v>
      </c>
      <c r="R20" s="45">
        <v>0</v>
      </c>
      <c r="S20" s="46">
        <v>0</v>
      </c>
      <c r="T20" s="39">
        <f t="shared" si="0"/>
        <v>15</v>
      </c>
      <c r="U20" s="47">
        <f t="shared" si="1"/>
        <v>2.911267427206023E-2</v>
      </c>
      <c r="V20" s="48">
        <f t="shared" si="2"/>
        <v>0.67999999999999972</v>
      </c>
      <c r="W20" s="49">
        <f t="shared" si="3"/>
        <v>1.9408449514706819E-3</v>
      </c>
      <c r="X20" s="44">
        <f t="shared" si="4"/>
        <v>1401.9092233182505</v>
      </c>
      <c r="Y20" s="44">
        <f t="shared" si="5"/>
        <v>9536.8100000000013</v>
      </c>
      <c r="Z20" s="44">
        <f t="shared" si="6"/>
        <v>7135.1539918788258</v>
      </c>
      <c r="AA20" s="50">
        <f t="shared" si="7"/>
        <v>18436.21922331825</v>
      </c>
      <c r="AB20" s="51">
        <f t="shared" si="8"/>
        <v>6670.2383770017996</v>
      </c>
      <c r="AC20" s="44">
        <f t="shared" si="9"/>
        <v>17234.943650853744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10.143887193159781</v>
      </c>
      <c r="AG20" s="44">
        <f t="shared" si="11"/>
        <v>20663.098212466473</v>
      </c>
      <c r="AH20" s="52">
        <f>HLOOKUP(I20,GasAvoidedCostsWOCC!$A$5:$Q$50,T20+1,FALSE)</f>
        <v>10.143887193159781</v>
      </c>
      <c r="AI20" s="44">
        <f t="shared" si="12"/>
        <v>0</v>
      </c>
      <c r="AJ20" s="44">
        <f t="shared" si="13"/>
        <v>20663.098212466473</v>
      </c>
      <c r="AK20" s="44">
        <f>HLOOKUP(I20,GasAvoidedCostsWOCC!$A$5:$Q$50,G20+1,FALSE)*J20*L20</f>
        <v>0</v>
      </c>
      <c r="AL20" s="44">
        <f t="shared" si="14"/>
        <v>20663.098212466473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20663.098212466473</v>
      </c>
      <c r="AN20" s="48">
        <f t="shared" si="15"/>
        <v>22729.408033713124</v>
      </c>
      <c r="AO20" s="47">
        <f t="shared" si="16"/>
        <v>3.0978050625162687</v>
      </c>
      <c r="AP20" s="47">
        <f t="shared" si="17"/>
        <v>1.3187979313519373</v>
      </c>
      <c r="AQ20">
        <v>2020</v>
      </c>
    </row>
    <row r="21" spans="1:43" ht="13.5" customHeight="1">
      <c r="A21" s="58" t="s">
        <v>245</v>
      </c>
      <c r="B21" s="97" t="s">
        <v>31</v>
      </c>
      <c r="C21" s="100">
        <v>18230248</v>
      </c>
      <c r="D21" s="100" t="s">
        <v>32</v>
      </c>
      <c r="E21" s="38" t="s">
        <v>1771</v>
      </c>
      <c r="F21" s="39" t="s">
        <v>1772</v>
      </c>
      <c r="G21" s="39">
        <v>11</v>
      </c>
      <c r="H21" s="39"/>
      <c r="I21" s="40" t="s">
        <v>255</v>
      </c>
      <c r="J21" s="41">
        <v>63</v>
      </c>
      <c r="K21" s="41">
        <v>460.93650793650795</v>
      </c>
      <c r="L21" s="41"/>
      <c r="M21" s="42">
        <v>5</v>
      </c>
      <c r="N21" s="42">
        <v>5.68</v>
      </c>
      <c r="O21" s="43">
        <v>29039</v>
      </c>
      <c r="P21" s="44">
        <v>82812.5</v>
      </c>
      <c r="Q21" s="44">
        <v>85557.82</v>
      </c>
      <c r="R21" s="45">
        <v>0</v>
      </c>
      <c r="S21" s="46">
        <v>0</v>
      </c>
      <c r="T21" s="39">
        <f t="shared" si="0"/>
        <v>11</v>
      </c>
      <c r="U21" s="47">
        <f t="shared" si="1"/>
        <v>0.30435059499427025</v>
      </c>
      <c r="V21" s="48">
        <f t="shared" si="2"/>
        <v>0.67999999999999972</v>
      </c>
      <c r="W21" s="49">
        <f t="shared" si="3"/>
        <v>2.7668235908570021E-2</v>
      </c>
      <c r="X21" s="44">
        <f t="shared" si="4"/>
        <v>19985.293046607108</v>
      </c>
      <c r="Y21" s="44">
        <f t="shared" si="5"/>
        <v>2745.320000000007</v>
      </c>
      <c r="Z21" s="44">
        <f t="shared" si="6"/>
        <v>101717.10199811941</v>
      </c>
      <c r="AA21" s="50">
        <f t="shared" si="7"/>
        <v>105543.11304660712</v>
      </c>
      <c r="AB21" s="51">
        <f t="shared" si="8"/>
        <v>95089.372719565668</v>
      </c>
      <c r="AC21" s="44">
        <f t="shared" si="9"/>
        <v>98666.08679686558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7.724742887417281</v>
      </c>
      <c r="AG21" s="44">
        <f t="shared" si="11"/>
        <v>224318.80870771044</v>
      </c>
      <c r="AH21" s="52">
        <f>HLOOKUP(I21,GasAvoidedCostsWOCC!$A$5:$Q$50,T21+1,FALSE)</f>
        <v>7.724742887417281</v>
      </c>
      <c r="AI21" s="44">
        <f t="shared" si="12"/>
        <v>0</v>
      </c>
      <c r="AJ21" s="44">
        <f t="shared" si="13"/>
        <v>224318.80870771044</v>
      </c>
      <c r="AK21" s="44">
        <f>HLOOKUP(I21,GasAvoidedCostsWOCC!$A$5:$Q$50,G21+1,FALSE)*J21*L21</f>
        <v>0</v>
      </c>
      <c r="AL21" s="44">
        <f t="shared" si="14"/>
        <v>224318.80870771044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224318.80870771041</v>
      </c>
      <c r="AN21" s="48">
        <f t="shared" si="15"/>
        <v>246750.68957848148</v>
      </c>
      <c r="AO21" s="47">
        <f t="shared" si="16"/>
        <v>2.3590313227668855</v>
      </c>
      <c r="AP21" s="47">
        <f t="shared" si="17"/>
        <v>2.500866281303864</v>
      </c>
      <c r="AQ21">
        <v>2020</v>
      </c>
    </row>
    <row r="22" spans="1:43" ht="13.5" customHeight="1">
      <c r="A22" s="60">
        <f>(SUM(AM5:AM1000)/(SUM(AB5:AB1000)))</f>
        <v>2.4276389022205196</v>
      </c>
      <c r="B22" s="97" t="s">
        <v>31</v>
      </c>
      <c r="C22" s="100">
        <v>18230248</v>
      </c>
      <c r="D22" s="100" t="s">
        <v>32</v>
      </c>
      <c r="E22" s="38" t="s">
        <v>2196</v>
      </c>
      <c r="F22" s="39" t="s">
        <v>1774</v>
      </c>
      <c r="G22" s="39">
        <v>20</v>
      </c>
      <c r="H22" s="39"/>
      <c r="I22" s="40" t="s">
        <v>255</v>
      </c>
      <c r="J22" s="41">
        <v>2</v>
      </c>
      <c r="K22" s="41">
        <v>591.20000000000005</v>
      </c>
      <c r="L22" s="41"/>
      <c r="M22" s="42">
        <v>5</v>
      </c>
      <c r="N22" s="42">
        <v>10.24</v>
      </c>
      <c r="O22" s="43">
        <v>1182.4000000000001</v>
      </c>
      <c r="P22" s="44">
        <v>2499.5</v>
      </c>
      <c r="Q22" s="44">
        <v>10237.950000000001</v>
      </c>
      <c r="R22" s="45">
        <v>0</v>
      </c>
      <c r="S22" s="46">
        <v>0</v>
      </c>
      <c r="T22" s="39">
        <f t="shared" si="0"/>
        <v>20</v>
      </c>
      <c r="U22" s="47">
        <f t="shared" si="1"/>
        <v>2.25317139972404E-2</v>
      </c>
      <c r="V22" s="48">
        <f t="shared" si="2"/>
        <v>5.24</v>
      </c>
      <c r="W22" s="49">
        <f t="shared" si="3"/>
        <v>1.1265856998620199E-3</v>
      </c>
      <c r="X22" s="44">
        <f t="shared" si="4"/>
        <v>813.75427867034841</v>
      </c>
      <c r="Y22" s="44">
        <f t="shared" si="5"/>
        <v>7738.4500000000007</v>
      </c>
      <c r="Z22" s="44">
        <f t="shared" si="6"/>
        <v>4141.6819243974105</v>
      </c>
      <c r="AA22" s="50">
        <f t="shared" si="7"/>
        <v>11051.70427867035</v>
      </c>
      <c r="AB22" s="51">
        <f t="shared" si="8"/>
        <v>3871.816326444246</v>
      </c>
      <c r="AC22" s="44">
        <f t="shared" si="9"/>
        <v>10331.592295662662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13.039482845378327</v>
      </c>
      <c r="AG22" s="44">
        <f t="shared" si="11"/>
        <v>15417.884516375336</v>
      </c>
      <c r="AH22" s="52">
        <f>HLOOKUP(I22,GasAvoidedCostsWOCC!$A$5:$Q$50,T22+1,FALSE)</f>
        <v>13.039482845378327</v>
      </c>
      <c r="AI22" s="44">
        <f t="shared" si="12"/>
        <v>0</v>
      </c>
      <c r="AJ22" s="44">
        <f t="shared" si="13"/>
        <v>15417.884516375336</v>
      </c>
      <c r="AK22" s="44">
        <f>HLOOKUP(I22,GasAvoidedCostsWOCC!$A$5:$Q$50,G22+1,FALSE)*J22*L22</f>
        <v>0</v>
      </c>
      <c r="AL22" s="44">
        <f t="shared" si="14"/>
        <v>15417.884516375336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15417.884516375336</v>
      </c>
      <c r="AN22" s="48">
        <f t="shared" si="15"/>
        <v>16959.67296801287</v>
      </c>
      <c r="AO22" s="47">
        <f t="shared" si="16"/>
        <v>3.9820805576628771</v>
      </c>
      <c r="AP22" s="47">
        <f t="shared" si="17"/>
        <v>1.6415352525217979</v>
      </c>
      <c r="AQ22">
        <v>2020</v>
      </c>
    </row>
    <row r="23" spans="1:43" ht="13.5" customHeight="1">
      <c r="A23" s="58" t="s">
        <v>246</v>
      </c>
      <c r="B23" s="97" t="s">
        <v>31</v>
      </c>
      <c r="C23" s="100">
        <v>18230248</v>
      </c>
      <c r="D23" s="100" t="s">
        <v>32</v>
      </c>
      <c r="E23" s="38" t="s">
        <v>1773</v>
      </c>
      <c r="F23" s="39" t="s">
        <v>1774</v>
      </c>
      <c r="G23" s="39">
        <v>11</v>
      </c>
      <c r="H23" s="39"/>
      <c r="I23" s="40" t="s">
        <v>255</v>
      </c>
      <c r="J23" s="41">
        <v>2</v>
      </c>
      <c r="K23" s="41">
        <v>1680.6</v>
      </c>
      <c r="L23" s="41"/>
      <c r="M23" s="42">
        <v>5</v>
      </c>
      <c r="N23" s="42">
        <v>10.24</v>
      </c>
      <c r="O23" s="43">
        <v>3361.2</v>
      </c>
      <c r="P23" s="44">
        <v>17499.5</v>
      </c>
      <c r="Q23" s="44">
        <v>30720</v>
      </c>
      <c r="R23" s="45">
        <v>0</v>
      </c>
      <c r="S23" s="46">
        <v>0</v>
      </c>
      <c r="T23" s="39">
        <f t="shared" si="0"/>
        <v>11</v>
      </c>
      <c r="U23" s="47">
        <f t="shared" si="1"/>
        <v>3.5227907982187438E-2</v>
      </c>
      <c r="V23" s="48">
        <f t="shared" si="2"/>
        <v>5.24</v>
      </c>
      <c r="W23" s="49">
        <f t="shared" si="3"/>
        <v>3.2025370892897671E-3</v>
      </c>
      <c r="X23" s="44">
        <f t="shared" si="4"/>
        <v>2313.2534518494372</v>
      </c>
      <c r="Y23" s="44">
        <f t="shared" si="5"/>
        <v>13220.5</v>
      </c>
      <c r="Z23" s="44">
        <f t="shared" si="6"/>
        <v>11773.529502947034</v>
      </c>
      <c r="AA23" s="50">
        <f t="shared" si="7"/>
        <v>33033.253451849436</v>
      </c>
      <c r="AB23" s="51">
        <f t="shared" si="8"/>
        <v>11006.384503082203</v>
      </c>
      <c r="AC23" s="44">
        <f t="shared" si="9"/>
        <v>30880.857672103797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7.724742887417281</v>
      </c>
      <c r="AG23" s="44">
        <f t="shared" si="11"/>
        <v>25964.405793186965</v>
      </c>
      <c r="AH23" s="52">
        <f>HLOOKUP(I23,GasAvoidedCostsWOCC!$A$5:$Q$50,T23+1,FALSE)</f>
        <v>7.724742887417281</v>
      </c>
      <c r="AI23" s="44">
        <f t="shared" si="12"/>
        <v>0</v>
      </c>
      <c r="AJ23" s="44">
        <f t="shared" si="13"/>
        <v>25964.405793186965</v>
      </c>
      <c r="AK23" s="44">
        <f>HLOOKUP(I23,GasAvoidedCostsWOCC!$A$5:$Q$50,G23+1,FALSE)*J23*L23</f>
        <v>0</v>
      </c>
      <c r="AL23" s="44">
        <f t="shared" si="14"/>
        <v>25964.405793186965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25964.405793186965</v>
      </c>
      <c r="AN23" s="48">
        <f t="shared" si="15"/>
        <v>28560.846372505664</v>
      </c>
      <c r="AO23" s="47">
        <f t="shared" si="16"/>
        <v>2.359031322766886</v>
      </c>
      <c r="AP23" s="47">
        <f t="shared" si="17"/>
        <v>0.92487218702821483</v>
      </c>
      <c r="AQ23">
        <v>2020</v>
      </c>
    </row>
    <row r="24" spans="1:43" ht="13.5" customHeight="1">
      <c r="A24" s="60">
        <f>(SUM(AN5:AN1000)/SUM(AC5:AC1000))</f>
        <v>3.3491984830157442</v>
      </c>
      <c r="B24" s="97" t="s">
        <v>31</v>
      </c>
      <c r="C24" s="61">
        <v>18230248</v>
      </c>
      <c r="D24" s="61" t="s">
        <v>32</v>
      </c>
      <c r="E24" s="38" t="s">
        <v>2197</v>
      </c>
      <c r="F24" s="39" t="s">
        <v>2198</v>
      </c>
      <c r="G24" s="39">
        <v>11</v>
      </c>
      <c r="H24" s="39"/>
      <c r="I24" s="40" t="s">
        <v>255</v>
      </c>
      <c r="J24" s="41">
        <v>12</v>
      </c>
      <c r="K24" s="41">
        <v>662.47500000000002</v>
      </c>
      <c r="L24" s="41"/>
      <c r="M24" s="42">
        <v>3</v>
      </c>
      <c r="N24" s="42">
        <v>3.43</v>
      </c>
      <c r="O24" s="43">
        <v>7949.7</v>
      </c>
      <c r="P24" s="44">
        <v>7060.5</v>
      </c>
      <c r="Q24" s="44">
        <v>8072.5</v>
      </c>
      <c r="R24" s="45">
        <v>0</v>
      </c>
      <c r="S24" s="46">
        <v>0</v>
      </c>
      <c r="T24" s="39">
        <f t="shared" si="0"/>
        <v>11</v>
      </c>
      <c r="U24" s="47">
        <f t="shared" si="1"/>
        <v>8.3318844485896548E-2</v>
      </c>
      <c r="V24" s="48">
        <f t="shared" si="2"/>
        <v>0.43000000000000016</v>
      </c>
      <c r="W24" s="49">
        <f t="shared" si="3"/>
        <v>7.5744404078087772E-3</v>
      </c>
      <c r="X24" s="44">
        <f t="shared" si="4"/>
        <v>5471.1623724168367</v>
      </c>
      <c r="Y24" s="44">
        <f t="shared" si="5"/>
        <v>1012</v>
      </c>
      <c r="Z24" s="44">
        <f t="shared" si="6"/>
        <v>27846.015556818405</v>
      </c>
      <c r="AA24" s="50">
        <f t="shared" si="7"/>
        <v>13543.662372416837</v>
      </c>
      <c r="AB24" s="51">
        <f t="shared" si="8"/>
        <v>26031.612187359449</v>
      </c>
      <c r="AC24" s="44">
        <f t="shared" si="9"/>
        <v>12661.178248496621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7.724742887417281</v>
      </c>
      <c r="AG24" s="44">
        <f t="shared" si="11"/>
        <v>61409.388532101155</v>
      </c>
      <c r="AH24" s="52">
        <f>HLOOKUP(I24,GasAvoidedCostsWOCC!$A$5:$Q$50,T24+1,FALSE)</f>
        <v>7.724742887417281</v>
      </c>
      <c r="AI24" s="44">
        <f t="shared" si="12"/>
        <v>0</v>
      </c>
      <c r="AJ24" s="44">
        <f t="shared" si="13"/>
        <v>61409.388532101155</v>
      </c>
      <c r="AK24" s="44">
        <f>HLOOKUP(I24,GasAvoidedCostsWOCC!$A$5:$Q$50,G24+1,FALSE)*J24*L24</f>
        <v>0</v>
      </c>
      <c r="AL24" s="44">
        <f t="shared" si="14"/>
        <v>61409.388532101155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61409.388532101162</v>
      </c>
      <c r="AN24" s="48">
        <f t="shared" si="15"/>
        <v>67550.327385311277</v>
      </c>
      <c r="AO24" s="47">
        <f t="shared" si="16"/>
        <v>2.3590313227668864</v>
      </c>
      <c r="AP24" s="47">
        <f t="shared" si="17"/>
        <v>5.3352323187877211</v>
      </c>
      <c r="AQ24">
        <v>2020</v>
      </c>
    </row>
    <row r="25" spans="1:43" ht="13.5" customHeight="1">
      <c r="B25" s="97" t="s">
        <v>31</v>
      </c>
      <c r="C25" s="61">
        <v>18230248</v>
      </c>
      <c r="D25" s="61" t="s">
        <v>32</v>
      </c>
      <c r="E25" s="38" t="s">
        <v>2199</v>
      </c>
      <c r="F25" s="39" t="s">
        <v>1776</v>
      </c>
      <c r="G25" s="39">
        <v>15</v>
      </c>
      <c r="H25" s="39"/>
      <c r="I25" s="40" t="s">
        <v>255</v>
      </c>
      <c r="J25" s="41">
        <v>15</v>
      </c>
      <c r="K25" s="41">
        <v>206.55333333333334</v>
      </c>
      <c r="L25" s="41"/>
      <c r="M25" s="42">
        <v>5</v>
      </c>
      <c r="N25" s="42">
        <v>5.68</v>
      </c>
      <c r="O25" s="43">
        <v>3098.3</v>
      </c>
      <c r="P25" s="44">
        <v>6847.5</v>
      </c>
      <c r="Q25" s="44">
        <v>14137.52</v>
      </c>
      <c r="R25" s="45">
        <v>0</v>
      </c>
      <c r="S25" s="46">
        <v>0</v>
      </c>
      <c r="T25" s="39">
        <f t="shared" ref="T25:T73" si="19">G25+H25</f>
        <v>15</v>
      </c>
      <c r="U25" s="47">
        <f t="shared" ref="U25:U73" si="20">(O25/$A$10)*T25</f>
        <v>4.4280706282338843E-2</v>
      </c>
      <c r="V25" s="48">
        <f t="shared" ref="V25:V73" si="21">N25-M25</f>
        <v>0.67999999999999972</v>
      </c>
      <c r="W25" s="49">
        <f t="shared" ref="W25:W73" si="22">(O25/A$10)</f>
        <v>2.952047085489256E-3</v>
      </c>
      <c r="X25" s="44">
        <f t="shared" ref="X25:X73" si="23">W25*A$8</f>
        <v>2132.3197577844558</v>
      </c>
      <c r="Y25" s="44">
        <f t="shared" ref="Y25:Y73" si="24">Q25-P25</f>
        <v>7290.02</v>
      </c>
      <c r="Z25" s="44">
        <f t="shared" ref="Z25:Z73" si="25">X25+(A$6*W25)</f>
        <v>10852.649785487563</v>
      </c>
      <c r="AA25" s="50">
        <f t="shared" ref="AA25:AA73" si="26">Q25+X25</f>
        <v>16269.839757784455</v>
      </c>
      <c r="AB25" s="51">
        <f t="shared" ref="AB25:AB73" si="27">Z25/(1+GasDiscountRate)^1</f>
        <v>10145.507885844219</v>
      </c>
      <c r="AC25" s="44">
        <f t="shared" ref="AC25:AC73" si="28">AA25/(1+GasDiscountRate)^1</f>
        <v>15209.72212562817</v>
      </c>
      <c r="AD25" s="44">
        <f t="shared" ref="AD25:AD73" si="29">-PV(GasDiscountRate,T25,R25)*J25</f>
        <v>0</v>
      </c>
      <c r="AE25" s="44">
        <f t="shared" ref="AE25:AE73" si="30">-PV(GasDiscountRate,T25,S25)*J25</f>
        <v>0</v>
      </c>
      <c r="AF25" s="52">
        <f>HLOOKUP(I25,GasAvoidedCostsWOCC!$A$5:$G$50,G25+1,FALSE)</f>
        <v>10.143887193159781</v>
      </c>
      <c r="AG25" s="44">
        <f t="shared" ref="AG25:AG73" si="31">AF25*J25*K25</f>
        <v>31428.805690566951</v>
      </c>
      <c r="AH25" s="52">
        <f>HLOOKUP(I25,GasAvoidedCostsWOCC!$A$5:$Q$50,T25+1,FALSE)</f>
        <v>10.143887193159781</v>
      </c>
      <c r="AI25" s="44">
        <f t="shared" ref="AI25:AI73" si="32">AH25*J25*L25</f>
        <v>0</v>
      </c>
      <c r="AJ25" s="44">
        <f t="shared" ref="AJ25:AJ73" si="33">AG25+AI25</f>
        <v>31428.805690566951</v>
      </c>
      <c r="AK25" s="44">
        <f>HLOOKUP(I25,GasAvoidedCostsWOCC!$A$5:$Q$50,G25+1,FALSE)*J25*L25</f>
        <v>0</v>
      </c>
      <c r="AL25" s="44">
        <f t="shared" ref="AL25:AL73" si="34">AG25+AI25-AK25</f>
        <v>31428.805690566951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31428.805690566951</v>
      </c>
      <c r="AN25" s="48">
        <f t="shared" ref="AN25:AN73" si="35">AM25*1.1+AD25+AE25</f>
        <v>34571.686259623646</v>
      </c>
      <c r="AO25" s="47">
        <f t="shared" ref="AO25:AO73" si="36">IFERROR(AM25/AB25,0)</f>
        <v>3.0978050625162687</v>
      </c>
      <c r="AP25" s="47">
        <f t="shared" ref="AP25:AP73" si="37">AN25/AC25</f>
        <v>2.2729992023569476</v>
      </c>
      <c r="AQ25">
        <v>2020</v>
      </c>
    </row>
    <row r="26" spans="1:43" ht="13.5" customHeight="1">
      <c r="B26" s="97" t="s">
        <v>31</v>
      </c>
      <c r="C26" s="61">
        <v>18230248</v>
      </c>
      <c r="D26" s="61" t="s">
        <v>32</v>
      </c>
      <c r="E26" s="38" t="s">
        <v>1775</v>
      </c>
      <c r="F26" s="39" t="s">
        <v>1776</v>
      </c>
      <c r="G26" s="39">
        <v>11</v>
      </c>
      <c r="H26" s="39"/>
      <c r="I26" s="40" t="s">
        <v>255</v>
      </c>
      <c r="J26" s="41">
        <v>39</v>
      </c>
      <c r="K26" s="41">
        <v>346.16410256410256</v>
      </c>
      <c r="L26" s="41"/>
      <c r="M26" s="42">
        <v>5</v>
      </c>
      <c r="N26" s="42">
        <v>5.68</v>
      </c>
      <c r="O26" s="43">
        <v>13500.4</v>
      </c>
      <c r="P26" s="44">
        <v>51542</v>
      </c>
      <c r="Q26" s="44">
        <v>52192.9</v>
      </c>
      <c r="R26" s="45">
        <v>0</v>
      </c>
      <c r="S26" s="46">
        <v>0</v>
      </c>
      <c r="T26" s="39">
        <f t="shared" si="19"/>
        <v>11</v>
      </c>
      <c r="U26" s="47">
        <f t="shared" si="20"/>
        <v>0.14149436181206812</v>
      </c>
      <c r="V26" s="48">
        <f t="shared" si="21"/>
        <v>0.67999999999999972</v>
      </c>
      <c r="W26" s="49">
        <f t="shared" si="22"/>
        <v>1.2863123801097101E-2</v>
      </c>
      <c r="X26" s="44">
        <f t="shared" si="23"/>
        <v>9291.2789781471329</v>
      </c>
      <c r="Y26" s="44">
        <f t="shared" si="24"/>
        <v>650.90000000000146</v>
      </c>
      <c r="Z26" s="44">
        <f t="shared" si="25"/>
        <v>47288.872337732406</v>
      </c>
      <c r="AA26" s="50">
        <f t="shared" si="26"/>
        <v>61484.178978147131</v>
      </c>
      <c r="AB26" s="51">
        <f t="shared" si="27"/>
        <v>44207.602447165002</v>
      </c>
      <c r="AC26" s="44">
        <f t="shared" si="28"/>
        <v>57477.964829528959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7.724742887417281</v>
      </c>
      <c r="AG26" s="44">
        <f t="shared" si="31"/>
        <v>104287.11887728826</v>
      </c>
      <c r="AH26" s="52">
        <f>HLOOKUP(I26,GasAvoidedCostsWOCC!$A$5:$Q$50,T26+1,FALSE)</f>
        <v>7.724742887417281</v>
      </c>
      <c r="AI26" s="44">
        <f t="shared" si="32"/>
        <v>0</v>
      </c>
      <c r="AJ26" s="44">
        <f t="shared" si="33"/>
        <v>104287.11887728826</v>
      </c>
      <c r="AK26" s="44">
        <f>HLOOKUP(I26,GasAvoidedCostsWOCC!$A$5:$Q$50,G26+1,FALSE)*J26*L26</f>
        <v>0</v>
      </c>
      <c r="AL26" s="44">
        <f t="shared" si="34"/>
        <v>104287.11887728826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104287.11887728826</v>
      </c>
      <c r="AN26" s="48">
        <f t="shared" si="35"/>
        <v>114715.83076501709</v>
      </c>
      <c r="AO26" s="47">
        <f t="shared" si="36"/>
        <v>2.3590313227668855</v>
      </c>
      <c r="AP26" s="47">
        <f t="shared" si="37"/>
        <v>1.9958227662591581</v>
      </c>
      <c r="AQ26">
        <v>2020</v>
      </c>
    </row>
    <row r="27" spans="1:43" ht="13.5" customHeight="1">
      <c r="B27" s="97" t="s">
        <v>31</v>
      </c>
      <c r="C27" s="61">
        <v>18230248</v>
      </c>
      <c r="D27" s="61" t="s">
        <v>32</v>
      </c>
      <c r="E27" s="38" t="s">
        <v>2200</v>
      </c>
      <c r="F27" s="39" t="s">
        <v>1778</v>
      </c>
      <c r="G27" s="39">
        <v>20</v>
      </c>
      <c r="H27" s="39"/>
      <c r="I27" s="40" t="s">
        <v>255</v>
      </c>
      <c r="J27" s="41">
        <v>1</v>
      </c>
      <c r="K27" s="41">
        <v>-455.6</v>
      </c>
      <c r="L27" s="41"/>
      <c r="M27" s="42">
        <v>5</v>
      </c>
      <c r="N27" s="42">
        <v>10.24</v>
      </c>
      <c r="O27" s="43">
        <v>-455.6</v>
      </c>
      <c r="P27" s="44">
        <v>0</v>
      </c>
      <c r="Q27" s="44">
        <v>0</v>
      </c>
      <c r="R27" s="45">
        <v>0</v>
      </c>
      <c r="S27" s="46">
        <v>0</v>
      </c>
      <c r="T27" s="39">
        <f t="shared" si="19"/>
        <v>20</v>
      </c>
      <c r="U27" s="47">
        <f t="shared" si="20"/>
        <v>-8.6818749130097468E-3</v>
      </c>
      <c r="V27" s="48">
        <f t="shared" si="21"/>
        <v>5.24</v>
      </c>
      <c r="W27" s="49">
        <f t="shared" si="22"/>
        <v>-4.3409374565048735E-4</v>
      </c>
      <c r="X27" s="44">
        <f t="shared" si="23"/>
        <v>-313.55416894638927</v>
      </c>
      <c r="Y27" s="44">
        <f t="shared" si="24"/>
        <v>0</v>
      </c>
      <c r="Z27" s="44">
        <f t="shared" si="25"/>
        <v>-1595.8645845360793</v>
      </c>
      <c r="AA27" s="50">
        <f t="shared" si="26"/>
        <v>-313.55416894638927</v>
      </c>
      <c r="AB27" s="51">
        <f t="shared" si="27"/>
        <v>-1491.8805127943153</v>
      </c>
      <c r="AC27" s="44">
        <f t="shared" si="28"/>
        <v>-293.1234635378043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13.039482845378327</v>
      </c>
      <c r="AG27" s="44">
        <f t="shared" si="31"/>
        <v>-5940.7883843543659</v>
      </c>
      <c r="AH27" s="52">
        <f>HLOOKUP(I27,GasAvoidedCostsWOCC!$A$5:$Q$50,T27+1,FALSE)</f>
        <v>13.039482845378327</v>
      </c>
      <c r="AI27" s="44">
        <f t="shared" si="32"/>
        <v>0</v>
      </c>
      <c r="AJ27" s="44">
        <f t="shared" si="33"/>
        <v>-5940.7883843543659</v>
      </c>
      <c r="AK27" s="44">
        <f>HLOOKUP(I27,GasAvoidedCostsWOCC!$A$5:$Q$50,G27+1,FALSE)*J27*L27</f>
        <v>0</v>
      </c>
      <c r="AL27" s="44">
        <f t="shared" si="34"/>
        <v>-5940.7883843543659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-5940.7883843543659</v>
      </c>
      <c r="AN27" s="48">
        <f t="shared" si="35"/>
        <v>-6534.8672227898032</v>
      </c>
      <c r="AO27" s="47">
        <f t="shared" si="36"/>
        <v>3.9820805576628771</v>
      </c>
      <c r="AP27" s="47">
        <f t="shared" si="37"/>
        <v>22.293906956196285</v>
      </c>
      <c r="AQ27">
        <v>2020</v>
      </c>
    </row>
    <row r="28" spans="1:43" ht="13.5" customHeight="1">
      <c r="B28" s="97" t="s">
        <v>31</v>
      </c>
      <c r="C28" s="61">
        <v>18230248</v>
      </c>
      <c r="D28" s="61" t="s">
        <v>32</v>
      </c>
      <c r="E28" s="38" t="s">
        <v>1777</v>
      </c>
      <c r="F28" s="39" t="s">
        <v>1778</v>
      </c>
      <c r="G28" s="39">
        <v>11</v>
      </c>
      <c r="H28" s="39"/>
      <c r="I28" s="40" t="s">
        <v>255</v>
      </c>
      <c r="J28" s="41">
        <v>7</v>
      </c>
      <c r="K28" s="41">
        <v>646.9</v>
      </c>
      <c r="L28" s="41"/>
      <c r="M28" s="42">
        <v>5</v>
      </c>
      <c r="N28" s="42">
        <v>10.24</v>
      </c>
      <c r="O28" s="43">
        <v>4528.3</v>
      </c>
      <c r="P28" s="44">
        <v>24753.5</v>
      </c>
      <c r="Q28" s="44">
        <v>50695.17</v>
      </c>
      <c r="R28" s="45">
        <v>0</v>
      </c>
      <c r="S28" s="46">
        <v>0</v>
      </c>
      <c r="T28" s="39">
        <f t="shared" si="19"/>
        <v>11</v>
      </c>
      <c r="U28" s="47">
        <f t="shared" si="20"/>
        <v>4.7459995155224151E-2</v>
      </c>
      <c r="V28" s="48">
        <f t="shared" si="21"/>
        <v>5.24</v>
      </c>
      <c r="W28" s="49">
        <f t="shared" si="22"/>
        <v>4.3145450141112863E-3</v>
      </c>
      <c r="X28" s="44">
        <f t="shared" si="23"/>
        <v>3116.4779263387504</v>
      </c>
      <c r="Y28" s="44">
        <f t="shared" si="24"/>
        <v>25941.67</v>
      </c>
      <c r="Z28" s="44">
        <f t="shared" si="25"/>
        <v>15861.618959953308</v>
      </c>
      <c r="AA28" s="50">
        <f t="shared" si="26"/>
        <v>53811.647926338752</v>
      </c>
      <c r="AB28" s="51">
        <f t="shared" si="27"/>
        <v>14828.100364544551</v>
      </c>
      <c r="AC28" s="44">
        <f t="shared" si="28"/>
        <v>50305.364051919925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7.724742887417281</v>
      </c>
      <c r="AG28" s="44">
        <f t="shared" si="31"/>
        <v>34979.953217091672</v>
      </c>
      <c r="AH28" s="52">
        <f>HLOOKUP(I28,GasAvoidedCostsWOCC!$A$5:$Q$50,T28+1,FALSE)</f>
        <v>7.724742887417281</v>
      </c>
      <c r="AI28" s="44">
        <f t="shared" si="32"/>
        <v>0</v>
      </c>
      <c r="AJ28" s="44">
        <f t="shared" si="33"/>
        <v>34979.953217091672</v>
      </c>
      <c r="AK28" s="44">
        <f>HLOOKUP(I28,GasAvoidedCostsWOCC!$A$5:$Q$50,G28+1,FALSE)*J28*L28</f>
        <v>0</v>
      </c>
      <c r="AL28" s="44">
        <f t="shared" si="34"/>
        <v>34979.953217091672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34979.953217091672</v>
      </c>
      <c r="AN28" s="48">
        <f t="shared" si="35"/>
        <v>38477.94853880084</v>
      </c>
      <c r="AO28" s="47">
        <f t="shared" si="36"/>
        <v>2.3590313227668855</v>
      </c>
      <c r="AP28" s="47">
        <f t="shared" si="37"/>
        <v>0.76488758731748629</v>
      </c>
      <c r="AQ28">
        <v>2020</v>
      </c>
    </row>
    <row r="29" spans="1:43">
      <c r="B29" s="97" t="s">
        <v>31</v>
      </c>
      <c r="C29" s="61">
        <v>18230248</v>
      </c>
      <c r="D29" s="61" t="s">
        <v>32</v>
      </c>
      <c r="E29" s="38" t="s">
        <v>2201</v>
      </c>
      <c r="F29" s="39" t="s">
        <v>1780</v>
      </c>
      <c r="G29" s="39">
        <v>20</v>
      </c>
      <c r="H29" s="39"/>
      <c r="I29" s="40" t="s">
        <v>255</v>
      </c>
      <c r="J29" s="41">
        <v>3</v>
      </c>
      <c r="K29" s="41">
        <v>199.16666666666666</v>
      </c>
      <c r="L29" s="41"/>
      <c r="M29" s="42">
        <v>3</v>
      </c>
      <c r="N29" s="42">
        <v>3.43</v>
      </c>
      <c r="O29" s="43">
        <v>597.5</v>
      </c>
      <c r="P29" s="44">
        <v>597</v>
      </c>
      <c r="Q29" s="44">
        <v>2047.71</v>
      </c>
      <c r="R29" s="45">
        <v>0</v>
      </c>
      <c r="S29" s="46">
        <v>0</v>
      </c>
      <c r="T29" s="39">
        <f t="shared" si="19"/>
        <v>20</v>
      </c>
      <c r="U29" s="47">
        <f t="shared" si="20"/>
        <v>1.1385909263659622E-2</v>
      </c>
      <c r="V29" s="48">
        <f t="shared" si="21"/>
        <v>0.43000000000000016</v>
      </c>
      <c r="W29" s="49">
        <f t="shared" si="22"/>
        <v>5.6929546318298105E-4</v>
      </c>
      <c r="X29" s="44">
        <f t="shared" si="23"/>
        <v>411.21294105677697</v>
      </c>
      <c r="Y29" s="44">
        <f t="shared" si="24"/>
        <v>1450.71</v>
      </c>
      <c r="Z29" s="44">
        <f t="shared" si="25"/>
        <v>2092.9084487715259</v>
      </c>
      <c r="AA29" s="50">
        <f t="shared" si="26"/>
        <v>2458.9229410567768</v>
      </c>
      <c r="AB29" s="51">
        <f t="shared" si="27"/>
        <v>1956.5377664499633</v>
      </c>
      <c r="AC29" s="44">
        <f t="shared" si="28"/>
        <v>2298.703319675401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13.039482845378327</v>
      </c>
      <c r="AG29" s="44">
        <f t="shared" si="31"/>
        <v>7791.0910001135489</v>
      </c>
      <c r="AH29" s="52">
        <f>HLOOKUP(I29,GasAvoidedCostsWOCC!$A$5:$Q$50,T29+1,FALSE)</f>
        <v>13.039482845378327</v>
      </c>
      <c r="AI29" s="44">
        <f t="shared" si="32"/>
        <v>0</v>
      </c>
      <c r="AJ29" s="44">
        <f t="shared" si="33"/>
        <v>7791.0910001135489</v>
      </c>
      <c r="AK29" s="44">
        <f>HLOOKUP(I29,GasAvoidedCostsWOCC!$A$5:$Q$50,G29+1,FALSE)*J29*L29</f>
        <v>0</v>
      </c>
      <c r="AL29" s="44">
        <f t="shared" si="34"/>
        <v>7791.0910001135489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7791.0910001135489</v>
      </c>
      <c r="AN29" s="48">
        <f t="shared" si="35"/>
        <v>8570.2001001249046</v>
      </c>
      <c r="AO29" s="47">
        <f t="shared" si="36"/>
        <v>3.9820805576628766</v>
      </c>
      <c r="AP29" s="47">
        <f t="shared" si="37"/>
        <v>3.7282758617737146</v>
      </c>
      <c r="AQ29">
        <v>2020</v>
      </c>
    </row>
    <row r="30" spans="1:43">
      <c r="B30" s="97" t="s">
        <v>31</v>
      </c>
      <c r="C30" s="61">
        <v>18230248</v>
      </c>
      <c r="D30" s="61" t="s">
        <v>32</v>
      </c>
      <c r="E30" s="38" t="s">
        <v>1779</v>
      </c>
      <c r="F30" s="39" t="s">
        <v>1780</v>
      </c>
      <c r="G30" s="39">
        <v>11</v>
      </c>
      <c r="H30" s="39"/>
      <c r="I30" s="40" t="s">
        <v>255</v>
      </c>
      <c r="J30" s="41">
        <v>10</v>
      </c>
      <c r="K30" s="41">
        <v>209.36999999999998</v>
      </c>
      <c r="L30" s="41"/>
      <c r="M30" s="42">
        <v>3</v>
      </c>
      <c r="N30" s="42">
        <v>3.43</v>
      </c>
      <c r="O30" s="43">
        <v>2093.6999999999998</v>
      </c>
      <c r="P30" s="44">
        <v>6708</v>
      </c>
      <c r="Q30" s="44">
        <v>6304.34</v>
      </c>
      <c r="R30" s="45">
        <v>0</v>
      </c>
      <c r="S30" s="46">
        <v>0</v>
      </c>
      <c r="T30" s="39">
        <f t="shared" si="19"/>
        <v>11</v>
      </c>
      <c r="U30" s="47">
        <f t="shared" si="20"/>
        <v>2.1943553178122646E-2</v>
      </c>
      <c r="V30" s="48">
        <f t="shared" si="21"/>
        <v>0.43000000000000016</v>
      </c>
      <c r="W30" s="49">
        <f t="shared" si="22"/>
        <v>1.9948684707384225E-3</v>
      </c>
      <c r="X30" s="44">
        <f t="shared" si="23"/>
        <v>1440.9314388126761</v>
      </c>
      <c r="Y30" s="44">
        <f t="shared" si="24"/>
        <v>-403.65999999999985</v>
      </c>
      <c r="Z30" s="44">
        <f t="shared" si="25"/>
        <v>7333.7613710342157</v>
      </c>
      <c r="AA30" s="50">
        <f t="shared" si="26"/>
        <v>7745.271438812676</v>
      </c>
      <c r="AB30" s="51">
        <f t="shared" si="27"/>
        <v>6855.9048060523655</v>
      </c>
      <c r="AC30" s="44">
        <f t="shared" si="28"/>
        <v>7240.6015133333412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7.724742887417281</v>
      </c>
      <c r="AG30" s="44">
        <f t="shared" si="31"/>
        <v>16173.29418338556</v>
      </c>
      <c r="AH30" s="52">
        <f>HLOOKUP(I30,GasAvoidedCostsWOCC!$A$5:$Q$50,T30+1,FALSE)</f>
        <v>7.724742887417281</v>
      </c>
      <c r="AI30" s="44">
        <f t="shared" si="32"/>
        <v>0</v>
      </c>
      <c r="AJ30" s="44">
        <f t="shared" si="33"/>
        <v>16173.29418338556</v>
      </c>
      <c r="AK30" s="44">
        <f>HLOOKUP(I30,GasAvoidedCostsWOCC!$A$5:$Q$50,G30+1,FALSE)*J30*L30</f>
        <v>0</v>
      </c>
      <c r="AL30" s="44">
        <f t="shared" si="34"/>
        <v>16173.29418338556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16173.29418338556</v>
      </c>
      <c r="AN30" s="48">
        <f t="shared" si="35"/>
        <v>17790.623601724117</v>
      </c>
      <c r="AO30" s="47">
        <f t="shared" si="36"/>
        <v>2.3590313227668855</v>
      </c>
      <c r="AP30" s="47">
        <f t="shared" si="37"/>
        <v>2.457064315576992</v>
      </c>
      <c r="AQ30">
        <v>2020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</sheetData>
  <conditionalFormatting sqref="J5:L73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73 R5:S73">
    <cfRule type="expression" dxfId="27" priority="2">
      <formula>ISTEXT(M5)</formula>
    </cfRule>
  </conditionalFormatting>
  <conditionalFormatting sqref="M5:N73 R5:S73">
    <cfRule type="notContainsBlanks" dxfId="26" priority="3">
      <formula>LEN(TRIM(M5))&gt;0</formula>
    </cfRule>
  </conditionalFormatting>
  <conditionalFormatting sqref="R5:S73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130"/>
  <sheetViews>
    <sheetView zoomScale="85" zoomScaleNormal="85" workbookViewId="0">
      <selection activeCell="C18" sqref="C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11.979054779806658</v>
      </c>
      <c r="V5" s="48">
        <f t="shared" ref="V5:V24" si="2">N5-M5</f>
        <v>0</v>
      </c>
      <c r="W5" s="49">
        <f t="shared" ref="W5:W24" si="3">(O5/A$10)</f>
        <v>0.79860365198711059</v>
      </c>
      <c r="X5" s="44">
        <f t="shared" ref="X5:X24" si="4">W5*A$8</f>
        <v>9149.6579430719648</v>
      </c>
      <c r="Y5" s="44">
        <f t="shared" ref="Y5:Y24" si="5">Q5-P5</f>
        <v>0</v>
      </c>
      <c r="Z5" s="44">
        <f t="shared" ref="Z5:Z24" si="6">X5+(A$6*W5)</f>
        <v>27640.127599355528</v>
      </c>
      <c r="AA5" s="50">
        <f t="shared" ref="AA5:AA24" si="7">Q5+X5</f>
        <v>9149.6579430719648</v>
      </c>
      <c r="AB5" s="51">
        <f t="shared" ref="AB5:AB24" si="8">Z5/(1+GasDiscountRate)^1</f>
        <v>25839.139571240092</v>
      </c>
      <c r="AC5" s="44">
        <f t="shared" ref="AC5:AC24" si="9">AA5/(1+GasDiscountRate)^1</f>
        <v>8553.4803618509522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0.55511224617899968</v>
      </c>
      <c r="AP5" s="47">
        <f>AN5/AC5</f>
        <v>1.8446274989730407</v>
      </c>
      <c r="AQ5">
        <v>2021</v>
      </c>
    </row>
    <row r="6" spans="1:43" ht="13.5" customHeight="1">
      <c r="A6" s="53">
        <f>SUMIF('Program Costs'!D:D,C2,'Program Costs'!L:L)+SUMIF('Program Costs'!C:C,"Lodging Direct Install {G}",'Program Costs'!L:L)</f>
        <v>23153.5</v>
      </c>
      <c r="B6" s="97" t="s">
        <v>31</v>
      </c>
      <c r="C6" s="98">
        <v>18231022</v>
      </c>
      <c r="D6" s="61" t="s">
        <v>163</v>
      </c>
      <c r="E6" s="38" t="s">
        <v>1054</v>
      </c>
      <c r="F6" s="39" t="s">
        <v>1055</v>
      </c>
      <c r="G6" s="39">
        <v>15</v>
      </c>
      <c r="H6" s="39"/>
      <c r="I6" s="40" t="s">
        <v>255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2.295918367346939</v>
      </c>
      <c r="V6" s="48">
        <f t="shared" si="2"/>
        <v>0</v>
      </c>
      <c r="W6" s="49">
        <f t="shared" si="3"/>
        <v>0.15306122448979592</v>
      </c>
      <c r="X6" s="44">
        <f t="shared" si="4"/>
        <v>1753.6331632653062</v>
      </c>
      <c r="Y6" s="44">
        <f t="shared" si="5"/>
        <v>0</v>
      </c>
      <c r="Z6" s="44">
        <f t="shared" si="6"/>
        <v>5297.536224489796</v>
      </c>
      <c r="AA6" s="50">
        <f t="shared" si="7"/>
        <v>1753.6331632653062</v>
      </c>
      <c r="AB6" s="51">
        <f t="shared" si="8"/>
        <v>4952.3569453957143</v>
      </c>
      <c r="AC6" s="44">
        <f t="shared" si="9"/>
        <v>1639.369134584749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0.58376403032466262</v>
      </c>
      <c r="AP6" s="47">
        <f t="shared" ref="AP6:AP24" si="17">AN6/AC6</f>
        <v>1.939836835991859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1781</v>
      </c>
      <c r="F7" s="39" t="s">
        <v>1782</v>
      </c>
      <c r="G7" s="39">
        <v>10</v>
      </c>
      <c r="H7" s="39"/>
      <c r="I7" s="40" t="s">
        <v>255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0.27926960257787325</v>
      </c>
      <c r="V7" s="48">
        <f t="shared" si="2"/>
        <v>0</v>
      </c>
      <c r="W7" s="49">
        <f t="shared" si="3"/>
        <v>2.7926960257787327E-2</v>
      </c>
      <c r="X7" s="44">
        <f t="shared" si="4"/>
        <v>319.96113856068746</v>
      </c>
      <c r="Y7" s="44">
        <f t="shared" si="5"/>
        <v>0</v>
      </c>
      <c r="Z7" s="44">
        <f t="shared" si="6"/>
        <v>966.56801288936629</v>
      </c>
      <c r="AA7" s="50">
        <f t="shared" si="7"/>
        <v>424.68113856068749</v>
      </c>
      <c r="AB7" s="51">
        <f t="shared" si="8"/>
        <v>903.58793389676191</v>
      </c>
      <c r="AC7" s="44">
        <f t="shared" si="9"/>
        <v>397.00957143188504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0.40817263377527291</v>
      </c>
      <c r="AP7" s="47">
        <f t="shared" si="17"/>
        <v>19.827542793034066</v>
      </c>
      <c r="AQ7">
        <v>2021</v>
      </c>
    </row>
    <row r="8" spans="1:43" ht="13.5" customHeight="1">
      <c r="A8" s="53">
        <f>SUMIF('Program Costs'!D:D,C2,'Program Costs'!O:O)+SUMIF('Program Costs'!C:C,"Lodging Direct Install {G}",'Program Costs'!O:O)</f>
        <v>11457.07</v>
      </c>
      <c r="B8" s="97" t="s">
        <v>31</v>
      </c>
      <c r="C8" s="98">
        <v>18231022</v>
      </c>
      <c r="D8" s="61" t="s">
        <v>163</v>
      </c>
      <c r="E8" s="38" t="s">
        <v>1783</v>
      </c>
      <c r="F8" s="39" t="s">
        <v>1784</v>
      </c>
      <c r="G8" s="39">
        <v>1</v>
      </c>
      <c r="H8" s="39"/>
      <c r="I8" s="40" t="s">
        <v>261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2021</v>
      </c>
    </row>
    <row r="9" spans="1:43" ht="13.5" customHeight="1">
      <c r="A9" s="36" t="s">
        <v>303</v>
      </c>
      <c r="B9" s="97" t="s">
        <v>31</v>
      </c>
      <c r="C9" s="100">
        <v>18231022</v>
      </c>
      <c r="D9" s="100" t="s">
        <v>163</v>
      </c>
      <c r="E9" s="38" t="s">
        <v>2285</v>
      </c>
      <c r="F9" s="39" t="s">
        <v>2286</v>
      </c>
      <c r="G9" s="39">
        <v>4</v>
      </c>
      <c r="H9" s="39"/>
      <c r="I9" s="40" t="s">
        <v>255</v>
      </c>
      <c r="J9" s="41">
        <v>1</v>
      </c>
      <c r="K9" s="41">
        <v>38</v>
      </c>
      <c r="L9" s="41"/>
      <c r="M9" s="42">
        <v>76.3</v>
      </c>
      <c r="N9" s="42">
        <v>76.3</v>
      </c>
      <c r="O9" s="43">
        <v>38</v>
      </c>
      <c r="P9" s="44">
        <v>76.3</v>
      </c>
      <c r="Q9" s="44">
        <v>76.3</v>
      </c>
      <c r="R9" s="45">
        <v>0</v>
      </c>
      <c r="S9" s="46">
        <v>0</v>
      </c>
      <c r="T9" s="39">
        <f t="shared" si="0"/>
        <v>4</v>
      </c>
      <c r="U9" s="47">
        <f t="shared" si="1"/>
        <v>8.1632653061224483E-2</v>
      </c>
      <c r="V9" s="48">
        <f t="shared" si="2"/>
        <v>0</v>
      </c>
      <c r="W9" s="49">
        <f t="shared" si="3"/>
        <v>2.0408163265306121E-2</v>
      </c>
      <c r="X9" s="44">
        <f t="shared" si="4"/>
        <v>233.81775510204079</v>
      </c>
      <c r="Y9" s="44">
        <f t="shared" si="5"/>
        <v>0</v>
      </c>
      <c r="Z9" s="44">
        <f t="shared" si="6"/>
        <v>706.33816326530609</v>
      </c>
      <c r="AA9" s="50">
        <f t="shared" si="7"/>
        <v>310.1177551020408</v>
      </c>
      <c r="AB9" s="51">
        <f t="shared" si="8"/>
        <v>660.31425938609516</v>
      </c>
      <c r="AC9" s="44">
        <f t="shared" si="9"/>
        <v>289.91096111249954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3.0061022623657823</v>
      </c>
      <c r="AG9" s="44">
        <f t="shared" si="11"/>
        <v>114.23188596989972</v>
      </c>
      <c r="AH9" s="52">
        <f>HLOOKUP(I9,GasAvoidedCostsWOCC!$A$5:$Q$50,T9+1,FALSE)</f>
        <v>3.0061022623657823</v>
      </c>
      <c r="AI9" s="44">
        <f t="shared" si="12"/>
        <v>0</v>
      </c>
      <c r="AJ9" s="44">
        <f t="shared" si="13"/>
        <v>114.23188596989972</v>
      </c>
      <c r="AK9" s="44">
        <f>HLOOKUP(I9,GasAvoidedCostsWOCC!$A$5:$Q$50,G9+1,FALSE)*J9*L9</f>
        <v>0</v>
      </c>
      <c r="AL9" s="44">
        <f t="shared" si="14"/>
        <v>114.23188596989972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114.23188596989972</v>
      </c>
      <c r="AN9" s="48">
        <f t="shared" si="15"/>
        <v>125.65507456688971</v>
      </c>
      <c r="AO9" s="47">
        <f t="shared" si="16"/>
        <v>0.17299624284367712</v>
      </c>
      <c r="AP9" s="47">
        <f t="shared" si="17"/>
        <v>0.43342643577429085</v>
      </c>
      <c r="AQ9">
        <v>2020</v>
      </c>
    </row>
    <row r="10" spans="1:43" ht="13.5" customHeight="1">
      <c r="A10" s="54">
        <f>SUM(O5:O999)</f>
        <v>1862</v>
      </c>
      <c r="B10" s="97" t="s">
        <v>31</v>
      </c>
      <c r="C10" s="100">
        <v>18231022</v>
      </c>
      <c r="D10" s="100" t="s">
        <v>163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31</v>
      </c>
      <c r="C11" s="100">
        <v>18231022</v>
      </c>
      <c r="D11" s="100" t="s">
        <v>163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2020</v>
      </c>
    </row>
    <row r="12" spans="1:43" ht="13.5" customHeight="1">
      <c r="A12" s="55">
        <f>SUM(P5:P1000)</f>
        <v>5461.02</v>
      </c>
      <c r="B12" s="97" t="s">
        <v>31</v>
      </c>
      <c r="C12" s="100">
        <v>18231022</v>
      </c>
      <c r="D12" s="100" t="s">
        <v>163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21120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14.635875402792694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34610.57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38038.089999999997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0.54759586084590517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0.75803673466194765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88" si="19">G25+H25</f>
        <v>0</v>
      </c>
      <c r="U25" s="47">
        <f t="shared" ref="U25:U88" si="20">(O25/$A$10)*T25</f>
        <v>0</v>
      </c>
      <c r="V25" s="48">
        <f t="shared" ref="V25:V88" si="21">N25-M25</f>
        <v>0</v>
      </c>
      <c r="W25" s="49">
        <f t="shared" ref="W25:W88" si="22">(O25/A$10)</f>
        <v>0</v>
      </c>
      <c r="X25" s="44">
        <f t="shared" ref="X25:X88" si="23">W25*A$8</f>
        <v>0</v>
      </c>
      <c r="Y25" s="44">
        <f t="shared" ref="Y25:Y88" si="24">Q25-P25</f>
        <v>0</v>
      </c>
      <c r="Z25" s="44">
        <f t="shared" ref="Z25:Z88" si="25">X25+(A$6*W25)</f>
        <v>0</v>
      </c>
      <c r="AA25" s="50">
        <f t="shared" ref="AA25:AA88" si="26">Q25+X25</f>
        <v>0</v>
      </c>
      <c r="AB25" s="51">
        <f t="shared" ref="AB25:AB88" si="27">Z25/(1+GasDiscountRate)^1</f>
        <v>0</v>
      </c>
      <c r="AC25" s="44">
        <f t="shared" ref="AC25:AC88" si="28">AA25/(1+GasDiscountRate)^1</f>
        <v>0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 t="e">
        <f>HLOOKUP(I25,GasAvoidedCostsWOCC!$A$5:$G$50,G25+1,FALSE)</f>
        <v>#N/A</v>
      </c>
      <c r="AG25" s="44" t="e">
        <f t="shared" ref="AG25:AG88" si="31">AF25*J25*K25</f>
        <v>#N/A</v>
      </c>
      <c r="AH25" s="52" t="e">
        <f>HLOOKUP(I25,GasAvoidedCostsWOCC!$A$5:$Q$50,T25+1,FALSE)</f>
        <v>#N/A</v>
      </c>
      <c r="AI25" s="44" t="e">
        <f t="shared" ref="AI25:AI88" si="32">AH25*J25*L25</f>
        <v>#N/A</v>
      </c>
      <c r="AJ25" s="44" t="e">
        <f t="shared" ref="AJ25:AJ88" si="33">AG25+AI25</f>
        <v>#N/A</v>
      </c>
      <c r="AK25" s="44" t="e">
        <f>HLOOKUP(I25,GasAvoidedCostsWOCC!$A$5:$Q$50,G25+1,FALSE)*J25*L25</f>
        <v>#N/A</v>
      </c>
      <c r="AL25" s="44" t="e">
        <f t="shared" ref="AL25:AL8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8" si="35">AM25*1.1+AD25+AE25</f>
        <v>0</v>
      </c>
      <c r="AO25" s="47">
        <f t="shared" ref="AO25:AO88" si="36">IFERROR(AM25/AB25,0)</f>
        <v>0</v>
      </c>
      <c r="AP25" s="47" t="e">
        <f t="shared" ref="AP25:AP88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130" si="38">G89+H89</f>
        <v>0</v>
      </c>
      <c r="U89" s="47">
        <f t="shared" ref="U89:U130" si="39">(O89/$A$10)*T89</f>
        <v>0</v>
      </c>
      <c r="V89" s="48">
        <f t="shared" ref="V89:V130" si="40">N89-M89</f>
        <v>0</v>
      </c>
      <c r="W89" s="49">
        <f t="shared" ref="W89:W130" si="41">(O89/A$10)</f>
        <v>0</v>
      </c>
      <c r="X89" s="44">
        <f t="shared" ref="X89:X130" si="42">W89*A$8</f>
        <v>0</v>
      </c>
      <c r="Y89" s="44">
        <f t="shared" ref="Y89:Y130" si="43">Q89-P89</f>
        <v>0</v>
      </c>
      <c r="Z89" s="44">
        <f t="shared" ref="Z89:Z130" si="44">X89+(A$6*W89)</f>
        <v>0</v>
      </c>
      <c r="AA89" s="50">
        <f t="shared" ref="AA89:AA130" si="45">Q89+X89</f>
        <v>0</v>
      </c>
      <c r="AB89" s="51">
        <f t="shared" ref="AB89:AB130" si="46">Z89/(1+GasDiscountRate)^1</f>
        <v>0</v>
      </c>
      <c r="AC89" s="44">
        <f t="shared" ref="AC89:AC130" si="47">AA89/(1+GasDiscountRate)^1</f>
        <v>0</v>
      </c>
      <c r="AD89" s="44">
        <f t="shared" ref="AD89:AD130" si="48">-PV(GasDiscountRate,T89,R89)*J89</f>
        <v>0</v>
      </c>
      <c r="AE89" s="44">
        <f t="shared" ref="AE89:AE130" si="49">-PV(GasDiscountRate,T89,S89)*J89</f>
        <v>0</v>
      </c>
      <c r="AF89" s="52" t="e">
        <f>HLOOKUP(I89,GasAvoidedCostsWOCC!$A$5:$G$50,G89+1,FALSE)</f>
        <v>#N/A</v>
      </c>
      <c r="AG89" s="44" t="e">
        <f t="shared" ref="AG89:AG130" si="50">AF89*J89*K89</f>
        <v>#N/A</v>
      </c>
      <c r="AH89" s="52" t="e">
        <f>HLOOKUP(I89,GasAvoidedCostsWOCC!$A$5:$Q$50,T89+1,FALSE)</f>
        <v>#N/A</v>
      </c>
      <c r="AI89" s="44" t="e">
        <f t="shared" ref="AI89:AI130" si="51">AH89*J89*L89</f>
        <v>#N/A</v>
      </c>
      <c r="AJ89" s="44" t="e">
        <f t="shared" ref="AJ89:AJ130" si="52">AG89+AI89</f>
        <v>#N/A</v>
      </c>
      <c r="AK89" s="44" t="e">
        <f>HLOOKUP(I89,GasAvoidedCostsWOCC!$A$5:$Q$50,G89+1,FALSE)*J89*L89</f>
        <v>#N/A</v>
      </c>
      <c r="AL89" s="44" t="e">
        <f t="shared" ref="AL89:AL130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130" si="54">AM89*1.1+AD89+AE89</f>
        <v>0</v>
      </c>
      <c r="AO89" s="47">
        <f t="shared" ref="AO89:AO130" si="55">IFERROR(AM89/AB89,0)</f>
        <v>0</v>
      </c>
      <c r="AP89" s="47" t="e">
        <f t="shared" ref="AP89:AP130" si="56">AN89/AC89</f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HLOOKUP(I99,GasAvoidedCostsWOCC!$A$5:$G$50,G99+1,FALSE)</f>
        <v>#N/A</v>
      </c>
      <c r="AG99" s="44" t="e">
        <f t="shared" si="50"/>
        <v>#N/A</v>
      </c>
      <c r="AH99" s="52" t="e">
        <f>HLOOKUP(I99,GasAvoidedCostsWOCC!$A$5:$Q$50,T99+1,FALSE)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HLOOKUP(I99,GasAvoidedCostsWOCC!$A$5:$Q$50,G99+1,FALSE)*J99*L99</f>
        <v>#N/A</v>
      </c>
      <c r="AL99" s="44" t="e">
        <f t="shared" si="53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HLOOKUP(I100,GasAvoidedCostsWOCC!$A$5:$G$50,G100+1,FALSE)</f>
        <v>#N/A</v>
      </c>
      <c r="AG100" s="44" t="e">
        <f t="shared" si="50"/>
        <v>#N/A</v>
      </c>
      <c r="AH100" s="52" t="e">
        <f>HLOOKUP(I100,GasAvoidedCostsWOCC!$A$5:$Q$50,T100+1,FALSE)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HLOOKUP(I100,GasAvoidedCostsWOCC!$A$5:$Q$50,G100+1,FALSE)*J100*L100</f>
        <v>#N/A</v>
      </c>
      <c r="AL100" s="44" t="e">
        <f t="shared" si="53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HLOOKUP(I101,GasAvoidedCostsWOCC!$A$5:$G$50,G101+1,FALSE)</f>
        <v>#N/A</v>
      </c>
      <c r="AG101" s="44" t="e">
        <f t="shared" si="50"/>
        <v>#N/A</v>
      </c>
      <c r="AH101" s="52" t="e">
        <f>HLOOKUP(I101,GasAvoidedCostsWOCC!$A$5:$Q$50,T101+1,FALSE)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HLOOKUP(I101,GasAvoidedCostsWOCC!$A$5:$Q$50,G101+1,FALSE)*J101*L101</f>
        <v>#N/A</v>
      </c>
      <c r="AL101" s="44" t="e">
        <f t="shared" si="53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HLOOKUP(I102,GasAvoidedCostsWOCC!$A$5:$G$50,G102+1,FALSE)</f>
        <v>#N/A</v>
      </c>
      <c r="AG102" s="44" t="e">
        <f t="shared" si="50"/>
        <v>#N/A</v>
      </c>
      <c r="AH102" s="52" t="e">
        <f>HLOOKUP(I102,GasAvoidedCostsWOCC!$A$5:$Q$50,T102+1,FALSE)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HLOOKUP(I102,GasAvoidedCostsWOCC!$A$5:$Q$50,G102+1,FALSE)*J102*L102</f>
        <v>#N/A</v>
      </c>
      <c r="AL102" s="44" t="e">
        <f t="shared" si="53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HLOOKUP(I103,GasAvoidedCostsWOCC!$A$5:$G$50,G103+1,FALSE)</f>
        <v>#N/A</v>
      </c>
      <c r="AG103" s="44" t="e">
        <f t="shared" si="50"/>
        <v>#N/A</v>
      </c>
      <c r="AH103" s="52" t="e">
        <f>HLOOKUP(I103,GasAvoidedCostsWOCC!$A$5:$Q$50,T103+1,FALSE)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HLOOKUP(I103,GasAvoidedCostsWOCC!$A$5:$Q$50,G103+1,FALSE)*J103*L103</f>
        <v>#N/A</v>
      </c>
      <c r="AL103" s="44" t="e">
        <f t="shared" si="53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HLOOKUP(I104,GasAvoidedCostsWOCC!$A$5:$G$50,G104+1,FALSE)</f>
        <v>#N/A</v>
      </c>
      <c r="AG104" s="44" t="e">
        <f t="shared" si="50"/>
        <v>#N/A</v>
      </c>
      <c r="AH104" s="52" t="e">
        <f>HLOOKUP(I104,GasAvoidedCostsWOCC!$A$5:$Q$50,T104+1,FALSE)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HLOOKUP(I104,GasAvoidedCostsWOCC!$A$5:$Q$50,G104+1,FALSE)*J104*L104</f>
        <v>#N/A</v>
      </c>
      <c r="AL104" s="44" t="e">
        <f t="shared" si="53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HLOOKUP(I105,GasAvoidedCostsWOCC!$A$5:$G$50,G105+1,FALSE)</f>
        <v>#N/A</v>
      </c>
      <c r="AG105" s="44" t="e">
        <f t="shared" si="50"/>
        <v>#N/A</v>
      </c>
      <c r="AH105" s="52" t="e">
        <f>HLOOKUP(I105,GasAvoidedCostsWOCC!$A$5:$Q$50,T105+1,FALSE)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HLOOKUP(I105,GasAvoidedCostsWOCC!$A$5:$Q$50,G105+1,FALSE)*J105*L105</f>
        <v>#N/A</v>
      </c>
      <c r="AL105" s="44" t="e">
        <f t="shared" si="53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HLOOKUP(I106,GasAvoidedCostsWOCC!$A$5:$G$50,G106+1,FALSE)</f>
        <v>#N/A</v>
      </c>
      <c r="AG106" s="44" t="e">
        <f t="shared" si="50"/>
        <v>#N/A</v>
      </c>
      <c r="AH106" s="52" t="e">
        <f>HLOOKUP(I106,GasAvoidedCostsWOCC!$A$5:$Q$50,T106+1,FALSE)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HLOOKUP(I106,GasAvoidedCostsWOCC!$A$5:$Q$50,G106+1,FALSE)*J106*L106</f>
        <v>#N/A</v>
      </c>
      <c r="AL106" s="44" t="e">
        <f t="shared" si="53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</sheetData>
  <conditionalFormatting sqref="J5:L130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130 R5:S130">
    <cfRule type="expression" dxfId="22" priority="2">
      <formula>ISTEXT(M5)</formula>
    </cfRule>
  </conditionalFormatting>
  <conditionalFormatting sqref="M5:N130 R5:S130">
    <cfRule type="notContainsBlanks" dxfId="21" priority="3">
      <formula>LEN(TRIM(M5))&gt;0</formula>
    </cfRule>
  </conditionalFormatting>
  <conditionalFormatting sqref="R5:S130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831718.27</v>
      </c>
      <c r="B6" s="97" t="s">
        <v>121</v>
      </c>
      <c r="C6" s="99">
        <v>18230660</v>
      </c>
      <c r="D6" s="100" t="s">
        <v>122</v>
      </c>
      <c r="E6" s="38"/>
      <c r="F6" s="39" t="s">
        <v>2577</v>
      </c>
      <c r="G6" s="39"/>
      <c r="H6" s="39"/>
      <c r="I6" s="40"/>
      <c r="J6" s="41"/>
      <c r="K6" s="41"/>
      <c r="L6" s="41"/>
      <c r="M6" s="42"/>
      <c r="N6" s="42"/>
      <c r="O6" s="43">
        <v>0</v>
      </c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731802.91999999993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1563521.19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731802.91999999993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18230622</v>
      </c>
      <c r="D2" s="20" t="s">
        <v>322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18230622</v>
      </c>
      <c r="D5" s="61" t="s">
        <v>322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Costs'!L:L)+SUMIF('Program Costs'!D:D,C6,'Program Costs'!L:L)+SUMIF('Program Costs'!D:D,C7,'Program Costs'!L:L)+SUMIF('Program Costs'!D:D,C8,'Program Costs'!L:L)</f>
        <v>19830</v>
      </c>
      <c r="B6" s="97" t="s">
        <v>36</v>
      </c>
      <c r="C6" s="99">
        <v>18230256</v>
      </c>
      <c r="D6" s="100" t="s">
        <v>2578</v>
      </c>
      <c r="E6" s="38" t="s">
        <v>2456</v>
      </c>
      <c r="F6" s="39" t="s">
        <v>2457</v>
      </c>
      <c r="G6" s="39">
        <v>5</v>
      </c>
      <c r="H6" s="39"/>
      <c r="I6" s="40" t="s">
        <v>269</v>
      </c>
      <c r="J6" s="41">
        <v>1</v>
      </c>
      <c r="K6" s="41">
        <v>10200</v>
      </c>
      <c r="L6" s="41"/>
      <c r="M6" s="42">
        <v>0</v>
      </c>
      <c r="N6" s="42">
        <v>0</v>
      </c>
      <c r="O6" s="43">
        <v>10200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5</v>
      </c>
      <c r="V6" s="48">
        <f t="shared" si="2"/>
        <v>0</v>
      </c>
      <c r="W6" s="49">
        <f t="shared" si="3"/>
        <v>1</v>
      </c>
      <c r="X6" s="44">
        <f t="shared" si="4"/>
        <v>54570.320000000007</v>
      </c>
      <c r="Y6" s="44">
        <f t="shared" si="5"/>
        <v>0</v>
      </c>
      <c r="Z6" s="44">
        <f t="shared" si="6"/>
        <v>74400.320000000007</v>
      </c>
      <c r="AA6" s="50">
        <f t="shared" si="7"/>
        <v>54570.320000000007</v>
      </c>
      <c r="AB6" s="51">
        <f t="shared" si="8"/>
        <v>69552.510049546603</v>
      </c>
      <c r="AC6" s="44">
        <f t="shared" si="9"/>
        <v>51014.602224922877</v>
      </c>
      <c r="AD6" s="44">
        <f t="shared" si="10"/>
        <v>0</v>
      </c>
      <c r="AE6" s="44">
        <v>0</v>
      </c>
      <c r="AF6" s="52">
        <f>HLOOKUP(I6,GasAvoidedCostsWOCC!$A$5:$G$50,G6+1,FALSE)</f>
        <v>4.0176254580215796</v>
      </c>
      <c r="AG6" s="44">
        <f t="shared" si="11"/>
        <v>40979.779671820113</v>
      </c>
      <c r="AH6" s="52">
        <f>HLOOKUP(I6,GasAvoidedCostsWOCC!$A$5:$Q$50,T6+1,FALSE)</f>
        <v>4.0176254580215796</v>
      </c>
      <c r="AI6" s="44">
        <f t="shared" si="12"/>
        <v>0</v>
      </c>
      <c r="AJ6" s="44">
        <f t="shared" ref="AJ6:AJ24" si="13">AG6+AI6</f>
        <v>40979.779671820113</v>
      </c>
      <c r="AK6" s="44">
        <f>HLOOKUP(I6,GasAvoidedCostsWOCC!$A$5:$Q$50,G6+1,FALSE)*J6*L6</f>
        <v>0</v>
      </c>
      <c r="AL6" s="44">
        <f t="shared" ref="AL6:AL24" si="14">AG6+AI6-AK6</f>
        <v>40979.779671820113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40979.779671820113</v>
      </c>
      <c r="AN6" s="48">
        <f t="shared" ref="AN6:AN24" si="15">AM6*1.1+AD6+AE6</f>
        <v>45077.757639002128</v>
      </c>
      <c r="AO6" s="47">
        <f t="shared" ref="AO6:AO24" si="16">IFERROR(AM6/AB6,0)</f>
        <v>0.58919195932149182</v>
      </c>
      <c r="AP6" s="47">
        <f t="shared" ref="AP6:AP24" si="17">AN6/AC6</f>
        <v>0.88362460301571577</v>
      </c>
      <c r="AQ6">
        <v>2020</v>
      </c>
    </row>
    <row r="7" spans="1:43" ht="13.5" customHeight="1">
      <c r="A7" s="36" t="s">
        <v>249</v>
      </c>
      <c r="B7" s="97" t="s">
        <v>27</v>
      </c>
      <c r="C7" s="99">
        <v>18230217</v>
      </c>
      <c r="D7" s="100" t="s">
        <v>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Costs'!O:O)+SUMIF('Program Costs'!D:D,C6,'Program Costs'!O:O)+SUMIF('Program Costs'!D:D,C7,'Program Costs'!O:O)+SUMIF('Program Costs'!D:D,C8,'Program Costs'!O:O)</f>
        <v>54570.320000000007</v>
      </c>
      <c r="B8" s="97" t="s">
        <v>36</v>
      </c>
      <c r="C8" s="100">
        <v>18230255</v>
      </c>
      <c r="D8" s="100" t="s">
        <v>1833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10200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74400.320000000007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54570.320000000007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0.58919195932149182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0.88362460301571577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8" sqref="B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84</v>
      </c>
      <c r="C6" s="99">
        <v>18230640</v>
      </c>
      <c r="D6" s="100" t="s">
        <v>85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 t="s">
        <v>84</v>
      </c>
      <c r="C7" s="99">
        <v>18231038</v>
      </c>
      <c r="D7" s="100" t="s">
        <v>166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32"/>
  <sheetViews>
    <sheetView topLeftCell="I1" zoomScale="85" zoomScaleNormal="85" workbookViewId="0">
      <selection activeCell="AA5" sqref="AA5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3" width="15.28515625" bestFit="1" customWidth="1"/>
    <col min="14" max="14" width="16" bestFit="1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2580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2567</v>
      </c>
    </row>
    <row r="5" spans="1:43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2570</v>
      </c>
      <c r="F5" s="39" t="s">
        <v>2571</v>
      </c>
      <c r="G5" s="39">
        <v>1</v>
      </c>
      <c r="H5" s="39">
        <v>1</v>
      </c>
      <c r="I5" s="40"/>
      <c r="J5" s="41">
        <v>1</v>
      </c>
      <c r="K5" s="41">
        <v>0</v>
      </c>
      <c r="L5" s="41">
        <v>0</v>
      </c>
      <c r="M5" s="42"/>
      <c r="N5" s="42"/>
      <c r="O5" s="43"/>
      <c r="P5" s="44">
        <v>196370.13</v>
      </c>
      <c r="Q5" s="44">
        <v>196370.13</v>
      </c>
      <c r="R5" s="45"/>
      <c r="S5" s="46"/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22">
        <f>((Q5/A$12)*A$6)+X5</f>
        <v>202558.29292650384</v>
      </c>
      <c r="AB5" s="51">
        <f t="shared" ref="AB5:AC20" si="7">Z5/(1+ElecDiscountRate)^1</f>
        <v>0</v>
      </c>
      <c r="AC5" s="44">
        <f>AA5/(1+ElecDiscountRate)^1</f>
        <v>189359.90738197984</v>
      </c>
      <c r="AD5" s="44">
        <f t="shared" ref="AD5:AD24" si="8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9">AF5*J5*K5</f>
        <v>#N/A</v>
      </c>
      <c r="AH5" s="52" t="e">
        <f>HLOOKUP(I5,ElecAvoidedCostsWOCC!$A$5:$Q$50,T5+1,FALSE)</f>
        <v>#N/A</v>
      </c>
      <c r="AI5" s="44" t="e">
        <f t="shared" ref="AI5:AI24" si="10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2020</v>
      </c>
    </row>
    <row r="6" spans="1:43" ht="13.5" customHeight="1">
      <c r="A6" s="53">
        <f>SUMIF('Program Costs'!D:D,C2,'Program Costs'!L:L)</f>
        <v>6859396.4100000001</v>
      </c>
      <c r="B6" s="97" t="s">
        <v>74</v>
      </c>
      <c r="C6" s="100">
        <v>18230611</v>
      </c>
      <c r="D6" s="100" t="s">
        <v>75</v>
      </c>
      <c r="E6" s="38" t="s">
        <v>2459</v>
      </c>
      <c r="F6" s="39" t="s">
        <v>2460</v>
      </c>
      <c r="G6" s="39">
        <v>15</v>
      </c>
      <c r="H6" s="39"/>
      <c r="I6" s="40" t="s">
        <v>264</v>
      </c>
      <c r="J6" s="41">
        <v>14</v>
      </c>
      <c r="K6" s="41">
        <v>580</v>
      </c>
      <c r="L6" s="41"/>
      <c r="M6" s="42">
        <v>545</v>
      </c>
      <c r="N6" s="42">
        <v>700</v>
      </c>
      <c r="O6" s="43">
        <v>8120</v>
      </c>
      <c r="P6" s="44">
        <v>10734.27</v>
      </c>
      <c r="Q6" s="44">
        <v>10734.27</v>
      </c>
      <c r="R6" s="45">
        <v>0</v>
      </c>
      <c r="S6" s="46">
        <v>0</v>
      </c>
      <c r="T6" s="39">
        <f t="shared" si="0"/>
        <v>15</v>
      </c>
      <c r="U6" s="47">
        <f t="shared" si="1"/>
        <v>5.2775504283483932E-2</v>
      </c>
      <c r="V6" s="48">
        <f t="shared" si="2"/>
        <v>155</v>
      </c>
      <c r="W6" s="49">
        <f t="shared" si="3"/>
        <v>3.518366952232262E-3</v>
      </c>
      <c r="X6" s="44">
        <f t="shared" si="4"/>
        <v>935.21152536940406</v>
      </c>
      <c r="Y6" s="44">
        <f t="shared" si="5"/>
        <v>0</v>
      </c>
      <c r="Z6" s="44">
        <f>X6+(A$6*W6)</f>
        <v>25069.085166574023</v>
      </c>
      <c r="AA6" s="522">
        <f>((Q6/A$12)*A$6)+X6</f>
        <v>12007.747898453144</v>
      </c>
      <c r="AB6" s="51">
        <f t="shared" si="7"/>
        <v>23435.622292768086</v>
      </c>
      <c r="AC6" s="44">
        <f t="shared" si="7"/>
        <v>11225.341589654243</v>
      </c>
      <c r="AD6" s="44">
        <f t="shared" si="8"/>
        <v>0</v>
      </c>
      <c r="AE6" s="44">
        <v>0</v>
      </c>
      <c r="AF6" s="52">
        <f>HLOOKUP(I6,ElecAvoidedCostsWOCC!$A$5:$Q$50,G6+1,FALSE)</f>
        <v>1.0145610536023009</v>
      </c>
      <c r="AG6" s="44">
        <f t="shared" si="9"/>
        <v>8238.2357552506837</v>
      </c>
      <c r="AH6" s="52">
        <f>HLOOKUP(I6,ElecAvoidedCostsWOCC!$A$5:$Q$50,T6+1,FALSE)</f>
        <v>1.0145610536023009</v>
      </c>
      <c r="AI6" s="44">
        <f t="shared" si="10"/>
        <v>0</v>
      </c>
      <c r="AJ6" s="44">
        <f t="shared" ref="AJ6:AJ24" si="11">AG6+AI6</f>
        <v>8238.2357552506837</v>
      </c>
      <c r="AK6" s="44">
        <f>HLOOKUP(I6,ElecAvoidedCostsWOCC!$A$5:$Q$50,G6+1,FALSE)*J6*L6</f>
        <v>0</v>
      </c>
      <c r="AL6" s="44">
        <f t="shared" ref="AL6:AL24" si="12">AG6+AI6-AK6</f>
        <v>8238.2357552506837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8238.2357552506819</v>
      </c>
      <c r="AN6" s="48">
        <f t="shared" ref="AN6:AN24" si="13">AM6*1.1+AD6+AE6</f>
        <v>9062.0593307757517</v>
      </c>
      <c r="AO6" s="47">
        <f t="shared" ref="AO6:AO24" si="14">IFERROR(AM6/AB6,0)</f>
        <v>0.35152622159271141</v>
      </c>
      <c r="AP6" s="47">
        <f t="shared" ref="AP6:AP24" si="15">AN6/AC6</f>
        <v>0.80728584145071669</v>
      </c>
      <c r="AQ6">
        <v>2020</v>
      </c>
    </row>
    <row r="7" spans="1:43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2461</v>
      </c>
      <c r="F7" s="39" t="s">
        <v>2462</v>
      </c>
      <c r="G7" s="39">
        <v>15</v>
      </c>
      <c r="H7" s="39"/>
      <c r="I7" s="40" t="s">
        <v>264</v>
      </c>
      <c r="J7" s="41">
        <v>5</v>
      </c>
      <c r="K7" s="41">
        <v>580</v>
      </c>
      <c r="L7" s="41"/>
      <c r="M7" s="42">
        <v>545</v>
      </c>
      <c r="N7" s="42">
        <v>700</v>
      </c>
      <c r="O7" s="43">
        <v>2900</v>
      </c>
      <c r="P7" s="44">
        <v>4831.45</v>
      </c>
      <c r="Q7" s="44">
        <v>4831.45</v>
      </c>
      <c r="R7" s="45">
        <v>0</v>
      </c>
      <c r="S7" s="46">
        <v>0</v>
      </c>
      <c r="T7" s="39">
        <f t="shared" si="0"/>
        <v>15</v>
      </c>
      <c r="U7" s="47">
        <f t="shared" si="1"/>
        <v>1.8848394386958546E-2</v>
      </c>
      <c r="V7" s="48">
        <f t="shared" si="2"/>
        <v>155</v>
      </c>
      <c r="W7" s="49">
        <f t="shared" si="3"/>
        <v>1.2565596257972365E-3</v>
      </c>
      <c r="X7" s="44">
        <f t="shared" si="4"/>
        <v>334.00411620335859</v>
      </c>
      <c r="Y7" s="44">
        <f t="shared" si="5"/>
        <v>0</v>
      </c>
      <c r="Z7" s="44">
        <f t="shared" si="6"/>
        <v>8953.2447023478671</v>
      </c>
      <c r="AA7" s="522">
        <f t="shared" ref="AA7:AA70" si="16">((Q7/A$12)*A$6)+X7</f>
        <v>5317.7063949550038</v>
      </c>
      <c r="AB7" s="51">
        <f t="shared" si="7"/>
        <v>8369.8651045600327</v>
      </c>
      <c r="AC7" s="44">
        <f t="shared" si="7"/>
        <v>4971.2128587033776</v>
      </c>
      <c r="AD7" s="44">
        <f t="shared" si="8"/>
        <v>0</v>
      </c>
      <c r="AE7" s="44">
        <v>0</v>
      </c>
      <c r="AF7" s="52">
        <f>HLOOKUP(I7,ElecAvoidedCostsWOCC!$A$5:$Q$50,G7+1,FALSE)</f>
        <v>1.0145610536023009</v>
      </c>
      <c r="AG7" s="44">
        <f t="shared" si="9"/>
        <v>2942.2270554466727</v>
      </c>
      <c r="AH7" s="52">
        <f>HLOOKUP(I7,ElecAvoidedCostsWOCC!$A$5:$Q$50,T7+1,FALSE)</f>
        <v>1.0145610536023009</v>
      </c>
      <c r="AI7" s="44">
        <f t="shared" si="10"/>
        <v>0</v>
      </c>
      <c r="AJ7" s="44">
        <f t="shared" si="11"/>
        <v>2942.2270554466727</v>
      </c>
      <c r="AK7" s="44">
        <f>HLOOKUP(I7,ElecAvoidedCostsWOCC!$A$5:$Q$50,G7+1,FALSE)*J7*L7</f>
        <v>0</v>
      </c>
      <c r="AL7" s="44">
        <f t="shared" si="12"/>
        <v>2942.2270554466727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2942.2270554466722</v>
      </c>
      <c r="AN7" s="48">
        <f t="shared" si="13"/>
        <v>3236.4497609913396</v>
      </c>
      <c r="AO7" s="47">
        <f t="shared" si="14"/>
        <v>0.35152622159271135</v>
      </c>
      <c r="AP7" s="47">
        <f t="shared" si="15"/>
        <v>0.65103825826430017</v>
      </c>
      <c r="AQ7">
        <v>2020</v>
      </c>
    </row>
    <row r="8" spans="1:43" ht="13.5" customHeight="1">
      <c r="A8" s="53">
        <f>SUMIF('Program Costs'!D:D,C2,'Program Costs'!O:O)</f>
        <v>265808.41000000015</v>
      </c>
      <c r="B8" s="97" t="s">
        <v>74</v>
      </c>
      <c r="C8" s="100">
        <v>18230611</v>
      </c>
      <c r="D8" s="100" t="s">
        <v>75</v>
      </c>
      <c r="E8" s="38" t="s">
        <v>1445</v>
      </c>
      <c r="F8" s="39" t="s">
        <v>1446</v>
      </c>
      <c r="G8" s="39">
        <v>1</v>
      </c>
      <c r="H8" s="39"/>
      <c r="I8" s="40" t="s">
        <v>269</v>
      </c>
      <c r="J8" s="41">
        <v>2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463.01</v>
      </c>
      <c r="Q8" s="44">
        <v>463.01</v>
      </c>
      <c r="R8" s="45"/>
      <c r="S8" s="46"/>
      <c r="T8" s="39">
        <f t="shared" si="0"/>
        <v>1</v>
      </c>
      <c r="U8" s="47">
        <f t="shared" si="1"/>
        <v>0</v>
      </c>
      <c r="V8" s="48">
        <f t="shared" si="2"/>
        <v>0</v>
      </c>
      <c r="W8" s="520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22">
        <f t="shared" si="16"/>
        <v>477.60071864239501</v>
      </c>
      <c r="AB8" s="51">
        <f t="shared" si="7"/>
        <v>0</v>
      </c>
      <c r="AC8" s="44">
        <f t="shared" si="7"/>
        <v>446.48099340225764</v>
      </c>
      <c r="AD8" s="44">
        <f t="shared" si="8"/>
        <v>0</v>
      </c>
      <c r="AE8" s="44">
        <v>0</v>
      </c>
      <c r="AF8" s="52">
        <f>HLOOKUP(I8,ElecAvoidedCostsWOCC!$A$5:$Q$50,G8+1,FALSE)</f>
        <v>0.11346597036450218</v>
      </c>
      <c r="AG8" s="44">
        <f t="shared" si="9"/>
        <v>0</v>
      </c>
      <c r="AH8" s="52">
        <f>HLOOKUP(I8,ElecAvoidedCostsWOCC!$A$5:$Q$50,T8+1,FALSE)</f>
        <v>0.11346597036450218</v>
      </c>
      <c r="AI8" s="44">
        <f t="shared" si="10"/>
        <v>0</v>
      </c>
      <c r="AJ8" s="44">
        <f t="shared" si="11"/>
        <v>0</v>
      </c>
      <c r="AK8" s="44">
        <f>HLOOKUP(I8,ElecAvoidedCostsWOCC!$A$5:$Q$50,G8+1,FALSE)*J8*L8</f>
        <v>0</v>
      </c>
      <c r="AL8" s="44">
        <f t="shared" si="12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3"/>
        <v>0</v>
      </c>
      <c r="AO8" s="47">
        <f t="shared" si="14"/>
        <v>0</v>
      </c>
      <c r="AP8" s="47">
        <f t="shared" si="15"/>
        <v>0</v>
      </c>
      <c r="AQ8">
        <v>2020</v>
      </c>
    </row>
    <row r="9" spans="1:43" ht="13.5" customHeight="1">
      <c r="A9" s="36" t="s">
        <v>250</v>
      </c>
      <c r="B9" s="97" t="s">
        <v>74</v>
      </c>
      <c r="C9" s="100">
        <v>18230611</v>
      </c>
      <c r="D9" s="100" t="s">
        <v>75</v>
      </c>
      <c r="E9" s="38" t="s">
        <v>1447</v>
      </c>
      <c r="F9" s="39" t="s">
        <v>1448</v>
      </c>
      <c r="G9" s="39">
        <v>1</v>
      </c>
      <c r="H9" s="39"/>
      <c r="I9" s="40" t="s">
        <v>269</v>
      </c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260.94</v>
      </c>
      <c r="Q9" s="44">
        <v>260.94</v>
      </c>
      <c r="R9" s="45"/>
      <c r="S9" s="46"/>
      <c r="T9" s="39">
        <f t="shared" si="0"/>
        <v>1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22">
        <f t="shared" si="16"/>
        <v>269.16293713428774</v>
      </c>
      <c r="AB9" s="51">
        <f t="shared" si="7"/>
        <v>0</v>
      </c>
      <c r="AC9" s="44">
        <f t="shared" si="7"/>
        <v>251.62469583461504</v>
      </c>
      <c r="AD9" s="44">
        <f t="shared" si="8"/>
        <v>0</v>
      </c>
      <c r="AE9" s="44">
        <f t="shared" ref="AE9:AE24" si="17">-PV(ElecDiscountRate,T9,S9)*J9</f>
        <v>0</v>
      </c>
      <c r="AF9" s="52">
        <f>HLOOKUP(I9,ElecAvoidedCostsWOCC!$A$5:$Q$50,G9+1,FALSE)</f>
        <v>0.11346597036450218</v>
      </c>
      <c r="AG9" s="44">
        <f t="shared" si="9"/>
        <v>0</v>
      </c>
      <c r="AH9" s="52">
        <f>HLOOKUP(I9,ElecAvoidedCostsWOCC!$A$5:$Q$50,T9+1,FALSE)</f>
        <v>0.11346597036450218</v>
      </c>
      <c r="AI9" s="44">
        <f t="shared" si="10"/>
        <v>0</v>
      </c>
      <c r="AJ9" s="44">
        <f t="shared" si="11"/>
        <v>0</v>
      </c>
      <c r="AK9" s="44">
        <f>HLOOKUP(I9,ElecAvoidedCostsWOCC!$A$5:$Q$50,G9+1,FALSE)*J9*L9</f>
        <v>0</v>
      </c>
      <c r="AL9" s="44">
        <f t="shared" si="12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3"/>
        <v>0</v>
      </c>
      <c r="AO9" s="47">
        <f t="shared" si="14"/>
        <v>0</v>
      </c>
      <c r="AP9" s="47">
        <f t="shared" si="15"/>
        <v>0</v>
      </c>
      <c r="AQ9">
        <v>2020</v>
      </c>
    </row>
    <row r="10" spans="1:43" ht="13.5" customHeight="1">
      <c r="A10" s="54">
        <f>SUM(O6:O998)</f>
        <v>2307888.8900000006</v>
      </c>
      <c r="B10" s="97" t="s">
        <v>74</v>
      </c>
      <c r="C10" s="100">
        <v>18230611</v>
      </c>
      <c r="D10" s="100" t="s">
        <v>75</v>
      </c>
      <c r="E10" s="38" t="s">
        <v>1449</v>
      </c>
      <c r="F10" s="39" t="s">
        <v>1450</v>
      </c>
      <c r="G10" s="39">
        <v>30</v>
      </c>
      <c r="H10" s="39"/>
      <c r="I10" s="40" t="s">
        <v>269</v>
      </c>
      <c r="J10" s="41">
        <v>44</v>
      </c>
      <c r="K10" s="41">
        <v>0</v>
      </c>
      <c r="L10" s="41"/>
      <c r="M10" s="42">
        <v>0</v>
      </c>
      <c r="N10" s="42">
        <v>0</v>
      </c>
      <c r="O10" s="43">
        <v>97920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30</v>
      </c>
      <c r="U10" s="47">
        <f t="shared" si="1"/>
        <v>1.2728515712903317</v>
      </c>
      <c r="V10" s="48">
        <f t="shared" si="2"/>
        <v>0</v>
      </c>
      <c r="W10" s="49">
        <f t="shared" si="3"/>
        <v>4.2428385709677718E-2</v>
      </c>
      <c r="X10" s="44">
        <f t="shared" si="4"/>
        <v>11277.821744356163</v>
      </c>
      <c r="Y10" s="44">
        <f t="shared" si="5"/>
        <v>0</v>
      </c>
      <c r="Z10" s="44">
        <f t="shared" si="6"/>
        <v>302310.93836341484</v>
      </c>
      <c r="AA10" s="522">
        <f t="shared" si="16"/>
        <v>11277.821744356163</v>
      </c>
      <c r="AB10" s="51">
        <f t="shared" si="7"/>
        <v>282612.82449604076</v>
      </c>
      <c r="AC10" s="44">
        <f t="shared" si="7"/>
        <v>10542.976296490755</v>
      </c>
      <c r="AD10" s="44">
        <f t="shared" si="8"/>
        <v>0</v>
      </c>
      <c r="AE10" s="44">
        <f t="shared" si="17"/>
        <v>0</v>
      </c>
      <c r="AF10" s="52">
        <f>HLOOKUP(I10,ElecAvoidedCostsWOCC!$A$5:$Q$50,G10+1,FALSE)</f>
        <v>2.3666688857668672</v>
      </c>
      <c r="AG10" s="44">
        <f t="shared" si="9"/>
        <v>0</v>
      </c>
      <c r="AH10" s="52">
        <f>HLOOKUP(I10,ElecAvoidedCostsWOCC!$A$5:$Q$50,T10+1,FALSE)</f>
        <v>2.3666688857668672</v>
      </c>
      <c r="AI10" s="44">
        <f t="shared" si="10"/>
        <v>0</v>
      </c>
      <c r="AJ10" s="44">
        <f t="shared" si="11"/>
        <v>0</v>
      </c>
      <c r="AK10" s="44">
        <f>HLOOKUP(I10,ElecAvoidedCostsWOCC!$A$5:$Q$50,G10+1,FALSE)*J10*L10</f>
        <v>0</v>
      </c>
      <c r="AL10" s="44">
        <f t="shared" si="12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3"/>
        <v>0</v>
      </c>
      <c r="AO10" s="47">
        <f t="shared" si="14"/>
        <v>0</v>
      </c>
      <c r="AP10" s="47">
        <f t="shared" si="15"/>
        <v>0</v>
      </c>
      <c r="AQ10">
        <v>2020</v>
      </c>
    </row>
    <row r="11" spans="1:43" ht="13.5" customHeight="1">
      <c r="A11" s="36" t="s">
        <v>251</v>
      </c>
      <c r="B11" s="97" t="s">
        <v>74</v>
      </c>
      <c r="C11" s="100">
        <v>18230611</v>
      </c>
      <c r="D11" s="100" t="s">
        <v>75</v>
      </c>
      <c r="E11" s="38" t="s">
        <v>1453</v>
      </c>
      <c r="F11" s="39" t="s">
        <v>1454</v>
      </c>
      <c r="G11" s="39">
        <v>1</v>
      </c>
      <c r="H11" s="39"/>
      <c r="I11" s="40" t="s">
        <v>269</v>
      </c>
      <c r="J11" s="41">
        <v>12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1088.75</v>
      </c>
      <c r="Q11" s="44">
        <v>1088.75</v>
      </c>
      <c r="R11" s="45"/>
      <c r="S11" s="46"/>
      <c r="T11" s="39">
        <f t="shared" si="0"/>
        <v>1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22">
        <f t="shared" si="16"/>
        <v>1123.0595071853904</v>
      </c>
      <c r="AB11" s="51">
        <f t="shared" si="7"/>
        <v>0</v>
      </c>
      <c r="AC11" s="44">
        <f t="shared" si="7"/>
        <v>1049.8826841033845</v>
      </c>
      <c r="AD11" s="44">
        <f t="shared" si="8"/>
        <v>0</v>
      </c>
      <c r="AE11" s="44">
        <f t="shared" si="17"/>
        <v>0</v>
      </c>
      <c r="AF11" s="52">
        <f>HLOOKUP(I11,ElecAvoidedCostsWOCC!$A$5:$Q$50,G11+1,FALSE)</f>
        <v>0.11346597036450218</v>
      </c>
      <c r="AG11" s="44">
        <f t="shared" si="9"/>
        <v>0</v>
      </c>
      <c r="AH11" s="52">
        <f>HLOOKUP(I11,ElecAvoidedCostsWOCC!$A$5:$Q$50,T11+1,FALSE)</f>
        <v>0.11346597036450218</v>
      </c>
      <c r="AI11" s="44">
        <f t="shared" si="10"/>
        <v>0</v>
      </c>
      <c r="AJ11" s="44">
        <f t="shared" si="11"/>
        <v>0</v>
      </c>
      <c r="AK11" s="44">
        <f>HLOOKUP(I11,ElecAvoidedCostsWOCC!$A$5:$Q$50,G11+1,FALSE)*J11*L11</f>
        <v>0</v>
      </c>
      <c r="AL11" s="44">
        <f t="shared" si="12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3"/>
        <v>0</v>
      </c>
      <c r="AO11" s="47">
        <f t="shared" si="14"/>
        <v>0</v>
      </c>
      <c r="AP11" s="47">
        <f t="shared" si="15"/>
        <v>0</v>
      </c>
      <c r="AQ11">
        <v>2020</v>
      </c>
    </row>
    <row r="12" spans="1:43" ht="13.5" customHeight="1">
      <c r="A12" s="55">
        <f>SUM(P6:P999)</f>
        <v>6649841.6099999975</v>
      </c>
      <c r="B12" s="97" t="s">
        <v>74</v>
      </c>
      <c r="C12" s="100">
        <v>18230611</v>
      </c>
      <c r="D12" s="100" t="s">
        <v>75</v>
      </c>
      <c r="E12" s="38" t="s">
        <v>1455</v>
      </c>
      <c r="F12" s="39" t="s">
        <v>1456</v>
      </c>
      <c r="G12" s="39">
        <v>1</v>
      </c>
      <c r="H12" s="39"/>
      <c r="I12" s="40" t="s">
        <v>269</v>
      </c>
      <c r="J12" s="41">
        <v>5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734.7</v>
      </c>
      <c r="Q12" s="44">
        <v>734.7</v>
      </c>
      <c r="R12" s="45"/>
      <c r="S12" s="46"/>
      <c r="T12" s="39">
        <f t="shared" si="0"/>
        <v>1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22">
        <f t="shared" si="16"/>
        <v>757.85241784533309</v>
      </c>
      <c r="AB12" s="51">
        <f t="shared" si="7"/>
        <v>0</v>
      </c>
      <c r="AC12" s="44">
        <f t="shared" si="7"/>
        <v>708.47192469415074</v>
      </c>
      <c r="AD12" s="44">
        <f t="shared" si="8"/>
        <v>0</v>
      </c>
      <c r="AE12" s="44">
        <f t="shared" si="17"/>
        <v>0</v>
      </c>
      <c r="AF12" s="52">
        <f>HLOOKUP(I12,ElecAvoidedCostsWOCC!$A$5:$Q$50,G12+1,FALSE)</f>
        <v>0.11346597036450218</v>
      </c>
      <c r="AG12" s="44">
        <f t="shared" si="9"/>
        <v>0</v>
      </c>
      <c r="AH12" s="52">
        <f>HLOOKUP(I12,ElecAvoidedCostsWOCC!$A$5:$Q$50,T12+1,FALSE)</f>
        <v>0.11346597036450218</v>
      </c>
      <c r="AI12" s="44">
        <f t="shared" si="10"/>
        <v>0</v>
      </c>
      <c r="AJ12" s="44">
        <f t="shared" si="11"/>
        <v>0</v>
      </c>
      <c r="AK12" s="44">
        <f>HLOOKUP(I12,ElecAvoidedCostsWOCC!$A$5:$Q$50,G12+1,FALSE)*J12*L12</f>
        <v>0</v>
      </c>
      <c r="AL12" s="44">
        <f t="shared" si="12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3"/>
        <v>0</v>
      </c>
      <c r="AO12" s="47">
        <f t="shared" si="14"/>
        <v>0</v>
      </c>
      <c r="AP12" s="47">
        <f t="shared" si="15"/>
        <v>0</v>
      </c>
      <c r="AQ12">
        <v>2020</v>
      </c>
    </row>
    <row r="13" spans="1:43" ht="13.5" customHeight="1">
      <c r="A13" s="56" t="s">
        <v>252</v>
      </c>
      <c r="B13" s="97" t="s">
        <v>74</v>
      </c>
      <c r="C13" s="100">
        <v>18230611</v>
      </c>
      <c r="D13" s="100" t="s">
        <v>75</v>
      </c>
      <c r="E13" s="38" t="s">
        <v>1459</v>
      </c>
      <c r="F13" s="39" t="s">
        <v>1460</v>
      </c>
      <c r="G13" s="39">
        <v>1</v>
      </c>
      <c r="H13" s="39"/>
      <c r="I13" s="40" t="s">
        <v>269</v>
      </c>
      <c r="J13" s="41">
        <v>8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556.53</v>
      </c>
      <c r="Q13" s="44">
        <v>556.53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22">
        <f t="shared" si="16"/>
        <v>574.06779107589921</v>
      </c>
      <c r="AB13" s="51">
        <f t="shared" si="7"/>
        <v>0</v>
      </c>
      <c r="AC13" s="44">
        <f t="shared" si="7"/>
        <v>536.66242037571203</v>
      </c>
      <c r="AD13" s="44">
        <f t="shared" si="8"/>
        <v>0</v>
      </c>
      <c r="AE13" s="44">
        <f t="shared" si="17"/>
        <v>0</v>
      </c>
      <c r="AF13" s="52">
        <f>HLOOKUP(I13,ElecAvoidedCostsWOCC!$A$5:$Q$50,G13+1,FALSE)</f>
        <v>0.11346597036450218</v>
      </c>
      <c r="AG13" s="44">
        <f t="shared" si="9"/>
        <v>0</v>
      </c>
      <c r="AH13" s="52">
        <f>HLOOKUP(I13,ElecAvoidedCostsWOCC!$A$5:$Q$50,T13+1,FALSE)</f>
        <v>0.11346597036450218</v>
      </c>
      <c r="AI13" s="44">
        <f t="shared" si="10"/>
        <v>0</v>
      </c>
      <c r="AJ13" s="44">
        <f t="shared" si="11"/>
        <v>0</v>
      </c>
      <c r="AK13" s="44">
        <f>HLOOKUP(I13,ElecAvoidedCostsWOCC!$A$5:$Q$50,G13+1,FALSE)*J13*L13</f>
        <v>0</v>
      </c>
      <c r="AL13" s="44">
        <f t="shared" si="12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3"/>
        <v>0</v>
      </c>
      <c r="AO13" s="47">
        <f t="shared" si="14"/>
        <v>0</v>
      </c>
      <c r="AP13" s="47">
        <f t="shared" si="15"/>
        <v>0</v>
      </c>
      <c r="AQ13">
        <v>2020</v>
      </c>
    </row>
    <row r="14" spans="1:43" ht="13.5" customHeight="1">
      <c r="A14" s="55">
        <f>SUM(Y6:Y999)</f>
        <v>90121.48000000001</v>
      </c>
      <c r="B14" s="97" t="s">
        <v>74</v>
      </c>
      <c r="C14" s="100">
        <v>18230611</v>
      </c>
      <c r="D14" s="100" t="s">
        <v>75</v>
      </c>
      <c r="E14" s="38" t="s">
        <v>1461</v>
      </c>
      <c r="F14" s="39" t="s">
        <v>1462</v>
      </c>
      <c r="G14" s="39">
        <v>1</v>
      </c>
      <c r="H14" s="39"/>
      <c r="I14" s="40" t="s">
        <v>269</v>
      </c>
      <c r="J14" s="41">
        <v>1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59.72</v>
      </c>
      <c r="Q14" s="44">
        <v>59.72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22">
        <f t="shared" si="16"/>
        <v>61.601941464166721</v>
      </c>
      <c r="AB14" s="51">
        <f t="shared" si="7"/>
        <v>0</v>
      </c>
      <c r="AC14" s="44">
        <f t="shared" si="7"/>
        <v>57.588054093826976</v>
      </c>
      <c r="AD14" s="44">
        <f t="shared" si="8"/>
        <v>0</v>
      </c>
      <c r="AE14" s="44">
        <f t="shared" si="17"/>
        <v>0</v>
      </c>
      <c r="AF14" s="52">
        <f>HLOOKUP(I14,ElecAvoidedCostsWOCC!$A$5:$Q$50,G14+1,FALSE)</f>
        <v>0.11346597036450218</v>
      </c>
      <c r="AG14" s="44">
        <f t="shared" si="9"/>
        <v>0</v>
      </c>
      <c r="AH14" s="52">
        <f>HLOOKUP(I14,ElecAvoidedCostsWOCC!$A$5:$Q$50,T14+1,FALSE)</f>
        <v>0.11346597036450218</v>
      </c>
      <c r="AI14" s="44">
        <f t="shared" si="10"/>
        <v>0</v>
      </c>
      <c r="AJ14" s="44">
        <f t="shared" si="11"/>
        <v>0</v>
      </c>
      <c r="AK14" s="44">
        <f>HLOOKUP(I14,ElecAvoidedCostsWOCC!$A$5:$Q$50,G14+1,FALSE)*J14*L14</f>
        <v>0</v>
      </c>
      <c r="AL14" s="44">
        <f t="shared" si="12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3"/>
        <v>0</v>
      </c>
      <c r="AO14" s="47">
        <f t="shared" si="14"/>
        <v>0</v>
      </c>
      <c r="AP14" s="47">
        <f t="shared" si="15"/>
        <v>0</v>
      </c>
      <c r="AQ14">
        <v>2020</v>
      </c>
    </row>
    <row r="15" spans="1:43" ht="13.5" customHeight="1">
      <c r="A15" s="57" t="s">
        <v>253</v>
      </c>
      <c r="B15" s="97" t="s">
        <v>74</v>
      </c>
      <c r="C15" s="100">
        <v>18230611</v>
      </c>
      <c r="D15" s="100" t="s">
        <v>75</v>
      </c>
      <c r="E15" s="38" t="s">
        <v>2463</v>
      </c>
      <c r="F15" s="39" t="s">
        <v>1464</v>
      </c>
      <c r="G15" s="39">
        <v>18</v>
      </c>
      <c r="H15" s="39"/>
      <c r="I15" s="40" t="s">
        <v>269</v>
      </c>
      <c r="J15" s="41">
        <v>17</v>
      </c>
      <c r="K15" s="41">
        <v>468</v>
      </c>
      <c r="L15" s="41"/>
      <c r="M15" s="42">
        <v>500</v>
      </c>
      <c r="N15" s="42">
        <v>500</v>
      </c>
      <c r="O15" s="43">
        <v>7488</v>
      </c>
      <c r="P15" s="44">
        <v>13072.54</v>
      </c>
      <c r="Q15" s="44">
        <v>13072.54</v>
      </c>
      <c r="R15" s="45">
        <v>0</v>
      </c>
      <c r="S15" s="46">
        <v>0</v>
      </c>
      <c r="T15" s="39">
        <f t="shared" si="0"/>
        <v>18</v>
      </c>
      <c r="U15" s="47">
        <f t="shared" si="1"/>
        <v>5.840142503567404E-2</v>
      </c>
      <c r="V15" s="48">
        <f t="shared" si="2"/>
        <v>0</v>
      </c>
      <c r="W15" s="49">
        <f t="shared" si="3"/>
        <v>3.2445236130930022E-3</v>
      </c>
      <c r="X15" s="44">
        <f t="shared" si="4"/>
        <v>862.42166280370657</v>
      </c>
      <c r="Y15" s="44">
        <f t="shared" si="5"/>
        <v>0</v>
      </c>
      <c r="Z15" s="44">
        <f t="shared" si="6"/>
        <v>23117.895286614075</v>
      </c>
      <c r="AA15" s="522">
        <f t="shared" si="16"/>
        <v>14346.913355167704</v>
      </c>
      <c r="AB15" s="51">
        <f t="shared" si="7"/>
        <v>21611.568932050177</v>
      </c>
      <c r="AC15" s="44">
        <f t="shared" si="7"/>
        <v>13412.090637718709</v>
      </c>
      <c r="AD15" s="44">
        <f t="shared" si="8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9"/>
        <v>12698.033825971217</v>
      </c>
      <c r="AH15" s="52">
        <f>HLOOKUP(I15,ElecAvoidedCostsWOCC!$A$5:$Q$50,T15+1,FALSE)</f>
        <v>1.5960324064820535</v>
      </c>
      <c r="AI15" s="44">
        <f t="shared" si="10"/>
        <v>0</v>
      </c>
      <c r="AJ15" s="44">
        <f t="shared" si="11"/>
        <v>12698.033825971217</v>
      </c>
      <c r="AK15" s="44">
        <f>HLOOKUP(I15,ElecAvoidedCostsWOCC!$A$5:$Q$50,G15+1,FALSE)*J15*L15</f>
        <v>0</v>
      </c>
      <c r="AL15" s="44">
        <f t="shared" si="12"/>
        <v>12698.033825971217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12698.033825971217</v>
      </c>
      <c r="AN15" s="48">
        <f t="shared" si="13"/>
        <v>13967.83720856834</v>
      </c>
      <c r="AO15" s="47">
        <f t="shared" si="14"/>
        <v>0.58755724148929811</v>
      </c>
      <c r="AP15" s="47">
        <f t="shared" si="15"/>
        <v>1.0414362373369823</v>
      </c>
      <c r="AQ15">
        <v>2020</v>
      </c>
    </row>
    <row r="16" spans="1:43" ht="13.5" customHeight="1">
      <c r="A16" s="54">
        <f>SUM(U6:U998)</f>
        <v>22.595726391316859</v>
      </c>
      <c r="B16" s="97" t="s">
        <v>74</v>
      </c>
      <c r="C16" s="100">
        <v>18230611</v>
      </c>
      <c r="D16" s="100" t="s">
        <v>75</v>
      </c>
      <c r="E16" s="38" t="s">
        <v>2465</v>
      </c>
      <c r="F16" s="39" t="s">
        <v>1468</v>
      </c>
      <c r="G16" s="39">
        <v>20</v>
      </c>
      <c r="H16" s="39"/>
      <c r="I16" s="40" t="s">
        <v>269</v>
      </c>
      <c r="J16" s="41">
        <v>3</v>
      </c>
      <c r="K16" s="41">
        <v>1254</v>
      </c>
      <c r="L16" s="41"/>
      <c r="M16" s="42">
        <v>500</v>
      </c>
      <c r="N16" s="42">
        <v>500</v>
      </c>
      <c r="O16" s="43">
        <v>3762</v>
      </c>
      <c r="P16" s="44">
        <v>2508.23</v>
      </c>
      <c r="Q16" s="44">
        <v>2508.23</v>
      </c>
      <c r="R16" s="45">
        <v>0</v>
      </c>
      <c r="S16" s="46">
        <v>0</v>
      </c>
      <c r="T16" s="39">
        <f t="shared" si="0"/>
        <v>20</v>
      </c>
      <c r="U16" s="47">
        <f t="shared" si="1"/>
        <v>3.2601222843097952E-2</v>
      </c>
      <c r="V16" s="48">
        <f t="shared" si="2"/>
        <v>0</v>
      </c>
      <c r="W16" s="49">
        <f t="shared" si="3"/>
        <v>1.6300611421548976E-3</v>
      </c>
      <c r="X16" s="44">
        <f t="shared" si="4"/>
        <v>433.28396039897757</v>
      </c>
      <c r="Y16" s="44">
        <f t="shared" si="5"/>
        <v>0</v>
      </c>
      <c r="Z16" s="44">
        <f t="shared" si="6"/>
        <v>11614.519506976781</v>
      </c>
      <c r="AA16" s="522">
        <f t="shared" si="16"/>
        <v>3020.5551867664735</v>
      </c>
      <c r="AB16" s="51">
        <f t="shared" si="7"/>
        <v>10857.735352880976</v>
      </c>
      <c r="AC16" s="44">
        <f t="shared" si="7"/>
        <v>2823.7404756160354</v>
      </c>
      <c r="AD16" s="44">
        <f t="shared" si="8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9"/>
        <v>6500.5306762323389</v>
      </c>
      <c r="AH16" s="52">
        <f>HLOOKUP(I16,ElecAvoidedCostsWOCC!$A$5:$Q$50,T16+1,FALSE)</f>
        <v>1.727945421646023</v>
      </c>
      <c r="AI16" s="44">
        <f t="shared" si="10"/>
        <v>0</v>
      </c>
      <c r="AJ16" s="44">
        <f t="shared" si="11"/>
        <v>6500.5306762323389</v>
      </c>
      <c r="AK16" s="44">
        <f>HLOOKUP(I16,ElecAvoidedCostsWOCC!$A$5:$Q$50,G16+1,FALSE)*J16*L16</f>
        <v>0</v>
      </c>
      <c r="AL16" s="44">
        <f t="shared" si="12"/>
        <v>6500.5306762323389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6500.5306762323398</v>
      </c>
      <c r="AN16" s="48">
        <f t="shared" si="13"/>
        <v>7150.5837438555745</v>
      </c>
      <c r="AO16" s="47">
        <f t="shared" si="14"/>
        <v>0.59870041633566784</v>
      </c>
      <c r="AP16" s="47">
        <f t="shared" si="15"/>
        <v>2.532309114666631</v>
      </c>
      <c r="AQ16">
        <v>2020</v>
      </c>
    </row>
    <row r="17" spans="1:43" ht="13.5" customHeight="1">
      <c r="A17" s="58" t="s">
        <v>254</v>
      </c>
      <c r="B17" s="97" t="s">
        <v>74</v>
      </c>
      <c r="C17" s="100">
        <v>18230611</v>
      </c>
      <c r="D17" s="100" t="s">
        <v>75</v>
      </c>
      <c r="E17" s="38" t="s">
        <v>2467</v>
      </c>
      <c r="F17" s="39" t="s">
        <v>1474</v>
      </c>
      <c r="G17" s="39">
        <v>15</v>
      </c>
      <c r="H17" s="39"/>
      <c r="I17" s="40" t="s">
        <v>268</v>
      </c>
      <c r="J17" s="41">
        <v>41</v>
      </c>
      <c r="K17" s="41">
        <v>2696</v>
      </c>
      <c r="L17" s="41"/>
      <c r="M17" s="42">
        <v>3953.13</v>
      </c>
      <c r="N17" s="42">
        <v>3953.13</v>
      </c>
      <c r="O17" s="43">
        <v>110536</v>
      </c>
      <c r="P17" s="44">
        <v>266432.28000000003</v>
      </c>
      <c r="Q17" s="44">
        <v>266432.28000000003</v>
      </c>
      <c r="R17" s="45">
        <v>54.35</v>
      </c>
      <c r="S17" s="46">
        <v>0</v>
      </c>
      <c r="T17" s="39">
        <f t="shared" si="0"/>
        <v>15</v>
      </c>
      <c r="U17" s="47">
        <f t="shared" si="1"/>
        <v>0.71842280067477582</v>
      </c>
      <c r="V17" s="48">
        <f t="shared" si="2"/>
        <v>0</v>
      </c>
      <c r="W17" s="49">
        <f t="shared" si="3"/>
        <v>4.7894853378318385E-2</v>
      </c>
      <c r="X17" s="44">
        <f t="shared" si="4"/>
        <v>12730.854823673946</v>
      </c>
      <c r="Y17" s="44">
        <f t="shared" si="5"/>
        <v>0</v>
      </c>
      <c r="Z17" s="44">
        <f t="shared" si="6"/>
        <v>341260.64014438749</v>
      </c>
      <c r="AA17" s="522">
        <f t="shared" si="16"/>
        <v>287559.14880767395</v>
      </c>
      <c r="AB17" s="51">
        <f t="shared" si="7"/>
        <v>319024.6238612578</v>
      </c>
      <c r="AC17" s="44">
        <f t="shared" si="7"/>
        <v>268822.23876570433</v>
      </c>
      <c r="AD17" s="44">
        <f t="shared" si="8"/>
        <v>20334.133352788536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9"/>
        <v>154324.91284714465</v>
      </c>
      <c r="AH17" s="52">
        <f>HLOOKUP(I17,ElecAvoidedCostsWOCC!$A$5:$Q$50,T17+1,FALSE)</f>
        <v>1.3961506916040443</v>
      </c>
      <c r="AI17" s="44">
        <f t="shared" si="10"/>
        <v>0</v>
      </c>
      <c r="AJ17" s="44">
        <f t="shared" si="11"/>
        <v>154324.91284714465</v>
      </c>
      <c r="AK17" s="44">
        <f>HLOOKUP(I17,ElecAvoidedCostsWOCC!$A$5:$Q$50,G17+1,FALSE)*J17*L17</f>
        <v>0</v>
      </c>
      <c r="AL17" s="44">
        <f t="shared" si="12"/>
        <v>154324.91284714465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154324.91284714465</v>
      </c>
      <c r="AN17" s="48">
        <f t="shared" si="13"/>
        <v>190091.53748464768</v>
      </c>
      <c r="AO17" s="47">
        <f t="shared" si="14"/>
        <v>0.48373981600323041</v>
      </c>
      <c r="AP17" s="47">
        <f t="shared" si="15"/>
        <v>0.7071272762158809</v>
      </c>
      <c r="AQ17">
        <v>2020</v>
      </c>
    </row>
    <row r="18" spans="1:43" ht="13.5" customHeight="1">
      <c r="A18" s="59">
        <f>A6+A8</f>
        <v>7125204.8200000003</v>
      </c>
      <c r="B18" s="97" t="s">
        <v>74</v>
      </c>
      <c r="C18" s="100">
        <v>18230611</v>
      </c>
      <c r="D18" s="100" t="s">
        <v>75</v>
      </c>
      <c r="E18" s="38" t="s">
        <v>2468</v>
      </c>
      <c r="F18" s="39" t="s">
        <v>1476</v>
      </c>
      <c r="G18" s="39">
        <v>15</v>
      </c>
      <c r="H18" s="39"/>
      <c r="I18" s="40" t="s">
        <v>268</v>
      </c>
      <c r="J18" s="41">
        <v>205</v>
      </c>
      <c r="K18" s="41">
        <v>2066</v>
      </c>
      <c r="L18" s="41"/>
      <c r="M18" s="42">
        <v>4282.55</v>
      </c>
      <c r="N18" s="42">
        <v>4282.55</v>
      </c>
      <c r="O18" s="43">
        <v>423530</v>
      </c>
      <c r="P18" s="44">
        <v>1205773.81</v>
      </c>
      <c r="Q18" s="44">
        <v>1205773.81</v>
      </c>
      <c r="R18" s="45">
        <v>53.49</v>
      </c>
      <c r="S18" s="46">
        <v>0</v>
      </c>
      <c r="T18" s="39">
        <f t="shared" si="0"/>
        <v>15</v>
      </c>
      <c r="U18" s="47">
        <f t="shared" si="1"/>
        <v>2.7527105085201908</v>
      </c>
      <c r="V18" s="48">
        <f t="shared" si="2"/>
        <v>0</v>
      </c>
      <c r="W18" s="49">
        <f t="shared" si="3"/>
        <v>0.18351403390134605</v>
      </c>
      <c r="X18" s="44">
        <f t="shared" si="4"/>
        <v>48779.573564002916</v>
      </c>
      <c r="Y18" s="44">
        <f t="shared" si="5"/>
        <v>0</v>
      </c>
      <c r="Z18" s="44">
        <f t="shared" si="6"/>
        <v>1307575.0788915143</v>
      </c>
      <c r="AA18" s="522">
        <f t="shared" si="16"/>
        <v>1292550.632884922</v>
      </c>
      <c r="AB18" s="51">
        <f t="shared" si="7"/>
        <v>1222375.5061152792</v>
      </c>
      <c r="AC18" s="44">
        <f t="shared" si="7"/>
        <v>1208330.0298073497</v>
      </c>
      <c r="AD18" s="44">
        <f t="shared" si="8"/>
        <v>100061.89448396125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9"/>
        <v>591311.70241506083</v>
      </c>
      <c r="AH18" s="52">
        <f>HLOOKUP(I18,ElecAvoidedCostsWOCC!$A$5:$Q$50,T18+1,FALSE)</f>
        <v>1.3961506916040443</v>
      </c>
      <c r="AI18" s="44">
        <f t="shared" si="10"/>
        <v>0</v>
      </c>
      <c r="AJ18" s="44">
        <f t="shared" si="11"/>
        <v>591311.70241506083</v>
      </c>
      <c r="AK18" s="44">
        <f>HLOOKUP(I18,ElecAvoidedCostsWOCC!$A$5:$Q$50,G18+1,FALSE)*J18*L18</f>
        <v>0</v>
      </c>
      <c r="AL18" s="44">
        <f t="shared" si="12"/>
        <v>591311.70241506083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591311.70241506083</v>
      </c>
      <c r="AN18" s="48">
        <f t="shared" si="13"/>
        <v>750504.7671405283</v>
      </c>
      <c r="AO18" s="47">
        <f t="shared" si="14"/>
        <v>0.48373981600323046</v>
      </c>
      <c r="AP18" s="47">
        <f t="shared" si="15"/>
        <v>0.62110909157838701</v>
      </c>
      <c r="AQ18">
        <v>2020</v>
      </c>
    </row>
    <row r="19" spans="1:43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1477</v>
      </c>
      <c r="F19" s="39" t="s">
        <v>1478</v>
      </c>
      <c r="G19" s="39">
        <v>1</v>
      </c>
      <c r="H19" s="39"/>
      <c r="I19" s="40" t="s">
        <v>269</v>
      </c>
      <c r="J19" s="41">
        <v>4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1603.03</v>
      </c>
      <c r="Q19" s="44">
        <v>1603.03</v>
      </c>
      <c r="R19" s="45"/>
      <c r="S19" s="46"/>
      <c r="T19" s="39">
        <f t="shared" si="0"/>
        <v>1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22">
        <f t="shared" si="16"/>
        <v>1653.5458845496178</v>
      </c>
      <c r="AB19" s="51">
        <f t="shared" si="7"/>
        <v>0</v>
      </c>
      <c r="AC19" s="44">
        <f t="shared" si="7"/>
        <v>1545.8033883795622</v>
      </c>
      <c r="AD19" s="44">
        <f t="shared" si="8"/>
        <v>0</v>
      </c>
      <c r="AE19" s="44">
        <f t="shared" si="17"/>
        <v>0</v>
      </c>
      <c r="AF19" s="52">
        <f>HLOOKUP(I19,ElecAvoidedCostsWOCC!$A$5:$Q$50,G19+1,FALSE)</f>
        <v>0.11346597036450218</v>
      </c>
      <c r="AG19" s="44">
        <f t="shared" si="9"/>
        <v>0</v>
      </c>
      <c r="AH19" s="52">
        <f>HLOOKUP(I19,ElecAvoidedCostsWOCC!$A$5:$Q$50,T19+1,FALSE)</f>
        <v>0.11346597036450218</v>
      </c>
      <c r="AI19" s="44">
        <f t="shared" si="10"/>
        <v>0</v>
      </c>
      <c r="AJ19" s="44">
        <f t="shared" si="11"/>
        <v>0</v>
      </c>
      <c r="AK19" s="44">
        <f>HLOOKUP(I19,ElecAvoidedCostsWOCC!$A$5:$Q$50,G19+1,FALSE)*J19*L19</f>
        <v>0</v>
      </c>
      <c r="AL19" s="44">
        <f t="shared" si="12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3"/>
        <v>0</v>
      </c>
      <c r="AO19" s="47">
        <f t="shared" si="14"/>
        <v>0</v>
      </c>
      <c r="AP19" s="47">
        <f t="shared" si="15"/>
        <v>0</v>
      </c>
      <c r="AQ19">
        <v>2020</v>
      </c>
    </row>
    <row r="20" spans="1:43" ht="13.5" customHeight="1">
      <c r="A20" s="59">
        <f>A8+SUM(AA6:AA905)</f>
        <v>7483974.6857204353</v>
      </c>
      <c r="B20" s="97" t="s">
        <v>74</v>
      </c>
      <c r="C20" s="100">
        <v>18230611</v>
      </c>
      <c r="D20" s="100" t="s">
        <v>75</v>
      </c>
      <c r="E20" s="38" t="s">
        <v>1479</v>
      </c>
      <c r="F20" s="39" t="s">
        <v>1480</v>
      </c>
      <c r="G20" s="39">
        <v>1</v>
      </c>
      <c r="H20" s="39"/>
      <c r="I20" s="40" t="s">
        <v>269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3076.14</v>
      </c>
      <c r="Q20" s="44">
        <v>3076.14</v>
      </c>
      <c r="R20" s="45"/>
      <c r="S20" s="46"/>
      <c r="T20" s="39">
        <f t="shared" si="0"/>
        <v>1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22">
        <f t="shared" si="16"/>
        <v>3173.0776325449065</v>
      </c>
      <c r="AB20" s="51">
        <f t="shared" si="7"/>
        <v>0</v>
      </c>
      <c r="AC20" s="44">
        <f t="shared" si="7"/>
        <v>2966.3247943768406</v>
      </c>
      <c r="AD20" s="44">
        <f t="shared" si="8"/>
        <v>0</v>
      </c>
      <c r="AE20" s="44">
        <f t="shared" si="17"/>
        <v>0</v>
      </c>
      <c r="AF20" s="52">
        <f>HLOOKUP(I20,ElecAvoidedCostsWOCC!$A$5:$Q$50,G20+1,FALSE)</f>
        <v>0.11346597036450218</v>
      </c>
      <c r="AG20" s="44">
        <f t="shared" si="9"/>
        <v>0</v>
      </c>
      <c r="AH20" s="52">
        <f>HLOOKUP(I20,ElecAvoidedCostsWOCC!$A$5:$Q$50,T20+1,FALSE)</f>
        <v>0.11346597036450218</v>
      </c>
      <c r="AI20" s="44">
        <f t="shared" si="10"/>
        <v>0</v>
      </c>
      <c r="AJ20" s="44">
        <f t="shared" si="11"/>
        <v>0</v>
      </c>
      <c r="AK20" s="44">
        <f>HLOOKUP(I20,ElecAvoidedCostsWOCC!$A$5:$Q$50,G20+1,FALSE)*J20*L20</f>
        <v>0</v>
      </c>
      <c r="AL20" s="44">
        <f t="shared" si="12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3"/>
        <v>0</v>
      </c>
      <c r="AO20" s="47">
        <f t="shared" si="14"/>
        <v>0</v>
      </c>
      <c r="AP20" s="47">
        <f t="shared" si="15"/>
        <v>0</v>
      </c>
      <c r="AQ20">
        <v>2020</v>
      </c>
    </row>
    <row r="21" spans="1:43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2473</v>
      </c>
      <c r="F21" s="39" t="s">
        <v>2474</v>
      </c>
      <c r="G21" s="39">
        <v>20</v>
      </c>
      <c r="H21" s="39"/>
      <c r="I21" s="40" t="s">
        <v>269</v>
      </c>
      <c r="J21" s="41">
        <v>9</v>
      </c>
      <c r="K21" s="41">
        <v>0</v>
      </c>
      <c r="L21" s="41"/>
      <c r="M21" s="42">
        <v>0</v>
      </c>
      <c r="N21" s="42">
        <v>0</v>
      </c>
      <c r="O21" s="43">
        <v>0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20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22">
        <f t="shared" si="16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8"/>
        <v>0</v>
      </c>
      <c r="AE21" s="44">
        <f t="shared" si="17"/>
        <v>0</v>
      </c>
      <c r="AF21" s="52">
        <f>HLOOKUP(I21,ElecAvoidedCostsWOCC!$A$5:$Q$50,G21+1,FALSE)</f>
        <v>1.727945421646023</v>
      </c>
      <c r="AG21" s="44">
        <f t="shared" si="9"/>
        <v>0</v>
      </c>
      <c r="AH21" s="52">
        <f>HLOOKUP(I21,ElecAvoidedCostsWOCC!$A$5:$Q$50,T21+1,FALSE)</f>
        <v>1.727945421646023</v>
      </c>
      <c r="AI21" s="44">
        <f t="shared" si="10"/>
        <v>0</v>
      </c>
      <c r="AJ21" s="44">
        <f t="shared" si="11"/>
        <v>0</v>
      </c>
      <c r="AK21" s="44">
        <f>HLOOKUP(I21,ElecAvoidedCostsWOCC!$A$5:$Q$50,G21+1,FALSE)*J21*L21</f>
        <v>0</v>
      </c>
      <c r="AL21" s="44">
        <f t="shared" si="12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3"/>
        <v>0</v>
      </c>
      <c r="AO21" s="47">
        <f t="shared" si="14"/>
        <v>0</v>
      </c>
      <c r="AP21" s="47" t="e">
        <f t="shared" si="15"/>
        <v>#DIV/0!</v>
      </c>
      <c r="AQ21">
        <v>2020</v>
      </c>
    </row>
    <row r="22" spans="1:43" ht="13.5" customHeight="1">
      <c r="A22" s="60">
        <f>(SUM(AM6:AM999)/(SUM(AB6:AB999)))</f>
        <v>0.59358606176876338</v>
      </c>
      <c r="B22" s="97" t="s">
        <v>74</v>
      </c>
      <c r="C22" s="100">
        <v>18230611</v>
      </c>
      <c r="D22" s="100" t="s">
        <v>75</v>
      </c>
      <c r="E22" s="38" t="s">
        <v>1489</v>
      </c>
      <c r="F22" s="39" t="s">
        <v>1490</v>
      </c>
      <c r="G22" s="39">
        <v>1</v>
      </c>
      <c r="H22" s="39"/>
      <c r="I22" s="40" t="s">
        <v>269</v>
      </c>
      <c r="J22" s="41">
        <v>19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9016.86</v>
      </c>
      <c r="Q22" s="44">
        <v>9016.86</v>
      </c>
      <c r="R22" s="45"/>
      <c r="S22" s="46"/>
      <c r="T22" s="39">
        <f t="shared" si="0"/>
        <v>1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22">
        <f t="shared" si="16"/>
        <v>9301.0060601236819</v>
      </c>
      <c r="AB22" s="51">
        <f t="shared" si="18"/>
        <v>0</v>
      </c>
      <c r="AC22" s="44">
        <f t="shared" si="18"/>
        <v>8694.9668693312906</v>
      </c>
      <c r="AD22" s="44">
        <f t="shared" si="8"/>
        <v>0</v>
      </c>
      <c r="AE22" s="44">
        <f t="shared" si="17"/>
        <v>0</v>
      </c>
      <c r="AF22" s="52">
        <f>HLOOKUP(I22,ElecAvoidedCostsWOCC!$A$5:$Q$50,G22+1,FALSE)</f>
        <v>0.11346597036450218</v>
      </c>
      <c r="AG22" s="44">
        <f t="shared" si="9"/>
        <v>0</v>
      </c>
      <c r="AH22" s="52">
        <f>HLOOKUP(I22,ElecAvoidedCostsWOCC!$A$5:$Q$50,T22+1,FALSE)</f>
        <v>0.11346597036450218</v>
      </c>
      <c r="AI22" s="44">
        <f t="shared" si="10"/>
        <v>0</v>
      </c>
      <c r="AJ22" s="44">
        <f t="shared" si="11"/>
        <v>0</v>
      </c>
      <c r="AK22" s="44">
        <f>HLOOKUP(I22,ElecAvoidedCostsWOCC!$A$5:$Q$50,G22+1,FALSE)*J22*L22</f>
        <v>0</v>
      </c>
      <c r="AL22" s="44">
        <f t="shared" si="12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3"/>
        <v>0</v>
      </c>
      <c r="AO22" s="47">
        <f t="shared" si="14"/>
        <v>0</v>
      </c>
      <c r="AP22" s="47">
        <f t="shared" si="15"/>
        <v>0</v>
      </c>
      <c r="AQ22">
        <v>2020</v>
      </c>
    </row>
    <row r="23" spans="1:43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1491</v>
      </c>
      <c r="F23" s="39" t="s">
        <v>1492</v>
      </c>
      <c r="G23" s="39">
        <v>1</v>
      </c>
      <c r="H23" s="39"/>
      <c r="I23" s="40" t="s">
        <v>269</v>
      </c>
      <c r="J23" s="41">
        <v>7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2964.61</v>
      </c>
      <c r="Q23" s="44">
        <v>2964.61</v>
      </c>
      <c r="R23" s="45"/>
      <c r="S23" s="46"/>
      <c r="T23" s="39">
        <f t="shared" si="0"/>
        <v>1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22">
        <f t="shared" si="16"/>
        <v>3058.0330154735984</v>
      </c>
      <c r="AB23" s="51">
        <f t="shared" si="18"/>
        <v>0</v>
      </c>
      <c r="AC23" s="44">
        <f t="shared" si="18"/>
        <v>2858.7763068837976</v>
      </c>
      <c r="AD23" s="44">
        <f t="shared" si="8"/>
        <v>0</v>
      </c>
      <c r="AE23" s="44">
        <f t="shared" si="17"/>
        <v>0</v>
      </c>
      <c r="AF23" s="52">
        <f>HLOOKUP(I23,ElecAvoidedCostsWOCC!$A$5:$Q$50,G23+1,FALSE)</f>
        <v>0.11346597036450218</v>
      </c>
      <c r="AG23" s="44">
        <f t="shared" si="9"/>
        <v>0</v>
      </c>
      <c r="AH23" s="52">
        <f>HLOOKUP(I23,ElecAvoidedCostsWOCC!$A$5:$Q$50,T23+1,FALSE)</f>
        <v>0.11346597036450218</v>
      </c>
      <c r="AI23" s="44">
        <f t="shared" si="10"/>
        <v>0</v>
      </c>
      <c r="AJ23" s="44">
        <f t="shared" si="11"/>
        <v>0</v>
      </c>
      <c r="AK23" s="44">
        <f>HLOOKUP(I23,ElecAvoidedCostsWOCC!$A$5:$Q$50,G23+1,FALSE)*J23*L23</f>
        <v>0</v>
      </c>
      <c r="AL23" s="44">
        <f t="shared" si="12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3"/>
        <v>0</v>
      </c>
      <c r="AO23" s="47">
        <f t="shared" si="14"/>
        <v>0</v>
      </c>
      <c r="AP23" s="47">
        <f t="shared" si="15"/>
        <v>0</v>
      </c>
      <c r="AQ23">
        <v>2020</v>
      </c>
    </row>
    <row r="24" spans="1:43" ht="13.5" customHeight="1">
      <c r="A24" s="60">
        <f>(SUM(AN6:AN999)/SUM(AC6:AC999))</f>
        <v>0.82645423176738519</v>
      </c>
      <c r="B24" s="97" t="s">
        <v>74</v>
      </c>
      <c r="C24" s="100">
        <v>18230611</v>
      </c>
      <c r="D24" s="100" t="s">
        <v>75</v>
      </c>
      <c r="E24" s="38" t="s">
        <v>2475</v>
      </c>
      <c r="F24" s="39" t="s">
        <v>1494</v>
      </c>
      <c r="G24" s="39">
        <v>30</v>
      </c>
      <c r="H24" s="39"/>
      <c r="I24" s="40" t="s">
        <v>269</v>
      </c>
      <c r="J24" s="41">
        <v>215</v>
      </c>
      <c r="K24" s="41">
        <v>4.6500000000000004</v>
      </c>
      <c r="L24" s="41"/>
      <c r="M24" s="42">
        <v>6.46</v>
      </c>
      <c r="N24" s="42">
        <v>6.46</v>
      </c>
      <c r="O24" s="43">
        <v>999.75</v>
      </c>
      <c r="P24" s="44">
        <v>2130.6799999999998</v>
      </c>
      <c r="Q24" s="44">
        <v>2130.6799999999998</v>
      </c>
      <c r="R24" s="45">
        <v>0</v>
      </c>
      <c r="S24" s="46"/>
      <c r="T24" s="39">
        <f t="shared" si="0"/>
        <v>30</v>
      </c>
      <c r="U24" s="47">
        <f t="shared" si="1"/>
        <v>1.2995642957490901E-2</v>
      </c>
      <c r="V24" s="48">
        <f t="shared" si="2"/>
        <v>0</v>
      </c>
      <c r="W24" s="49">
        <f t="shared" si="3"/>
        <v>4.3318809858303002E-4</v>
      </c>
      <c r="X24" s="44">
        <f t="shared" si="4"/>
        <v>115.14503971527853</v>
      </c>
      <c r="Y24" s="44">
        <f t="shared" si="5"/>
        <v>0</v>
      </c>
      <c r="Z24" s="44">
        <f t="shared" si="6"/>
        <v>3086.5539279904406</v>
      </c>
      <c r="AA24" s="522">
        <f t="shared" si="16"/>
        <v>2312.9686271042729</v>
      </c>
      <c r="AB24" s="51">
        <f t="shared" si="18"/>
        <v>2885.4388407875481</v>
      </c>
      <c r="AC24" s="44">
        <f t="shared" si="18"/>
        <v>2162.2591634142964</v>
      </c>
      <c r="AD24" s="44">
        <f t="shared" si="8"/>
        <v>0</v>
      </c>
      <c r="AE24" s="44">
        <f t="shared" si="17"/>
        <v>0</v>
      </c>
      <c r="AF24" s="52">
        <f>HLOOKUP(I24,ElecAvoidedCostsWOCC!$A$5:$Q$50,G24+1,FALSE)</f>
        <v>2.3666688857668672</v>
      </c>
      <c r="AG24" s="44">
        <f t="shared" si="9"/>
        <v>2366.0772185454257</v>
      </c>
      <c r="AH24" s="52">
        <f>HLOOKUP(I24,ElecAvoidedCostsWOCC!$A$5:$Q$50,T24+1,FALSE)</f>
        <v>2.3666688857668672</v>
      </c>
      <c r="AI24" s="44">
        <f t="shared" si="10"/>
        <v>0</v>
      </c>
      <c r="AJ24" s="44">
        <f t="shared" si="11"/>
        <v>2366.0772185454257</v>
      </c>
      <c r="AK24" s="44">
        <f>HLOOKUP(I24,ElecAvoidedCostsWOCC!$A$5:$Q$50,G24+1,FALSE)*J24*L24</f>
        <v>0</v>
      </c>
      <c r="AL24" s="44">
        <f t="shared" si="12"/>
        <v>2366.0772185454257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2366.0772185454257</v>
      </c>
      <c r="AN24" s="48">
        <f t="shared" si="13"/>
        <v>2602.6849403999686</v>
      </c>
      <c r="AO24" s="47">
        <f t="shared" si="14"/>
        <v>0.8200060195694987</v>
      </c>
      <c r="AP24" s="47">
        <f t="shared" si="15"/>
        <v>1.2036877837947149</v>
      </c>
      <c r="AQ24">
        <v>2020</v>
      </c>
    </row>
    <row r="25" spans="1:43" ht="13.5" customHeight="1">
      <c r="B25" s="97" t="s">
        <v>74</v>
      </c>
      <c r="C25" s="100">
        <v>18230611</v>
      </c>
      <c r="D25" s="100" t="s">
        <v>75</v>
      </c>
      <c r="E25" s="38" t="s">
        <v>2477</v>
      </c>
      <c r="F25" s="39" t="s">
        <v>1498</v>
      </c>
      <c r="G25" s="39">
        <v>45</v>
      </c>
      <c r="H25" s="39"/>
      <c r="I25" s="40" t="s">
        <v>269</v>
      </c>
      <c r="J25" s="41">
        <v>3859</v>
      </c>
      <c r="K25" s="41">
        <v>0.61</v>
      </c>
      <c r="L25" s="41"/>
      <c r="M25" s="42">
        <v>1.87</v>
      </c>
      <c r="N25" s="42">
        <v>1.87</v>
      </c>
      <c r="O25" s="43">
        <v>2353.9899999999998</v>
      </c>
      <c r="P25" s="44">
        <v>13654.37</v>
      </c>
      <c r="Q25" s="44">
        <v>13654.37</v>
      </c>
      <c r="R25" s="45">
        <v>0.01</v>
      </c>
      <c r="S25" s="46">
        <v>0</v>
      </c>
      <c r="T25" s="39">
        <f t="shared" ref="T25:T88" si="19">G25+H25</f>
        <v>45</v>
      </c>
      <c r="U25" s="47">
        <f t="shared" ref="U25:U88" si="20">(O25/$A$10)*T25</f>
        <v>4.5898895072024014E-2</v>
      </c>
      <c r="V25" s="48">
        <f t="shared" ref="V25:V88" si="21">N25-M25</f>
        <v>0</v>
      </c>
      <c r="W25" s="49">
        <f t="shared" ref="W25:W88" si="22">(O25/A$10)</f>
        <v>1.0199754460449781E-3</v>
      </c>
      <c r="X25" s="44">
        <f t="shared" ref="X25:X88" si="23">W25*A$8</f>
        <v>271.11805155225659</v>
      </c>
      <c r="Y25" s="44">
        <f t="shared" ref="Y25:Y88" si="24">Q25-P25</f>
        <v>0</v>
      </c>
      <c r="Z25" s="44">
        <f t="shared" ref="Z25:Z88" si="25">X25+(A$6*W25)</f>
        <v>7267.533964441328</v>
      </c>
      <c r="AA25" s="522">
        <f t="shared" si="16"/>
        <v>14355.774807581631</v>
      </c>
      <c r="AB25" s="51">
        <f t="shared" ref="AB25:AB88" si="26">Z25/(1+ElecDiscountRate)^1</f>
        <v>6793.9926749942297</v>
      </c>
      <c r="AC25" s="44">
        <f t="shared" ref="AC25:AC88" si="27">AA25/(1+ElecDiscountRate)^1</f>
        <v>13420.374691578601</v>
      </c>
      <c r="AD25" s="44">
        <f t="shared" ref="AD25:AD88" si="28">-PV(ElecDiscountRate,T25,R25)*J25</f>
        <v>526.96216803203617</v>
      </c>
      <c r="AE25" s="44">
        <f t="shared" ref="AE25:AE88" si="29">-PV(ElecDiscountRate,T25,S25)*J25</f>
        <v>0</v>
      </c>
      <c r="AF25" s="52">
        <f>HLOOKUP(I25,ElecAvoidedCostsWOCC!$A$5:$Q$50,G25+1,FALSE)</f>
        <v>3.4276422079642828</v>
      </c>
      <c r="AG25" s="44">
        <f t="shared" ref="AG25:AG88" si="30">AF25*J25*K25</f>
        <v>8068.6354811258416</v>
      </c>
      <c r="AH25" s="52">
        <f>HLOOKUP(I25,ElecAvoidedCostsWOCC!$A$5:$Q$50,T25+1,FALSE)</f>
        <v>3.4276422079642828</v>
      </c>
      <c r="AI25" s="44">
        <f t="shared" ref="AI25:AI88" si="31">AH25*J25*L25</f>
        <v>0</v>
      </c>
      <c r="AJ25" s="44">
        <f t="shared" ref="AJ25:AJ88" si="32">AG25+AI25</f>
        <v>8068.6354811258416</v>
      </c>
      <c r="AK25" s="44">
        <f>HLOOKUP(I25,ElecAvoidedCostsWOCC!$A$5:$Q$50,G25+1,FALSE)*J25*L25</f>
        <v>0</v>
      </c>
      <c r="AL25" s="44">
        <f t="shared" ref="AL25:AL88" si="33">AG25+AI25-AK25</f>
        <v>8068.6354811258416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8068.6354811258416</v>
      </c>
      <c r="AN25" s="48">
        <f t="shared" ref="AN25:AN88" si="34">AM25*1.1+AD25+AE25</f>
        <v>9402.4611972704624</v>
      </c>
      <c r="AO25" s="47">
        <f t="shared" ref="AO25:AO88" si="35">IFERROR(AM25/AB25,0)</f>
        <v>1.1876132146599194</v>
      </c>
      <c r="AP25" s="47">
        <f t="shared" ref="AP25:AP88" si="36">AN25/AC25</f>
        <v>0.70061093027235566</v>
      </c>
      <c r="AQ25">
        <v>2020</v>
      </c>
    </row>
    <row r="26" spans="1:43" ht="13.5" customHeight="1">
      <c r="B26" s="97" t="s">
        <v>74</v>
      </c>
      <c r="C26" s="100">
        <v>18230611</v>
      </c>
      <c r="D26" s="100" t="s">
        <v>75</v>
      </c>
      <c r="E26" s="38" t="s">
        <v>2478</v>
      </c>
      <c r="F26" s="39" t="s">
        <v>1500</v>
      </c>
      <c r="G26" s="39">
        <v>25</v>
      </c>
      <c r="H26" s="39"/>
      <c r="I26" s="40" t="s">
        <v>269</v>
      </c>
      <c r="J26" s="41">
        <v>11727</v>
      </c>
      <c r="K26" s="41">
        <v>0.46</v>
      </c>
      <c r="L26" s="41"/>
      <c r="M26" s="42">
        <v>2.37</v>
      </c>
      <c r="N26" s="42">
        <v>2.37</v>
      </c>
      <c r="O26" s="43">
        <v>5394.42</v>
      </c>
      <c r="P26" s="44">
        <v>44893.16</v>
      </c>
      <c r="Q26" s="44">
        <v>44893.16</v>
      </c>
      <c r="R26" s="45">
        <v>0</v>
      </c>
      <c r="S26" s="46">
        <v>0</v>
      </c>
      <c r="T26" s="39">
        <f t="shared" si="19"/>
        <v>25</v>
      </c>
      <c r="U26" s="47">
        <f t="shared" si="20"/>
        <v>5.8434572212009719E-2</v>
      </c>
      <c r="V26" s="48">
        <f t="shared" si="21"/>
        <v>0</v>
      </c>
      <c r="W26" s="49">
        <f t="shared" si="22"/>
        <v>2.3373828884803889E-3</v>
      </c>
      <c r="X26" s="44">
        <f t="shared" si="23"/>
        <v>621.29602914817985</v>
      </c>
      <c r="Y26" s="44">
        <f t="shared" si="24"/>
        <v>0</v>
      </c>
      <c r="Z26" s="44">
        <f t="shared" si="25"/>
        <v>16654.331823185992</v>
      </c>
      <c r="AA26" s="522">
        <f t="shared" si="16"/>
        <v>46929.162982622242</v>
      </c>
      <c r="AB26" s="51">
        <f t="shared" si="26"/>
        <v>15569.161281841629</v>
      </c>
      <c r="AC26" s="44">
        <f t="shared" si="27"/>
        <v>43871.331198113709</v>
      </c>
      <c r="AD26" s="44">
        <f t="shared" si="28"/>
        <v>0</v>
      </c>
      <c r="AE26" s="44">
        <f t="shared" si="29"/>
        <v>0</v>
      </c>
      <c r="AF26" s="52">
        <f>HLOOKUP(I26,ElecAvoidedCostsWOCC!$A$5:$Q$50,G26+1,FALSE)</f>
        <v>2.0508206305871441</v>
      </c>
      <c r="AG26" s="44">
        <f t="shared" si="30"/>
        <v>11062.987826051902</v>
      </c>
      <c r="AH26" s="52">
        <f>HLOOKUP(I26,ElecAvoidedCostsWOCC!$A$5:$Q$50,T26+1,FALSE)</f>
        <v>2.0508206305871441</v>
      </c>
      <c r="AI26" s="44">
        <f t="shared" si="31"/>
        <v>0</v>
      </c>
      <c r="AJ26" s="44">
        <f t="shared" si="32"/>
        <v>11062.987826051902</v>
      </c>
      <c r="AK26" s="44">
        <f>HLOOKUP(I26,ElecAvoidedCostsWOCC!$A$5:$Q$50,G26+1,FALSE)*J26*L26</f>
        <v>0</v>
      </c>
      <c r="AL26" s="44">
        <f t="shared" si="33"/>
        <v>11062.987826051902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11062.987826051902</v>
      </c>
      <c r="AN26" s="48">
        <f t="shared" si="34"/>
        <v>12169.286608657092</v>
      </c>
      <c r="AO26" s="47">
        <f t="shared" si="35"/>
        <v>0.71057057125836998</v>
      </c>
      <c r="AP26" s="47">
        <f t="shared" si="36"/>
        <v>0.27738585259022919</v>
      </c>
      <c r="AQ26">
        <v>2020</v>
      </c>
    </row>
    <row r="27" spans="1:43" ht="13.5" customHeight="1">
      <c r="B27" s="97" t="s">
        <v>74</v>
      </c>
      <c r="C27" s="100">
        <v>18230611</v>
      </c>
      <c r="D27" s="100" t="s">
        <v>75</v>
      </c>
      <c r="E27" s="38" t="s">
        <v>2480</v>
      </c>
      <c r="F27" s="39" t="s">
        <v>1504</v>
      </c>
      <c r="G27" s="39">
        <v>45</v>
      </c>
      <c r="H27" s="39"/>
      <c r="I27" s="40" t="s">
        <v>267</v>
      </c>
      <c r="J27" s="41">
        <v>23337</v>
      </c>
      <c r="K27" s="41">
        <v>1.56</v>
      </c>
      <c r="L27" s="41"/>
      <c r="M27" s="42">
        <v>2.2000000000000002</v>
      </c>
      <c r="N27" s="42">
        <v>2.2000000000000002</v>
      </c>
      <c r="O27" s="43">
        <v>36405.72</v>
      </c>
      <c r="P27" s="44">
        <v>66743.820000000007</v>
      </c>
      <c r="Q27" s="44">
        <v>66743.820000000007</v>
      </c>
      <c r="R27" s="45">
        <v>0</v>
      </c>
      <c r="S27" s="46"/>
      <c r="T27" s="39">
        <f t="shared" si="19"/>
        <v>45</v>
      </c>
      <c r="U27" s="47">
        <f t="shared" si="20"/>
        <v>0.70985107086329435</v>
      </c>
      <c r="V27" s="48">
        <f t="shared" si="21"/>
        <v>0</v>
      </c>
      <c r="W27" s="49">
        <f t="shared" si="22"/>
        <v>1.577446824140654E-2</v>
      </c>
      <c r="X27" s="44">
        <f t="shared" si="23"/>
        <v>4192.9863218437713</v>
      </c>
      <c r="Y27" s="44">
        <f t="shared" si="24"/>
        <v>0</v>
      </c>
      <c r="Z27" s="44">
        <f t="shared" si="25"/>
        <v>112396.3171466068</v>
      </c>
      <c r="AA27" s="522">
        <f t="shared" si="16"/>
        <v>73040.087673733928</v>
      </c>
      <c r="AB27" s="51">
        <f t="shared" si="26"/>
        <v>105072.74670151144</v>
      </c>
      <c r="AC27" s="44">
        <f t="shared" si="27"/>
        <v>68280.908360974034</v>
      </c>
      <c r="AD27" s="44">
        <f t="shared" si="28"/>
        <v>0</v>
      </c>
      <c r="AE27" s="44">
        <f t="shared" si="29"/>
        <v>0</v>
      </c>
      <c r="AF27" s="52">
        <f>HLOOKUP(I27,ElecAvoidedCostsWOCC!$A$5:$Q$50,G27+1,FALSE)</f>
        <v>3.1346149049506007</v>
      </c>
      <c r="AG27" s="44">
        <f t="shared" si="30"/>
        <v>114117.91253745818</v>
      </c>
      <c r="AH27" s="52">
        <f>HLOOKUP(I27,ElecAvoidedCostsWOCC!$A$5:$Q$50,T27+1,FALSE)</f>
        <v>3.1346149049506007</v>
      </c>
      <c r="AI27" s="44">
        <f t="shared" si="31"/>
        <v>0</v>
      </c>
      <c r="AJ27" s="44">
        <f t="shared" si="32"/>
        <v>114117.91253745818</v>
      </c>
      <c r="AK27" s="44">
        <f>HLOOKUP(I27,ElecAvoidedCostsWOCC!$A$5:$Q$50,G27+1,FALSE)*J27*L27</f>
        <v>0</v>
      </c>
      <c r="AL27" s="44">
        <f t="shared" si="33"/>
        <v>114117.91253745818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114117.91253745818</v>
      </c>
      <c r="AN27" s="48">
        <f t="shared" si="34"/>
        <v>125529.70379120401</v>
      </c>
      <c r="AO27" s="47">
        <f t="shared" si="35"/>
        <v>1.0860847947721597</v>
      </c>
      <c r="AP27" s="47">
        <f t="shared" si="36"/>
        <v>1.8384304896410917</v>
      </c>
      <c r="AQ27">
        <v>2020</v>
      </c>
    </row>
    <row r="28" spans="1:43" ht="13.5" customHeight="1">
      <c r="B28" s="97" t="s">
        <v>74</v>
      </c>
      <c r="C28" s="100">
        <v>18230611</v>
      </c>
      <c r="D28" s="100" t="s">
        <v>75</v>
      </c>
      <c r="E28" s="38" t="s">
        <v>2481</v>
      </c>
      <c r="F28" s="39" t="s">
        <v>1506</v>
      </c>
      <c r="G28" s="39">
        <v>25</v>
      </c>
      <c r="H28" s="39"/>
      <c r="I28" s="40" t="s">
        <v>269</v>
      </c>
      <c r="J28" s="41">
        <v>21372</v>
      </c>
      <c r="K28" s="41">
        <v>0.52</v>
      </c>
      <c r="L28" s="41"/>
      <c r="M28" s="42">
        <v>2.7</v>
      </c>
      <c r="N28" s="42">
        <v>2.7</v>
      </c>
      <c r="O28" s="43">
        <v>11113.44</v>
      </c>
      <c r="P28" s="44">
        <v>112767.2</v>
      </c>
      <c r="Q28" s="44">
        <v>112767.2</v>
      </c>
      <c r="R28" s="45">
        <v>0.04</v>
      </c>
      <c r="S28" s="46"/>
      <c r="T28" s="39">
        <f t="shared" si="19"/>
        <v>25</v>
      </c>
      <c r="U28" s="47">
        <f t="shared" si="20"/>
        <v>0.12038534489413827</v>
      </c>
      <c r="V28" s="48">
        <f t="shared" si="21"/>
        <v>0</v>
      </c>
      <c r="W28" s="49">
        <f t="shared" si="22"/>
        <v>4.8154137957655309E-3</v>
      </c>
      <c r="X28" s="44">
        <f t="shared" si="23"/>
        <v>1279.9774845445013</v>
      </c>
      <c r="Y28" s="44">
        <f t="shared" si="24"/>
        <v>0</v>
      </c>
      <c r="Z28" s="44">
        <f t="shared" si="25"/>
        <v>34310.809587883057</v>
      </c>
      <c r="AA28" s="522">
        <f t="shared" si="16"/>
        <v>117600.78213086033</v>
      </c>
      <c r="AB28" s="51">
        <f t="shared" si="26"/>
        <v>32075.170223317804</v>
      </c>
      <c r="AC28" s="44">
        <f t="shared" si="27"/>
        <v>109938.09678494935</v>
      </c>
      <c r="AD28" s="44">
        <f t="shared" si="28"/>
        <v>9989.3971337173534</v>
      </c>
      <c r="AE28" s="44">
        <f t="shared" si="29"/>
        <v>0</v>
      </c>
      <c r="AF28" s="52">
        <f>HLOOKUP(I28,ElecAvoidedCostsWOCC!$A$5:$Q$50,G28+1,FALSE)</f>
        <v>2.0508206305871441</v>
      </c>
      <c r="AG28" s="44">
        <f t="shared" si="30"/>
        <v>22791.672028792393</v>
      </c>
      <c r="AH28" s="52">
        <f>HLOOKUP(I28,ElecAvoidedCostsWOCC!$A$5:$Q$50,T28+1,FALSE)</f>
        <v>2.0508206305871441</v>
      </c>
      <c r="AI28" s="44">
        <f t="shared" si="31"/>
        <v>0</v>
      </c>
      <c r="AJ28" s="44">
        <f t="shared" si="32"/>
        <v>22791.672028792393</v>
      </c>
      <c r="AK28" s="44">
        <f>HLOOKUP(I28,ElecAvoidedCostsWOCC!$A$5:$Q$50,G28+1,FALSE)*J28*L28</f>
        <v>0</v>
      </c>
      <c r="AL28" s="44">
        <f t="shared" si="33"/>
        <v>22791.672028792393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22791.672028792393</v>
      </c>
      <c r="AN28" s="48">
        <f t="shared" si="34"/>
        <v>35060.236365388992</v>
      </c>
      <c r="AO28" s="47">
        <f t="shared" si="35"/>
        <v>0.71057057125837009</v>
      </c>
      <c r="AP28" s="47">
        <f t="shared" si="36"/>
        <v>0.31890888955418756</v>
      </c>
      <c r="AQ28">
        <v>2020</v>
      </c>
    </row>
    <row r="29" spans="1:43">
      <c r="B29" s="97" t="s">
        <v>74</v>
      </c>
      <c r="C29" s="100">
        <v>18230611</v>
      </c>
      <c r="D29" s="100" t="s">
        <v>75</v>
      </c>
      <c r="E29" s="38" t="s">
        <v>2482</v>
      </c>
      <c r="F29" s="39" t="s">
        <v>1510</v>
      </c>
      <c r="G29" s="39">
        <v>45</v>
      </c>
      <c r="H29" s="39"/>
      <c r="I29" s="40" t="s">
        <v>269</v>
      </c>
      <c r="J29" s="41">
        <v>16285</v>
      </c>
      <c r="K29" s="41">
        <v>0.68</v>
      </c>
      <c r="L29" s="41"/>
      <c r="M29" s="42">
        <v>2.2000000000000002</v>
      </c>
      <c r="N29" s="42">
        <v>2.2000000000000002</v>
      </c>
      <c r="O29" s="43">
        <v>11073.8</v>
      </c>
      <c r="P29" s="44">
        <v>53183.28</v>
      </c>
      <c r="Q29" s="44">
        <v>53183.28</v>
      </c>
      <c r="R29" s="45">
        <v>0.01</v>
      </c>
      <c r="S29" s="46">
        <v>0</v>
      </c>
      <c r="T29" s="39">
        <f t="shared" si="19"/>
        <v>45</v>
      </c>
      <c r="U29" s="47">
        <f t="shared" si="20"/>
        <v>0.21592070665065677</v>
      </c>
      <c r="V29" s="48">
        <f t="shared" si="21"/>
        <v>0</v>
      </c>
      <c r="W29" s="49">
        <f t="shared" si="22"/>
        <v>4.7982379255701504E-3</v>
      </c>
      <c r="X29" s="44">
        <f t="shared" si="23"/>
        <v>1275.4119937975008</v>
      </c>
      <c r="Y29" s="44">
        <f t="shared" si="24"/>
        <v>0</v>
      </c>
      <c r="Z29" s="44">
        <f t="shared" si="25"/>
        <v>34188.427994779238</v>
      </c>
      <c r="AA29" s="522">
        <f t="shared" si="16"/>
        <v>56134.64343104446</v>
      </c>
      <c r="AB29" s="51">
        <f t="shared" si="26"/>
        <v>31960.762825819609</v>
      </c>
      <c r="AC29" s="44">
        <f t="shared" si="27"/>
        <v>52476.996757076238</v>
      </c>
      <c r="AD29" s="44">
        <f t="shared" si="28"/>
        <v>2223.7830801766545</v>
      </c>
      <c r="AE29" s="44">
        <f t="shared" si="29"/>
        <v>0</v>
      </c>
      <c r="AF29" s="52">
        <f>HLOOKUP(I29,ElecAvoidedCostsWOCC!$A$5:$Q$50,G29+1,FALSE)</f>
        <v>3.4276422079642828</v>
      </c>
      <c r="AG29" s="44">
        <f t="shared" si="30"/>
        <v>37957.024282554878</v>
      </c>
      <c r="AH29" s="52">
        <f>HLOOKUP(I29,ElecAvoidedCostsWOCC!$A$5:$Q$50,T29+1,FALSE)</f>
        <v>3.4276422079642828</v>
      </c>
      <c r="AI29" s="44">
        <f t="shared" si="31"/>
        <v>0</v>
      </c>
      <c r="AJ29" s="44">
        <f t="shared" si="32"/>
        <v>37957.024282554878</v>
      </c>
      <c r="AK29" s="44">
        <f>HLOOKUP(I29,ElecAvoidedCostsWOCC!$A$5:$Q$50,G29+1,FALSE)*J29*L29</f>
        <v>0</v>
      </c>
      <c r="AL29" s="44">
        <f t="shared" si="33"/>
        <v>37957.024282554878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37957.024282554878</v>
      </c>
      <c r="AN29" s="48">
        <f t="shared" si="34"/>
        <v>43976.509790987024</v>
      </c>
      <c r="AO29" s="47">
        <f t="shared" si="35"/>
        <v>1.1876132146599194</v>
      </c>
      <c r="AP29" s="47">
        <f t="shared" si="36"/>
        <v>0.83801498768233207</v>
      </c>
      <c r="AQ29">
        <v>2020</v>
      </c>
    </row>
    <row r="30" spans="1:43">
      <c r="B30" s="97" t="s">
        <v>74</v>
      </c>
      <c r="C30" s="100">
        <v>18230611</v>
      </c>
      <c r="D30" s="100" t="s">
        <v>75</v>
      </c>
      <c r="E30" s="38" t="s">
        <v>2484</v>
      </c>
      <c r="F30" s="39" t="s">
        <v>1514</v>
      </c>
      <c r="G30" s="39">
        <v>25</v>
      </c>
      <c r="H30" s="39"/>
      <c r="I30" s="40" t="s">
        <v>269</v>
      </c>
      <c r="J30" s="41">
        <v>8480</v>
      </c>
      <c r="K30" s="41">
        <v>0.19</v>
      </c>
      <c r="L30" s="41"/>
      <c r="M30" s="42">
        <v>1.84</v>
      </c>
      <c r="N30" s="42">
        <v>1.84</v>
      </c>
      <c r="O30" s="43">
        <v>1611.2</v>
      </c>
      <c r="P30" s="44">
        <v>23101.98</v>
      </c>
      <c r="Q30" s="44">
        <v>23101.98</v>
      </c>
      <c r="R30" s="45">
        <v>0</v>
      </c>
      <c r="S30" s="46">
        <v>0</v>
      </c>
      <c r="T30" s="39">
        <f t="shared" si="19"/>
        <v>25</v>
      </c>
      <c r="U30" s="47">
        <f t="shared" si="20"/>
        <v>1.7453179905900923E-2</v>
      </c>
      <c r="V30" s="48">
        <f t="shared" si="21"/>
        <v>0</v>
      </c>
      <c r="W30" s="49">
        <f t="shared" si="22"/>
        <v>6.9812719623603696E-4</v>
      </c>
      <c r="X30" s="44">
        <f t="shared" si="23"/>
        <v>185.56808000925906</v>
      </c>
      <c r="Y30" s="44">
        <f t="shared" si="24"/>
        <v>0</v>
      </c>
      <c r="Z30" s="44">
        <f t="shared" si="25"/>
        <v>4974.2992635940964</v>
      </c>
      <c r="AA30" s="522">
        <f t="shared" si="16"/>
        <v>24015.55501347125</v>
      </c>
      <c r="AB30" s="51">
        <f t="shared" si="26"/>
        <v>4650.1816056783173</v>
      </c>
      <c r="AC30" s="44">
        <f t="shared" si="27"/>
        <v>22450.738537413527</v>
      </c>
      <c r="AD30" s="44">
        <f t="shared" si="28"/>
        <v>0</v>
      </c>
      <c r="AE30" s="44">
        <f t="shared" si="29"/>
        <v>0</v>
      </c>
      <c r="AF30" s="52">
        <f>HLOOKUP(I30,ElecAvoidedCostsWOCC!$A$5:$Q$50,G30+1,FALSE)</f>
        <v>2.0508206305871441</v>
      </c>
      <c r="AG30" s="44">
        <f t="shared" si="30"/>
        <v>3304.2822000020064</v>
      </c>
      <c r="AH30" s="52">
        <f>HLOOKUP(I30,ElecAvoidedCostsWOCC!$A$5:$Q$50,T30+1,FALSE)</f>
        <v>2.0508206305871441</v>
      </c>
      <c r="AI30" s="44">
        <f t="shared" si="31"/>
        <v>0</v>
      </c>
      <c r="AJ30" s="44">
        <f t="shared" si="32"/>
        <v>3304.2822000020064</v>
      </c>
      <c r="AK30" s="44">
        <f>HLOOKUP(I30,ElecAvoidedCostsWOCC!$A$5:$Q$50,G30+1,FALSE)*J30*L30</f>
        <v>0</v>
      </c>
      <c r="AL30" s="44">
        <f t="shared" si="33"/>
        <v>3304.2822000020064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3304.2822000020069</v>
      </c>
      <c r="AN30" s="48">
        <f t="shared" si="34"/>
        <v>3634.7104200022077</v>
      </c>
      <c r="AO30" s="47">
        <f t="shared" si="35"/>
        <v>0.7105705712583702</v>
      </c>
      <c r="AP30" s="47">
        <f t="shared" si="36"/>
        <v>0.16189714266838326</v>
      </c>
      <c r="AQ30">
        <v>2020</v>
      </c>
    </row>
    <row r="31" spans="1:43">
      <c r="B31" s="97" t="s">
        <v>74</v>
      </c>
      <c r="C31" s="100">
        <v>18230611</v>
      </c>
      <c r="D31" s="100" t="s">
        <v>75</v>
      </c>
      <c r="E31" s="38" t="s">
        <v>2485</v>
      </c>
      <c r="F31" s="39" t="s">
        <v>1516</v>
      </c>
      <c r="G31" s="39">
        <v>45</v>
      </c>
      <c r="H31" s="39"/>
      <c r="I31" s="40" t="s">
        <v>267</v>
      </c>
      <c r="J31" s="41">
        <v>16155</v>
      </c>
      <c r="K31" s="41">
        <v>2.2200000000000002</v>
      </c>
      <c r="L31" s="41"/>
      <c r="M31" s="42">
        <v>2.75</v>
      </c>
      <c r="N31" s="42">
        <v>2.75</v>
      </c>
      <c r="O31" s="43">
        <v>35864.1</v>
      </c>
      <c r="P31" s="44">
        <v>57754.11</v>
      </c>
      <c r="Q31" s="44">
        <v>57754.11</v>
      </c>
      <c r="R31" s="45">
        <v>0</v>
      </c>
      <c r="S31" s="46"/>
      <c r="T31" s="39">
        <f t="shared" si="19"/>
        <v>45</v>
      </c>
      <c r="U31" s="47">
        <f t="shared" si="20"/>
        <v>0.69929038048274472</v>
      </c>
      <c r="V31" s="48">
        <f t="shared" si="21"/>
        <v>0</v>
      </c>
      <c r="W31" s="49">
        <f t="shared" si="22"/>
        <v>1.5539786232949883E-2</v>
      </c>
      <c r="X31" s="44">
        <f t="shared" si="23"/>
        <v>4130.6058703203007</v>
      </c>
      <c r="Y31" s="44">
        <f t="shared" si="24"/>
        <v>0</v>
      </c>
      <c r="Z31" s="44">
        <f t="shared" si="25"/>
        <v>110724.15976878416</v>
      </c>
      <c r="AA31" s="522">
        <f t="shared" si="16"/>
        <v>63704.706733264808</v>
      </c>
      <c r="AB31" s="51">
        <f t="shared" si="26"/>
        <v>103509.54451601772</v>
      </c>
      <c r="AC31" s="44">
        <f t="shared" si="27"/>
        <v>59553.806425413481</v>
      </c>
      <c r="AD31" s="44">
        <f t="shared" si="28"/>
        <v>0</v>
      </c>
      <c r="AE31" s="44">
        <f t="shared" si="29"/>
        <v>0</v>
      </c>
      <c r="AF31" s="52">
        <f>HLOOKUP(I31,ElecAvoidedCostsWOCC!$A$5:$Q$50,G31+1,FALSE)</f>
        <v>3.1346149049506007</v>
      </c>
      <c r="AG31" s="44">
        <f t="shared" si="30"/>
        <v>112420.14241263884</v>
      </c>
      <c r="AH31" s="52">
        <f>HLOOKUP(I31,ElecAvoidedCostsWOCC!$A$5:$Q$50,T31+1,FALSE)</f>
        <v>3.1346149049506007</v>
      </c>
      <c r="AI31" s="44">
        <f t="shared" si="31"/>
        <v>0</v>
      </c>
      <c r="AJ31" s="44">
        <f t="shared" si="32"/>
        <v>112420.14241263884</v>
      </c>
      <c r="AK31" s="44">
        <f>HLOOKUP(I31,ElecAvoidedCostsWOCC!$A$5:$Q$50,G31+1,FALSE)*J31*L31</f>
        <v>0</v>
      </c>
      <c r="AL31" s="44">
        <f t="shared" si="33"/>
        <v>112420.14241263884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112420.14241263884</v>
      </c>
      <c r="AN31" s="48">
        <f t="shared" si="34"/>
        <v>123662.15665390274</v>
      </c>
      <c r="AO31" s="47">
        <f t="shared" si="35"/>
        <v>1.0860847947721599</v>
      </c>
      <c r="AP31" s="47">
        <f t="shared" si="36"/>
        <v>2.0764777950638638</v>
      </c>
      <c r="AQ31">
        <v>2020</v>
      </c>
    </row>
    <row r="32" spans="1:43">
      <c r="B32" s="97" t="s">
        <v>74</v>
      </c>
      <c r="C32" s="100">
        <v>18230611</v>
      </c>
      <c r="D32" s="100" t="s">
        <v>75</v>
      </c>
      <c r="E32" s="38" t="s">
        <v>2486</v>
      </c>
      <c r="F32" s="39" t="s">
        <v>2487</v>
      </c>
      <c r="G32" s="39">
        <v>25</v>
      </c>
      <c r="H32" s="39"/>
      <c r="I32" s="40" t="s">
        <v>269</v>
      </c>
      <c r="J32" s="41">
        <v>49</v>
      </c>
      <c r="K32" s="41">
        <v>4.58</v>
      </c>
      <c r="L32" s="41"/>
      <c r="M32" s="42">
        <v>2.75</v>
      </c>
      <c r="N32" s="42">
        <v>2.75</v>
      </c>
      <c r="O32" s="43">
        <v>224.42</v>
      </c>
      <c r="P32" s="44">
        <v>481</v>
      </c>
      <c r="Q32" s="44">
        <v>481</v>
      </c>
      <c r="R32" s="45">
        <v>0.03</v>
      </c>
      <c r="S32" s="46"/>
      <c r="T32" s="39">
        <f t="shared" si="19"/>
        <v>25</v>
      </c>
      <c r="U32" s="47">
        <f t="shared" si="20"/>
        <v>2.4310095794949638E-3</v>
      </c>
      <c r="V32" s="48">
        <f t="shared" si="21"/>
        <v>0</v>
      </c>
      <c r="W32" s="49">
        <f t="shared" si="22"/>
        <v>9.7240383179798544E-5</v>
      </c>
      <c r="X32" s="44">
        <f t="shared" si="23"/>
        <v>25.847311640813011</v>
      </c>
      <c r="Y32" s="44">
        <f t="shared" si="24"/>
        <v>0</v>
      </c>
      <c r="Z32" s="44">
        <f t="shared" si="25"/>
        <v>692.85764693134752</v>
      </c>
      <c r="AA32" s="522">
        <f t="shared" si="16"/>
        <v>522.00494466600037</v>
      </c>
      <c r="AB32" s="51">
        <f t="shared" si="26"/>
        <v>647.71211267771105</v>
      </c>
      <c r="AC32" s="44">
        <f t="shared" si="27"/>
        <v>487.99190863419682</v>
      </c>
      <c r="AD32" s="44">
        <f t="shared" si="28"/>
        <v>17.17716379674868</v>
      </c>
      <c r="AE32" s="44">
        <f t="shared" si="29"/>
        <v>0</v>
      </c>
      <c r="AF32" s="52">
        <f>HLOOKUP(I32,ElecAvoidedCostsWOCC!$A$5:$Q$50,G32+1,FALSE)</f>
        <v>2.0508206305871441</v>
      </c>
      <c r="AG32" s="44">
        <f t="shared" si="30"/>
        <v>460.24516591636689</v>
      </c>
      <c r="AH32" s="52">
        <f>HLOOKUP(I32,ElecAvoidedCostsWOCC!$A$5:$Q$50,T32+1,FALSE)</f>
        <v>2.0508206305871441</v>
      </c>
      <c r="AI32" s="44">
        <f t="shared" si="31"/>
        <v>0</v>
      </c>
      <c r="AJ32" s="44">
        <f t="shared" si="32"/>
        <v>460.24516591636689</v>
      </c>
      <c r="AK32" s="44">
        <f>HLOOKUP(I32,ElecAvoidedCostsWOCC!$A$5:$Q$50,G32+1,FALSE)*J32*L32</f>
        <v>0</v>
      </c>
      <c r="AL32" s="44">
        <f t="shared" si="33"/>
        <v>460.24516591636689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460.24516591636689</v>
      </c>
      <c r="AN32" s="48">
        <f t="shared" si="34"/>
        <v>523.44684630475228</v>
      </c>
      <c r="AO32" s="47">
        <f t="shared" si="35"/>
        <v>0.71057057125837009</v>
      </c>
      <c r="AP32" s="47">
        <f t="shared" si="36"/>
        <v>1.0726547654648364</v>
      </c>
      <c r="AQ32">
        <v>2020</v>
      </c>
    </row>
    <row r="33" spans="2:43">
      <c r="B33" s="97" t="s">
        <v>74</v>
      </c>
      <c r="C33" s="100">
        <v>18230611</v>
      </c>
      <c r="D33" s="100" t="s">
        <v>75</v>
      </c>
      <c r="E33" s="38" t="s">
        <v>2488</v>
      </c>
      <c r="F33" s="39" t="s">
        <v>2489</v>
      </c>
      <c r="G33" s="39"/>
      <c r="H33" s="39"/>
      <c r="I33" s="40" t="s">
        <v>269</v>
      </c>
      <c r="J33" s="41">
        <v>3372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22">
        <f t="shared" si="16"/>
        <v>0</v>
      </c>
      <c r="AB33" s="51">
        <f t="shared" si="26"/>
        <v>0</v>
      </c>
      <c r="AC33" s="44">
        <f t="shared" si="27"/>
        <v>0</v>
      </c>
      <c r="AD33" s="44">
        <f t="shared" si="28"/>
        <v>0</v>
      </c>
      <c r="AE33" s="44">
        <f t="shared" si="29"/>
        <v>0</v>
      </c>
      <c r="AF33" s="52" t="str">
        <f>HLOOKUP(I33,ElecAvoidedCostsWOCC!$A$5:$Q$50,G33+1,FALSE)</f>
        <v>SF Space Heat</v>
      </c>
      <c r="AG33" s="44" t="e">
        <f t="shared" si="30"/>
        <v>#VALUE!</v>
      </c>
      <c r="AH33" s="52" t="str">
        <f>HLOOKUP(I33,ElecAvoidedCostsWOCC!$A$5:$Q$50,T33+1,FALSE)</f>
        <v>SF Space Heat</v>
      </c>
      <c r="AI33" s="44" t="e">
        <f t="shared" si="31"/>
        <v>#VALUE!</v>
      </c>
      <c r="AJ33" s="44" t="e">
        <f t="shared" si="32"/>
        <v>#VALUE!</v>
      </c>
      <c r="AK33" s="44" t="e">
        <f>HLOOKUP(I33,ElecAvoidedCostsWOCC!$A$5:$Q$50,G33+1,FALSE)*J33*L33</f>
        <v>#VALUE!</v>
      </c>
      <c r="AL33" s="44" t="e">
        <f t="shared" si="33"/>
        <v>#VALUE!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4"/>
        <v>0</v>
      </c>
      <c r="AO33" s="47">
        <f t="shared" si="35"/>
        <v>0</v>
      </c>
      <c r="AP33" s="47" t="e">
        <f t="shared" si="36"/>
        <v>#DIV/0!</v>
      </c>
      <c r="AQ33">
        <v>2020</v>
      </c>
    </row>
    <row r="34" spans="2:43">
      <c r="B34" s="97" t="s">
        <v>74</v>
      </c>
      <c r="C34" s="100">
        <v>18230611</v>
      </c>
      <c r="D34" s="100" t="s">
        <v>75</v>
      </c>
      <c r="E34" s="38" t="s">
        <v>2490</v>
      </c>
      <c r="F34" s="39" t="s">
        <v>1518</v>
      </c>
      <c r="G34" s="39">
        <v>45</v>
      </c>
      <c r="H34" s="39"/>
      <c r="I34" s="40" t="s">
        <v>269</v>
      </c>
      <c r="J34" s="41">
        <v>27530</v>
      </c>
      <c r="K34" s="41">
        <v>1.35</v>
      </c>
      <c r="L34" s="41"/>
      <c r="M34" s="42">
        <v>2.75</v>
      </c>
      <c r="N34" s="42">
        <v>2.75</v>
      </c>
      <c r="O34" s="43">
        <v>37165.5</v>
      </c>
      <c r="P34" s="44">
        <v>38171.9</v>
      </c>
      <c r="Q34" s="44">
        <v>38171.9</v>
      </c>
      <c r="R34" s="45">
        <v>0.02</v>
      </c>
      <c r="S34" s="46">
        <v>0</v>
      </c>
      <c r="T34" s="39">
        <f t="shared" si="19"/>
        <v>45</v>
      </c>
      <c r="U34" s="47">
        <f t="shared" si="20"/>
        <v>0.72466551888466335</v>
      </c>
      <c r="V34" s="48">
        <f t="shared" si="21"/>
        <v>0</v>
      </c>
      <c r="W34" s="49">
        <f t="shared" si="22"/>
        <v>1.6103678197436962E-2</v>
      </c>
      <c r="X34" s="44">
        <f t="shared" si="23"/>
        <v>4280.4930968123872</v>
      </c>
      <c r="Y34" s="44">
        <f t="shared" si="24"/>
        <v>0</v>
      </c>
      <c r="Z34" s="44">
        <f t="shared" si="25"/>
        <v>114742.00551210676</v>
      </c>
      <c r="AA34" s="522">
        <f t="shared" si="16"/>
        <v>43655.294660376108</v>
      </c>
      <c r="AB34" s="51">
        <f t="shared" si="26"/>
        <v>107265.59363569856</v>
      </c>
      <c r="AC34" s="44">
        <f t="shared" si="27"/>
        <v>40810.783079719644</v>
      </c>
      <c r="AD34" s="44">
        <f t="shared" si="28"/>
        <v>7518.6672640175993</v>
      </c>
      <c r="AE34" s="44">
        <f t="shared" si="29"/>
        <v>0</v>
      </c>
      <c r="AF34" s="52">
        <f>HLOOKUP(I34,ElecAvoidedCostsWOCC!$A$5:$Q$50,G34+1,FALSE)</f>
        <v>3.4276422079642828</v>
      </c>
      <c r="AG34" s="44">
        <f t="shared" si="30"/>
        <v>127390.03648009656</v>
      </c>
      <c r="AH34" s="52">
        <f>HLOOKUP(I34,ElecAvoidedCostsWOCC!$A$5:$Q$50,T34+1,FALSE)</f>
        <v>3.4276422079642828</v>
      </c>
      <c r="AI34" s="44">
        <f t="shared" si="31"/>
        <v>0</v>
      </c>
      <c r="AJ34" s="44">
        <f t="shared" si="32"/>
        <v>127390.03648009656</v>
      </c>
      <c r="AK34" s="44">
        <f>HLOOKUP(I34,ElecAvoidedCostsWOCC!$A$5:$Q$50,G34+1,FALSE)*J34*L34</f>
        <v>0</v>
      </c>
      <c r="AL34" s="44">
        <f t="shared" si="33"/>
        <v>127390.03648009656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127390.03648009658</v>
      </c>
      <c r="AN34" s="48">
        <f t="shared" si="34"/>
        <v>147647.70739212385</v>
      </c>
      <c r="AO34" s="47">
        <f t="shared" si="35"/>
        <v>1.1876132146599196</v>
      </c>
      <c r="AP34" s="47">
        <f t="shared" si="36"/>
        <v>3.6178601891492579</v>
      </c>
      <c r="AQ34">
        <v>2020</v>
      </c>
    </row>
    <row r="35" spans="2:43">
      <c r="B35" s="97" t="s">
        <v>74</v>
      </c>
      <c r="C35" s="100">
        <v>18230611</v>
      </c>
      <c r="D35" s="100" t="s">
        <v>75</v>
      </c>
      <c r="E35" s="38" t="s">
        <v>1521</v>
      </c>
      <c r="F35" s="39" t="s">
        <v>1522</v>
      </c>
      <c r="G35" s="39">
        <v>25</v>
      </c>
      <c r="H35" s="39"/>
      <c r="I35" s="40" t="s">
        <v>269</v>
      </c>
      <c r="J35" s="41">
        <v>23628</v>
      </c>
      <c r="K35" s="41">
        <v>0.33</v>
      </c>
      <c r="L35" s="41"/>
      <c r="M35" s="42">
        <v>2.0299999999999998</v>
      </c>
      <c r="N35" s="42">
        <v>2.0299999999999998</v>
      </c>
      <c r="O35" s="43">
        <v>7797.24</v>
      </c>
      <c r="P35" s="44">
        <v>65004.41</v>
      </c>
      <c r="Q35" s="44">
        <v>65004.41</v>
      </c>
      <c r="R35" s="45">
        <v>0</v>
      </c>
      <c r="S35" s="46">
        <v>0</v>
      </c>
      <c r="T35" s="39">
        <f t="shared" si="19"/>
        <v>25</v>
      </c>
      <c r="U35" s="47">
        <f t="shared" si="20"/>
        <v>8.4462904971131417E-2</v>
      </c>
      <c r="V35" s="48">
        <f t="shared" si="21"/>
        <v>0</v>
      </c>
      <c r="W35" s="49">
        <f t="shared" si="22"/>
        <v>3.3785161988452565E-3</v>
      </c>
      <c r="X35" s="44">
        <f t="shared" si="23"/>
        <v>898.03801897430196</v>
      </c>
      <c r="Y35" s="44">
        <f t="shared" si="24"/>
        <v>0</v>
      </c>
      <c r="Z35" s="44">
        <f t="shared" si="25"/>
        <v>24072.619904460298</v>
      </c>
      <c r="AA35" s="522">
        <f t="shared" si="16"/>
        <v>67950.915777391812</v>
      </c>
      <c r="AB35" s="51">
        <f t="shared" si="26"/>
        <v>22504.08516823436</v>
      </c>
      <c r="AC35" s="44">
        <f t="shared" si="27"/>
        <v>63523.339045893059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2.0508206305871441</v>
      </c>
      <c r="AG35" s="44">
        <f t="shared" si="30"/>
        <v>15990.740653639303</v>
      </c>
      <c r="AH35" s="52">
        <f>HLOOKUP(I35,ElecAvoidedCostsWOCC!$A$5:$Q$50,T35+1,FALSE)</f>
        <v>2.0508206305871441</v>
      </c>
      <c r="AI35" s="44">
        <f t="shared" si="31"/>
        <v>0</v>
      </c>
      <c r="AJ35" s="44">
        <f t="shared" si="32"/>
        <v>15990.740653639303</v>
      </c>
      <c r="AK35" s="44">
        <f>HLOOKUP(I35,ElecAvoidedCostsWOCC!$A$5:$Q$50,G35+1,FALSE)*J35*L35</f>
        <v>0</v>
      </c>
      <c r="AL35" s="44">
        <f t="shared" si="33"/>
        <v>15990.740653639303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15990.740653639303</v>
      </c>
      <c r="AN35" s="48">
        <f t="shared" si="34"/>
        <v>17589.814719003236</v>
      </c>
      <c r="AO35" s="47">
        <f t="shared" si="35"/>
        <v>0.71057057125837009</v>
      </c>
      <c r="AP35" s="47">
        <f t="shared" si="36"/>
        <v>0.27690318209336101</v>
      </c>
      <c r="AQ35">
        <v>2020</v>
      </c>
    </row>
    <row r="36" spans="2:43">
      <c r="B36" s="97" t="s">
        <v>74</v>
      </c>
      <c r="C36" s="100">
        <v>18230611</v>
      </c>
      <c r="D36" s="100" t="s">
        <v>75</v>
      </c>
      <c r="E36" s="38" t="s">
        <v>2493</v>
      </c>
      <c r="F36" s="39" t="s">
        <v>1527</v>
      </c>
      <c r="G36" s="39">
        <v>45</v>
      </c>
      <c r="H36" s="39"/>
      <c r="I36" s="40" t="s">
        <v>269</v>
      </c>
      <c r="J36" s="41">
        <v>563</v>
      </c>
      <c r="K36" s="41">
        <v>1.78</v>
      </c>
      <c r="L36" s="41"/>
      <c r="M36" s="42">
        <v>2.4300000000000002</v>
      </c>
      <c r="N36" s="42">
        <v>2.4300000000000002</v>
      </c>
      <c r="O36" s="43">
        <v>1002.14</v>
      </c>
      <c r="P36" s="44">
        <v>2340</v>
      </c>
      <c r="Q36" s="44">
        <v>2340</v>
      </c>
      <c r="R36" s="45">
        <v>0.03</v>
      </c>
      <c r="S36" s="46">
        <v>0</v>
      </c>
      <c r="T36" s="39">
        <f t="shared" si="19"/>
        <v>45</v>
      </c>
      <c r="U36" s="47">
        <f t="shared" si="20"/>
        <v>1.9540065466496521E-2</v>
      </c>
      <c r="V36" s="48">
        <f t="shared" si="21"/>
        <v>0</v>
      </c>
      <c r="W36" s="49">
        <f t="shared" si="22"/>
        <v>4.3422367703325603E-4</v>
      </c>
      <c r="X36" s="44">
        <f t="shared" si="23"/>
        <v>115.42030517656336</v>
      </c>
      <c r="Y36" s="44">
        <f t="shared" si="24"/>
        <v>0</v>
      </c>
      <c r="Z36" s="44">
        <f t="shared" si="25"/>
        <v>3093.9326365554793</v>
      </c>
      <c r="AA36" s="522">
        <f t="shared" si="16"/>
        <v>2529.1601415153127</v>
      </c>
      <c r="AB36" s="51">
        <f t="shared" si="26"/>
        <v>2892.3367640978581</v>
      </c>
      <c r="AC36" s="44">
        <f t="shared" si="27"/>
        <v>2364.3639726234574</v>
      </c>
      <c r="AD36" s="44">
        <f t="shared" si="28"/>
        <v>230.63982943926123</v>
      </c>
      <c r="AE36" s="44">
        <f t="shared" si="29"/>
        <v>0</v>
      </c>
      <c r="AF36" s="52">
        <f>HLOOKUP(I36,ElecAvoidedCostsWOCC!$A$5:$Q$50,G36+1,FALSE)</f>
        <v>3.4276422079642828</v>
      </c>
      <c r="AG36" s="44">
        <f t="shared" si="30"/>
        <v>3434.9773622893263</v>
      </c>
      <c r="AH36" s="52">
        <f>HLOOKUP(I36,ElecAvoidedCostsWOCC!$A$5:$Q$50,T36+1,FALSE)</f>
        <v>3.4276422079642828</v>
      </c>
      <c r="AI36" s="44">
        <f t="shared" si="31"/>
        <v>0</v>
      </c>
      <c r="AJ36" s="44">
        <f t="shared" si="32"/>
        <v>3434.9773622893263</v>
      </c>
      <c r="AK36" s="44">
        <f>HLOOKUP(I36,ElecAvoidedCostsWOCC!$A$5:$Q$50,G36+1,FALSE)*J36*L36</f>
        <v>0</v>
      </c>
      <c r="AL36" s="44">
        <f t="shared" si="33"/>
        <v>3434.9773622893263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3434.9773622893263</v>
      </c>
      <c r="AN36" s="48">
        <f t="shared" si="34"/>
        <v>4009.1149279575202</v>
      </c>
      <c r="AO36" s="47">
        <f t="shared" si="35"/>
        <v>1.1876132146599194</v>
      </c>
      <c r="AP36" s="47">
        <f t="shared" si="36"/>
        <v>1.6956420307441396</v>
      </c>
      <c r="AQ36">
        <v>2020</v>
      </c>
    </row>
    <row r="37" spans="2:43">
      <c r="B37" s="97" t="s">
        <v>74</v>
      </c>
      <c r="C37" s="100">
        <v>18230611</v>
      </c>
      <c r="D37" s="100" t="s">
        <v>75</v>
      </c>
      <c r="E37" s="38" t="s">
        <v>2495</v>
      </c>
      <c r="F37" s="39" t="s">
        <v>1531</v>
      </c>
      <c r="G37" s="39">
        <v>45</v>
      </c>
      <c r="H37" s="39"/>
      <c r="I37" s="40" t="s">
        <v>269</v>
      </c>
      <c r="J37" s="41">
        <v>1992</v>
      </c>
      <c r="K37" s="41">
        <v>0.35</v>
      </c>
      <c r="L37" s="41"/>
      <c r="M37" s="42">
        <v>1.59</v>
      </c>
      <c r="N37" s="42">
        <v>1.59</v>
      </c>
      <c r="O37" s="43">
        <v>697.2</v>
      </c>
      <c r="P37" s="44">
        <v>4744.3900000000003</v>
      </c>
      <c r="Q37" s="44">
        <v>4744.3900000000003</v>
      </c>
      <c r="R37" s="45">
        <v>0.01</v>
      </c>
      <c r="S37" s="46">
        <v>0</v>
      </c>
      <c r="T37" s="39">
        <f t="shared" si="19"/>
        <v>45</v>
      </c>
      <c r="U37" s="47">
        <f t="shared" si="20"/>
        <v>1.3594241965435343E-2</v>
      </c>
      <c r="V37" s="48">
        <f t="shared" si="21"/>
        <v>0</v>
      </c>
      <c r="W37" s="49">
        <f t="shared" si="22"/>
        <v>3.0209426589856319E-4</v>
      </c>
      <c r="X37" s="44">
        <f t="shared" si="23"/>
        <v>80.299196488614342</v>
      </c>
      <c r="Y37" s="44">
        <f t="shared" si="24"/>
        <v>0</v>
      </c>
      <c r="Z37" s="44">
        <f t="shared" si="25"/>
        <v>2152.4835194748039</v>
      </c>
      <c r="AA37" s="522">
        <f t="shared" si="16"/>
        <v>4974.1979751754525</v>
      </c>
      <c r="AB37" s="51">
        <f t="shared" si="26"/>
        <v>2012.2310175514665</v>
      </c>
      <c r="AC37" s="44">
        <f t="shared" si="27"/>
        <v>4650.0869170566066</v>
      </c>
      <c r="AD37" s="44">
        <f t="shared" si="28"/>
        <v>272.01571358378237</v>
      </c>
      <c r="AE37" s="44">
        <f t="shared" si="29"/>
        <v>0</v>
      </c>
      <c r="AF37" s="52">
        <f>HLOOKUP(I37,ElecAvoidedCostsWOCC!$A$5:$Q$50,G37+1,FALSE)</f>
        <v>3.4276422079642828</v>
      </c>
      <c r="AG37" s="44">
        <f t="shared" si="30"/>
        <v>2389.7521473926977</v>
      </c>
      <c r="AH37" s="52">
        <f>HLOOKUP(I37,ElecAvoidedCostsWOCC!$A$5:$Q$50,T37+1,FALSE)</f>
        <v>3.4276422079642828</v>
      </c>
      <c r="AI37" s="44">
        <f t="shared" si="31"/>
        <v>0</v>
      </c>
      <c r="AJ37" s="44">
        <f t="shared" si="32"/>
        <v>2389.7521473926977</v>
      </c>
      <c r="AK37" s="44">
        <f>HLOOKUP(I37,ElecAvoidedCostsWOCC!$A$5:$Q$50,G37+1,FALSE)*J37*L37</f>
        <v>0</v>
      </c>
      <c r="AL37" s="44">
        <f t="shared" si="33"/>
        <v>2389.7521473926977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2389.7521473926977</v>
      </c>
      <c r="AN37" s="48">
        <f t="shared" si="34"/>
        <v>2900.7430757157499</v>
      </c>
      <c r="AO37" s="47">
        <f t="shared" si="35"/>
        <v>1.1876132146599194</v>
      </c>
      <c r="AP37" s="47">
        <f t="shared" si="36"/>
        <v>0.62380405516201631</v>
      </c>
      <c r="AQ37">
        <v>2020</v>
      </c>
    </row>
    <row r="38" spans="2:43">
      <c r="B38" s="97" t="s">
        <v>74</v>
      </c>
      <c r="C38" s="100">
        <v>18230611</v>
      </c>
      <c r="D38" s="100" t="s">
        <v>75</v>
      </c>
      <c r="E38" s="38" t="s">
        <v>2497</v>
      </c>
      <c r="F38" s="39" t="s">
        <v>2498</v>
      </c>
      <c r="G38" s="39">
        <v>1</v>
      </c>
      <c r="H38" s="39"/>
      <c r="I38" s="40" t="s">
        <v>248</v>
      </c>
      <c r="J38" s="41">
        <v>44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672.68</v>
      </c>
      <c r="Q38" s="44">
        <v>672.68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22">
        <f t="shared" si="16"/>
        <v>693.87799705485043</v>
      </c>
      <c r="AB38" s="51">
        <f t="shared" si="26"/>
        <v>0</v>
      </c>
      <c r="AC38" s="44">
        <f t="shared" si="27"/>
        <v>648.66597836295261</v>
      </c>
      <c r="AD38" s="44">
        <f t="shared" si="28"/>
        <v>0</v>
      </c>
      <c r="AE38" s="44">
        <f t="shared" si="29"/>
        <v>0</v>
      </c>
      <c r="AF38" s="52">
        <f>HLOOKUP(I38,ElecAvoidedCostsWOCC!$A$5:$Q$50,G38+1,FALSE)</f>
        <v>8.6279755452712409E-2</v>
      </c>
      <c r="AG38" s="44">
        <f t="shared" si="30"/>
        <v>0</v>
      </c>
      <c r="AH38" s="52">
        <f>HLOOKUP(I38,ElecAvoidedCostsWOCC!$A$5:$Q$50,T38+1,FALSE)</f>
        <v>8.6279755452712409E-2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>
        <f t="shared" si="36"/>
        <v>0</v>
      </c>
      <c r="AQ38">
        <v>2020</v>
      </c>
    </row>
    <row r="39" spans="2:43">
      <c r="B39" s="97" t="s">
        <v>74</v>
      </c>
      <c r="C39" s="100">
        <v>18230611</v>
      </c>
      <c r="D39" s="100" t="s">
        <v>75</v>
      </c>
      <c r="E39" s="38" t="s">
        <v>1536</v>
      </c>
      <c r="F39" s="39" t="s">
        <v>1537</v>
      </c>
      <c r="G39" s="39">
        <v>1</v>
      </c>
      <c r="H39" s="39"/>
      <c r="I39" s="40" t="s">
        <v>248</v>
      </c>
      <c r="J39" s="41">
        <v>262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4005.47</v>
      </c>
      <c r="Q39" s="44">
        <v>4005.47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22">
        <f t="shared" si="16"/>
        <v>4131.6933770340902</v>
      </c>
      <c r="AB39" s="51">
        <f t="shared" si="26"/>
        <v>0</v>
      </c>
      <c r="AC39" s="44">
        <f t="shared" si="27"/>
        <v>3862.4786174012243</v>
      </c>
      <c r="AD39" s="44">
        <f t="shared" si="28"/>
        <v>0</v>
      </c>
      <c r="AE39" s="44">
        <f t="shared" si="29"/>
        <v>0</v>
      </c>
      <c r="AF39" s="52">
        <f>HLOOKUP(I39,ElecAvoidedCostsWOCC!$A$5:$Q$50,G39+1,FALSE)</f>
        <v>8.6279755452712409E-2</v>
      </c>
      <c r="AG39" s="44">
        <f t="shared" si="30"/>
        <v>0</v>
      </c>
      <c r="AH39" s="52">
        <f>HLOOKUP(I39,ElecAvoidedCostsWOCC!$A$5:$Q$50,T39+1,FALSE)</f>
        <v>8.6279755452712409E-2</v>
      </c>
      <c r="AI39" s="44">
        <f t="shared" si="31"/>
        <v>0</v>
      </c>
      <c r="AJ39" s="44">
        <f t="shared" si="32"/>
        <v>0</v>
      </c>
      <c r="AK39" s="44">
        <f>HLOOKUP(I39,ElecAvoidedCostsWOCC!$A$5:$Q$50,G39+1,FALSE)*J39*L39</f>
        <v>0</v>
      </c>
      <c r="AL39" s="44">
        <f t="shared" si="3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4"/>
        <v>0</v>
      </c>
      <c r="AO39" s="47">
        <f t="shared" si="35"/>
        <v>0</v>
      </c>
      <c r="AP39" s="47">
        <f t="shared" si="36"/>
        <v>0</v>
      </c>
      <c r="AQ39">
        <v>2020</v>
      </c>
    </row>
    <row r="40" spans="2:43">
      <c r="B40" s="97" t="s">
        <v>74</v>
      </c>
      <c r="C40" s="100">
        <v>18230611</v>
      </c>
      <c r="D40" s="100" t="s">
        <v>75</v>
      </c>
      <c r="E40" s="38" t="s">
        <v>1538</v>
      </c>
      <c r="F40" s="39" t="s">
        <v>1539</v>
      </c>
      <c r="G40" s="39">
        <v>1</v>
      </c>
      <c r="H40" s="39"/>
      <c r="I40" s="40" t="s">
        <v>248</v>
      </c>
      <c r="J40" s="41">
        <v>353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5396.67</v>
      </c>
      <c r="Q40" s="44">
        <v>5396.67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22">
        <f t="shared" si="16"/>
        <v>5566.7339156300168</v>
      </c>
      <c r="AB40" s="51">
        <f t="shared" si="26"/>
        <v>0</v>
      </c>
      <c r="AC40" s="44">
        <f t="shared" si="27"/>
        <v>5204.0141307189087</v>
      </c>
      <c r="AD40" s="44">
        <f t="shared" si="28"/>
        <v>0</v>
      </c>
      <c r="AE40" s="44">
        <f t="shared" si="29"/>
        <v>0</v>
      </c>
      <c r="AF40" s="52">
        <f>HLOOKUP(I40,ElecAvoidedCostsWOCC!$A$5:$Q$50,G40+1,FALSE)</f>
        <v>8.6279755452712409E-2</v>
      </c>
      <c r="AG40" s="44">
        <f t="shared" si="30"/>
        <v>0</v>
      </c>
      <c r="AH40" s="52">
        <f>HLOOKUP(I40,ElecAvoidedCostsWOCC!$A$5:$Q$50,T40+1,FALSE)</f>
        <v>8.6279755452712409E-2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2020</v>
      </c>
    </row>
    <row r="41" spans="2:43">
      <c r="B41" s="97" t="s">
        <v>74</v>
      </c>
      <c r="C41" s="100">
        <v>18230611</v>
      </c>
      <c r="D41" s="100" t="s">
        <v>75</v>
      </c>
      <c r="E41" s="38" t="s">
        <v>2499</v>
      </c>
      <c r="F41" s="39" t="s">
        <v>2500</v>
      </c>
      <c r="G41" s="39">
        <v>1</v>
      </c>
      <c r="H41" s="39"/>
      <c r="I41" s="40" t="s">
        <v>269</v>
      </c>
      <c r="J41" s="41">
        <v>1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65</v>
      </c>
      <c r="Q41" s="44">
        <v>65</v>
      </c>
      <c r="R41" s="45"/>
      <c r="S41" s="46"/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22">
        <f t="shared" si="16"/>
        <v>67.048328787187486</v>
      </c>
      <c r="AB41" s="51">
        <f t="shared" si="26"/>
        <v>0</v>
      </c>
      <c r="AC41" s="44">
        <f t="shared" si="27"/>
        <v>62.6795632300528</v>
      </c>
      <c r="AD41" s="44">
        <f t="shared" si="28"/>
        <v>0</v>
      </c>
      <c r="AE41" s="44">
        <f t="shared" si="29"/>
        <v>0</v>
      </c>
      <c r="AF41" s="52">
        <f>HLOOKUP(I41,ElecAvoidedCostsWOCC!$A$5:$Q$50,G41+1,FALSE)</f>
        <v>0.11346597036450218</v>
      </c>
      <c r="AG41" s="44">
        <f t="shared" si="30"/>
        <v>0</v>
      </c>
      <c r="AH41" s="52">
        <f>HLOOKUP(I41,ElecAvoidedCostsWOCC!$A$5:$Q$50,T41+1,FALSE)</f>
        <v>0.11346597036450218</v>
      </c>
      <c r="AI41" s="44">
        <f t="shared" si="31"/>
        <v>0</v>
      </c>
      <c r="AJ41" s="44">
        <f t="shared" si="32"/>
        <v>0</v>
      </c>
      <c r="AK41" s="44">
        <f>HLOOKUP(I41,ElecAvoidedCostsWOCC!$A$5:$Q$50,G41+1,FALSE)*J41*L41</f>
        <v>0</v>
      </c>
      <c r="AL41" s="44">
        <f t="shared" si="3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2020</v>
      </c>
    </row>
    <row r="42" spans="2:43">
      <c r="B42" s="97" t="s">
        <v>74</v>
      </c>
      <c r="C42" s="100">
        <v>18230611</v>
      </c>
      <c r="D42" s="100" t="s">
        <v>75</v>
      </c>
      <c r="E42" s="38" t="s">
        <v>1540</v>
      </c>
      <c r="F42" s="39" t="s">
        <v>1541</v>
      </c>
      <c r="G42" s="39">
        <v>1</v>
      </c>
      <c r="H42" s="39"/>
      <c r="I42" s="40" t="s">
        <v>269</v>
      </c>
      <c r="J42" s="41">
        <v>2</v>
      </c>
      <c r="K42" s="41">
        <v>0</v>
      </c>
      <c r="L42" s="41"/>
      <c r="M42" s="42">
        <v>0</v>
      </c>
      <c r="N42" s="42">
        <v>0</v>
      </c>
      <c r="O42" s="43">
        <v>0</v>
      </c>
      <c r="P42" s="44">
        <v>188.08</v>
      </c>
      <c r="Q42" s="44">
        <v>188.08</v>
      </c>
      <c r="R42" s="45">
        <v>0</v>
      </c>
      <c r="S42" s="46">
        <v>0</v>
      </c>
      <c r="T42" s="39">
        <f t="shared" si="19"/>
        <v>1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22">
        <f t="shared" si="16"/>
        <v>194.00691812760343</v>
      </c>
      <c r="AB42" s="51">
        <f t="shared" si="26"/>
        <v>0</v>
      </c>
      <c r="AC42" s="44">
        <f t="shared" si="27"/>
        <v>181.3657269585897</v>
      </c>
      <c r="AD42" s="44">
        <f t="shared" si="28"/>
        <v>0</v>
      </c>
      <c r="AE42" s="44">
        <f t="shared" si="29"/>
        <v>0</v>
      </c>
      <c r="AF42" s="52">
        <f>HLOOKUP(I42,ElecAvoidedCostsWOCC!$A$5:$Q$50,G42+1,FALSE)</f>
        <v>0.11346597036450218</v>
      </c>
      <c r="AG42" s="44">
        <f t="shared" si="30"/>
        <v>0</v>
      </c>
      <c r="AH42" s="52">
        <f>HLOOKUP(I42,ElecAvoidedCostsWOCC!$A$5:$Q$50,T42+1,FALSE)</f>
        <v>0.11346597036450218</v>
      </c>
      <c r="AI42" s="44">
        <f t="shared" si="31"/>
        <v>0</v>
      </c>
      <c r="AJ42" s="44">
        <f t="shared" si="32"/>
        <v>0</v>
      </c>
      <c r="AK42" s="44">
        <f>HLOOKUP(I42,ElecAvoidedCostsWOCC!$A$5:$Q$50,G42+1,FALSE)*J42*L42</f>
        <v>0</v>
      </c>
      <c r="AL42" s="44">
        <f t="shared" si="3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4"/>
        <v>0</v>
      </c>
      <c r="AO42" s="47">
        <f t="shared" si="35"/>
        <v>0</v>
      </c>
      <c r="AP42" s="47">
        <f t="shared" si="36"/>
        <v>0</v>
      </c>
      <c r="AQ42">
        <v>2020</v>
      </c>
    </row>
    <row r="43" spans="2:43">
      <c r="B43" s="97" t="s">
        <v>74</v>
      </c>
      <c r="C43" s="100">
        <v>18230611</v>
      </c>
      <c r="D43" s="100" t="s">
        <v>75</v>
      </c>
      <c r="E43" s="38" t="s">
        <v>1542</v>
      </c>
      <c r="F43" s="39" t="s">
        <v>1543</v>
      </c>
      <c r="G43" s="39">
        <v>1</v>
      </c>
      <c r="H43" s="39"/>
      <c r="I43" s="40" t="s">
        <v>269</v>
      </c>
      <c r="J43" s="41">
        <v>16</v>
      </c>
      <c r="K43" s="41">
        <v>0</v>
      </c>
      <c r="L43" s="41"/>
      <c r="M43" s="42">
        <v>0</v>
      </c>
      <c r="N43" s="42">
        <v>0</v>
      </c>
      <c r="O43" s="43">
        <v>0</v>
      </c>
      <c r="P43" s="44">
        <v>1877.4</v>
      </c>
      <c r="Q43" s="44">
        <v>1877.4</v>
      </c>
      <c r="R43" s="45"/>
      <c r="S43" s="46"/>
      <c r="T43" s="39">
        <f t="shared" si="19"/>
        <v>1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22">
        <f t="shared" si="16"/>
        <v>1936.5620379240891</v>
      </c>
      <c r="AB43" s="51">
        <f t="shared" si="26"/>
        <v>0</v>
      </c>
      <c r="AC43" s="44">
        <f t="shared" si="27"/>
        <v>1810.378646278479</v>
      </c>
      <c r="AD43" s="44">
        <f t="shared" si="28"/>
        <v>0</v>
      </c>
      <c r="AE43" s="44">
        <f t="shared" si="29"/>
        <v>0</v>
      </c>
      <c r="AF43" s="52">
        <f>HLOOKUP(I43,ElecAvoidedCostsWOCC!$A$5:$Q$50,G43+1,FALSE)</f>
        <v>0.11346597036450218</v>
      </c>
      <c r="AG43" s="44">
        <f t="shared" si="30"/>
        <v>0</v>
      </c>
      <c r="AH43" s="52">
        <f>HLOOKUP(I43,ElecAvoidedCostsWOCC!$A$5:$Q$50,T43+1,FALSE)</f>
        <v>0.11346597036450218</v>
      </c>
      <c r="AI43" s="44">
        <f t="shared" si="31"/>
        <v>0</v>
      </c>
      <c r="AJ43" s="44">
        <f t="shared" si="32"/>
        <v>0</v>
      </c>
      <c r="AK43" s="44">
        <f>HLOOKUP(I43,ElecAvoidedCostsWOCC!$A$5:$Q$50,G43+1,FALSE)*J43*L43</f>
        <v>0</v>
      </c>
      <c r="AL43" s="44">
        <f t="shared" si="3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4"/>
        <v>0</v>
      </c>
      <c r="AO43" s="47">
        <f t="shared" si="35"/>
        <v>0</v>
      </c>
      <c r="AP43" s="47">
        <f t="shared" si="36"/>
        <v>0</v>
      </c>
      <c r="AQ43">
        <v>2020</v>
      </c>
    </row>
    <row r="44" spans="2:43">
      <c r="B44" s="97" t="s">
        <v>74</v>
      </c>
      <c r="C44" s="100">
        <v>18230611</v>
      </c>
      <c r="D44" s="100" t="s">
        <v>75</v>
      </c>
      <c r="E44" s="38" t="s">
        <v>1544</v>
      </c>
      <c r="F44" s="39" t="s">
        <v>1545</v>
      </c>
      <c r="G44" s="39">
        <v>1</v>
      </c>
      <c r="H44" s="39"/>
      <c r="I44" s="40" t="s">
        <v>269</v>
      </c>
      <c r="J44" s="41">
        <v>14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1490.52</v>
      </c>
      <c r="Q44" s="44">
        <v>1490.52</v>
      </c>
      <c r="R44" s="45"/>
      <c r="S44" s="46"/>
      <c r="T44" s="39">
        <f t="shared" si="19"/>
        <v>1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22">
        <f t="shared" si="16"/>
        <v>1537.4903849827492</v>
      </c>
      <c r="AB44" s="51">
        <f t="shared" si="26"/>
        <v>0</v>
      </c>
      <c r="AC44" s="44">
        <f t="shared" si="27"/>
        <v>1437.3098859332047</v>
      </c>
      <c r="AD44" s="44">
        <f t="shared" si="28"/>
        <v>0</v>
      </c>
      <c r="AE44" s="44">
        <f t="shared" si="29"/>
        <v>0</v>
      </c>
      <c r="AF44" s="52">
        <f>HLOOKUP(I44,ElecAvoidedCostsWOCC!$A$5:$Q$50,G44+1,FALSE)</f>
        <v>0.11346597036450218</v>
      </c>
      <c r="AG44" s="44">
        <f t="shared" si="30"/>
        <v>0</v>
      </c>
      <c r="AH44" s="52">
        <f>HLOOKUP(I44,ElecAvoidedCostsWOCC!$A$5:$Q$50,T44+1,FALSE)</f>
        <v>0.11346597036450218</v>
      </c>
      <c r="AI44" s="44">
        <f t="shared" si="31"/>
        <v>0</v>
      </c>
      <c r="AJ44" s="44">
        <f t="shared" si="32"/>
        <v>0</v>
      </c>
      <c r="AK44" s="44">
        <f>HLOOKUP(I44,ElecAvoidedCostsWOCC!$A$5:$Q$50,G44+1,FALSE)*J44*L44</f>
        <v>0</v>
      </c>
      <c r="AL44" s="44">
        <f t="shared" si="3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>
        <f t="shared" si="36"/>
        <v>0</v>
      </c>
      <c r="AQ44">
        <v>2020</v>
      </c>
    </row>
    <row r="45" spans="2:43">
      <c r="B45" s="97" t="s">
        <v>74</v>
      </c>
      <c r="C45" s="100">
        <v>18230611</v>
      </c>
      <c r="D45" s="100" t="s">
        <v>75</v>
      </c>
      <c r="E45" s="38" t="s">
        <v>2501</v>
      </c>
      <c r="F45" s="39" t="s">
        <v>1549</v>
      </c>
      <c r="G45" s="39">
        <v>10</v>
      </c>
      <c r="H45" s="39"/>
      <c r="I45" s="40" t="s">
        <v>263</v>
      </c>
      <c r="J45" s="41">
        <v>44</v>
      </c>
      <c r="K45" s="41">
        <v>131</v>
      </c>
      <c r="L45" s="41"/>
      <c r="M45" s="42">
        <v>730.01</v>
      </c>
      <c r="N45" s="42">
        <v>730.01</v>
      </c>
      <c r="O45" s="43">
        <v>5764</v>
      </c>
      <c r="P45" s="44">
        <v>53526.04</v>
      </c>
      <c r="Q45" s="44">
        <v>53526.04</v>
      </c>
      <c r="R45" s="45">
        <v>2.52</v>
      </c>
      <c r="S45" s="46">
        <v>0</v>
      </c>
      <c r="T45" s="39">
        <f t="shared" si="19"/>
        <v>10</v>
      </c>
      <c r="U45" s="47">
        <f t="shared" si="20"/>
        <v>2.4975205803776795E-2</v>
      </c>
      <c r="V45" s="48">
        <f t="shared" si="21"/>
        <v>0</v>
      </c>
      <c r="W45" s="49">
        <f t="shared" si="22"/>
        <v>2.4975205803776795E-3</v>
      </c>
      <c r="X45" s="44">
        <f t="shared" si="23"/>
        <v>663.86197441246861</v>
      </c>
      <c r="Y45" s="44">
        <f t="shared" si="24"/>
        <v>0</v>
      </c>
      <c r="Z45" s="44">
        <f t="shared" si="25"/>
        <v>17795.345677356243</v>
      </c>
      <c r="AA45" s="522">
        <f t="shared" si="16"/>
        <v>55876.654722045525</v>
      </c>
      <c r="AB45" s="51">
        <f t="shared" si="26"/>
        <v>16635.828435408283</v>
      </c>
      <c r="AC45" s="44">
        <f t="shared" si="27"/>
        <v>52235.818193928688</v>
      </c>
      <c r="AD45" s="44">
        <f t="shared" si="28"/>
        <v>779.85583426295739</v>
      </c>
      <c r="AE45" s="44">
        <f t="shared" si="29"/>
        <v>0</v>
      </c>
      <c r="AF45" s="52">
        <f>HLOOKUP(I45,ElecAvoidedCostsWOCC!$A$5:$Q$50,G45+1,FALSE)</f>
        <v>0.73512510012695687</v>
      </c>
      <c r="AG45" s="44">
        <f t="shared" si="30"/>
        <v>4237.2610771317795</v>
      </c>
      <c r="AH45" s="52">
        <f>HLOOKUP(I45,ElecAvoidedCostsWOCC!$A$5:$Q$50,T45+1,FALSE)</f>
        <v>0.73512510012695687</v>
      </c>
      <c r="AI45" s="44">
        <f t="shared" si="31"/>
        <v>0</v>
      </c>
      <c r="AJ45" s="44">
        <f t="shared" si="32"/>
        <v>4237.2610771317795</v>
      </c>
      <c r="AK45" s="44">
        <f>HLOOKUP(I45,ElecAvoidedCostsWOCC!$A$5:$Q$50,G45+1,FALSE)*J45*L45</f>
        <v>0</v>
      </c>
      <c r="AL45" s="44">
        <f t="shared" si="33"/>
        <v>4237.2610771317795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4237.2610771317795</v>
      </c>
      <c r="AN45" s="48">
        <f t="shared" si="34"/>
        <v>5440.8430191079151</v>
      </c>
      <c r="AO45" s="47">
        <f t="shared" si="35"/>
        <v>0.25470694733260435</v>
      </c>
      <c r="AP45" s="47">
        <f t="shared" si="36"/>
        <v>0.10415923799467351</v>
      </c>
      <c r="AQ45">
        <v>2020</v>
      </c>
    </row>
    <row r="46" spans="2:43">
      <c r="B46" s="97" t="s">
        <v>74</v>
      </c>
      <c r="C46" s="100">
        <v>18230611</v>
      </c>
      <c r="D46" s="100" t="s">
        <v>75</v>
      </c>
      <c r="E46" s="38" t="s">
        <v>2502</v>
      </c>
      <c r="F46" s="39" t="s">
        <v>1551</v>
      </c>
      <c r="G46" s="39">
        <v>10</v>
      </c>
      <c r="H46" s="39"/>
      <c r="I46" s="40" t="s">
        <v>263</v>
      </c>
      <c r="J46" s="41">
        <v>41</v>
      </c>
      <c r="K46" s="41">
        <v>131</v>
      </c>
      <c r="L46" s="41"/>
      <c r="M46" s="42">
        <v>708.1</v>
      </c>
      <c r="N46" s="42">
        <v>708.1</v>
      </c>
      <c r="O46" s="43">
        <v>5371</v>
      </c>
      <c r="P46" s="44">
        <v>45202.559999999998</v>
      </c>
      <c r="Q46" s="44">
        <v>45202.559999999998</v>
      </c>
      <c r="R46" s="45">
        <v>2.52</v>
      </c>
      <c r="S46" s="46">
        <v>0</v>
      </c>
      <c r="T46" s="39">
        <f t="shared" si="19"/>
        <v>10</v>
      </c>
      <c r="U46" s="47">
        <f t="shared" si="20"/>
        <v>2.3272350862610196E-2</v>
      </c>
      <c r="V46" s="48">
        <f t="shared" si="21"/>
        <v>0</v>
      </c>
      <c r="W46" s="49">
        <f t="shared" si="22"/>
        <v>2.3272350862610196E-3</v>
      </c>
      <c r="X46" s="44">
        <f t="shared" si="23"/>
        <v>618.59865797525481</v>
      </c>
      <c r="Y46" s="44">
        <f t="shared" si="24"/>
        <v>0</v>
      </c>
      <c r="Z46" s="44">
        <f t="shared" si="25"/>
        <v>16582.026653900131</v>
      </c>
      <c r="AA46" s="522">
        <f t="shared" si="16"/>
        <v>47245.615656476322</v>
      </c>
      <c r="AB46" s="51">
        <f t="shared" si="26"/>
        <v>15501.567405721351</v>
      </c>
      <c r="AC46" s="44">
        <f t="shared" si="27"/>
        <v>44167.16430445575</v>
      </c>
      <c r="AD46" s="44">
        <f t="shared" si="28"/>
        <v>726.6838455632103</v>
      </c>
      <c r="AE46" s="44">
        <f t="shared" si="29"/>
        <v>0</v>
      </c>
      <c r="AF46" s="52">
        <f>HLOOKUP(I46,ElecAvoidedCostsWOCC!$A$5:$Q$50,G46+1,FALSE)</f>
        <v>0.73512510012695687</v>
      </c>
      <c r="AG46" s="44">
        <f t="shared" si="30"/>
        <v>3948.3569127818855</v>
      </c>
      <c r="AH46" s="52">
        <f>HLOOKUP(I46,ElecAvoidedCostsWOCC!$A$5:$Q$50,T46+1,FALSE)</f>
        <v>0.73512510012695687</v>
      </c>
      <c r="AI46" s="44">
        <f t="shared" si="31"/>
        <v>0</v>
      </c>
      <c r="AJ46" s="44">
        <f t="shared" si="32"/>
        <v>3948.3569127818855</v>
      </c>
      <c r="AK46" s="44">
        <f>HLOOKUP(I46,ElecAvoidedCostsWOCC!$A$5:$Q$50,G46+1,FALSE)*J46*L46</f>
        <v>0</v>
      </c>
      <c r="AL46" s="44">
        <f t="shared" si="33"/>
        <v>3948.3569127818855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3948.3569127818851</v>
      </c>
      <c r="AN46" s="48">
        <f t="shared" si="34"/>
        <v>5069.8764496232843</v>
      </c>
      <c r="AO46" s="47">
        <f t="shared" si="35"/>
        <v>0.25470694733260441</v>
      </c>
      <c r="AP46" s="47">
        <f t="shared" si="36"/>
        <v>0.11478836211162001</v>
      </c>
      <c r="AQ46">
        <v>2020</v>
      </c>
    </row>
    <row r="47" spans="2:43">
      <c r="B47" s="97" t="s">
        <v>74</v>
      </c>
      <c r="C47" s="100">
        <v>18230611</v>
      </c>
      <c r="D47" s="100" t="s">
        <v>75</v>
      </c>
      <c r="E47" s="38" t="s">
        <v>1552</v>
      </c>
      <c r="F47" s="39" t="s">
        <v>1553</v>
      </c>
      <c r="G47" s="39">
        <v>1</v>
      </c>
      <c r="H47" s="39"/>
      <c r="I47" s="40" t="s">
        <v>269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1701.02</v>
      </c>
      <c r="Q47" s="44">
        <v>1701.02</v>
      </c>
      <c r="R47" s="45"/>
      <c r="S47" s="46"/>
      <c r="T47" s="39">
        <f t="shared" si="19"/>
        <v>1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22">
        <f t="shared" si="16"/>
        <v>1754.6238189781793</v>
      </c>
      <c r="AB47" s="51">
        <f t="shared" si="26"/>
        <v>0</v>
      </c>
      <c r="AC47" s="44">
        <f t="shared" si="27"/>
        <v>1640.2952407012986</v>
      </c>
      <c r="AD47" s="44">
        <f t="shared" si="28"/>
        <v>0</v>
      </c>
      <c r="AE47" s="44">
        <f t="shared" si="29"/>
        <v>0</v>
      </c>
      <c r="AF47" s="52">
        <f>HLOOKUP(I47,ElecAvoidedCostsWOCC!$A$5:$Q$50,G47+1,FALSE)</f>
        <v>0.11346597036450218</v>
      </c>
      <c r="AG47" s="44">
        <f t="shared" si="30"/>
        <v>0</v>
      </c>
      <c r="AH47" s="52">
        <f>HLOOKUP(I47,ElecAvoidedCostsWOCC!$A$5:$Q$50,T47+1,FALSE)</f>
        <v>0.11346597036450218</v>
      </c>
      <c r="AI47" s="44">
        <f t="shared" si="31"/>
        <v>0</v>
      </c>
      <c r="AJ47" s="44">
        <f t="shared" si="32"/>
        <v>0</v>
      </c>
      <c r="AK47" s="44">
        <f>HLOOKUP(I47,ElecAvoidedCostsWOCC!$A$5:$Q$50,G47+1,FALSE)*J47*L47</f>
        <v>0</v>
      </c>
      <c r="AL47" s="44">
        <f t="shared" si="3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>
        <f t="shared" si="36"/>
        <v>0</v>
      </c>
      <c r="AQ47">
        <v>2020</v>
      </c>
    </row>
    <row r="48" spans="2:43">
      <c r="B48" s="97" t="s">
        <v>74</v>
      </c>
      <c r="C48" s="100">
        <v>18230611</v>
      </c>
      <c r="D48" s="100" t="s">
        <v>75</v>
      </c>
      <c r="E48" s="38" t="s">
        <v>1554</v>
      </c>
      <c r="F48" s="39" t="s">
        <v>1555</v>
      </c>
      <c r="G48" s="39">
        <v>1</v>
      </c>
      <c r="H48" s="39"/>
      <c r="I48" s="40" t="s">
        <v>269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2260.96</v>
      </c>
      <c r="Q48" s="44">
        <v>2260.96</v>
      </c>
      <c r="R48" s="45"/>
      <c r="S48" s="46"/>
      <c r="T48" s="39">
        <f t="shared" si="19"/>
        <v>1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22">
        <f t="shared" si="16"/>
        <v>2332.2090685335297</v>
      </c>
      <c r="AB48" s="51">
        <f t="shared" si="26"/>
        <v>0</v>
      </c>
      <c r="AC48" s="44">
        <f t="shared" si="27"/>
        <v>2180.2459273941568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0.11346597036450218</v>
      </c>
      <c r="AG48" s="44">
        <f t="shared" si="30"/>
        <v>0</v>
      </c>
      <c r="AH48" s="52">
        <f>HLOOKUP(I48,ElecAvoidedCostsWOCC!$A$5:$Q$50,T48+1,FALSE)</f>
        <v>0.11346597036450218</v>
      </c>
      <c r="AI48" s="44">
        <f t="shared" si="31"/>
        <v>0</v>
      </c>
      <c r="AJ48" s="44">
        <f t="shared" si="32"/>
        <v>0</v>
      </c>
      <c r="AK48" s="44">
        <f>HLOOKUP(I48,ElecAvoidedCostsWOCC!$A$5:$Q$50,G48+1,FALSE)*J48*L48</f>
        <v>0</v>
      </c>
      <c r="AL48" s="44">
        <f t="shared" si="3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>
        <f t="shared" si="36"/>
        <v>0</v>
      </c>
      <c r="AQ48">
        <v>2020</v>
      </c>
    </row>
    <row r="49" spans="2:43">
      <c r="B49" s="97" t="s">
        <v>74</v>
      </c>
      <c r="C49" s="100">
        <v>18230611</v>
      </c>
      <c r="D49" s="100" t="s">
        <v>75</v>
      </c>
      <c r="E49" s="38" t="s">
        <v>1556</v>
      </c>
      <c r="F49" s="39" t="s">
        <v>1557</v>
      </c>
      <c r="G49" s="39">
        <v>1</v>
      </c>
      <c r="H49" s="39"/>
      <c r="I49" s="40" t="s">
        <v>269</v>
      </c>
      <c r="J49" s="41">
        <v>4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2519.29</v>
      </c>
      <c r="Q49" s="44">
        <v>2519.29</v>
      </c>
      <c r="R49" s="45"/>
      <c r="S49" s="46"/>
      <c r="T49" s="39">
        <f t="shared" si="19"/>
        <v>1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22">
        <f t="shared" si="16"/>
        <v>2598.6797573888239</v>
      </c>
      <c r="AB49" s="51">
        <f t="shared" si="26"/>
        <v>0</v>
      </c>
      <c r="AC49" s="44">
        <f t="shared" si="27"/>
        <v>2429.3537976898415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0.11346597036450218</v>
      </c>
      <c r="AG49" s="44">
        <f t="shared" si="30"/>
        <v>0</v>
      </c>
      <c r="AH49" s="52">
        <f>HLOOKUP(I49,ElecAvoidedCostsWOCC!$A$5:$Q$50,T49+1,FALSE)</f>
        <v>0.11346597036450218</v>
      </c>
      <c r="AI49" s="44">
        <f t="shared" si="31"/>
        <v>0</v>
      </c>
      <c r="AJ49" s="44">
        <f t="shared" si="32"/>
        <v>0</v>
      </c>
      <c r="AK49" s="44">
        <f>HLOOKUP(I49,ElecAvoidedCostsWOCC!$A$5:$Q$50,G49+1,FALSE)*J49*L49</f>
        <v>0</v>
      </c>
      <c r="AL49" s="44">
        <f t="shared" si="3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>
        <f t="shared" si="36"/>
        <v>0</v>
      </c>
      <c r="AQ49">
        <v>2020</v>
      </c>
    </row>
    <row r="50" spans="2:43">
      <c r="B50" s="97" t="s">
        <v>74</v>
      </c>
      <c r="C50" s="100">
        <v>18230611</v>
      </c>
      <c r="D50" s="100" t="s">
        <v>75</v>
      </c>
      <c r="E50" s="38" t="s">
        <v>1558</v>
      </c>
      <c r="F50" s="39" t="s">
        <v>1559</v>
      </c>
      <c r="G50" s="39">
        <v>1</v>
      </c>
      <c r="H50" s="39"/>
      <c r="I50" s="40" t="s">
        <v>269</v>
      </c>
      <c r="J50" s="41">
        <v>6</v>
      </c>
      <c r="K50" s="41">
        <v>0</v>
      </c>
      <c r="L50" s="41"/>
      <c r="M50" s="42">
        <v>0</v>
      </c>
      <c r="N50" s="42">
        <v>0</v>
      </c>
      <c r="O50" s="43">
        <v>0</v>
      </c>
      <c r="P50" s="44">
        <v>7494.17</v>
      </c>
      <c r="Q50" s="44">
        <v>7494.17</v>
      </c>
      <c r="R50" s="45"/>
      <c r="S50" s="46"/>
      <c r="T50" s="39">
        <f t="shared" si="19"/>
        <v>1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22">
        <f t="shared" si="16"/>
        <v>7730.3319099550281</v>
      </c>
      <c r="AB50" s="51">
        <f t="shared" si="26"/>
        <v>0</v>
      </c>
      <c r="AC50" s="44">
        <f t="shared" si="27"/>
        <v>7226.6354211040734</v>
      </c>
      <c r="AD50" s="44">
        <f t="shared" si="28"/>
        <v>0</v>
      </c>
      <c r="AE50" s="44">
        <f t="shared" si="29"/>
        <v>0</v>
      </c>
      <c r="AF50" s="52">
        <f>HLOOKUP(I50,ElecAvoidedCostsWOCC!$A$5:$Q$50,G50+1,FALSE)</f>
        <v>0.11346597036450218</v>
      </c>
      <c r="AG50" s="44">
        <f t="shared" si="30"/>
        <v>0</v>
      </c>
      <c r="AH50" s="52">
        <f>HLOOKUP(I50,ElecAvoidedCostsWOCC!$A$5:$Q$50,T50+1,FALSE)</f>
        <v>0.11346597036450218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74</v>
      </c>
      <c r="C51" s="100">
        <v>18230611</v>
      </c>
      <c r="D51" s="100" t="s">
        <v>75</v>
      </c>
      <c r="E51" s="38" t="s">
        <v>1560</v>
      </c>
      <c r="F51" s="39" t="s">
        <v>1561</v>
      </c>
      <c r="G51" s="39">
        <v>1</v>
      </c>
      <c r="H51" s="39"/>
      <c r="I51" s="40" t="s">
        <v>269</v>
      </c>
      <c r="J51" s="41">
        <v>4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1209</v>
      </c>
      <c r="Q51" s="44">
        <v>1209</v>
      </c>
      <c r="R51" s="45"/>
      <c r="S51" s="46"/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22">
        <f t="shared" si="16"/>
        <v>1247.0989154416873</v>
      </c>
      <c r="AB51" s="51">
        <f t="shared" si="26"/>
        <v>0</v>
      </c>
      <c r="AC51" s="44">
        <f t="shared" si="27"/>
        <v>1165.8398760789821</v>
      </c>
      <c r="AD51" s="44">
        <f t="shared" si="28"/>
        <v>0</v>
      </c>
      <c r="AE51" s="44">
        <f t="shared" si="29"/>
        <v>0</v>
      </c>
      <c r="AF51" s="52">
        <f>HLOOKUP(I51,ElecAvoidedCostsWOCC!$A$5:$Q$50,G51+1,FALSE)</f>
        <v>0.11346597036450218</v>
      </c>
      <c r="AG51" s="44">
        <f t="shared" si="30"/>
        <v>0</v>
      </c>
      <c r="AH51" s="52">
        <f>HLOOKUP(I51,ElecAvoidedCostsWOCC!$A$5:$Q$50,T51+1,FALSE)</f>
        <v>0.11346597036450218</v>
      </c>
      <c r="AI51" s="44">
        <f t="shared" si="31"/>
        <v>0</v>
      </c>
      <c r="AJ51" s="44">
        <f t="shared" si="32"/>
        <v>0</v>
      </c>
      <c r="AK51" s="44">
        <f>HLOOKUP(I51,ElecAvoidedCostsWOCC!$A$5:$Q$50,G51+1,FALSE)*J51*L51</f>
        <v>0</v>
      </c>
      <c r="AL51" s="44">
        <f t="shared" si="33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74</v>
      </c>
      <c r="C52" s="100">
        <v>18230611</v>
      </c>
      <c r="D52" s="100" t="s">
        <v>75</v>
      </c>
      <c r="E52" s="38" t="s">
        <v>2503</v>
      </c>
      <c r="F52" s="39" t="s">
        <v>2504</v>
      </c>
      <c r="G52" s="39">
        <v>1</v>
      </c>
      <c r="H52" s="39"/>
      <c r="I52" s="40" t="s">
        <v>269</v>
      </c>
      <c r="J52" s="41">
        <v>45</v>
      </c>
      <c r="K52" s="41">
        <v>0</v>
      </c>
      <c r="L52" s="41"/>
      <c r="M52" s="42">
        <v>0</v>
      </c>
      <c r="N52" s="42">
        <v>0</v>
      </c>
      <c r="O52" s="43">
        <v>0</v>
      </c>
      <c r="P52" s="44">
        <v>237435.72</v>
      </c>
      <c r="Q52" s="44">
        <v>237435.72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22">
        <f t="shared" si="16"/>
        <v>244917.97262127057</v>
      </c>
      <c r="AB52" s="51">
        <f t="shared" si="26"/>
        <v>0</v>
      </c>
      <c r="AC52" s="44">
        <f t="shared" si="27"/>
        <v>228959.49576635557</v>
      </c>
      <c r="AD52" s="44">
        <f t="shared" si="28"/>
        <v>0</v>
      </c>
      <c r="AE52" s="44">
        <f t="shared" si="29"/>
        <v>0</v>
      </c>
      <c r="AF52" s="52">
        <f>HLOOKUP(I52,ElecAvoidedCostsWOCC!$A$5:$Q$50,G52+1,FALSE)</f>
        <v>0.11346597036450218</v>
      </c>
      <c r="AG52" s="44">
        <f t="shared" si="30"/>
        <v>0</v>
      </c>
      <c r="AH52" s="52">
        <f>HLOOKUP(I52,ElecAvoidedCostsWOCC!$A$5:$Q$50,T52+1,FALSE)</f>
        <v>0.11346597036450218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74</v>
      </c>
      <c r="C53" s="100">
        <v>18230611</v>
      </c>
      <c r="D53" s="100" t="s">
        <v>75</v>
      </c>
      <c r="E53" s="38" t="s">
        <v>1564</v>
      </c>
      <c r="F53" s="39" t="s">
        <v>1565</v>
      </c>
      <c r="G53" s="39">
        <v>1</v>
      </c>
      <c r="H53" s="39"/>
      <c r="I53" s="40" t="s">
        <v>269</v>
      </c>
      <c r="J53" s="41">
        <v>6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1847.61</v>
      </c>
      <c r="Q53" s="44">
        <v>1847.61</v>
      </c>
      <c r="R53" s="45"/>
      <c r="S53" s="46"/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22">
        <f t="shared" si="16"/>
        <v>1905.8332730845455</v>
      </c>
      <c r="AB53" s="51">
        <f t="shared" si="26"/>
        <v>0</v>
      </c>
      <c r="AC53" s="44">
        <f t="shared" si="27"/>
        <v>1781.6521202996591</v>
      </c>
      <c r="AD53" s="44">
        <f t="shared" si="28"/>
        <v>0</v>
      </c>
      <c r="AE53" s="44">
        <f t="shared" si="29"/>
        <v>0</v>
      </c>
      <c r="AF53" s="52">
        <f>HLOOKUP(I53,ElecAvoidedCostsWOCC!$A$5:$Q$50,G53+1,FALSE)</f>
        <v>0.11346597036450218</v>
      </c>
      <c r="AG53" s="44">
        <f t="shared" si="30"/>
        <v>0</v>
      </c>
      <c r="AH53" s="52">
        <f>HLOOKUP(I53,ElecAvoidedCostsWOCC!$A$5:$Q$50,T53+1,FALSE)</f>
        <v>0.11346597036450218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74</v>
      </c>
      <c r="C54" s="100">
        <v>18230611</v>
      </c>
      <c r="D54" s="100" t="s">
        <v>75</v>
      </c>
      <c r="E54" s="38" t="s">
        <v>1566</v>
      </c>
      <c r="F54" s="39" t="s">
        <v>1567</v>
      </c>
      <c r="G54" s="39">
        <v>1</v>
      </c>
      <c r="H54" s="39"/>
      <c r="I54" s="40" t="s">
        <v>269</v>
      </c>
      <c r="J54" s="41">
        <v>2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9893.16</v>
      </c>
      <c r="Q54" s="44">
        <v>9893.16</v>
      </c>
      <c r="R54" s="45"/>
      <c r="S54" s="46"/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22">
        <f t="shared" si="16"/>
        <v>10204.920683450027</v>
      </c>
      <c r="AB54" s="51">
        <f t="shared" si="26"/>
        <v>0</v>
      </c>
      <c r="AC54" s="44">
        <f t="shared" si="27"/>
        <v>9539.98381176968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0.11346597036450218</v>
      </c>
      <c r="AG54" s="44">
        <f t="shared" si="30"/>
        <v>0</v>
      </c>
      <c r="AH54" s="52">
        <f>HLOOKUP(I54,ElecAvoidedCostsWOCC!$A$5:$Q$50,T54+1,FALSE)</f>
        <v>0.11346597036450218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>
        <f t="shared" si="36"/>
        <v>0</v>
      </c>
      <c r="AQ54">
        <v>2020</v>
      </c>
    </row>
    <row r="55" spans="2:43">
      <c r="B55" s="97" t="s">
        <v>74</v>
      </c>
      <c r="C55" s="100">
        <v>18230611</v>
      </c>
      <c r="D55" s="100" t="s">
        <v>75</v>
      </c>
      <c r="E55" s="38" t="s">
        <v>1568</v>
      </c>
      <c r="F55" s="39" t="s">
        <v>1569</v>
      </c>
      <c r="G55" s="39">
        <v>1</v>
      </c>
      <c r="H55" s="39"/>
      <c r="I55" s="40" t="s">
        <v>269</v>
      </c>
      <c r="J55" s="41">
        <v>6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3610.22</v>
      </c>
      <c r="Q55" s="44">
        <v>3610.22</v>
      </c>
      <c r="R55" s="45"/>
      <c r="S55" s="46"/>
      <c r="T55" s="39">
        <f t="shared" si="19"/>
        <v>1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22">
        <f t="shared" si="16"/>
        <v>3723.9879623704614</v>
      </c>
      <c r="AB55" s="51">
        <f t="shared" si="26"/>
        <v>0</v>
      </c>
      <c r="AC55" s="44">
        <f t="shared" si="27"/>
        <v>3481.3386579138646</v>
      </c>
      <c r="AD55" s="44">
        <f t="shared" si="28"/>
        <v>0</v>
      </c>
      <c r="AE55" s="44">
        <f t="shared" si="29"/>
        <v>0</v>
      </c>
      <c r="AF55" s="52">
        <f>HLOOKUP(I55,ElecAvoidedCostsWOCC!$A$5:$Q$50,G55+1,FALSE)</f>
        <v>0.11346597036450218</v>
      </c>
      <c r="AG55" s="44">
        <f t="shared" si="30"/>
        <v>0</v>
      </c>
      <c r="AH55" s="52">
        <f>HLOOKUP(I55,ElecAvoidedCostsWOCC!$A$5:$Q$50,T55+1,FALSE)</f>
        <v>0.11346597036450218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>
        <f t="shared" si="36"/>
        <v>0</v>
      </c>
      <c r="AQ55">
        <v>2020</v>
      </c>
    </row>
    <row r="56" spans="2:43">
      <c r="B56" s="97" t="s">
        <v>74</v>
      </c>
      <c r="C56" s="100">
        <v>18230611</v>
      </c>
      <c r="D56" s="100" t="s">
        <v>75</v>
      </c>
      <c r="E56" s="38" t="s">
        <v>1572</v>
      </c>
      <c r="F56" s="39" t="s">
        <v>1573</v>
      </c>
      <c r="G56" s="39">
        <v>1</v>
      </c>
      <c r="H56" s="39"/>
      <c r="I56" s="40" t="s">
        <v>269</v>
      </c>
      <c r="J56" s="41">
        <v>2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3561.76</v>
      </c>
      <c r="Q56" s="44">
        <v>3561.76</v>
      </c>
      <c r="R56" s="45"/>
      <c r="S56" s="46"/>
      <c r="T56" s="39">
        <f t="shared" si="19"/>
        <v>1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22">
        <f t="shared" si="16"/>
        <v>3674.0008544777374</v>
      </c>
      <c r="AB56" s="51">
        <f t="shared" si="26"/>
        <v>0</v>
      </c>
      <c r="AC56" s="44">
        <f t="shared" si="27"/>
        <v>3434.6086327734292</v>
      </c>
      <c r="AD56" s="44">
        <f t="shared" si="28"/>
        <v>0</v>
      </c>
      <c r="AE56" s="44">
        <f t="shared" si="29"/>
        <v>0</v>
      </c>
      <c r="AF56" s="52">
        <f>HLOOKUP(I56,ElecAvoidedCostsWOCC!$A$5:$Q$50,G56+1,FALSE)</f>
        <v>0.11346597036450218</v>
      </c>
      <c r="AG56" s="44">
        <f t="shared" si="30"/>
        <v>0</v>
      </c>
      <c r="AH56" s="52">
        <f>HLOOKUP(I56,ElecAvoidedCostsWOCC!$A$5:$Q$50,T56+1,FALSE)</f>
        <v>0.11346597036450218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>
        <f t="shared" si="36"/>
        <v>0</v>
      </c>
      <c r="AQ56">
        <v>2020</v>
      </c>
    </row>
    <row r="57" spans="2:43">
      <c r="B57" s="97" t="s">
        <v>74</v>
      </c>
      <c r="C57" s="100">
        <v>18230611</v>
      </c>
      <c r="D57" s="100" t="s">
        <v>75</v>
      </c>
      <c r="E57" s="38" t="s">
        <v>1576</v>
      </c>
      <c r="F57" s="39" t="s">
        <v>1577</v>
      </c>
      <c r="G57" s="39">
        <v>1</v>
      </c>
      <c r="H57" s="39"/>
      <c r="I57" s="40" t="s">
        <v>269</v>
      </c>
      <c r="J57" s="41">
        <v>5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10562.34</v>
      </c>
      <c r="Q57" s="44">
        <v>10562.34</v>
      </c>
      <c r="R57" s="45"/>
      <c r="S57" s="46"/>
      <c r="T57" s="39">
        <f t="shared" si="19"/>
        <v>1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22">
        <f t="shared" si="16"/>
        <v>10895.188385877875</v>
      </c>
      <c r="AB57" s="51">
        <f t="shared" si="26"/>
        <v>0</v>
      </c>
      <c r="AC57" s="44">
        <f t="shared" si="27"/>
        <v>10185.274736727937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0.11346597036450218</v>
      </c>
      <c r="AG57" s="44">
        <f t="shared" si="30"/>
        <v>0</v>
      </c>
      <c r="AH57" s="52">
        <f>HLOOKUP(I57,ElecAvoidedCostsWOCC!$A$5:$Q$50,T57+1,FALSE)</f>
        <v>0.11346597036450218</v>
      </c>
      <c r="AI57" s="44">
        <f t="shared" si="31"/>
        <v>0</v>
      </c>
      <c r="AJ57" s="44">
        <f t="shared" si="32"/>
        <v>0</v>
      </c>
      <c r="AK57" s="44">
        <f>HLOOKUP(I57,ElecAvoidedCostsWOCC!$A$5:$Q$50,G57+1,FALSE)*J57*L57</f>
        <v>0</v>
      </c>
      <c r="AL57" s="44">
        <f t="shared" si="33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>
        <f t="shared" si="36"/>
        <v>0</v>
      </c>
      <c r="AQ57">
        <v>2020</v>
      </c>
    </row>
    <row r="58" spans="2:43">
      <c r="B58" s="97" t="s">
        <v>74</v>
      </c>
      <c r="C58" s="100">
        <v>18230611</v>
      </c>
      <c r="D58" s="100" t="s">
        <v>75</v>
      </c>
      <c r="E58" s="38" t="s">
        <v>2505</v>
      </c>
      <c r="F58" s="39" t="s">
        <v>2506</v>
      </c>
      <c r="G58" s="39">
        <v>1</v>
      </c>
      <c r="H58" s="39"/>
      <c r="I58" s="40" t="s">
        <v>269</v>
      </c>
      <c r="J58" s="41">
        <v>1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4917.59</v>
      </c>
      <c r="Q58" s="44">
        <v>4917.59</v>
      </c>
      <c r="R58" s="45"/>
      <c r="S58" s="46"/>
      <c r="T58" s="39">
        <f t="shared" si="19"/>
        <v>1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22">
        <f t="shared" si="16"/>
        <v>5072.5567870859277</v>
      </c>
      <c r="AB58" s="51">
        <f t="shared" si="26"/>
        <v>0</v>
      </c>
      <c r="AC58" s="44">
        <f t="shared" si="27"/>
        <v>4742.0368206842359</v>
      </c>
      <c r="AD58" s="44">
        <f t="shared" si="28"/>
        <v>0</v>
      </c>
      <c r="AE58" s="44">
        <f t="shared" si="29"/>
        <v>0</v>
      </c>
      <c r="AF58" s="52">
        <f>HLOOKUP(I58,ElecAvoidedCostsWOCC!$A$5:$Q$50,G58+1,FALSE)</f>
        <v>0.11346597036450218</v>
      </c>
      <c r="AG58" s="44">
        <f t="shared" si="30"/>
        <v>0</v>
      </c>
      <c r="AH58" s="52">
        <f>HLOOKUP(I58,ElecAvoidedCostsWOCC!$A$5:$Q$50,T58+1,FALSE)</f>
        <v>0.11346597036450218</v>
      </c>
      <c r="AI58" s="44">
        <f t="shared" si="31"/>
        <v>0</v>
      </c>
      <c r="AJ58" s="44">
        <f t="shared" si="32"/>
        <v>0</v>
      </c>
      <c r="AK58" s="44">
        <f>HLOOKUP(I58,ElecAvoidedCostsWOCC!$A$5:$Q$50,G58+1,FALSE)*J58*L58</f>
        <v>0</v>
      </c>
      <c r="AL58" s="44">
        <f t="shared" si="33"/>
        <v>0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>
        <f t="shared" si="36"/>
        <v>0</v>
      </c>
      <c r="AQ58">
        <v>2020</v>
      </c>
    </row>
    <row r="59" spans="2:43">
      <c r="B59" s="97" t="s">
        <v>74</v>
      </c>
      <c r="C59" s="100">
        <v>18230611</v>
      </c>
      <c r="D59" s="100" t="s">
        <v>75</v>
      </c>
      <c r="E59" s="38" t="s">
        <v>1578</v>
      </c>
      <c r="F59" s="39" t="s">
        <v>1579</v>
      </c>
      <c r="G59" s="39">
        <v>30</v>
      </c>
      <c r="H59" s="39"/>
      <c r="I59" s="40" t="s">
        <v>267</v>
      </c>
      <c r="J59" s="41">
        <v>62</v>
      </c>
      <c r="K59" s="41">
        <v>0</v>
      </c>
      <c r="L59" s="41"/>
      <c r="M59" s="42">
        <v>0.95</v>
      </c>
      <c r="N59" s="42">
        <v>0.95</v>
      </c>
      <c r="O59" s="43">
        <v>0</v>
      </c>
      <c r="P59" s="44">
        <v>128846.32</v>
      </c>
      <c r="Q59" s="44">
        <v>128846.32</v>
      </c>
      <c r="R59" s="45">
        <v>0</v>
      </c>
      <c r="S59" s="46"/>
      <c r="T59" s="39">
        <f t="shared" si="19"/>
        <v>30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22">
        <f t="shared" si="16"/>
        <v>132906.62194429492</v>
      </c>
      <c r="AB59" s="51">
        <f t="shared" si="26"/>
        <v>0</v>
      </c>
      <c r="AC59" s="44">
        <f t="shared" si="27"/>
        <v>124246.63171384025</v>
      </c>
      <c r="AD59" s="44">
        <f t="shared" si="28"/>
        <v>0</v>
      </c>
      <c r="AE59" s="44">
        <f t="shared" si="29"/>
        <v>0</v>
      </c>
      <c r="AF59" s="52">
        <f>HLOOKUP(I59,ElecAvoidedCostsWOCC!$A$5:$Q$50,G59+1,FALSE)</f>
        <v>2.1643436258224993</v>
      </c>
      <c r="AG59" s="44">
        <f t="shared" si="30"/>
        <v>0</v>
      </c>
      <c r="AH59" s="52">
        <f>HLOOKUP(I59,ElecAvoidedCostsWOCC!$A$5:$Q$50,T59+1,FALSE)</f>
        <v>2.1643436258224993</v>
      </c>
      <c r="AI59" s="44">
        <f t="shared" si="31"/>
        <v>0</v>
      </c>
      <c r="AJ59" s="44">
        <f t="shared" si="32"/>
        <v>0</v>
      </c>
      <c r="AK59" s="44">
        <f>HLOOKUP(I59,ElecAvoidedCostsWOCC!$A$5:$Q$50,G59+1,FALSE)*J59*L59</f>
        <v>0</v>
      </c>
      <c r="AL59" s="44">
        <f t="shared" si="33"/>
        <v>0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>
        <f t="shared" si="36"/>
        <v>0</v>
      </c>
      <c r="AQ59">
        <v>2020</v>
      </c>
    </row>
    <row r="60" spans="2:43">
      <c r="B60" s="97" t="s">
        <v>74</v>
      </c>
      <c r="C60" s="100">
        <v>18230611</v>
      </c>
      <c r="D60" s="100" t="s">
        <v>75</v>
      </c>
      <c r="E60" s="38" t="s">
        <v>2507</v>
      </c>
      <c r="F60" s="39" t="s">
        <v>2508</v>
      </c>
      <c r="G60" s="39">
        <v>30</v>
      </c>
      <c r="H60" s="39"/>
      <c r="I60" s="40" t="s">
        <v>267</v>
      </c>
      <c r="J60" s="41">
        <v>8</v>
      </c>
      <c r="K60" s="41">
        <v>0</v>
      </c>
      <c r="L60" s="41"/>
      <c r="M60" s="42">
        <v>100</v>
      </c>
      <c r="N60" s="42">
        <v>100</v>
      </c>
      <c r="O60" s="43">
        <v>0</v>
      </c>
      <c r="P60" s="44">
        <v>1040</v>
      </c>
      <c r="Q60" s="44">
        <v>1040</v>
      </c>
      <c r="R60" s="45">
        <v>0</v>
      </c>
      <c r="S60" s="46">
        <v>0</v>
      </c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22">
        <f t="shared" si="16"/>
        <v>1072.7732605949998</v>
      </c>
      <c r="AB60" s="51">
        <f t="shared" si="26"/>
        <v>0</v>
      </c>
      <c r="AC60" s="44">
        <f t="shared" si="27"/>
        <v>1002.8730116808448</v>
      </c>
      <c r="AD60" s="44">
        <f t="shared" si="28"/>
        <v>0</v>
      </c>
      <c r="AE60" s="44">
        <f t="shared" si="29"/>
        <v>0</v>
      </c>
      <c r="AF60" s="52">
        <f>HLOOKUP(I60,ElecAvoidedCostsWOCC!$A$5:$Q$50,G60+1,FALSE)</f>
        <v>2.1643436258224993</v>
      </c>
      <c r="AG60" s="44">
        <f t="shared" si="30"/>
        <v>0</v>
      </c>
      <c r="AH60" s="52">
        <f>HLOOKUP(I60,ElecAvoidedCostsWOCC!$A$5:$Q$50,T60+1,FALSE)</f>
        <v>2.1643436258224993</v>
      </c>
      <c r="AI60" s="44">
        <f t="shared" si="31"/>
        <v>0</v>
      </c>
      <c r="AJ60" s="44">
        <f t="shared" si="32"/>
        <v>0</v>
      </c>
      <c r="AK60" s="44">
        <f>HLOOKUP(I60,ElecAvoidedCostsWOCC!$A$5:$Q$50,G60+1,FALSE)*J60*L60</f>
        <v>0</v>
      </c>
      <c r="AL60" s="44">
        <f t="shared" si="33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>
        <f t="shared" si="36"/>
        <v>0</v>
      </c>
      <c r="AQ60">
        <v>2020</v>
      </c>
    </row>
    <row r="61" spans="2:43">
      <c r="B61" s="97" t="s">
        <v>74</v>
      </c>
      <c r="C61" s="100">
        <v>18230611</v>
      </c>
      <c r="D61" s="100" t="s">
        <v>75</v>
      </c>
      <c r="E61" s="38" t="s">
        <v>1580</v>
      </c>
      <c r="F61" s="39" t="s">
        <v>1581</v>
      </c>
      <c r="G61" s="39">
        <v>30</v>
      </c>
      <c r="H61" s="39"/>
      <c r="I61" s="40" t="s">
        <v>267</v>
      </c>
      <c r="J61" s="41">
        <v>6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11313.84</v>
      </c>
      <c r="Q61" s="44">
        <v>11313.84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22">
        <f t="shared" si="16"/>
        <v>11670.370217932819</v>
      </c>
      <c r="AB61" s="51">
        <f t="shared" si="26"/>
        <v>0</v>
      </c>
      <c r="AC61" s="44">
        <f t="shared" si="27"/>
        <v>10909.946917764624</v>
      </c>
      <c r="AD61" s="44">
        <f t="shared" si="28"/>
        <v>0</v>
      </c>
      <c r="AE61" s="44">
        <f t="shared" si="29"/>
        <v>0</v>
      </c>
      <c r="AF61" s="52">
        <f>HLOOKUP(I61,ElecAvoidedCostsWOCC!$A$5:$Q$50,G61+1,FALSE)</f>
        <v>2.1643436258224993</v>
      </c>
      <c r="AG61" s="44">
        <f t="shared" si="30"/>
        <v>0</v>
      </c>
      <c r="AH61" s="52">
        <f>HLOOKUP(I61,ElecAvoidedCostsWOCC!$A$5:$Q$50,T61+1,FALSE)</f>
        <v>2.1643436258224993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74</v>
      </c>
      <c r="C62" s="100">
        <v>18230611</v>
      </c>
      <c r="D62" s="100" t="s">
        <v>75</v>
      </c>
      <c r="E62" s="38" t="s">
        <v>2509</v>
      </c>
      <c r="F62" s="39" t="s">
        <v>2510</v>
      </c>
      <c r="G62" s="39">
        <v>10</v>
      </c>
      <c r="H62" s="39"/>
      <c r="I62" s="40" t="s">
        <v>267</v>
      </c>
      <c r="J62" s="41">
        <v>90</v>
      </c>
      <c r="K62" s="41">
        <v>131</v>
      </c>
      <c r="L62" s="41"/>
      <c r="M62" s="42">
        <v>708.1</v>
      </c>
      <c r="N62" s="42">
        <v>708.1</v>
      </c>
      <c r="O62" s="43">
        <v>11790</v>
      </c>
      <c r="P62" s="44">
        <v>82847.7</v>
      </c>
      <c r="Q62" s="44">
        <v>82847.7</v>
      </c>
      <c r="R62" s="45">
        <v>0</v>
      </c>
      <c r="S62" s="46"/>
      <c r="T62" s="39">
        <f t="shared" si="19"/>
        <v>10</v>
      </c>
      <c r="U62" s="47">
        <f t="shared" si="20"/>
        <v>5.1085648234997991E-2</v>
      </c>
      <c r="V62" s="48">
        <f t="shared" si="21"/>
        <v>0</v>
      </c>
      <c r="W62" s="49">
        <f t="shared" si="22"/>
        <v>5.1085648234997991E-3</v>
      </c>
      <c r="X62" s="44">
        <f t="shared" si="23"/>
        <v>1357.8994931164129</v>
      </c>
      <c r="Y62" s="44">
        <f t="shared" si="24"/>
        <v>0</v>
      </c>
      <c r="Z62" s="44">
        <f t="shared" si="25"/>
        <v>36399.570703683217</v>
      </c>
      <c r="AA62" s="522">
        <f t="shared" si="16"/>
        <v>86816.35839868983</v>
      </c>
      <c r="AB62" s="51">
        <f t="shared" si="26"/>
        <v>34027.830890607846</v>
      </c>
      <c r="AC62" s="44">
        <f t="shared" si="27"/>
        <v>81159.538560988891</v>
      </c>
      <c r="AD62" s="44">
        <f t="shared" si="28"/>
        <v>0</v>
      </c>
      <c r="AE62" s="44">
        <f t="shared" si="29"/>
        <v>0</v>
      </c>
      <c r="AF62" s="52">
        <f>HLOOKUP(I62,ElecAvoidedCostsWOCC!$A$5:$Q$50,G62+1,FALSE)</f>
        <v>0.97914245877446338</v>
      </c>
      <c r="AG62" s="44">
        <f t="shared" si="30"/>
        <v>11544.089588950923</v>
      </c>
      <c r="AH62" s="52">
        <f>HLOOKUP(I62,ElecAvoidedCostsWOCC!$A$5:$Q$50,T62+1,FALSE)</f>
        <v>0.97914245877446338</v>
      </c>
      <c r="AI62" s="44">
        <f t="shared" si="31"/>
        <v>0</v>
      </c>
      <c r="AJ62" s="44">
        <f t="shared" si="32"/>
        <v>11544.089588950923</v>
      </c>
      <c r="AK62" s="44">
        <f>HLOOKUP(I62,ElecAvoidedCostsWOCC!$A$5:$Q$50,G62+1,FALSE)*J62*L62</f>
        <v>0</v>
      </c>
      <c r="AL62" s="44">
        <f t="shared" si="33"/>
        <v>11544.089588950923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11544.089588950923</v>
      </c>
      <c r="AN62" s="48">
        <f t="shared" si="34"/>
        <v>12698.498547846017</v>
      </c>
      <c r="AO62" s="47">
        <f t="shared" si="35"/>
        <v>0.33925434818524541</v>
      </c>
      <c r="AP62" s="47">
        <f t="shared" si="36"/>
        <v>0.15646341481233886</v>
      </c>
      <c r="AQ62">
        <v>2020</v>
      </c>
    </row>
    <row r="63" spans="2:43">
      <c r="B63" s="97" t="s">
        <v>74</v>
      </c>
      <c r="C63" s="100">
        <v>18230611</v>
      </c>
      <c r="D63" s="100" t="s">
        <v>75</v>
      </c>
      <c r="E63" s="38" t="s">
        <v>1582</v>
      </c>
      <c r="F63" s="39" t="s">
        <v>1583</v>
      </c>
      <c r="G63" s="39">
        <v>30</v>
      </c>
      <c r="H63" s="39"/>
      <c r="I63" s="40" t="s">
        <v>267</v>
      </c>
      <c r="J63" s="41">
        <v>38</v>
      </c>
      <c r="K63" s="41">
        <v>0</v>
      </c>
      <c r="L63" s="41"/>
      <c r="M63" s="42">
        <v>2.75</v>
      </c>
      <c r="N63" s="42">
        <v>2.75</v>
      </c>
      <c r="O63" s="43">
        <v>0</v>
      </c>
      <c r="P63" s="44">
        <v>123732.75</v>
      </c>
      <c r="Q63" s="44">
        <v>123732.75</v>
      </c>
      <c r="R63" s="45">
        <v>0</v>
      </c>
      <c r="S63" s="46"/>
      <c r="T63" s="39">
        <f t="shared" si="19"/>
        <v>30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22">
        <f t="shared" si="16"/>
        <v>127631.90928835189</v>
      </c>
      <c r="AB63" s="51">
        <f t="shared" si="26"/>
        <v>0</v>
      </c>
      <c r="AC63" s="44">
        <f t="shared" si="27"/>
        <v>119315.61118851256</v>
      </c>
      <c r="AD63" s="44">
        <f t="shared" si="28"/>
        <v>0</v>
      </c>
      <c r="AE63" s="44">
        <f t="shared" si="29"/>
        <v>0</v>
      </c>
      <c r="AF63" s="52">
        <f>HLOOKUP(I63,ElecAvoidedCostsWOCC!$A$5:$Q$50,G63+1,FALSE)</f>
        <v>2.1643436258224993</v>
      </c>
      <c r="AG63" s="44">
        <f t="shared" si="30"/>
        <v>0</v>
      </c>
      <c r="AH63" s="52">
        <f>HLOOKUP(I63,ElecAvoidedCostsWOCC!$A$5:$Q$50,T63+1,FALSE)</f>
        <v>2.1643436258224993</v>
      </c>
      <c r="AI63" s="44">
        <f t="shared" si="31"/>
        <v>0</v>
      </c>
      <c r="AJ63" s="44">
        <f t="shared" si="32"/>
        <v>0</v>
      </c>
      <c r="AK63" s="44">
        <f>HLOOKUP(I63,ElecAvoidedCostsWOCC!$A$5:$Q$50,G63+1,FALSE)*J63*L63</f>
        <v>0</v>
      </c>
      <c r="AL63" s="44">
        <f t="shared" si="33"/>
        <v>0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4"/>
        <v>0</v>
      </c>
      <c r="AO63" s="47">
        <f t="shared" si="35"/>
        <v>0</v>
      </c>
      <c r="AP63" s="47">
        <f t="shared" si="36"/>
        <v>0</v>
      </c>
      <c r="AQ63">
        <v>2020</v>
      </c>
    </row>
    <row r="64" spans="2:43">
      <c r="B64" s="97" t="s">
        <v>74</v>
      </c>
      <c r="C64" s="100">
        <v>18230611</v>
      </c>
      <c r="D64" s="100" t="s">
        <v>75</v>
      </c>
      <c r="E64" s="38" t="s">
        <v>2511</v>
      </c>
      <c r="F64" s="39" t="s">
        <v>2512</v>
      </c>
      <c r="G64" s="39">
        <v>25</v>
      </c>
      <c r="H64" s="39"/>
      <c r="I64" s="40" t="s">
        <v>269</v>
      </c>
      <c r="J64" s="41">
        <v>25196</v>
      </c>
      <c r="K64" s="41">
        <v>0.24</v>
      </c>
      <c r="L64" s="41"/>
      <c r="M64" s="42">
        <v>1.1499999999999999</v>
      </c>
      <c r="N64" s="42">
        <v>1.1499999999999999</v>
      </c>
      <c r="O64" s="43">
        <v>6047.04</v>
      </c>
      <c r="P64" s="44">
        <v>38837.089999999997</v>
      </c>
      <c r="Q64" s="44">
        <v>38837.089999999997</v>
      </c>
      <c r="R64" s="45">
        <v>0</v>
      </c>
      <c r="S64" s="46"/>
      <c r="T64" s="39">
        <f t="shared" si="19"/>
        <v>25</v>
      </c>
      <c r="U64" s="47">
        <f t="shared" si="20"/>
        <v>6.5504019996387247E-2</v>
      </c>
      <c r="V64" s="48">
        <f t="shared" si="21"/>
        <v>0</v>
      </c>
      <c r="W64" s="49">
        <f t="shared" si="22"/>
        <v>2.6201607998554899E-3</v>
      </c>
      <c r="X64" s="44">
        <f t="shared" si="23"/>
        <v>696.46077615391641</v>
      </c>
      <c r="Y64" s="44">
        <f t="shared" si="24"/>
        <v>0</v>
      </c>
      <c r="Z64" s="44">
        <f t="shared" si="25"/>
        <v>18669.182360305393</v>
      </c>
      <c r="AA64" s="522">
        <f t="shared" si="16"/>
        <v>40757.414306270701</v>
      </c>
      <c r="AB64" s="51">
        <f t="shared" si="26"/>
        <v>17452.72726961334</v>
      </c>
      <c r="AC64" s="44">
        <f t="shared" si="27"/>
        <v>38101.724134122371</v>
      </c>
      <c r="AD64" s="44">
        <f t="shared" si="28"/>
        <v>0</v>
      </c>
      <c r="AE64" s="44">
        <f t="shared" si="29"/>
        <v>0</v>
      </c>
      <c r="AF64" s="52">
        <f>HLOOKUP(I64,ElecAvoidedCostsWOCC!$A$5:$Q$50,G64+1,FALSE)</f>
        <v>2.0508206305871441</v>
      </c>
      <c r="AG64" s="44">
        <f t="shared" si="30"/>
        <v>12401.394385985683</v>
      </c>
      <c r="AH64" s="52">
        <f>HLOOKUP(I64,ElecAvoidedCostsWOCC!$A$5:$Q$50,T64+1,FALSE)</f>
        <v>2.0508206305871441</v>
      </c>
      <c r="AI64" s="44">
        <f t="shared" si="31"/>
        <v>0</v>
      </c>
      <c r="AJ64" s="44">
        <f t="shared" si="32"/>
        <v>12401.394385985683</v>
      </c>
      <c r="AK64" s="44">
        <f>HLOOKUP(I64,ElecAvoidedCostsWOCC!$A$5:$Q$50,G64+1,FALSE)*J64*L64</f>
        <v>0</v>
      </c>
      <c r="AL64" s="44">
        <f t="shared" si="33"/>
        <v>12401.394385985683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12401.394385985683</v>
      </c>
      <c r="AN64" s="48">
        <f t="shared" si="34"/>
        <v>13641.533824584252</v>
      </c>
      <c r="AO64" s="47">
        <f t="shared" si="35"/>
        <v>0.71057057125836998</v>
      </c>
      <c r="AP64" s="47">
        <f t="shared" si="36"/>
        <v>0.3580293053554352</v>
      </c>
      <c r="AQ64">
        <v>2020</v>
      </c>
    </row>
    <row r="65" spans="2:43">
      <c r="B65" s="97" t="s">
        <v>74</v>
      </c>
      <c r="C65" s="100">
        <v>18230611</v>
      </c>
      <c r="D65" s="100" t="s">
        <v>75</v>
      </c>
      <c r="E65" s="38" t="s">
        <v>2515</v>
      </c>
      <c r="F65" s="39" t="s">
        <v>2516</v>
      </c>
      <c r="G65" s="39">
        <v>15</v>
      </c>
      <c r="H65" s="39"/>
      <c r="I65" s="40" t="s">
        <v>269</v>
      </c>
      <c r="J65" s="41">
        <v>21905</v>
      </c>
      <c r="K65" s="41">
        <v>0.36</v>
      </c>
      <c r="L65" s="41"/>
      <c r="M65" s="42">
        <v>1.32</v>
      </c>
      <c r="N65" s="42">
        <v>1.32</v>
      </c>
      <c r="O65" s="43">
        <v>7885.8</v>
      </c>
      <c r="P65" s="44">
        <v>34946.629999999997</v>
      </c>
      <c r="Q65" s="44">
        <v>34946.629999999997</v>
      </c>
      <c r="R65" s="45">
        <v>0.01</v>
      </c>
      <c r="S65" s="46">
        <v>0</v>
      </c>
      <c r="T65" s="39">
        <f t="shared" si="19"/>
        <v>15</v>
      </c>
      <c r="U65" s="47">
        <f t="shared" si="20"/>
        <v>5.1253333950578517E-2</v>
      </c>
      <c r="V65" s="48">
        <f t="shared" si="21"/>
        <v>0</v>
      </c>
      <c r="W65" s="49">
        <f t="shared" si="22"/>
        <v>3.4168889300385677E-3</v>
      </c>
      <c r="X65" s="44">
        <f t="shared" si="23"/>
        <v>908.23781364015349</v>
      </c>
      <c r="Y65" s="44">
        <f t="shared" si="24"/>
        <v>0</v>
      </c>
      <c r="Z65" s="44">
        <f t="shared" si="25"/>
        <v>24346.033473715444</v>
      </c>
      <c r="AA65" s="522">
        <f t="shared" si="16"/>
        <v>36956.132248166148</v>
      </c>
      <c r="AB65" s="51">
        <f t="shared" si="26"/>
        <v>22759.683531565337</v>
      </c>
      <c r="AC65" s="44">
        <f t="shared" si="27"/>
        <v>34548.127744382669</v>
      </c>
      <c r="AD65" s="44">
        <f t="shared" si="28"/>
        <v>1998.8744635844143</v>
      </c>
      <c r="AE65" s="44">
        <f t="shared" si="29"/>
        <v>0</v>
      </c>
      <c r="AF65" s="52">
        <f>HLOOKUP(I65,ElecAvoidedCostsWOCC!$A$5:$Q$50,G65+1,FALSE)</f>
        <v>1.3893373920773078</v>
      </c>
      <c r="AG65" s="44">
        <f t="shared" si="30"/>
        <v>10956.036806443233</v>
      </c>
      <c r="AH65" s="52">
        <f>HLOOKUP(I65,ElecAvoidedCostsWOCC!$A$5:$Q$50,T65+1,FALSE)</f>
        <v>1.3893373920773078</v>
      </c>
      <c r="AI65" s="44">
        <f t="shared" si="31"/>
        <v>0</v>
      </c>
      <c r="AJ65" s="44">
        <f t="shared" si="32"/>
        <v>10956.036806443233</v>
      </c>
      <c r="AK65" s="44">
        <f>HLOOKUP(I65,ElecAvoidedCostsWOCC!$A$5:$Q$50,G65+1,FALSE)*J65*L65</f>
        <v>0</v>
      </c>
      <c r="AL65" s="44">
        <f t="shared" si="33"/>
        <v>10956.036806443233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10956.036806443233</v>
      </c>
      <c r="AN65" s="48">
        <f t="shared" si="34"/>
        <v>14050.514950671972</v>
      </c>
      <c r="AO65" s="47">
        <f t="shared" si="35"/>
        <v>0.48137913654415881</v>
      </c>
      <c r="AP65" s="47">
        <f t="shared" si="36"/>
        <v>0.40669396196025431</v>
      </c>
      <c r="AQ65">
        <v>2020</v>
      </c>
    </row>
    <row r="66" spans="2:43">
      <c r="B66" s="97" t="s">
        <v>74</v>
      </c>
      <c r="C66" s="100">
        <v>18230611</v>
      </c>
      <c r="D66" s="100" t="s">
        <v>75</v>
      </c>
      <c r="E66" s="38" t="s">
        <v>2519</v>
      </c>
      <c r="F66" s="39" t="s">
        <v>2520</v>
      </c>
      <c r="G66" s="39">
        <v>15</v>
      </c>
      <c r="H66" s="39"/>
      <c r="I66" s="40" t="s">
        <v>265</v>
      </c>
      <c r="J66" s="41">
        <v>1</v>
      </c>
      <c r="K66" s="41">
        <v>20.68</v>
      </c>
      <c r="L66" s="41"/>
      <c r="M66" s="42">
        <v>20</v>
      </c>
      <c r="N66" s="42">
        <v>20</v>
      </c>
      <c r="O66" s="43">
        <v>20.68</v>
      </c>
      <c r="P66" s="44">
        <v>26</v>
      </c>
      <c r="Q66" s="44">
        <v>26</v>
      </c>
      <c r="R66" s="45">
        <v>0</v>
      </c>
      <c r="S66" s="46">
        <v>0</v>
      </c>
      <c r="T66" s="39">
        <f t="shared" si="19"/>
        <v>15</v>
      </c>
      <c r="U66" s="47">
        <f t="shared" si="20"/>
        <v>1.3440855031803542E-4</v>
      </c>
      <c r="V66" s="48">
        <f t="shared" si="21"/>
        <v>0</v>
      </c>
      <c r="W66" s="49">
        <f t="shared" si="22"/>
        <v>8.9605700212023611E-6</v>
      </c>
      <c r="X66" s="44">
        <f t="shared" si="23"/>
        <v>2.3817948700294673</v>
      </c>
      <c r="Y66" s="44">
        <f t="shared" si="24"/>
        <v>0</v>
      </c>
      <c r="Z66" s="44">
        <f t="shared" si="25"/>
        <v>63.845896705018568</v>
      </c>
      <c r="AA66" s="522">
        <f t="shared" si="16"/>
        <v>29.201126384904459</v>
      </c>
      <c r="AB66" s="51">
        <f t="shared" si="26"/>
        <v>59.685796676655663</v>
      </c>
      <c r="AC66" s="44">
        <f t="shared" si="27"/>
        <v>27.298426086663977</v>
      </c>
      <c r="AD66" s="44">
        <f t="shared" si="28"/>
        <v>0</v>
      </c>
      <c r="AE66" s="44">
        <f t="shared" si="29"/>
        <v>0</v>
      </c>
      <c r="AF66" s="52">
        <f>HLOOKUP(I66,ElecAvoidedCostsWOCC!$A$5:$Q$50,G66+1,FALSE)</f>
        <v>1.0786528141421943</v>
      </c>
      <c r="AG66" s="44">
        <f t="shared" si="30"/>
        <v>22.306540196460578</v>
      </c>
      <c r="AH66" s="52">
        <f>HLOOKUP(I66,ElecAvoidedCostsWOCC!$A$5:$Q$50,T66+1,FALSE)</f>
        <v>1.0786528141421943</v>
      </c>
      <c r="AI66" s="44">
        <f t="shared" si="31"/>
        <v>0</v>
      </c>
      <c r="AJ66" s="44">
        <f t="shared" si="32"/>
        <v>22.306540196460578</v>
      </c>
      <c r="AK66" s="44">
        <f>HLOOKUP(I66,ElecAvoidedCostsWOCC!$A$5:$Q$50,G66+1,FALSE)*J66*L66</f>
        <v>0</v>
      </c>
      <c r="AL66" s="44">
        <f t="shared" si="33"/>
        <v>22.306540196460578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22.306540196460578</v>
      </c>
      <c r="AN66" s="48">
        <f t="shared" si="34"/>
        <v>24.537194216106638</v>
      </c>
      <c r="AO66" s="47">
        <f t="shared" si="35"/>
        <v>0.37373280476266346</v>
      </c>
      <c r="AP66" s="47">
        <f t="shared" si="36"/>
        <v>0.89885014389506235</v>
      </c>
      <c r="AQ66">
        <v>2020</v>
      </c>
    </row>
    <row r="67" spans="2:43">
      <c r="B67" s="97" t="s">
        <v>74</v>
      </c>
      <c r="C67" s="100">
        <v>18230611</v>
      </c>
      <c r="D67" s="100" t="s">
        <v>75</v>
      </c>
      <c r="E67" s="38" t="s">
        <v>1592</v>
      </c>
      <c r="F67" s="39" t="s">
        <v>1593</v>
      </c>
      <c r="G67" s="39">
        <v>15</v>
      </c>
      <c r="H67" s="39"/>
      <c r="I67" s="40" t="s">
        <v>265</v>
      </c>
      <c r="J67" s="41">
        <v>22</v>
      </c>
      <c r="K67" s="41">
        <v>20.68</v>
      </c>
      <c r="L67" s="41"/>
      <c r="M67" s="42">
        <v>20</v>
      </c>
      <c r="N67" s="42">
        <v>20</v>
      </c>
      <c r="O67" s="43">
        <v>454.96</v>
      </c>
      <c r="P67" s="44">
        <v>2406.31</v>
      </c>
      <c r="Q67" s="44">
        <v>2406.31</v>
      </c>
      <c r="R67" s="45">
        <v>0</v>
      </c>
      <c r="S67" s="46">
        <v>0</v>
      </c>
      <c r="T67" s="39">
        <f t="shared" si="19"/>
        <v>15</v>
      </c>
      <c r="U67" s="47">
        <f t="shared" si="20"/>
        <v>2.9569881069967793E-3</v>
      </c>
      <c r="V67" s="48">
        <f t="shared" si="21"/>
        <v>0</v>
      </c>
      <c r="W67" s="49">
        <f t="shared" si="22"/>
        <v>1.9713254046645196E-4</v>
      </c>
      <c r="X67" s="44">
        <f t="shared" si="23"/>
        <v>52.399487140648283</v>
      </c>
      <c r="Y67" s="44">
        <f t="shared" si="24"/>
        <v>0</v>
      </c>
      <c r="Z67" s="44">
        <f t="shared" si="25"/>
        <v>1404.6097275104087</v>
      </c>
      <c r="AA67" s="522">
        <f t="shared" si="16"/>
        <v>2534.5389339698349</v>
      </c>
      <c r="AB67" s="51">
        <f t="shared" si="26"/>
        <v>1313.0875268864247</v>
      </c>
      <c r="AC67" s="44">
        <f t="shared" si="27"/>
        <v>2369.3922912684257</v>
      </c>
      <c r="AD67" s="44">
        <f t="shared" si="28"/>
        <v>0</v>
      </c>
      <c r="AE67" s="44">
        <f t="shared" si="29"/>
        <v>0</v>
      </c>
      <c r="AF67" s="52">
        <f>HLOOKUP(I67,ElecAvoidedCostsWOCC!$A$5:$Q$50,G67+1,FALSE)</f>
        <v>1.0786528141421943</v>
      </c>
      <c r="AG67" s="44">
        <f t="shared" si="30"/>
        <v>490.74388432213271</v>
      </c>
      <c r="AH67" s="52">
        <f>HLOOKUP(I67,ElecAvoidedCostsWOCC!$A$5:$Q$50,T67+1,FALSE)</f>
        <v>1.0786528141421943</v>
      </c>
      <c r="AI67" s="44">
        <f t="shared" si="31"/>
        <v>0</v>
      </c>
      <c r="AJ67" s="44">
        <f t="shared" si="32"/>
        <v>490.74388432213271</v>
      </c>
      <c r="AK67" s="44">
        <f>HLOOKUP(I67,ElecAvoidedCostsWOCC!$A$5:$Q$50,G67+1,FALSE)*J67*L67</f>
        <v>0</v>
      </c>
      <c r="AL67" s="44">
        <f t="shared" si="33"/>
        <v>490.74388432213271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490.74388432213271</v>
      </c>
      <c r="AN67" s="48">
        <f t="shared" si="34"/>
        <v>539.81827275434603</v>
      </c>
      <c r="AO67" s="47">
        <f t="shared" si="35"/>
        <v>0.37373280476266341</v>
      </c>
      <c r="AP67" s="47">
        <f t="shared" si="36"/>
        <v>0.22782984259029593</v>
      </c>
      <c r="AQ67">
        <v>2020</v>
      </c>
    </row>
    <row r="68" spans="2:43">
      <c r="B68" s="97" t="s">
        <v>74</v>
      </c>
      <c r="C68" s="100">
        <v>18230611</v>
      </c>
      <c r="D68" s="100" t="s">
        <v>75</v>
      </c>
      <c r="E68" s="38" t="s">
        <v>1596</v>
      </c>
      <c r="F68" s="39" t="s">
        <v>1597</v>
      </c>
      <c r="G68" s="39">
        <v>15</v>
      </c>
      <c r="H68" s="39"/>
      <c r="I68" s="40" t="s">
        <v>265</v>
      </c>
      <c r="J68" s="41">
        <v>13</v>
      </c>
      <c r="K68" s="41">
        <v>20.68</v>
      </c>
      <c r="L68" s="41"/>
      <c r="M68" s="42">
        <v>20</v>
      </c>
      <c r="N68" s="42">
        <v>20</v>
      </c>
      <c r="O68" s="43">
        <v>268.83999999999997</v>
      </c>
      <c r="P68" s="44">
        <v>2985.05</v>
      </c>
      <c r="Q68" s="44">
        <v>2985.05</v>
      </c>
      <c r="R68" s="45">
        <v>0</v>
      </c>
      <c r="S68" s="46">
        <v>0</v>
      </c>
      <c r="T68" s="39">
        <f t="shared" si="19"/>
        <v>15</v>
      </c>
      <c r="U68" s="47">
        <f t="shared" si="20"/>
        <v>1.7473111541344603E-3</v>
      </c>
      <c r="V68" s="48">
        <f t="shared" si="21"/>
        <v>0</v>
      </c>
      <c r="W68" s="49">
        <f t="shared" si="22"/>
        <v>1.1648741027563069E-4</v>
      </c>
      <c r="X68" s="44">
        <f t="shared" si="23"/>
        <v>30.963333310383071</v>
      </c>
      <c r="Y68" s="44">
        <f t="shared" si="24"/>
        <v>0</v>
      </c>
      <c r="Z68" s="44">
        <f t="shared" si="25"/>
        <v>829.99665716524134</v>
      </c>
      <c r="AA68" s="522">
        <f t="shared" si="16"/>
        <v>3110.0804694056756</v>
      </c>
      <c r="AB68" s="51">
        <f t="shared" si="26"/>
        <v>775.91535679652361</v>
      </c>
      <c r="AC68" s="44">
        <f t="shared" si="27"/>
        <v>2907.4324290975742</v>
      </c>
      <c r="AD68" s="44">
        <f t="shared" si="28"/>
        <v>0</v>
      </c>
      <c r="AE68" s="44">
        <f t="shared" si="29"/>
        <v>0</v>
      </c>
      <c r="AF68" s="52">
        <f>HLOOKUP(I68,ElecAvoidedCostsWOCC!$A$5:$Q$50,G68+1,FALSE)</f>
        <v>1.0786528141421943</v>
      </c>
      <c r="AG68" s="44">
        <f t="shared" si="30"/>
        <v>289.98502255398751</v>
      </c>
      <c r="AH68" s="52">
        <f>HLOOKUP(I68,ElecAvoidedCostsWOCC!$A$5:$Q$50,T68+1,FALSE)</f>
        <v>1.0786528141421943</v>
      </c>
      <c r="AI68" s="44">
        <f t="shared" si="31"/>
        <v>0</v>
      </c>
      <c r="AJ68" s="44">
        <f t="shared" si="32"/>
        <v>289.98502255398751</v>
      </c>
      <c r="AK68" s="44">
        <f>HLOOKUP(I68,ElecAvoidedCostsWOCC!$A$5:$Q$50,G68+1,FALSE)*J68*L68</f>
        <v>0</v>
      </c>
      <c r="AL68" s="44">
        <f t="shared" si="33"/>
        <v>289.98502255398751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289.98502255398751</v>
      </c>
      <c r="AN68" s="48">
        <f t="shared" si="34"/>
        <v>318.98352480938627</v>
      </c>
      <c r="AO68" s="47">
        <f t="shared" si="35"/>
        <v>0.37373280476266346</v>
      </c>
      <c r="AP68" s="47">
        <f t="shared" si="36"/>
        <v>0.10971313438517098</v>
      </c>
      <c r="AQ68">
        <v>2020</v>
      </c>
    </row>
    <row r="69" spans="2:43">
      <c r="B69" s="97" t="s">
        <v>74</v>
      </c>
      <c r="C69" s="100">
        <v>18230611</v>
      </c>
      <c r="D69" s="100" t="s">
        <v>75</v>
      </c>
      <c r="E69" s="38" t="s">
        <v>2521</v>
      </c>
      <c r="F69" s="39" t="s">
        <v>2522</v>
      </c>
      <c r="G69" s="39">
        <v>1</v>
      </c>
      <c r="H69" s="39"/>
      <c r="I69" s="40" t="s">
        <v>265</v>
      </c>
      <c r="J69" s="41">
        <v>1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3130.02</v>
      </c>
      <c r="Q69" s="44">
        <v>3130.02</v>
      </c>
      <c r="R69" s="45"/>
      <c r="S69" s="46"/>
      <c r="T69" s="39">
        <f t="shared" si="19"/>
        <v>1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22">
        <f t="shared" si="16"/>
        <v>3228.6555395457317</v>
      </c>
      <c r="AB69" s="51">
        <f t="shared" si="26"/>
        <v>0</v>
      </c>
      <c r="AC69" s="44">
        <f t="shared" si="27"/>
        <v>3018.2813307896899</v>
      </c>
      <c r="AD69" s="44">
        <f t="shared" si="28"/>
        <v>0</v>
      </c>
      <c r="AE69" s="44">
        <f t="shared" si="29"/>
        <v>0</v>
      </c>
      <c r="AF69" s="52">
        <f>HLOOKUP(I69,ElecAvoidedCostsWOCC!$A$5:$Q$50,G69+1,FALSE)</f>
        <v>8.3631370621697371E-2</v>
      </c>
      <c r="AG69" s="44">
        <f t="shared" si="30"/>
        <v>0</v>
      </c>
      <c r="AH69" s="52">
        <f>HLOOKUP(I69,ElecAvoidedCostsWOCC!$A$5:$Q$50,T69+1,FALSE)</f>
        <v>8.3631370621697371E-2</v>
      </c>
      <c r="AI69" s="44">
        <f t="shared" si="31"/>
        <v>0</v>
      </c>
      <c r="AJ69" s="44">
        <f t="shared" si="32"/>
        <v>0</v>
      </c>
      <c r="AK69" s="44">
        <f>HLOOKUP(I69,ElecAvoidedCostsWOCC!$A$5:$Q$50,G69+1,FALSE)*J69*L69</f>
        <v>0</v>
      </c>
      <c r="AL69" s="44">
        <f t="shared" si="33"/>
        <v>0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4"/>
        <v>0</v>
      </c>
      <c r="AO69" s="47">
        <f t="shared" si="35"/>
        <v>0</v>
      </c>
      <c r="AP69" s="47">
        <f t="shared" si="36"/>
        <v>0</v>
      </c>
      <c r="AQ69">
        <v>2020</v>
      </c>
    </row>
    <row r="70" spans="2:43">
      <c r="B70" s="97" t="s">
        <v>74</v>
      </c>
      <c r="C70" s="100">
        <v>18230611</v>
      </c>
      <c r="D70" s="100" t="s">
        <v>75</v>
      </c>
      <c r="E70" s="38" t="s">
        <v>1602</v>
      </c>
      <c r="F70" s="39" t="s">
        <v>1603</v>
      </c>
      <c r="G70" s="39">
        <v>1</v>
      </c>
      <c r="H70" s="39"/>
      <c r="I70" s="40" t="s">
        <v>265</v>
      </c>
      <c r="J70" s="41">
        <v>1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388.31</v>
      </c>
      <c r="Q70" s="44">
        <v>388.31</v>
      </c>
      <c r="R70" s="45"/>
      <c r="S70" s="46"/>
      <c r="T70" s="39">
        <f t="shared" si="19"/>
        <v>1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22">
        <f t="shared" si="16"/>
        <v>400.54671617465806</v>
      </c>
      <c r="AB70" s="51">
        <f t="shared" si="26"/>
        <v>0</v>
      </c>
      <c r="AC70" s="44">
        <f t="shared" si="27"/>
        <v>374.44771073633547</v>
      </c>
      <c r="AD70" s="44">
        <f t="shared" si="28"/>
        <v>0</v>
      </c>
      <c r="AE70" s="44">
        <f t="shared" si="29"/>
        <v>0</v>
      </c>
      <c r="AF70" s="52">
        <f>HLOOKUP(I70,ElecAvoidedCostsWOCC!$A$5:$Q$50,G70+1,FALSE)</f>
        <v>8.3631370621697371E-2</v>
      </c>
      <c r="AG70" s="44">
        <f t="shared" si="30"/>
        <v>0</v>
      </c>
      <c r="AH70" s="52">
        <f>HLOOKUP(I70,ElecAvoidedCostsWOCC!$A$5:$Q$50,T70+1,FALSE)</f>
        <v>8.3631370621697371E-2</v>
      </c>
      <c r="AI70" s="44">
        <f t="shared" si="31"/>
        <v>0</v>
      </c>
      <c r="AJ70" s="44">
        <f t="shared" si="32"/>
        <v>0</v>
      </c>
      <c r="AK70" s="44">
        <f>HLOOKUP(I70,ElecAvoidedCostsWOCC!$A$5:$Q$50,G70+1,FALSE)*J70*L70</f>
        <v>0</v>
      </c>
      <c r="AL70" s="44">
        <f t="shared" si="33"/>
        <v>0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74</v>
      </c>
      <c r="C71" s="100">
        <v>18230611</v>
      </c>
      <c r="D71" s="100" t="s">
        <v>75</v>
      </c>
      <c r="E71" s="38" t="s">
        <v>2523</v>
      </c>
      <c r="F71" s="39" t="s">
        <v>2524</v>
      </c>
      <c r="G71" s="39">
        <v>45</v>
      </c>
      <c r="H71" s="39"/>
      <c r="I71" s="40" t="s">
        <v>267</v>
      </c>
      <c r="J71" s="41">
        <v>1650</v>
      </c>
      <c r="K71" s="41">
        <v>15.11</v>
      </c>
      <c r="L71" s="41"/>
      <c r="M71" s="42">
        <v>24.1</v>
      </c>
      <c r="N71" s="42">
        <v>24.1</v>
      </c>
      <c r="O71" s="43">
        <v>24931.5</v>
      </c>
      <c r="P71" s="44">
        <v>51694.5</v>
      </c>
      <c r="Q71" s="44">
        <v>51694.5</v>
      </c>
      <c r="R71" s="45">
        <v>0</v>
      </c>
      <c r="S71" s="46"/>
      <c r="T71" s="39">
        <f t="shared" si="19"/>
        <v>45</v>
      </c>
      <c r="U71" s="47">
        <f t="shared" si="20"/>
        <v>0.48612283930185207</v>
      </c>
      <c r="V71" s="48">
        <f t="shared" si="21"/>
        <v>0</v>
      </c>
      <c r="W71" s="49">
        <f t="shared" si="22"/>
        <v>1.080272976226338E-2</v>
      </c>
      <c r="X71" s="44">
        <f t="shared" si="23"/>
        <v>2871.4564217669085</v>
      </c>
      <c r="Y71" s="44">
        <f t="shared" si="24"/>
        <v>0</v>
      </c>
      <c r="Z71" s="44">
        <f t="shared" si="25"/>
        <v>76971.662171236487</v>
      </c>
      <c r="AA71" s="522">
        <f t="shared" ref="AA71:AA134" si="37">((Q71/A$12)*A$6)+X71</f>
        <v>56194.992306217115</v>
      </c>
      <c r="AB71" s="51">
        <f t="shared" si="26"/>
        <v>71956.307535978762</v>
      </c>
      <c r="AC71" s="44">
        <f t="shared" si="27"/>
        <v>52533.413392742928</v>
      </c>
      <c r="AD71" s="44">
        <f t="shared" si="28"/>
        <v>0</v>
      </c>
      <c r="AE71" s="44">
        <f t="shared" si="29"/>
        <v>0</v>
      </c>
      <c r="AF71" s="52">
        <f>HLOOKUP(I71,ElecAvoidedCostsWOCC!$A$5:$Q$50,G71+1,FALSE)</f>
        <v>3.1346149049506007</v>
      </c>
      <c r="AG71" s="44">
        <f t="shared" si="30"/>
        <v>78150.651502775901</v>
      </c>
      <c r="AH71" s="52">
        <f>HLOOKUP(I71,ElecAvoidedCostsWOCC!$A$5:$Q$50,T71+1,FALSE)</f>
        <v>3.1346149049506007</v>
      </c>
      <c r="AI71" s="44">
        <f t="shared" si="31"/>
        <v>0</v>
      </c>
      <c r="AJ71" s="44">
        <f t="shared" si="32"/>
        <v>78150.651502775901</v>
      </c>
      <c r="AK71" s="44">
        <f>HLOOKUP(I71,ElecAvoidedCostsWOCC!$A$5:$Q$50,G71+1,FALSE)*J71*L71</f>
        <v>0</v>
      </c>
      <c r="AL71" s="44">
        <f t="shared" si="33"/>
        <v>78150.651502775901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78150.651502775901</v>
      </c>
      <c r="AN71" s="48">
        <f t="shared" si="34"/>
        <v>85965.716653053503</v>
      </c>
      <c r="AO71" s="47">
        <f t="shared" si="35"/>
        <v>1.0860847947721597</v>
      </c>
      <c r="AP71" s="47">
        <f t="shared" si="36"/>
        <v>1.6364007419500555</v>
      </c>
      <c r="AQ71">
        <v>2020</v>
      </c>
    </row>
    <row r="72" spans="2:43">
      <c r="B72" s="97" t="s">
        <v>74</v>
      </c>
      <c r="C72" s="100">
        <v>18230611</v>
      </c>
      <c r="D72" s="100" t="s">
        <v>75</v>
      </c>
      <c r="E72" s="38" t="s">
        <v>2525</v>
      </c>
      <c r="F72" s="39" t="s">
        <v>2526</v>
      </c>
      <c r="G72" s="39">
        <v>45</v>
      </c>
      <c r="H72" s="39"/>
      <c r="I72" s="40" t="s">
        <v>269</v>
      </c>
      <c r="J72" s="41">
        <v>1740</v>
      </c>
      <c r="K72" s="41">
        <v>6.3</v>
      </c>
      <c r="L72" s="41"/>
      <c r="M72" s="42">
        <v>24.1</v>
      </c>
      <c r="N72" s="42">
        <v>24.1</v>
      </c>
      <c r="O72" s="43">
        <v>10962</v>
      </c>
      <c r="P72" s="44">
        <v>54514.2</v>
      </c>
      <c r="Q72" s="44">
        <v>54514.2</v>
      </c>
      <c r="R72" s="45">
        <v>0.1</v>
      </c>
      <c r="S72" s="46"/>
      <c r="T72" s="39">
        <f t="shared" si="19"/>
        <v>45</v>
      </c>
      <c r="U72" s="47">
        <f t="shared" si="20"/>
        <v>0.21374079234810991</v>
      </c>
      <c r="V72" s="48">
        <f t="shared" si="21"/>
        <v>0</v>
      </c>
      <c r="W72" s="49">
        <f t="shared" si="22"/>
        <v>4.7497953855135536E-3</v>
      </c>
      <c r="X72" s="44">
        <f t="shared" si="23"/>
        <v>1262.5355592486953</v>
      </c>
      <c r="Y72" s="44">
        <f t="shared" si="24"/>
        <v>0</v>
      </c>
      <c r="Z72" s="44">
        <f t="shared" si="25"/>
        <v>33843.264974874932</v>
      </c>
      <c r="AA72" s="522">
        <f t="shared" si="37"/>
        <v>57494.62794648709</v>
      </c>
      <c r="AB72" s="51">
        <f t="shared" si="26"/>
        <v>31638.090095236916</v>
      </c>
      <c r="AC72" s="44">
        <f t="shared" si="27"/>
        <v>53748.366781795907</v>
      </c>
      <c r="AD72" s="44">
        <f t="shared" si="28"/>
        <v>2376.0408716655688</v>
      </c>
      <c r="AE72" s="44">
        <f t="shared" si="29"/>
        <v>0</v>
      </c>
      <c r="AF72" s="52">
        <f>HLOOKUP(I72,ElecAvoidedCostsWOCC!$A$5:$Q$50,G72+1,FALSE)</f>
        <v>3.4276422079642828</v>
      </c>
      <c r="AG72" s="44">
        <f t="shared" si="30"/>
        <v>37573.813883704468</v>
      </c>
      <c r="AH72" s="52">
        <f>HLOOKUP(I72,ElecAvoidedCostsWOCC!$A$5:$Q$50,T72+1,FALSE)</f>
        <v>3.4276422079642828</v>
      </c>
      <c r="AI72" s="44">
        <f t="shared" si="31"/>
        <v>0</v>
      </c>
      <c r="AJ72" s="44">
        <f t="shared" si="32"/>
        <v>37573.813883704468</v>
      </c>
      <c r="AK72" s="44">
        <f>HLOOKUP(I72,ElecAvoidedCostsWOCC!$A$5:$Q$50,G72+1,FALSE)*J72*L72</f>
        <v>0</v>
      </c>
      <c r="AL72" s="44">
        <f t="shared" si="33"/>
        <v>37573.813883704468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37573.813883704468</v>
      </c>
      <c r="AN72" s="48">
        <f t="shared" si="34"/>
        <v>43707.236143740483</v>
      </c>
      <c r="AO72" s="47">
        <f t="shared" si="35"/>
        <v>1.1876132146599194</v>
      </c>
      <c r="AP72" s="47">
        <f t="shared" si="36"/>
        <v>0.81318259066699183</v>
      </c>
      <c r="AQ72">
        <v>2020</v>
      </c>
    </row>
    <row r="73" spans="2:43">
      <c r="B73" s="97" t="s">
        <v>74</v>
      </c>
      <c r="C73" s="100">
        <v>18230611</v>
      </c>
      <c r="D73" s="100" t="s">
        <v>75</v>
      </c>
      <c r="E73" s="38" t="s">
        <v>2527</v>
      </c>
      <c r="F73" s="39" t="s">
        <v>1607</v>
      </c>
      <c r="G73" s="39">
        <v>25</v>
      </c>
      <c r="H73" s="39"/>
      <c r="I73" s="40" t="s">
        <v>269</v>
      </c>
      <c r="J73" s="41">
        <v>604</v>
      </c>
      <c r="K73" s="41">
        <v>9.98</v>
      </c>
      <c r="L73" s="41"/>
      <c r="M73" s="42">
        <v>20.5</v>
      </c>
      <c r="N73" s="42">
        <v>20.5</v>
      </c>
      <c r="O73" s="43">
        <v>6027.92</v>
      </c>
      <c r="P73" s="44">
        <v>16096.6</v>
      </c>
      <c r="Q73" s="44">
        <v>16096.6</v>
      </c>
      <c r="R73" s="45">
        <v>0.08</v>
      </c>
      <c r="S73" s="46"/>
      <c r="T73" s="39">
        <f t="shared" si="19"/>
        <v>25</v>
      </c>
      <c r="U73" s="47">
        <f t="shared" si="20"/>
        <v>6.5296904306342038E-2</v>
      </c>
      <c r="V73" s="48">
        <f t="shared" si="21"/>
        <v>0</v>
      </c>
      <c r="W73" s="49">
        <f t="shared" si="22"/>
        <v>2.6118761722536818E-3</v>
      </c>
      <c r="X73" s="44">
        <f t="shared" si="23"/>
        <v>694.25865246363765</v>
      </c>
      <c r="Y73" s="44">
        <f t="shared" si="24"/>
        <v>0</v>
      </c>
      <c r="Z73" s="44">
        <f t="shared" si="25"/>
        <v>18610.152691785086</v>
      </c>
      <c r="AA73" s="522">
        <f t="shared" si="37"/>
        <v>17298.10679332275</v>
      </c>
      <c r="AB73" s="51">
        <f t="shared" si="26"/>
        <v>17397.543883130864</v>
      </c>
      <c r="AC73" s="44">
        <f t="shared" si="27"/>
        <v>16170.98886914345</v>
      </c>
      <c r="AD73" s="44">
        <f t="shared" si="28"/>
        <v>564.62622765911306</v>
      </c>
      <c r="AE73" s="44">
        <f t="shared" si="29"/>
        <v>0</v>
      </c>
      <c r="AF73" s="52">
        <f>HLOOKUP(I73,ElecAvoidedCostsWOCC!$A$5:$Q$50,G73+1,FALSE)</f>
        <v>2.0508206305871441</v>
      </c>
      <c r="AG73" s="44">
        <f t="shared" si="30"/>
        <v>12362.182695528858</v>
      </c>
      <c r="AH73" s="52">
        <f>HLOOKUP(I73,ElecAvoidedCostsWOCC!$A$5:$Q$50,T73+1,FALSE)</f>
        <v>2.0508206305871441</v>
      </c>
      <c r="AI73" s="44">
        <f t="shared" si="31"/>
        <v>0</v>
      </c>
      <c r="AJ73" s="44">
        <f t="shared" si="32"/>
        <v>12362.182695528858</v>
      </c>
      <c r="AK73" s="44">
        <f>HLOOKUP(I73,ElecAvoidedCostsWOCC!$A$5:$Q$50,G73+1,FALSE)*J73*L73</f>
        <v>0</v>
      </c>
      <c r="AL73" s="44">
        <f t="shared" si="33"/>
        <v>12362.182695528858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12362.18269552886</v>
      </c>
      <c r="AN73" s="48">
        <f t="shared" si="34"/>
        <v>14163.027192740859</v>
      </c>
      <c r="AO73" s="47">
        <f t="shared" si="35"/>
        <v>0.71057057125837009</v>
      </c>
      <c r="AP73" s="47">
        <f t="shared" si="36"/>
        <v>0.87582938231847607</v>
      </c>
      <c r="AQ73">
        <v>2020</v>
      </c>
    </row>
    <row r="74" spans="2:43">
      <c r="B74" s="97" t="s">
        <v>74</v>
      </c>
      <c r="C74" s="100">
        <v>18230611</v>
      </c>
      <c r="D74" s="100" t="s">
        <v>75</v>
      </c>
      <c r="E74" s="38" t="s">
        <v>2528</v>
      </c>
      <c r="F74" s="39" t="s">
        <v>1609</v>
      </c>
      <c r="G74" s="39">
        <v>45</v>
      </c>
      <c r="H74" s="39"/>
      <c r="I74" s="40" t="s">
        <v>269</v>
      </c>
      <c r="J74" s="41">
        <v>371</v>
      </c>
      <c r="K74" s="41">
        <v>8.68</v>
      </c>
      <c r="L74" s="41"/>
      <c r="M74" s="42">
        <v>20.5</v>
      </c>
      <c r="N74" s="42">
        <v>20.5</v>
      </c>
      <c r="O74" s="43">
        <v>3220.28</v>
      </c>
      <c r="P74" s="44">
        <v>9887.15</v>
      </c>
      <c r="Q74" s="44">
        <v>9887.15</v>
      </c>
      <c r="R74" s="45">
        <v>0.14000000000000001</v>
      </c>
      <c r="S74" s="46">
        <v>0</v>
      </c>
      <c r="T74" s="39">
        <f t="shared" si="19"/>
        <v>45</v>
      </c>
      <c r="U74" s="47">
        <f t="shared" si="20"/>
        <v>6.2790111182518829E-2</v>
      </c>
      <c r="V74" s="48">
        <f t="shared" si="21"/>
        <v>0</v>
      </c>
      <c r="W74" s="49">
        <f t="shared" si="22"/>
        <v>1.3953358040559741E-3</v>
      </c>
      <c r="X74" s="44">
        <f t="shared" si="23"/>
        <v>370.89199149219024</v>
      </c>
      <c r="Y74" s="44">
        <f t="shared" si="24"/>
        <v>0</v>
      </c>
      <c r="Z74" s="44">
        <f t="shared" si="25"/>
        <v>9942.0533965782015</v>
      </c>
      <c r="AA74" s="522">
        <f t="shared" si="37"/>
        <v>10569.613283311277</v>
      </c>
      <c r="AB74" s="51">
        <f t="shared" si="26"/>
        <v>9294.2445513491639</v>
      </c>
      <c r="AC74" s="44">
        <f t="shared" si="27"/>
        <v>9880.9136050399884</v>
      </c>
      <c r="AD74" s="44">
        <f t="shared" si="28"/>
        <v>709.26185559948078</v>
      </c>
      <c r="AE74" s="44">
        <f t="shared" si="29"/>
        <v>0</v>
      </c>
      <c r="AF74" s="52">
        <f>HLOOKUP(I74,ElecAvoidedCostsWOCC!$A$5:$Q$50,G74+1,FALSE)</f>
        <v>3.4276422079642828</v>
      </c>
      <c r="AG74" s="44">
        <f t="shared" si="30"/>
        <v>11037.967649463219</v>
      </c>
      <c r="AH74" s="52">
        <f>HLOOKUP(I74,ElecAvoidedCostsWOCC!$A$5:$Q$50,T74+1,FALSE)</f>
        <v>3.4276422079642828</v>
      </c>
      <c r="AI74" s="44">
        <f t="shared" si="31"/>
        <v>0</v>
      </c>
      <c r="AJ74" s="44">
        <f t="shared" si="32"/>
        <v>11037.967649463219</v>
      </c>
      <c r="AK74" s="44">
        <f>HLOOKUP(I74,ElecAvoidedCostsWOCC!$A$5:$Q$50,G74+1,FALSE)*J74*L74</f>
        <v>0</v>
      </c>
      <c r="AL74" s="44">
        <f t="shared" si="33"/>
        <v>11037.967649463219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11037.96764946322</v>
      </c>
      <c r="AN74" s="48">
        <f t="shared" si="34"/>
        <v>12851.026270009024</v>
      </c>
      <c r="AO74" s="47">
        <f t="shared" si="35"/>
        <v>1.1876132146599194</v>
      </c>
      <c r="AP74" s="47">
        <f t="shared" si="36"/>
        <v>1.3005908951024592</v>
      </c>
      <c r="AQ74">
        <v>2020</v>
      </c>
    </row>
    <row r="75" spans="2:43">
      <c r="B75" s="97" t="s">
        <v>74</v>
      </c>
      <c r="C75" s="100">
        <v>18230611</v>
      </c>
      <c r="D75" s="100" t="s">
        <v>75</v>
      </c>
      <c r="E75" s="38" t="s">
        <v>2529</v>
      </c>
      <c r="F75" s="39" t="s">
        <v>1611</v>
      </c>
      <c r="G75" s="39">
        <v>45</v>
      </c>
      <c r="H75" s="39"/>
      <c r="I75" s="40" t="s">
        <v>267</v>
      </c>
      <c r="J75" s="41">
        <v>25479</v>
      </c>
      <c r="K75" s="41">
        <v>0.97</v>
      </c>
      <c r="L75" s="41"/>
      <c r="M75" s="42">
        <v>2.4300000000000002</v>
      </c>
      <c r="N75" s="42">
        <v>2.4300000000000002</v>
      </c>
      <c r="O75" s="43">
        <v>24714.63</v>
      </c>
      <c r="P75" s="44">
        <v>80488.160000000003</v>
      </c>
      <c r="Q75" s="44">
        <v>80488.160000000003</v>
      </c>
      <c r="R75" s="45"/>
      <c r="S75" s="46"/>
      <c r="T75" s="39">
        <f t="shared" si="19"/>
        <v>45</v>
      </c>
      <c r="U75" s="47">
        <f t="shared" si="20"/>
        <v>0.4818942345183696</v>
      </c>
      <c r="V75" s="48">
        <f t="shared" si="21"/>
        <v>0</v>
      </c>
      <c r="W75" s="49">
        <f t="shared" si="22"/>
        <v>1.0708760767074881E-2</v>
      </c>
      <c r="X75" s="44">
        <f t="shared" si="23"/>
        <v>2846.4786725665558</v>
      </c>
      <c r="Y75" s="44">
        <f t="shared" si="24"/>
        <v>0</v>
      </c>
      <c r="Z75" s="44">
        <f t="shared" si="25"/>
        <v>76302.113833788841</v>
      </c>
      <c r="AA75" s="522">
        <f t="shared" si="37"/>
        <v>85871.041982655064</v>
      </c>
      <c r="AB75" s="51">
        <f t="shared" si="26"/>
        <v>71330.385934176724</v>
      </c>
      <c r="AC75" s="44">
        <f t="shared" si="27"/>
        <v>80275.81750271577</v>
      </c>
      <c r="AD75" s="44">
        <f t="shared" si="28"/>
        <v>0</v>
      </c>
      <c r="AE75" s="44">
        <f t="shared" si="29"/>
        <v>0</v>
      </c>
      <c r="AF75" s="52">
        <f>HLOOKUP(I75,ElecAvoidedCostsWOCC!$A$5:$Q$50,G75+1,FALSE)</f>
        <v>3.1346149049506007</v>
      </c>
      <c r="AG75" s="44">
        <f t="shared" si="30"/>
        <v>77470.847568339261</v>
      </c>
      <c r="AH75" s="52">
        <f>HLOOKUP(I75,ElecAvoidedCostsWOCC!$A$5:$Q$50,T75+1,FALSE)</f>
        <v>3.1346149049506007</v>
      </c>
      <c r="AI75" s="44">
        <f t="shared" si="31"/>
        <v>0</v>
      </c>
      <c r="AJ75" s="44">
        <f t="shared" si="32"/>
        <v>77470.847568339261</v>
      </c>
      <c r="AK75" s="44">
        <f>HLOOKUP(I75,ElecAvoidedCostsWOCC!$A$5:$Q$50,G75+1,FALSE)*J75*L75</f>
        <v>0</v>
      </c>
      <c r="AL75" s="44">
        <f t="shared" si="33"/>
        <v>77470.847568339261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77470.847568339261</v>
      </c>
      <c r="AN75" s="48">
        <f t="shared" si="34"/>
        <v>85217.932325173198</v>
      </c>
      <c r="AO75" s="47">
        <f t="shared" si="35"/>
        <v>1.0860847947721595</v>
      </c>
      <c r="AP75" s="47">
        <f t="shared" si="36"/>
        <v>1.0615641793033155</v>
      </c>
      <c r="AQ75">
        <v>2020</v>
      </c>
    </row>
    <row r="76" spans="2:43">
      <c r="B76" s="97" t="s">
        <v>74</v>
      </c>
      <c r="C76" s="100">
        <v>18230611</v>
      </c>
      <c r="D76" s="100" t="s">
        <v>75</v>
      </c>
      <c r="E76" s="38" t="s">
        <v>2530</v>
      </c>
      <c r="F76" s="39" t="s">
        <v>1613</v>
      </c>
      <c r="G76" s="39">
        <v>45</v>
      </c>
      <c r="H76" s="39"/>
      <c r="I76" s="40" t="s">
        <v>269</v>
      </c>
      <c r="J76" s="41">
        <v>31917</v>
      </c>
      <c r="K76" s="41">
        <v>1.81</v>
      </c>
      <c r="L76" s="41"/>
      <c r="M76" s="42">
        <v>2.4300000000000002</v>
      </c>
      <c r="N76" s="42">
        <v>2.4300000000000002</v>
      </c>
      <c r="O76" s="43">
        <v>57769.77</v>
      </c>
      <c r="P76" s="44">
        <v>104341.8</v>
      </c>
      <c r="Q76" s="44">
        <v>104341.8</v>
      </c>
      <c r="R76" s="45">
        <v>0.03</v>
      </c>
      <c r="S76" s="46">
        <v>0</v>
      </c>
      <c r="T76" s="39">
        <f t="shared" si="19"/>
        <v>45</v>
      </c>
      <c r="U76" s="47">
        <f t="shared" si="20"/>
        <v>1.1264145606247098</v>
      </c>
      <c r="V76" s="48">
        <f t="shared" si="21"/>
        <v>0</v>
      </c>
      <c r="W76" s="49">
        <f t="shared" si="22"/>
        <v>2.5031434680549105E-2</v>
      </c>
      <c r="X76" s="44">
        <f t="shared" si="23"/>
        <v>6653.5658524556193</v>
      </c>
      <c r="Y76" s="44">
        <f t="shared" si="24"/>
        <v>0</v>
      </c>
      <c r="Z76" s="44">
        <f t="shared" si="25"/>
        <v>178354.09903736366</v>
      </c>
      <c r="AA76" s="522">
        <f t="shared" si="37"/>
        <v>114283.46297010114</v>
      </c>
      <c r="AB76" s="51">
        <f t="shared" si="26"/>
        <v>166732.82138670995</v>
      </c>
      <c r="AC76" s="44">
        <f t="shared" si="27"/>
        <v>106836.92901757608</v>
      </c>
      <c r="AD76" s="44">
        <f t="shared" si="28"/>
        <v>13075.189051887923</v>
      </c>
      <c r="AE76" s="44">
        <f t="shared" si="29"/>
        <v>0</v>
      </c>
      <c r="AF76" s="52">
        <f>HLOOKUP(I76,ElecAvoidedCostsWOCC!$A$5:$Q$50,G76+1,FALSE)</f>
        <v>3.4276422079642828</v>
      </c>
      <c r="AG76" s="44">
        <f t="shared" si="30"/>
        <v>198014.10199638878</v>
      </c>
      <c r="AH76" s="52">
        <f>HLOOKUP(I76,ElecAvoidedCostsWOCC!$A$5:$Q$50,T76+1,FALSE)</f>
        <v>3.4276422079642828</v>
      </c>
      <c r="AI76" s="44">
        <f t="shared" si="31"/>
        <v>0</v>
      </c>
      <c r="AJ76" s="44">
        <f t="shared" si="32"/>
        <v>198014.10199638878</v>
      </c>
      <c r="AK76" s="44">
        <f>HLOOKUP(I76,ElecAvoidedCostsWOCC!$A$5:$Q$50,G76+1,FALSE)*J76*L76</f>
        <v>0</v>
      </c>
      <c r="AL76" s="44">
        <f t="shared" si="33"/>
        <v>198014.10199638878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198014.10199638878</v>
      </c>
      <c r="AN76" s="48">
        <f t="shared" si="34"/>
        <v>230890.7012479156</v>
      </c>
      <c r="AO76" s="47">
        <f t="shared" si="35"/>
        <v>1.1876132146599194</v>
      </c>
      <c r="AP76" s="47">
        <f t="shared" si="36"/>
        <v>2.1611506748750804</v>
      </c>
      <c r="AQ76">
        <v>2020</v>
      </c>
    </row>
    <row r="77" spans="2:43">
      <c r="B77" s="97" t="s">
        <v>74</v>
      </c>
      <c r="C77" s="100">
        <v>18230611</v>
      </c>
      <c r="D77" s="100" t="s">
        <v>75</v>
      </c>
      <c r="E77" s="38" t="s">
        <v>2532</v>
      </c>
      <c r="F77" s="39" t="s">
        <v>2533</v>
      </c>
      <c r="G77" s="39">
        <v>45</v>
      </c>
      <c r="H77" s="39"/>
      <c r="I77" s="40" t="s">
        <v>269</v>
      </c>
      <c r="J77" s="41">
        <v>33554</v>
      </c>
      <c r="K77" s="41">
        <v>0</v>
      </c>
      <c r="L77" s="41"/>
      <c r="M77" s="42">
        <v>0</v>
      </c>
      <c r="N77" s="42">
        <v>0</v>
      </c>
      <c r="O77" s="43">
        <v>413.44</v>
      </c>
      <c r="P77" s="44">
        <v>0</v>
      </c>
      <c r="Q77" s="44">
        <v>23512.880000000001</v>
      </c>
      <c r="R77" s="45">
        <v>0</v>
      </c>
      <c r="S77" s="46">
        <v>0</v>
      </c>
      <c r="T77" s="39">
        <f t="shared" si="19"/>
        <v>45</v>
      </c>
      <c r="U77" s="47">
        <f t="shared" si="20"/>
        <v>8.0613932848387672E-3</v>
      </c>
      <c r="V77" s="48">
        <f t="shared" si="21"/>
        <v>0</v>
      </c>
      <c r="W77" s="49">
        <f t="shared" si="22"/>
        <v>1.7914207299641704E-4</v>
      </c>
      <c r="X77" s="44">
        <f t="shared" si="23"/>
        <v>47.617469587281576</v>
      </c>
      <c r="Y77" s="44">
        <f t="shared" si="24"/>
        <v>23512.880000000001</v>
      </c>
      <c r="Z77" s="44">
        <f t="shared" si="25"/>
        <v>1276.4239619788627</v>
      </c>
      <c r="AA77" s="522">
        <f t="shared" si="37"/>
        <v>24301.452992259361</v>
      </c>
      <c r="AB77" s="51">
        <f t="shared" si="26"/>
        <v>1193.2541478721723</v>
      </c>
      <c r="AC77" s="44">
        <f t="shared" si="27"/>
        <v>22718.007845432701</v>
      </c>
      <c r="AD77" s="44">
        <f t="shared" si="28"/>
        <v>0</v>
      </c>
      <c r="AE77" s="44">
        <f t="shared" si="29"/>
        <v>0</v>
      </c>
      <c r="AF77" s="52">
        <f>HLOOKUP(I77,ElecAvoidedCostsWOCC!$A$5:$Q$50,G77+1,FALSE)</f>
        <v>3.4276422079642828</v>
      </c>
      <c r="AG77" s="44">
        <f t="shared" si="30"/>
        <v>0</v>
      </c>
      <c r="AH77" s="52">
        <f>HLOOKUP(I77,ElecAvoidedCostsWOCC!$A$5:$Q$50,T77+1,FALSE)</f>
        <v>3.4276422079642828</v>
      </c>
      <c r="AI77" s="44">
        <f t="shared" si="31"/>
        <v>0</v>
      </c>
      <c r="AJ77" s="44">
        <f t="shared" si="32"/>
        <v>0</v>
      </c>
      <c r="AK77" s="44">
        <f>HLOOKUP(I77,ElecAvoidedCostsWOCC!$A$5:$Q$50,G77+1,FALSE)*J77*L77</f>
        <v>0</v>
      </c>
      <c r="AL77" s="44">
        <f t="shared" si="33"/>
        <v>0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4"/>
        <v>0</v>
      </c>
      <c r="AO77" s="47">
        <f t="shared" si="35"/>
        <v>0</v>
      </c>
      <c r="AP77" s="47">
        <f t="shared" si="36"/>
        <v>0</v>
      </c>
      <c r="AQ77">
        <v>2020</v>
      </c>
    </row>
    <row r="78" spans="2:43">
      <c r="B78" s="97" t="s">
        <v>74</v>
      </c>
      <c r="C78" s="100">
        <v>18230611</v>
      </c>
      <c r="D78" s="100" t="s">
        <v>75</v>
      </c>
      <c r="E78" s="38" t="s">
        <v>2534</v>
      </c>
      <c r="F78" s="39" t="s">
        <v>1617</v>
      </c>
      <c r="G78" s="39">
        <v>45</v>
      </c>
      <c r="H78" s="39"/>
      <c r="I78" s="40" t="s">
        <v>269</v>
      </c>
      <c r="J78" s="41">
        <v>72921</v>
      </c>
      <c r="K78" s="41">
        <v>0.38</v>
      </c>
      <c r="L78" s="41"/>
      <c r="M78" s="42">
        <v>1.82</v>
      </c>
      <c r="N78" s="42">
        <v>1.82</v>
      </c>
      <c r="O78" s="43">
        <v>27709.98</v>
      </c>
      <c r="P78" s="44">
        <v>175443.88</v>
      </c>
      <c r="Q78" s="44">
        <v>175443.88</v>
      </c>
      <c r="R78" s="45">
        <v>0.01</v>
      </c>
      <c r="S78" s="46">
        <v>0</v>
      </c>
      <c r="T78" s="39">
        <f t="shared" si="19"/>
        <v>45</v>
      </c>
      <c r="U78" s="47">
        <f t="shared" si="20"/>
        <v>0.54029858430489675</v>
      </c>
      <c r="V78" s="48">
        <f t="shared" si="21"/>
        <v>0</v>
      </c>
      <c r="W78" s="49">
        <f t="shared" si="22"/>
        <v>1.2006635206775484E-2</v>
      </c>
      <c r="X78" s="44">
        <f t="shared" si="23"/>
        <v>3191.4646137630143</v>
      </c>
      <c r="Y78" s="44">
        <f t="shared" si="24"/>
        <v>0</v>
      </c>
      <c r="Z78" s="44">
        <f t="shared" si="25"/>
        <v>85549.735047298382</v>
      </c>
      <c r="AA78" s="522">
        <f t="shared" si="37"/>
        <v>184164.06384360712</v>
      </c>
      <c r="AB78" s="51">
        <f t="shared" si="26"/>
        <v>79975.446431053919</v>
      </c>
      <c r="AC78" s="44">
        <f t="shared" si="27"/>
        <v>172164.21785884557</v>
      </c>
      <c r="AD78" s="44">
        <f t="shared" si="28"/>
        <v>9957.6595633749967</v>
      </c>
      <c r="AE78" s="44">
        <f t="shared" si="29"/>
        <v>0</v>
      </c>
      <c r="AF78" s="52">
        <f>HLOOKUP(I78,ElecAvoidedCostsWOCC!$A$5:$Q$50,G78+1,FALSE)</f>
        <v>3.4276422079642828</v>
      </c>
      <c r="AG78" s="44">
        <f t="shared" si="30"/>
        <v>94979.897029846106</v>
      </c>
      <c r="AH78" s="52">
        <f>HLOOKUP(I78,ElecAvoidedCostsWOCC!$A$5:$Q$50,T78+1,FALSE)</f>
        <v>3.4276422079642828</v>
      </c>
      <c r="AI78" s="44">
        <f t="shared" si="31"/>
        <v>0</v>
      </c>
      <c r="AJ78" s="44">
        <f t="shared" si="32"/>
        <v>94979.897029846106</v>
      </c>
      <c r="AK78" s="44">
        <f>HLOOKUP(I78,ElecAvoidedCostsWOCC!$A$5:$Q$50,G78+1,FALSE)*J78*L78</f>
        <v>0</v>
      </c>
      <c r="AL78" s="44">
        <f t="shared" si="33"/>
        <v>94979.897029846106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94979.897029846121</v>
      </c>
      <c r="AN78" s="48">
        <f t="shared" si="34"/>
        <v>114435.54629620574</v>
      </c>
      <c r="AO78" s="47">
        <f t="shared" si="35"/>
        <v>1.1876132146599194</v>
      </c>
      <c r="AP78" s="47">
        <f t="shared" si="36"/>
        <v>0.66468832908142061</v>
      </c>
      <c r="AQ78">
        <v>2020</v>
      </c>
    </row>
    <row r="79" spans="2:43">
      <c r="B79" s="97" t="s">
        <v>74</v>
      </c>
      <c r="C79" s="100">
        <v>18230611</v>
      </c>
      <c r="D79" s="100" t="s">
        <v>75</v>
      </c>
      <c r="E79" s="38" t="s">
        <v>1620</v>
      </c>
      <c r="F79" s="39" t="s">
        <v>1621</v>
      </c>
      <c r="G79" s="39">
        <v>45</v>
      </c>
      <c r="H79" s="39"/>
      <c r="I79" s="40" t="s">
        <v>269</v>
      </c>
      <c r="J79" s="41">
        <v>24212</v>
      </c>
      <c r="K79" s="41">
        <v>0.28999999999999998</v>
      </c>
      <c r="L79" s="41"/>
      <c r="M79" s="42">
        <v>1.82</v>
      </c>
      <c r="N79" s="42">
        <v>1.82</v>
      </c>
      <c r="O79" s="43">
        <v>7021.48</v>
      </c>
      <c r="P79" s="44">
        <v>57285.599999999999</v>
      </c>
      <c r="Q79" s="44">
        <v>57285.599999999999</v>
      </c>
      <c r="R79" s="45"/>
      <c r="S79" s="46"/>
      <c r="T79" s="39">
        <f t="shared" si="19"/>
        <v>45</v>
      </c>
      <c r="U79" s="47">
        <f t="shared" si="20"/>
        <v>0.13690719746911209</v>
      </c>
      <c r="V79" s="48">
        <f t="shared" si="21"/>
        <v>0</v>
      </c>
      <c r="W79" s="49">
        <f t="shared" si="22"/>
        <v>3.0423821659802688E-3</v>
      </c>
      <c r="X79" s="44">
        <f t="shared" si="23"/>
        <v>808.69076615157178</v>
      </c>
      <c r="Y79" s="44">
        <f t="shared" si="24"/>
        <v>0</v>
      </c>
      <c r="Z79" s="44">
        <f t="shared" si="25"/>
        <v>21677.596073324654</v>
      </c>
      <c r="AA79" s="522">
        <f t="shared" si="37"/>
        <v>59899.517590325529</v>
      </c>
      <c r="AB79" s="51">
        <f t="shared" si="26"/>
        <v>20265.117391160748</v>
      </c>
      <c r="AC79" s="44">
        <f t="shared" si="27"/>
        <v>55996.557530452956</v>
      </c>
      <c r="AD79" s="44">
        <f t="shared" si="28"/>
        <v>0</v>
      </c>
      <c r="AE79" s="44">
        <f t="shared" si="29"/>
        <v>0</v>
      </c>
      <c r="AF79" s="52">
        <f>HLOOKUP(I79,ElecAvoidedCostsWOCC!$A$5:$Q$50,G79+1,FALSE)</f>
        <v>3.4276422079642828</v>
      </c>
      <c r="AG79" s="44">
        <f t="shared" si="30"/>
        <v>24067.121210377052</v>
      </c>
      <c r="AH79" s="52">
        <f>HLOOKUP(I79,ElecAvoidedCostsWOCC!$A$5:$Q$50,T79+1,FALSE)</f>
        <v>3.4276422079642828</v>
      </c>
      <c r="AI79" s="44">
        <f t="shared" si="31"/>
        <v>0</v>
      </c>
      <c r="AJ79" s="44">
        <f t="shared" si="32"/>
        <v>24067.121210377052</v>
      </c>
      <c r="AK79" s="44">
        <f>HLOOKUP(I79,ElecAvoidedCostsWOCC!$A$5:$Q$50,G79+1,FALSE)*J79*L79</f>
        <v>0</v>
      </c>
      <c r="AL79" s="44">
        <f t="shared" si="33"/>
        <v>24067.121210377052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24067.121210377052</v>
      </c>
      <c r="AN79" s="48">
        <f t="shared" si="34"/>
        <v>26473.83333141476</v>
      </c>
      <c r="AO79" s="47">
        <f t="shared" si="35"/>
        <v>1.1876132146599192</v>
      </c>
      <c r="AP79" s="47">
        <f t="shared" si="36"/>
        <v>0.47277608658384634</v>
      </c>
      <c r="AQ79">
        <v>2020</v>
      </c>
    </row>
    <row r="80" spans="2:43">
      <c r="B80" s="97" t="s">
        <v>74</v>
      </c>
      <c r="C80" s="100">
        <v>18230611</v>
      </c>
      <c r="D80" s="100" t="s">
        <v>75</v>
      </c>
      <c r="E80" s="38" t="s">
        <v>2536</v>
      </c>
      <c r="F80" s="39" t="s">
        <v>2537</v>
      </c>
      <c r="G80" s="39">
        <v>10</v>
      </c>
      <c r="H80" s="39"/>
      <c r="I80" s="40" t="s">
        <v>265</v>
      </c>
      <c r="J80" s="41">
        <v>4</v>
      </c>
      <c r="K80" s="41">
        <v>36.6</v>
      </c>
      <c r="L80" s="41"/>
      <c r="M80" s="42">
        <v>11.35</v>
      </c>
      <c r="N80" s="42">
        <v>11.35</v>
      </c>
      <c r="O80" s="43">
        <v>146.4</v>
      </c>
      <c r="P80" s="44">
        <v>32.24</v>
      </c>
      <c r="Q80" s="44">
        <v>32.24</v>
      </c>
      <c r="R80" s="45">
        <v>5.22</v>
      </c>
      <c r="S80" s="46">
        <v>0</v>
      </c>
      <c r="T80" s="39">
        <f t="shared" si="19"/>
        <v>10</v>
      </c>
      <c r="U80" s="47">
        <f t="shared" si="20"/>
        <v>6.3434596281626001E-4</v>
      </c>
      <c r="V80" s="48">
        <f t="shared" si="21"/>
        <v>0</v>
      </c>
      <c r="W80" s="49">
        <f t="shared" si="22"/>
        <v>6.3434596281626007E-5</v>
      </c>
      <c r="X80" s="44">
        <f t="shared" si="23"/>
        <v>16.861449176610929</v>
      </c>
      <c r="Y80" s="44">
        <f t="shared" si="24"/>
        <v>0</v>
      </c>
      <c r="Z80" s="44">
        <f t="shared" si="25"/>
        <v>451.98449118059568</v>
      </c>
      <c r="AA80" s="522">
        <f t="shared" si="37"/>
        <v>50.117420255055933</v>
      </c>
      <c r="AB80" s="51">
        <f t="shared" si="26"/>
        <v>422.53387976123742</v>
      </c>
      <c r="AC80" s="44">
        <f t="shared" si="27"/>
        <v>46.851846550486982</v>
      </c>
      <c r="AD80" s="44">
        <f t="shared" si="28"/>
        <v>146.85596878977768</v>
      </c>
      <c r="AE80" s="44">
        <f t="shared" si="29"/>
        <v>0</v>
      </c>
      <c r="AF80" s="52">
        <f>HLOOKUP(I80,ElecAvoidedCostsWOCC!$A$5:$Q$50,G80+1,FALSE)</f>
        <v>0.74487332198138856</v>
      </c>
      <c r="AG80" s="44">
        <f t="shared" si="30"/>
        <v>109.04945433807529</v>
      </c>
      <c r="AH80" s="52">
        <f>HLOOKUP(I80,ElecAvoidedCostsWOCC!$A$5:$Q$50,T80+1,FALSE)</f>
        <v>0.74487332198138856</v>
      </c>
      <c r="AI80" s="44">
        <f t="shared" si="31"/>
        <v>0</v>
      </c>
      <c r="AJ80" s="44">
        <f t="shared" si="32"/>
        <v>109.04945433807529</v>
      </c>
      <c r="AK80" s="44">
        <f>HLOOKUP(I80,ElecAvoidedCostsWOCC!$A$5:$Q$50,G80+1,FALSE)*J80*L80</f>
        <v>0</v>
      </c>
      <c r="AL80" s="44">
        <f t="shared" si="33"/>
        <v>109.04945433807529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109.04945433807529</v>
      </c>
      <c r="AN80" s="48">
        <f t="shared" si="34"/>
        <v>266.81036856166054</v>
      </c>
      <c r="AO80" s="47">
        <f t="shared" si="35"/>
        <v>0.25808452188424802</v>
      </c>
      <c r="AP80" s="47">
        <f t="shared" si="36"/>
        <v>5.6947674041864911</v>
      </c>
      <c r="AQ80">
        <v>2020</v>
      </c>
    </row>
    <row r="81" spans="2:43">
      <c r="B81" s="97" t="s">
        <v>74</v>
      </c>
      <c r="C81" s="100">
        <v>18230611</v>
      </c>
      <c r="D81" s="100" t="s">
        <v>75</v>
      </c>
      <c r="E81" s="38" t="s">
        <v>2538</v>
      </c>
      <c r="F81" s="39" t="s">
        <v>2539</v>
      </c>
      <c r="G81" s="39">
        <v>1</v>
      </c>
      <c r="H81" s="39"/>
      <c r="I81" s="40" t="s">
        <v>248</v>
      </c>
      <c r="J81" s="41">
        <v>14</v>
      </c>
      <c r="K81" s="41">
        <v>0</v>
      </c>
      <c r="L81" s="41"/>
      <c r="M81" s="42">
        <v>0</v>
      </c>
      <c r="N81" s="42">
        <v>0</v>
      </c>
      <c r="O81" s="43">
        <v>0</v>
      </c>
      <c r="P81" s="44">
        <v>214.03</v>
      </c>
      <c r="Q81" s="44">
        <v>214.03</v>
      </c>
      <c r="R81" s="45">
        <v>0</v>
      </c>
      <c r="S81" s="46">
        <v>0</v>
      </c>
      <c r="T81" s="39">
        <f t="shared" si="19"/>
        <v>1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22">
        <f t="shared" si="37"/>
        <v>220.77467400494982</v>
      </c>
      <c r="AB81" s="51">
        <f t="shared" si="26"/>
        <v>0</v>
      </c>
      <c r="AC81" s="44">
        <f t="shared" si="27"/>
        <v>206.38933720197232</v>
      </c>
      <c r="AD81" s="44">
        <f t="shared" si="28"/>
        <v>0</v>
      </c>
      <c r="AE81" s="44">
        <f t="shared" si="29"/>
        <v>0</v>
      </c>
      <c r="AF81" s="52">
        <f>HLOOKUP(I81,ElecAvoidedCostsWOCC!$A$5:$Q$50,G81+1,FALSE)</f>
        <v>8.6279755452712409E-2</v>
      </c>
      <c r="AG81" s="44">
        <f t="shared" si="30"/>
        <v>0</v>
      </c>
      <c r="AH81" s="52">
        <f>HLOOKUP(I81,ElecAvoidedCostsWOCC!$A$5:$Q$50,T81+1,FALSE)</f>
        <v>8.6279755452712409E-2</v>
      </c>
      <c r="AI81" s="44">
        <f t="shared" si="31"/>
        <v>0</v>
      </c>
      <c r="AJ81" s="44">
        <f t="shared" si="32"/>
        <v>0</v>
      </c>
      <c r="AK81" s="44">
        <f>HLOOKUP(I81,ElecAvoidedCostsWOCC!$A$5:$Q$50,G81+1,FALSE)*J81*L81</f>
        <v>0</v>
      </c>
      <c r="AL81" s="44">
        <f t="shared" si="33"/>
        <v>0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4"/>
        <v>0</v>
      </c>
      <c r="AO81" s="47">
        <f t="shared" si="35"/>
        <v>0</v>
      </c>
      <c r="AP81" s="47">
        <f t="shared" si="36"/>
        <v>0</v>
      </c>
      <c r="AQ81">
        <v>2020</v>
      </c>
    </row>
    <row r="82" spans="2:43">
      <c r="B82" s="97" t="s">
        <v>74</v>
      </c>
      <c r="C82" s="100">
        <v>18230611</v>
      </c>
      <c r="D82" s="100" t="s">
        <v>75</v>
      </c>
      <c r="E82" s="38" t="s">
        <v>1624</v>
      </c>
      <c r="F82" s="39" t="s">
        <v>1625</v>
      </c>
      <c r="G82" s="39">
        <v>1</v>
      </c>
      <c r="H82" s="39"/>
      <c r="I82" s="40" t="s">
        <v>248</v>
      </c>
      <c r="J82" s="41">
        <v>10</v>
      </c>
      <c r="K82" s="41">
        <v>0</v>
      </c>
      <c r="L82" s="41"/>
      <c r="M82" s="42">
        <v>0</v>
      </c>
      <c r="N82" s="42">
        <v>0</v>
      </c>
      <c r="O82" s="43">
        <v>0</v>
      </c>
      <c r="P82" s="44">
        <v>152.88</v>
      </c>
      <c r="Q82" s="44">
        <v>152.88</v>
      </c>
      <c r="R82" s="45">
        <v>0</v>
      </c>
      <c r="S82" s="46">
        <v>0</v>
      </c>
      <c r="T82" s="39">
        <f t="shared" si="19"/>
        <v>1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22">
        <f t="shared" si="37"/>
        <v>157.69766930746496</v>
      </c>
      <c r="AB82" s="51">
        <f t="shared" si="26"/>
        <v>0</v>
      </c>
      <c r="AC82" s="44">
        <f t="shared" si="27"/>
        <v>147.42233271708417</v>
      </c>
      <c r="AD82" s="44">
        <f t="shared" si="28"/>
        <v>0</v>
      </c>
      <c r="AE82" s="44">
        <f t="shared" si="29"/>
        <v>0</v>
      </c>
      <c r="AF82" s="52">
        <f>HLOOKUP(I82,ElecAvoidedCostsWOCC!$A$5:$Q$50,G82+1,FALSE)</f>
        <v>8.6279755452712409E-2</v>
      </c>
      <c r="AG82" s="44">
        <f t="shared" si="30"/>
        <v>0</v>
      </c>
      <c r="AH82" s="52">
        <f>HLOOKUP(I82,ElecAvoidedCostsWOCC!$A$5:$Q$50,T82+1,FALSE)</f>
        <v>8.6279755452712409E-2</v>
      </c>
      <c r="AI82" s="44">
        <f t="shared" si="31"/>
        <v>0</v>
      </c>
      <c r="AJ82" s="44">
        <f t="shared" si="32"/>
        <v>0</v>
      </c>
      <c r="AK82" s="44">
        <f>HLOOKUP(I82,ElecAvoidedCostsWOCC!$A$5:$Q$50,G82+1,FALSE)*J82*L82</f>
        <v>0</v>
      </c>
      <c r="AL82" s="44">
        <f t="shared" si="33"/>
        <v>0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4"/>
        <v>0</v>
      </c>
      <c r="AO82" s="47">
        <f t="shared" si="35"/>
        <v>0</v>
      </c>
      <c r="AP82" s="47">
        <f t="shared" si="36"/>
        <v>0</v>
      </c>
      <c r="AQ82">
        <v>2020</v>
      </c>
    </row>
    <row r="83" spans="2:43">
      <c r="B83" s="97" t="s">
        <v>74</v>
      </c>
      <c r="C83" s="100">
        <v>18230611</v>
      </c>
      <c r="D83" s="100" t="s">
        <v>75</v>
      </c>
      <c r="E83" s="38" t="s">
        <v>1626</v>
      </c>
      <c r="F83" s="39" t="s">
        <v>1627</v>
      </c>
      <c r="G83" s="39">
        <v>1</v>
      </c>
      <c r="H83" s="39"/>
      <c r="I83" s="40" t="s">
        <v>248</v>
      </c>
      <c r="J83" s="41">
        <v>38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580.94000000000005</v>
      </c>
      <c r="Q83" s="44">
        <v>580.94000000000005</v>
      </c>
      <c r="R83" s="45">
        <v>0</v>
      </c>
      <c r="S83" s="46">
        <v>0</v>
      </c>
      <c r="T83" s="39">
        <f t="shared" si="19"/>
        <v>1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22">
        <f t="shared" si="37"/>
        <v>599.24701731736468</v>
      </c>
      <c r="AB83" s="51">
        <f t="shared" si="26"/>
        <v>0</v>
      </c>
      <c r="AC83" s="44">
        <f t="shared" si="27"/>
        <v>560.20100712102897</v>
      </c>
      <c r="AD83" s="44">
        <f t="shared" si="28"/>
        <v>0</v>
      </c>
      <c r="AE83" s="44">
        <f t="shared" si="29"/>
        <v>0</v>
      </c>
      <c r="AF83" s="52">
        <f>HLOOKUP(I83,ElecAvoidedCostsWOCC!$A$5:$Q$50,G83+1,FALSE)</f>
        <v>8.6279755452712409E-2</v>
      </c>
      <c r="AG83" s="44">
        <f t="shared" si="30"/>
        <v>0</v>
      </c>
      <c r="AH83" s="52">
        <f>HLOOKUP(I83,ElecAvoidedCostsWOCC!$A$5:$Q$50,T83+1,FALSE)</f>
        <v>8.6279755452712409E-2</v>
      </c>
      <c r="AI83" s="44">
        <f t="shared" si="31"/>
        <v>0</v>
      </c>
      <c r="AJ83" s="44">
        <f t="shared" si="32"/>
        <v>0</v>
      </c>
      <c r="AK83" s="44">
        <f>HLOOKUP(I83,ElecAvoidedCostsWOCC!$A$5:$Q$50,G83+1,FALSE)*J83*L83</f>
        <v>0</v>
      </c>
      <c r="AL83" s="44">
        <f t="shared" si="3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4"/>
        <v>0</v>
      </c>
      <c r="AO83" s="47">
        <f t="shared" si="35"/>
        <v>0</v>
      </c>
      <c r="AP83" s="47">
        <f t="shared" si="36"/>
        <v>0</v>
      </c>
      <c r="AQ83">
        <v>2020</v>
      </c>
    </row>
    <row r="84" spans="2:43">
      <c r="B84" s="97" t="s">
        <v>74</v>
      </c>
      <c r="C84" s="100">
        <v>18230611</v>
      </c>
      <c r="D84" s="100" t="s">
        <v>75</v>
      </c>
      <c r="E84" s="38" t="s">
        <v>1630</v>
      </c>
      <c r="F84" s="39" t="s">
        <v>1631</v>
      </c>
      <c r="G84" s="39">
        <v>15</v>
      </c>
      <c r="H84" s="39"/>
      <c r="I84" s="40" t="s">
        <v>266</v>
      </c>
      <c r="J84" s="41">
        <v>55</v>
      </c>
      <c r="K84" s="41">
        <v>1300</v>
      </c>
      <c r="L84" s="41"/>
      <c r="M84" s="42">
        <v>3758.92</v>
      </c>
      <c r="N84" s="42">
        <v>3758.92</v>
      </c>
      <c r="O84" s="43">
        <v>71500</v>
      </c>
      <c r="P84" s="44">
        <v>268762.78999999998</v>
      </c>
      <c r="Q84" s="44">
        <v>268762.78999999998</v>
      </c>
      <c r="R84" s="45">
        <v>0</v>
      </c>
      <c r="S84" s="46">
        <v>0</v>
      </c>
      <c r="T84" s="39">
        <f t="shared" si="19"/>
        <v>15</v>
      </c>
      <c r="U84" s="47">
        <f t="shared" si="20"/>
        <v>0.46471041333363311</v>
      </c>
      <c r="V84" s="48">
        <f t="shared" si="21"/>
        <v>0</v>
      </c>
      <c r="W84" s="49">
        <f t="shared" si="22"/>
        <v>3.0980694222242207E-2</v>
      </c>
      <c r="X84" s="44">
        <f t="shared" si="23"/>
        <v>8234.9290719103919</v>
      </c>
      <c r="Y84" s="44">
        <f t="shared" si="24"/>
        <v>0</v>
      </c>
      <c r="Z84" s="44">
        <f t="shared" si="25"/>
        <v>220743.79179926633</v>
      </c>
      <c r="AA84" s="522">
        <f t="shared" si="37"/>
        <v>285467.17383624613</v>
      </c>
      <c r="AB84" s="51">
        <f t="shared" si="26"/>
        <v>206360.46723311799</v>
      </c>
      <c r="AC84" s="44">
        <f t="shared" si="27"/>
        <v>266866.57365265599</v>
      </c>
      <c r="AD84" s="44">
        <f t="shared" si="28"/>
        <v>0</v>
      </c>
      <c r="AE84" s="44">
        <f t="shared" si="29"/>
        <v>0</v>
      </c>
      <c r="AF84" s="52">
        <f>HLOOKUP(I84,ElecAvoidedCostsWOCC!$A$5:$Q$50,G84+1,FALSE)</f>
        <v>1.3961506916040443</v>
      </c>
      <c r="AG84" s="44">
        <f t="shared" si="30"/>
        <v>99824.774449689168</v>
      </c>
      <c r="AH84" s="52">
        <f>HLOOKUP(I84,ElecAvoidedCostsWOCC!$A$5:$Q$50,T84+1,FALSE)</f>
        <v>1.3961506916040443</v>
      </c>
      <c r="AI84" s="44">
        <f t="shared" si="31"/>
        <v>0</v>
      </c>
      <c r="AJ84" s="44">
        <f t="shared" si="32"/>
        <v>99824.774449689168</v>
      </c>
      <c r="AK84" s="44">
        <f>HLOOKUP(I84,ElecAvoidedCostsWOCC!$A$5:$Q$50,G84+1,FALSE)*J84*L84</f>
        <v>0</v>
      </c>
      <c r="AL84" s="44">
        <f t="shared" si="33"/>
        <v>99824.774449689168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99824.774449689168</v>
      </c>
      <c r="AN84" s="48">
        <f t="shared" si="34"/>
        <v>109807.2518946581</v>
      </c>
      <c r="AO84" s="47">
        <f t="shared" si="35"/>
        <v>0.48373981600323046</v>
      </c>
      <c r="AP84" s="47">
        <f t="shared" si="36"/>
        <v>0.41146873657387789</v>
      </c>
      <c r="AQ84">
        <v>2020</v>
      </c>
    </row>
    <row r="85" spans="2:43">
      <c r="B85" s="97" t="s">
        <v>74</v>
      </c>
      <c r="C85" s="100">
        <v>18230611</v>
      </c>
      <c r="D85" s="100" t="s">
        <v>75</v>
      </c>
      <c r="E85" s="38" t="s">
        <v>2540</v>
      </c>
      <c r="F85" s="39" t="s">
        <v>2541</v>
      </c>
      <c r="G85" s="39">
        <v>15</v>
      </c>
      <c r="H85" s="39"/>
      <c r="I85" s="40" t="s">
        <v>267</v>
      </c>
      <c r="J85" s="41">
        <v>38</v>
      </c>
      <c r="K85" s="41">
        <v>266.21052631578948</v>
      </c>
      <c r="L85" s="41"/>
      <c r="M85" s="42"/>
      <c r="N85" s="42"/>
      <c r="O85" s="43">
        <v>10116</v>
      </c>
      <c r="P85" s="44">
        <v>0</v>
      </c>
      <c r="Q85" s="44">
        <v>0</v>
      </c>
      <c r="R85" s="45"/>
      <c r="S85" s="46"/>
      <c r="T85" s="39">
        <f t="shared" si="19"/>
        <v>15</v>
      </c>
      <c r="U85" s="47">
        <f t="shared" si="20"/>
        <v>6.5748399178783681E-2</v>
      </c>
      <c r="V85" s="48">
        <f t="shared" si="21"/>
        <v>0</v>
      </c>
      <c r="W85" s="49">
        <f t="shared" si="22"/>
        <v>4.3832266119189119E-3</v>
      </c>
      <c r="X85" s="44">
        <f t="shared" si="23"/>
        <v>1165.0984963838537</v>
      </c>
      <c r="Y85" s="44">
        <f t="shared" si="24"/>
        <v>0</v>
      </c>
      <c r="Z85" s="44">
        <f t="shared" si="25"/>
        <v>31231.387382396901</v>
      </c>
      <c r="AA85" s="522">
        <f t="shared" si="37"/>
        <v>1165.0984963838537</v>
      </c>
      <c r="AB85" s="51">
        <f t="shared" si="26"/>
        <v>29196.398413010094</v>
      </c>
      <c r="AC85" s="44">
        <f t="shared" si="27"/>
        <v>1089.1824776889348</v>
      </c>
      <c r="AD85" s="44">
        <f t="shared" si="28"/>
        <v>0</v>
      </c>
      <c r="AE85" s="44">
        <f t="shared" si="29"/>
        <v>0</v>
      </c>
      <c r="AF85" s="52">
        <f>HLOOKUP(I85,ElecAvoidedCostsWOCC!$A$5:$Q$50,G85+1,FALSE)</f>
        <v>1.3893373920773078</v>
      </c>
      <c r="AG85" s="44">
        <f t="shared" si="30"/>
        <v>14054.537058254045</v>
      </c>
      <c r="AH85" s="52">
        <f>HLOOKUP(I85,ElecAvoidedCostsWOCC!$A$5:$Q$50,T85+1,FALSE)</f>
        <v>1.3893373920773078</v>
      </c>
      <c r="AI85" s="44">
        <f t="shared" si="31"/>
        <v>0</v>
      </c>
      <c r="AJ85" s="44">
        <f t="shared" si="32"/>
        <v>14054.537058254045</v>
      </c>
      <c r="AK85" s="44">
        <f>HLOOKUP(I85,ElecAvoidedCostsWOCC!$A$5:$Q$50,G85+1,FALSE)*J85*L85</f>
        <v>0</v>
      </c>
      <c r="AL85" s="44">
        <f t="shared" si="33"/>
        <v>14054.537058254045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14054.537058254045</v>
      </c>
      <c r="AN85" s="48">
        <f t="shared" si="34"/>
        <v>15459.990764079452</v>
      </c>
      <c r="AO85" s="47">
        <f t="shared" si="35"/>
        <v>0.4813791365441587</v>
      </c>
      <c r="AP85" s="47">
        <f t="shared" si="36"/>
        <v>14.194123648484501</v>
      </c>
      <c r="AQ85">
        <v>2020</v>
      </c>
    </row>
    <row r="86" spans="2:43">
      <c r="B86" s="97" t="s">
        <v>74</v>
      </c>
      <c r="C86" s="100">
        <v>18230611</v>
      </c>
      <c r="D86" s="100" t="s">
        <v>75</v>
      </c>
      <c r="E86" s="38" t="s">
        <v>2542</v>
      </c>
      <c r="F86" s="39" t="s">
        <v>2543</v>
      </c>
      <c r="G86" s="39">
        <v>1</v>
      </c>
      <c r="H86" s="39"/>
      <c r="I86" s="40" t="s">
        <v>269</v>
      </c>
      <c r="J86" s="41">
        <v>1</v>
      </c>
      <c r="K86" s="41">
        <v>0</v>
      </c>
      <c r="L86" s="41"/>
      <c r="M86" s="42"/>
      <c r="N86" s="42"/>
      <c r="O86" s="43">
        <v>8444</v>
      </c>
      <c r="P86" s="44">
        <v>9395.1</v>
      </c>
      <c r="Q86" s="44">
        <v>9395.1</v>
      </c>
      <c r="R86" s="45">
        <v>0</v>
      </c>
      <c r="S86" s="46">
        <v>0</v>
      </c>
      <c r="T86" s="39">
        <f t="shared" si="19"/>
        <v>1</v>
      </c>
      <c r="U86" s="47">
        <f t="shared" si="20"/>
        <v>3.6587549931834016E-3</v>
      </c>
      <c r="V86" s="48">
        <f t="shared" si="21"/>
        <v>0</v>
      </c>
      <c r="W86" s="49">
        <f t="shared" si="22"/>
        <v>3.6587549931834016E-3</v>
      </c>
      <c r="X86" s="44">
        <f t="shared" si="23"/>
        <v>972.52784731764132</v>
      </c>
      <c r="Y86" s="44">
        <f t="shared" si="24"/>
        <v>0</v>
      </c>
      <c r="Z86" s="44">
        <f t="shared" si="25"/>
        <v>26069.378712629441</v>
      </c>
      <c r="AA86" s="522">
        <f t="shared" si="37"/>
        <v>10663.693290217721</v>
      </c>
      <c r="AB86" s="51">
        <f t="shared" si="26"/>
        <v>24370.738256174103</v>
      </c>
      <c r="AC86" s="44">
        <f t="shared" si="27"/>
        <v>9968.8635039896417</v>
      </c>
      <c r="AD86" s="44">
        <f t="shared" si="28"/>
        <v>0</v>
      </c>
      <c r="AE86" s="44">
        <f t="shared" si="29"/>
        <v>0</v>
      </c>
      <c r="AF86" s="52">
        <f>HLOOKUP(I86,ElecAvoidedCostsWOCC!$A$5:$Q$50,G86+1,FALSE)</f>
        <v>0.11346597036450218</v>
      </c>
      <c r="AG86" s="44">
        <f t="shared" si="30"/>
        <v>0</v>
      </c>
      <c r="AH86" s="52">
        <f>HLOOKUP(I86,ElecAvoidedCostsWOCC!$A$5:$Q$50,T86+1,FALSE)</f>
        <v>0.11346597036450218</v>
      </c>
      <c r="AI86" s="44">
        <f t="shared" si="31"/>
        <v>0</v>
      </c>
      <c r="AJ86" s="44">
        <f t="shared" si="32"/>
        <v>0</v>
      </c>
      <c r="AK86" s="44">
        <f>HLOOKUP(I86,ElecAvoidedCostsWOCC!$A$5:$Q$50,G86+1,FALSE)*J86*L86</f>
        <v>0</v>
      </c>
      <c r="AL86" s="44">
        <f t="shared" si="33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4"/>
        <v>0</v>
      </c>
      <c r="AO86" s="47">
        <f t="shared" si="35"/>
        <v>0</v>
      </c>
      <c r="AP86" s="47">
        <f t="shared" si="36"/>
        <v>0</v>
      </c>
      <c r="AQ86">
        <v>2020</v>
      </c>
    </row>
    <row r="87" spans="2:43">
      <c r="B87" s="97" t="s">
        <v>74</v>
      </c>
      <c r="C87" s="100">
        <v>18230611</v>
      </c>
      <c r="D87" s="100" t="s">
        <v>75</v>
      </c>
      <c r="E87" s="38" t="s">
        <v>2544</v>
      </c>
      <c r="F87" s="39" t="s">
        <v>1635</v>
      </c>
      <c r="G87" s="39">
        <v>25</v>
      </c>
      <c r="H87" s="39"/>
      <c r="I87" s="40" t="s">
        <v>269</v>
      </c>
      <c r="J87" s="41">
        <v>4912</v>
      </c>
      <c r="K87" s="41">
        <v>0.63</v>
      </c>
      <c r="L87" s="41"/>
      <c r="M87" s="42">
        <v>1.55</v>
      </c>
      <c r="N87" s="42">
        <v>1.55</v>
      </c>
      <c r="O87" s="43">
        <v>3094.56</v>
      </c>
      <c r="P87" s="44">
        <v>11838.18</v>
      </c>
      <c r="Q87" s="44">
        <v>11838.18</v>
      </c>
      <c r="R87" s="45">
        <v>0</v>
      </c>
      <c r="S87" s="46">
        <v>0</v>
      </c>
      <c r="T87" s="39">
        <f t="shared" si="19"/>
        <v>25</v>
      </c>
      <c r="U87" s="47">
        <f t="shared" si="20"/>
        <v>3.3521544444888758E-2</v>
      </c>
      <c r="V87" s="48">
        <f t="shared" si="21"/>
        <v>0</v>
      </c>
      <c r="W87" s="49">
        <f t="shared" si="22"/>
        <v>1.3408617777955502E-3</v>
      </c>
      <c r="X87" s="44">
        <f t="shared" si="23"/>
        <v>356.41233718560869</v>
      </c>
      <c r="Y87" s="44">
        <f t="shared" si="24"/>
        <v>0</v>
      </c>
      <c r="Z87" s="44">
        <f t="shared" si="25"/>
        <v>9553.9148021026249</v>
      </c>
      <c r="AA87" s="522">
        <f t="shared" si="37"/>
        <v>12567.645950753413</v>
      </c>
      <c r="AB87" s="51">
        <f t="shared" si="26"/>
        <v>8931.3964682645819</v>
      </c>
      <c r="AC87" s="44">
        <f t="shared" si="27"/>
        <v>11748.757549549791</v>
      </c>
      <c r="AD87" s="44">
        <f t="shared" si="28"/>
        <v>0</v>
      </c>
      <c r="AE87" s="44">
        <f t="shared" si="29"/>
        <v>0</v>
      </c>
      <c r="AF87" s="52">
        <f>HLOOKUP(I87,ElecAvoidedCostsWOCC!$A$5:$Q$50,G87+1,FALSE)</f>
        <v>2.0508206305871441</v>
      </c>
      <c r="AG87" s="44">
        <f t="shared" si="30"/>
        <v>6346.3874905897528</v>
      </c>
      <c r="AH87" s="52">
        <f>HLOOKUP(I87,ElecAvoidedCostsWOCC!$A$5:$Q$50,T87+1,FALSE)</f>
        <v>2.0508206305871441</v>
      </c>
      <c r="AI87" s="44">
        <f t="shared" si="31"/>
        <v>0</v>
      </c>
      <c r="AJ87" s="44">
        <f t="shared" si="32"/>
        <v>6346.3874905897528</v>
      </c>
      <c r="AK87" s="44">
        <f>HLOOKUP(I87,ElecAvoidedCostsWOCC!$A$5:$Q$50,G87+1,FALSE)*J87*L87</f>
        <v>0</v>
      </c>
      <c r="AL87" s="44">
        <f t="shared" si="33"/>
        <v>6346.3874905897528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6346.3874905897519</v>
      </c>
      <c r="AN87" s="48">
        <f t="shared" si="34"/>
        <v>6981.0262396487278</v>
      </c>
      <c r="AO87" s="47">
        <f t="shared" si="35"/>
        <v>0.71057057125836998</v>
      </c>
      <c r="AP87" s="47">
        <f t="shared" si="36"/>
        <v>0.59419272295020154</v>
      </c>
      <c r="AQ87">
        <v>2020</v>
      </c>
    </row>
    <row r="88" spans="2:43">
      <c r="B88" s="97" t="s">
        <v>74</v>
      </c>
      <c r="C88" s="100">
        <v>18230611</v>
      </c>
      <c r="D88" s="100" t="s">
        <v>75</v>
      </c>
      <c r="E88" s="38" t="s">
        <v>1640</v>
      </c>
      <c r="F88" s="39" t="s">
        <v>1641</v>
      </c>
      <c r="G88" s="39">
        <v>13</v>
      </c>
      <c r="H88" s="39"/>
      <c r="I88" s="40" t="s">
        <v>265</v>
      </c>
      <c r="J88" s="41">
        <v>1</v>
      </c>
      <c r="K88" s="41">
        <v>1225</v>
      </c>
      <c r="L88" s="41"/>
      <c r="M88" s="42">
        <v>1369</v>
      </c>
      <c r="N88" s="42">
        <v>1369</v>
      </c>
      <c r="O88" s="43">
        <v>1225</v>
      </c>
      <c r="P88" s="44">
        <v>1779.7</v>
      </c>
      <c r="Q88" s="44">
        <v>1779.7</v>
      </c>
      <c r="R88" s="45"/>
      <c r="S88" s="46"/>
      <c r="T88" s="39">
        <f t="shared" si="19"/>
        <v>13</v>
      </c>
      <c r="U88" s="47">
        <f t="shared" si="20"/>
        <v>6.9002455313175821E-3</v>
      </c>
      <c r="V88" s="48">
        <f t="shared" si="21"/>
        <v>0</v>
      </c>
      <c r="W88" s="49">
        <f t="shared" si="22"/>
        <v>5.3078811779366016E-4</v>
      </c>
      <c r="X88" s="44">
        <f t="shared" si="23"/>
        <v>141.08794563762561</v>
      </c>
      <c r="Y88" s="44">
        <f t="shared" si="24"/>
        <v>0</v>
      </c>
      <c r="Z88" s="44">
        <f t="shared" si="25"/>
        <v>3781.9740553021152</v>
      </c>
      <c r="AA88" s="522">
        <f t="shared" si="37"/>
        <v>1976.8711878308191</v>
      </c>
      <c r="AB88" s="51">
        <f t="shared" si="26"/>
        <v>3535.546466581392</v>
      </c>
      <c r="AC88" s="44">
        <f t="shared" si="27"/>
        <v>1848.0613142290538</v>
      </c>
      <c r="AD88" s="44">
        <f t="shared" si="28"/>
        <v>0</v>
      </c>
      <c r="AE88" s="44">
        <f t="shared" si="29"/>
        <v>0</v>
      </c>
      <c r="AF88" s="52">
        <f>HLOOKUP(I88,ElecAvoidedCostsWOCC!$A$5:$Q$50,G88+1,FALSE)</f>
        <v>0.95298626106018935</v>
      </c>
      <c r="AG88" s="44">
        <f t="shared" si="30"/>
        <v>1167.4081697987319</v>
      </c>
      <c r="AH88" s="52">
        <f>HLOOKUP(I88,ElecAvoidedCostsWOCC!$A$5:$Q$50,T88+1,FALSE)</f>
        <v>0.95298626106018935</v>
      </c>
      <c r="AI88" s="44">
        <f t="shared" si="31"/>
        <v>0</v>
      </c>
      <c r="AJ88" s="44">
        <f t="shared" si="32"/>
        <v>1167.4081697987319</v>
      </c>
      <c r="AK88" s="44">
        <f>HLOOKUP(I88,ElecAvoidedCostsWOCC!$A$5:$Q$50,G88+1,FALSE)*J88*L88</f>
        <v>0</v>
      </c>
      <c r="AL88" s="44">
        <f t="shared" si="33"/>
        <v>1167.4081697987319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1167.4081697987319</v>
      </c>
      <c r="AN88" s="48">
        <f t="shared" si="34"/>
        <v>1284.1489867786051</v>
      </c>
      <c r="AO88" s="47">
        <f t="shared" si="35"/>
        <v>0.33019172024276294</v>
      </c>
      <c r="AP88" s="47">
        <f t="shared" si="36"/>
        <v>0.69486276071652253</v>
      </c>
      <c r="AQ88">
        <v>2020</v>
      </c>
    </row>
    <row r="89" spans="2:43">
      <c r="B89" s="97" t="s">
        <v>74</v>
      </c>
      <c r="C89" s="100">
        <v>18230611</v>
      </c>
      <c r="D89" s="100" t="s">
        <v>75</v>
      </c>
      <c r="E89" s="38" t="s">
        <v>2545</v>
      </c>
      <c r="F89" s="39" t="s">
        <v>2546</v>
      </c>
      <c r="G89" s="39">
        <v>1</v>
      </c>
      <c r="H89" s="39"/>
      <c r="I89" s="40" t="s">
        <v>269</v>
      </c>
      <c r="J89" s="41">
        <v>5</v>
      </c>
      <c r="K89" s="41">
        <v>0</v>
      </c>
      <c r="L89" s="41"/>
      <c r="M89" s="42"/>
      <c r="N89" s="42"/>
      <c r="O89" s="43">
        <v>41975</v>
      </c>
      <c r="P89" s="44">
        <v>49345.83</v>
      </c>
      <c r="Q89" s="44">
        <v>49705.83</v>
      </c>
      <c r="R89" s="45">
        <v>0</v>
      </c>
      <c r="S89" s="46">
        <v>0</v>
      </c>
      <c r="T89" s="39">
        <f t="shared" ref="T89:T151" si="38">G89+H89</f>
        <v>1</v>
      </c>
      <c r="U89" s="47">
        <f t="shared" ref="U89:U151" si="39">(O89/$A$10)*T89</f>
        <v>1.8187617342358273E-2</v>
      </c>
      <c r="V89" s="48">
        <f t="shared" ref="V89:V151" si="40">N89-M89</f>
        <v>0</v>
      </c>
      <c r="W89" s="49">
        <f t="shared" ref="W89:W151" si="41">(O89/A$10)</f>
        <v>1.8187617342358273E-2</v>
      </c>
      <c r="X89" s="44">
        <f t="shared" ref="X89:X151" si="42">W89*A$8</f>
        <v>4834.421647460681</v>
      </c>
      <c r="Y89" s="44">
        <f t="shared" ref="Y89:Y151" si="43">Q89-P89</f>
        <v>360</v>
      </c>
      <c r="Z89" s="44">
        <f t="shared" ref="Z89:Z151" si="44">X89+(A$6*W89)</f>
        <v>129590.49875208676</v>
      </c>
      <c r="AA89" s="522">
        <f t="shared" si="37"/>
        <v>56106.619070230641</v>
      </c>
      <c r="AB89" s="51">
        <f t="shared" ref="AB89:AB151" si="45">Z89/(1+ElecDiscountRate)^1</f>
        <v>121146.58198755422</v>
      </c>
      <c r="AC89" s="44">
        <f t="shared" ref="AC89:AC151" si="46">AA89/(1+ElecDiscountRate)^1</f>
        <v>52450.798420333398</v>
      </c>
      <c r="AD89" s="44">
        <f t="shared" ref="AD89:AD151" si="47">-PV(ElecDiscountRate,T89,R89)*J89</f>
        <v>0</v>
      </c>
      <c r="AE89" s="44">
        <f t="shared" ref="AE89:AE151" si="48">-PV(ElecDiscountRate,T89,S89)*J89</f>
        <v>0</v>
      </c>
      <c r="AF89" s="52">
        <f>HLOOKUP(I89,ElecAvoidedCostsWOCC!$A$5:$Q$50,G89+1,FALSE)</f>
        <v>0.11346597036450218</v>
      </c>
      <c r="AG89" s="44">
        <f t="shared" ref="AG89:AG151" si="49">AF89*J89*K89</f>
        <v>0</v>
      </c>
      <c r="AH89" s="52">
        <f>HLOOKUP(I89,ElecAvoidedCostsWOCC!$A$5:$Q$50,T89+1,FALSE)</f>
        <v>0.11346597036450218</v>
      </c>
      <c r="AI89" s="44">
        <f t="shared" ref="AI89:AI151" si="50">AH89*J89*L89</f>
        <v>0</v>
      </c>
      <c r="AJ89" s="44">
        <f t="shared" ref="AJ89:AJ151" si="51">AG89+AI89</f>
        <v>0</v>
      </c>
      <c r="AK89" s="44">
        <f>HLOOKUP(I89,ElecAvoidedCostsWOCC!$A$5:$Q$50,G89+1,FALSE)*J89*L89</f>
        <v>0</v>
      </c>
      <c r="AL89" s="44">
        <f t="shared" ref="AL89:AL151" si="52">AG89+AI89-AK89</f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ref="AN89:AN151" si="53">AM89*1.1+AD89+AE89</f>
        <v>0</v>
      </c>
      <c r="AO89" s="47">
        <f t="shared" ref="AO89:AO151" si="54">IFERROR(AM89/AB89,0)</f>
        <v>0</v>
      </c>
      <c r="AP89" s="47">
        <f t="shared" ref="AP89:AP151" si="55">AN89/AC89</f>
        <v>0</v>
      </c>
      <c r="AQ89">
        <v>2020</v>
      </c>
    </row>
    <row r="90" spans="2:43">
      <c r="B90" s="97" t="s">
        <v>74</v>
      </c>
      <c r="C90" s="100">
        <v>18230611</v>
      </c>
      <c r="D90" s="100" t="s">
        <v>75</v>
      </c>
      <c r="E90" s="38" t="s">
        <v>2551</v>
      </c>
      <c r="F90" s="39" t="s">
        <v>2552</v>
      </c>
      <c r="G90" s="39">
        <v>11</v>
      </c>
      <c r="H90" s="39"/>
      <c r="I90" s="40" t="s">
        <v>269</v>
      </c>
      <c r="J90" s="41">
        <v>1</v>
      </c>
      <c r="K90" s="41">
        <v>502</v>
      </c>
      <c r="L90" s="41"/>
      <c r="M90" s="42">
        <v>400</v>
      </c>
      <c r="N90" s="42">
        <v>400</v>
      </c>
      <c r="O90" s="43">
        <v>502</v>
      </c>
      <c r="P90" s="44">
        <v>422.37</v>
      </c>
      <c r="Q90" s="44">
        <v>422.37</v>
      </c>
      <c r="R90" s="45">
        <v>0</v>
      </c>
      <c r="S90" s="46"/>
      <c r="T90" s="39">
        <f t="shared" si="38"/>
        <v>11</v>
      </c>
      <c r="U90" s="47">
        <f t="shared" si="39"/>
        <v>2.3926628460870136E-3</v>
      </c>
      <c r="V90" s="48">
        <f t="shared" si="40"/>
        <v>0</v>
      </c>
      <c r="W90" s="49">
        <f t="shared" si="41"/>
        <v>2.1751480418972851E-4</v>
      </c>
      <c r="X90" s="44">
        <f t="shared" si="42"/>
        <v>57.817264253133104</v>
      </c>
      <c r="Y90" s="44">
        <f t="shared" si="43"/>
        <v>0</v>
      </c>
      <c r="Z90" s="44">
        <f t="shared" si="44"/>
        <v>1549.8375312340099</v>
      </c>
      <c r="AA90" s="522">
        <f t="shared" si="37"/>
        <v>493.49730471227741</v>
      </c>
      <c r="AB90" s="51">
        <f t="shared" si="45"/>
        <v>1448.8525112031502</v>
      </c>
      <c r="AC90" s="44">
        <f t="shared" si="46"/>
        <v>461.34178247385</v>
      </c>
      <c r="AD90" s="44">
        <f t="shared" si="47"/>
        <v>0</v>
      </c>
      <c r="AE90" s="44">
        <f t="shared" si="48"/>
        <v>0</v>
      </c>
      <c r="AF90" s="52">
        <f>HLOOKUP(I90,ElecAvoidedCostsWOCC!$A$5:$Q$50,G90+1,FALSE)</f>
        <v>1.0685556528500126</v>
      </c>
      <c r="AG90" s="44">
        <f t="shared" si="49"/>
        <v>536.41493773070636</v>
      </c>
      <c r="AH90" s="52">
        <f>HLOOKUP(I90,ElecAvoidedCostsWOCC!$A$5:$Q$50,T90+1,FALSE)</f>
        <v>1.0685556528500126</v>
      </c>
      <c r="AI90" s="44">
        <f t="shared" si="50"/>
        <v>0</v>
      </c>
      <c r="AJ90" s="44">
        <f t="shared" si="51"/>
        <v>536.41493773070636</v>
      </c>
      <c r="AK90" s="44">
        <f>HLOOKUP(I90,ElecAvoidedCostsWOCC!$A$5:$Q$50,G90+1,FALSE)*J90*L90</f>
        <v>0</v>
      </c>
      <c r="AL90" s="44">
        <f t="shared" si="52"/>
        <v>536.41493773070636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536.41493773070636</v>
      </c>
      <c r="AN90" s="48">
        <f t="shared" si="53"/>
        <v>590.05643150377705</v>
      </c>
      <c r="AO90" s="47">
        <f t="shared" si="54"/>
        <v>0.37023432929364136</v>
      </c>
      <c r="AP90" s="47">
        <f t="shared" si="55"/>
        <v>1.279000632328859</v>
      </c>
      <c r="AQ90">
        <v>2020</v>
      </c>
    </row>
    <row r="91" spans="2:43">
      <c r="B91" s="97" t="s">
        <v>2569</v>
      </c>
      <c r="C91" s="100">
        <v>18230610</v>
      </c>
      <c r="D91" s="100" t="s">
        <v>75</v>
      </c>
      <c r="E91" s="38" t="s">
        <v>2553</v>
      </c>
      <c r="F91" s="39" t="s">
        <v>2554</v>
      </c>
      <c r="G91" s="39"/>
      <c r="H91" s="39"/>
      <c r="I91" s="40" t="s">
        <v>269</v>
      </c>
      <c r="J91" s="41">
        <v>6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0</v>
      </c>
      <c r="Q91" s="44">
        <v>0</v>
      </c>
      <c r="R91" s="45">
        <v>0</v>
      </c>
      <c r="S91" s="46">
        <v>0</v>
      </c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22">
        <f t="shared" si="37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str">
        <f>HLOOKUP(I91,ElecAvoidedCostsWOCC!$A$5:$Q$50,G91+1,FALSE)</f>
        <v>SF Space Heat</v>
      </c>
      <c r="AG91" s="44" t="e">
        <f t="shared" si="49"/>
        <v>#VALUE!</v>
      </c>
      <c r="AH91" s="52" t="str">
        <f>HLOOKUP(I91,ElecAvoidedCostsWOCC!$A$5:$Q$50,T91+1,FALSE)</f>
        <v>SF Space Heat</v>
      </c>
      <c r="AI91" s="44" t="e">
        <f t="shared" si="50"/>
        <v>#VALUE!</v>
      </c>
      <c r="AJ91" s="44" t="e">
        <f t="shared" si="51"/>
        <v>#VALUE!</v>
      </c>
      <c r="AK91" s="44" t="e">
        <f>HLOOKUP(I91,ElecAvoidedCostsWOCC!$A$5:$Q$50,G91+1,FALSE)*J91*L91</f>
        <v>#VALUE!</v>
      </c>
      <c r="AL91" s="44" t="e">
        <f t="shared" si="52"/>
        <v>#VALUE!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  <c r="AQ91">
        <v>2020</v>
      </c>
    </row>
    <row r="92" spans="2:43">
      <c r="B92" s="97" t="s">
        <v>74</v>
      </c>
      <c r="C92" s="100">
        <v>18230611</v>
      </c>
      <c r="D92" s="100" t="s">
        <v>75</v>
      </c>
      <c r="E92" s="38" t="s">
        <v>1660</v>
      </c>
      <c r="F92" s="39" t="s">
        <v>1661</v>
      </c>
      <c r="G92" s="39">
        <v>41</v>
      </c>
      <c r="H92" s="39"/>
      <c r="I92" s="40" t="s">
        <v>269</v>
      </c>
      <c r="J92" s="41">
        <v>2</v>
      </c>
      <c r="K92" s="41">
        <v>8471</v>
      </c>
      <c r="L92" s="41"/>
      <c r="M92" s="42">
        <v>13500</v>
      </c>
      <c r="N92" s="42">
        <v>75400</v>
      </c>
      <c r="O92" s="43">
        <v>16942</v>
      </c>
      <c r="P92" s="44">
        <v>20892.79</v>
      </c>
      <c r="Q92" s="44">
        <v>20892.79</v>
      </c>
      <c r="R92" s="45">
        <v>25000</v>
      </c>
      <c r="S92" s="46"/>
      <c r="T92" s="39">
        <f t="shared" si="38"/>
        <v>41</v>
      </c>
      <c r="U92" s="47">
        <f t="shared" si="39"/>
        <v>0.30097722772087171</v>
      </c>
      <c r="V92" s="48">
        <f t="shared" si="40"/>
        <v>61900</v>
      </c>
      <c r="W92" s="49">
        <f t="shared" si="41"/>
        <v>7.3409079931919929E-3</v>
      </c>
      <c r="X92" s="44">
        <f t="shared" si="42"/>
        <v>1951.2750816266555</v>
      </c>
      <c r="Y92" s="44">
        <f t="shared" si="43"/>
        <v>0</v>
      </c>
      <c r="Z92" s="44">
        <f t="shared" si="44"/>
        <v>52305.473016268115</v>
      </c>
      <c r="AA92" s="522">
        <f t="shared" si="37"/>
        <v>23502.454361652239</v>
      </c>
      <c r="AB92" s="51">
        <f t="shared" si="45"/>
        <v>48897.329172915874</v>
      </c>
      <c r="AC92" s="44">
        <f t="shared" si="46"/>
        <v>21971.070731655826</v>
      </c>
      <c r="AD92" s="44">
        <f t="shared" si="47"/>
        <v>672070.83666965482</v>
      </c>
      <c r="AE92" s="44">
        <f t="shared" si="48"/>
        <v>0</v>
      </c>
      <c r="AF92" s="52">
        <f>HLOOKUP(I92,ElecAvoidedCostsWOCC!$A$5:$Q$50,G92+1,FALSE)</f>
        <v>3.105274668448097</v>
      </c>
      <c r="AG92" s="44">
        <f t="shared" si="49"/>
        <v>52609.563432847659</v>
      </c>
      <c r="AH92" s="52">
        <f>HLOOKUP(I92,ElecAvoidedCostsWOCC!$A$5:$Q$50,T92+1,FALSE)</f>
        <v>3.105274668448097</v>
      </c>
      <c r="AI92" s="44">
        <f t="shared" si="50"/>
        <v>0</v>
      </c>
      <c r="AJ92" s="44">
        <f t="shared" si="51"/>
        <v>52609.563432847659</v>
      </c>
      <c r="AK92" s="44">
        <f>HLOOKUP(I92,ElecAvoidedCostsWOCC!$A$5:$Q$50,G92+1,FALSE)*J92*L92</f>
        <v>0</v>
      </c>
      <c r="AL92" s="44">
        <f t="shared" si="52"/>
        <v>52609.563432847659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52609.563432847659</v>
      </c>
      <c r="AN92" s="48">
        <f t="shared" si="53"/>
        <v>729941.35644578724</v>
      </c>
      <c r="AO92" s="47">
        <f t="shared" si="54"/>
        <v>1.0759189575938635</v>
      </c>
      <c r="AP92" s="47">
        <f t="shared" si="55"/>
        <v>33.222839494758482</v>
      </c>
      <c r="AQ92">
        <v>2020</v>
      </c>
    </row>
    <row r="93" spans="2:43">
      <c r="B93" s="97" t="s">
        <v>74</v>
      </c>
      <c r="C93" s="100">
        <v>18230611</v>
      </c>
      <c r="D93" s="100" t="s">
        <v>75</v>
      </c>
      <c r="E93" s="38" t="s">
        <v>2560</v>
      </c>
      <c r="F93" s="39" t="s">
        <v>2561</v>
      </c>
      <c r="G93" s="39"/>
      <c r="H93" s="39"/>
      <c r="I93" s="40"/>
      <c r="J93" s="41">
        <v>10</v>
      </c>
      <c r="K93" s="41"/>
      <c r="L93" s="41"/>
      <c r="M93" s="42"/>
      <c r="N93" s="42"/>
      <c r="O93" s="43">
        <v>0</v>
      </c>
      <c r="P93" s="44">
        <v>0</v>
      </c>
      <c r="Q93" s="44">
        <v>0</v>
      </c>
      <c r="R93" s="45">
        <v>0</v>
      </c>
      <c r="S93" s="46">
        <v>0</v>
      </c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22">
        <f t="shared" si="37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HLOOKUP(I93,ElecAvoidedCostsWOCC!$A$5:$Q$50,G93+1,FALSE)</f>
        <v>#N/A</v>
      </c>
      <c r="AG93" s="44" t="e">
        <f t="shared" si="49"/>
        <v>#N/A</v>
      </c>
      <c r="AH93" s="52" t="e">
        <f>HLOOKUP(I93,ElecAvoidedCostsWOCC!$A$5:$Q$50,T93+1,FALSE)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HLOOKUP(I93,ElecAvoidedCostsWOCC!$A$5:$Q$50,G93+1,FALSE)*J93*L93</f>
        <v>#N/A</v>
      </c>
      <c r="AL93" s="44" t="e">
        <f t="shared" si="5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  <c r="AQ93">
        <v>2020</v>
      </c>
    </row>
    <row r="94" spans="2:43">
      <c r="B94" s="97" t="s">
        <v>74</v>
      </c>
      <c r="C94" s="100">
        <v>18230611</v>
      </c>
      <c r="D94" s="100" t="s">
        <v>75</v>
      </c>
      <c r="E94" s="38" t="s">
        <v>2562</v>
      </c>
      <c r="F94" s="39" t="s">
        <v>1673</v>
      </c>
      <c r="G94" s="39">
        <v>15</v>
      </c>
      <c r="H94" s="39"/>
      <c r="I94" s="40" t="s">
        <v>268</v>
      </c>
      <c r="J94" s="41">
        <v>10</v>
      </c>
      <c r="K94" s="41">
        <v>3172</v>
      </c>
      <c r="L94" s="41"/>
      <c r="M94" s="42">
        <v>3060.27</v>
      </c>
      <c r="N94" s="42">
        <v>3060.27</v>
      </c>
      <c r="O94" s="43">
        <v>31720</v>
      </c>
      <c r="P94" s="44">
        <v>37671.14</v>
      </c>
      <c r="Q94" s="44">
        <v>37671.14</v>
      </c>
      <c r="R94" s="45">
        <v>0</v>
      </c>
      <c r="S94" s="46">
        <v>0</v>
      </c>
      <c r="T94" s="39">
        <f t="shared" si="38"/>
        <v>15</v>
      </c>
      <c r="U94" s="47">
        <f t="shared" si="39"/>
        <v>0.20616243791528452</v>
      </c>
      <c r="V94" s="48">
        <f t="shared" si="40"/>
        <v>0</v>
      </c>
      <c r="W94" s="49">
        <f t="shared" si="41"/>
        <v>1.3744162527685634E-2</v>
      </c>
      <c r="X94" s="44">
        <f t="shared" si="42"/>
        <v>3653.3139882657015</v>
      </c>
      <c r="Y94" s="44">
        <f t="shared" si="43"/>
        <v>0</v>
      </c>
      <c r="Z94" s="44">
        <f t="shared" si="44"/>
        <v>97929.973089129067</v>
      </c>
      <c r="AA94" s="522">
        <f t="shared" si="37"/>
        <v>42511.575226852932</v>
      </c>
      <c r="AB94" s="51">
        <f t="shared" si="45"/>
        <v>91549.007281601444</v>
      </c>
      <c r="AC94" s="44">
        <f t="shared" si="46"/>
        <v>39741.586638172317</v>
      </c>
      <c r="AD94" s="44">
        <f t="shared" si="47"/>
        <v>0</v>
      </c>
      <c r="AE94" s="44">
        <f t="shared" si="48"/>
        <v>0</v>
      </c>
      <c r="AF94" s="52">
        <f>HLOOKUP(I94,ElecAvoidedCostsWOCC!$A$5:$Q$50,G94+1,FALSE)</f>
        <v>1.3961506916040443</v>
      </c>
      <c r="AG94" s="44">
        <f t="shared" si="49"/>
        <v>44285.899937680282</v>
      </c>
      <c r="AH94" s="52">
        <f>HLOOKUP(I94,ElecAvoidedCostsWOCC!$A$5:$Q$50,T94+1,FALSE)</f>
        <v>1.3961506916040443</v>
      </c>
      <c r="AI94" s="44">
        <f t="shared" si="50"/>
        <v>0</v>
      </c>
      <c r="AJ94" s="44">
        <f t="shared" si="51"/>
        <v>44285.899937680282</v>
      </c>
      <c r="AK94" s="44">
        <f>HLOOKUP(I94,ElecAvoidedCostsWOCC!$A$5:$Q$50,G94+1,FALSE)*J94*L94</f>
        <v>0</v>
      </c>
      <c r="AL94" s="44">
        <f t="shared" si="52"/>
        <v>44285.899937680282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44285.899937680289</v>
      </c>
      <c r="AN94" s="48">
        <f t="shared" si="53"/>
        <v>48714.489931448319</v>
      </c>
      <c r="AO94" s="47">
        <f t="shared" si="54"/>
        <v>0.48373981600323046</v>
      </c>
      <c r="AP94" s="47">
        <f t="shared" si="55"/>
        <v>1.2257812043331306</v>
      </c>
      <c r="AQ94">
        <v>2020</v>
      </c>
    </row>
    <row r="95" spans="2:43">
      <c r="B95" s="97" t="s">
        <v>74</v>
      </c>
      <c r="C95" s="100">
        <v>18230611</v>
      </c>
      <c r="D95" s="100" t="s">
        <v>75</v>
      </c>
      <c r="E95" s="38" t="s">
        <v>2565</v>
      </c>
      <c r="F95" s="39" t="s">
        <v>2566</v>
      </c>
      <c r="G95" s="39">
        <v>1</v>
      </c>
      <c r="H95" s="39"/>
      <c r="I95" s="40" t="s">
        <v>269</v>
      </c>
      <c r="J95" s="41">
        <v>1</v>
      </c>
      <c r="K95" s="41">
        <v>2579</v>
      </c>
      <c r="L95" s="41"/>
      <c r="M95" s="42">
        <v>4103.58</v>
      </c>
      <c r="N95" s="42">
        <v>4103.58</v>
      </c>
      <c r="O95" s="43">
        <v>2579</v>
      </c>
      <c r="P95" s="44">
        <v>4103.58</v>
      </c>
      <c r="Q95" s="44">
        <v>4103.58</v>
      </c>
      <c r="R95" s="45">
        <v>0</v>
      </c>
      <c r="S95" s="46">
        <v>0</v>
      </c>
      <c r="T95" s="39">
        <f t="shared" si="38"/>
        <v>1</v>
      </c>
      <c r="U95" s="47">
        <f t="shared" si="39"/>
        <v>1.1174714741141629E-3</v>
      </c>
      <c r="V95" s="48">
        <f t="shared" si="40"/>
        <v>0</v>
      </c>
      <c r="W95" s="49">
        <f t="shared" si="41"/>
        <v>1.1174714741141629E-3</v>
      </c>
      <c r="X95" s="44">
        <f t="shared" si="42"/>
        <v>297.03331575464199</v>
      </c>
      <c r="Y95" s="44">
        <f t="shared" si="43"/>
        <v>0</v>
      </c>
      <c r="Z95" s="44">
        <f t="shared" si="44"/>
        <v>7962.213133570739</v>
      </c>
      <c r="AA95" s="522">
        <f t="shared" si="37"/>
        <v>4529.9284087473616</v>
      </c>
      <c r="AB95" s="51">
        <f t="shared" si="45"/>
        <v>7443.4076222966614</v>
      </c>
      <c r="AC95" s="44">
        <f t="shared" si="46"/>
        <v>4234.7652694656081</v>
      </c>
      <c r="AD95" s="44">
        <f t="shared" si="47"/>
        <v>0</v>
      </c>
      <c r="AE95" s="44">
        <f t="shared" si="48"/>
        <v>0</v>
      </c>
      <c r="AF95" s="52">
        <f>HLOOKUP(I95,ElecAvoidedCostsWOCC!$A$5:$Q$50,G95+1,FALSE)</f>
        <v>0.11346597036450218</v>
      </c>
      <c r="AG95" s="44">
        <f t="shared" si="49"/>
        <v>292.6287375700511</v>
      </c>
      <c r="AH95" s="52">
        <f>HLOOKUP(I95,ElecAvoidedCostsWOCC!$A$5:$Q$50,T95+1,FALSE)</f>
        <v>0.11346597036450218</v>
      </c>
      <c r="AI95" s="44">
        <f t="shared" si="50"/>
        <v>0</v>
      </c>
      <c r="AJ95" s="44">
        <f t="shared" si="51"/>
        <v>292.6287375700511</v>
      </c>
      <c r="AK95" s="44">
        <f>HLOOKUP(I95,ElecAvoidedCostsWOCC!$A$5:$Q$50,G95+1,FALSE)*J95*L95</f>
        <v>0</v>
      </c>
      <c r="AL95" s="44">
        <f t="shared" si="52"/>
        <v>292.6287375700511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292.6287375700511</v>
      </c>
      <c r="AN95" s="48">
        <f t="shared" si="53"/>
        <v>321.89161132705624</v>
      </c>
      <c r="AO95" s="47">
        <f t="shared" si="54"/>
        <v>3.931381329882893E-2</v>
      </c>
      <c r="AP95" s="47">
        <f t="shared" si="55"/>
        <v>7.6011677352703963E-2</v>
      </c>
      <c r="AQ95">
        <v>2020</v>
      </c>
    </row>
    <row r="96" spans="2:43">
      <c r="B96" s="97" t="s">
        <v>74</v>
      </c>
      <c r="C96" s="100">
        <v>18230611</v>
      </c>
      <c r="D96" s="100" t="s">
        <v>75</v>
      </c>
      <c r="E96" s="38" t="s">
        <v>1682</v>
      </c>
      <c r="F96" s="39" t="s">
        <v>1683</v>
      </c>
      <c r="G96" s="39">
        <v>1</v>
      </c>
      <c r="H96" s="39"/>
      <c r="I96" s="40" t="s">
        <v>269</v>
      </c>
      <c r="J96" s="41">
        <v>12</v>
      </c>
      <c r="K96" s="41">
        <v>3884.5</v>
      </c>
      <c r="L96" s="41"/>
      <c r="M96" s="42">
        <v>6577.2766666666676</v>
      </c>
      <c r="N96" s="42">
        <v>6577.2766666666676</v>
      </c>
      <c r="O96" s="43">
        <v>46614</v>
      </c>
      <c r="P96" s="44">
        <v>78927.320000000007</v>
      </c>
      <c r="Q96" s="44">
        <v>78927.320000000007</v>
      </c>
      <c r="R96" s="45">
        <v>0</v>
      </c>
      <c r="S96" s="46">
        <v>0</v>
      </c>
      <c r="T96" s="39">
        <f t="shared" si="38"/>
        <v>1</v>
      </c>
      <c r="U96" s="47">
        <f t="shared" si="39"/>
        <v>2.0197679447211164E-2</v>
      </c>
      <c r="V96" s="48">
        <f t="shared" si="40"/>
        <v>0</v>
      </c>
      <c r="W96" s="49">
        <f t="shared" si="41"/>
        <v>2.0197679447211164E-2</v>
      </c>
      <c r="X96" s="44">
        <f t="shared" si="42"/>
        <v>5368.7130595528815</v>
      </c>
      <c r="Y96" s="44">
        <f t="shared" si="43"/>
        <v>0</v>
      </c>
      <c r="Z96" s="44">
        <f t="shared" si="44"/>
        <v>143912.60295008394</v>
      </c>
      <c r="AA96" s="522">
        <f t="shared" si="37"/>
        <v>86783.25000803842</v>
      </c>
      <c r="AB96" s="51">
        <f t="shared" si="45"/>
        <v>134535.47999446941</v>
      </c>
      <c r="AC96" s="44">
        <f t="shared" si="46"/>
        <v>81128.587461941119</v>
      </c>
      <c r="AD96" s="44">
        <f t="shared" si="47"/>
        <v>0</v>
      </c>
      <c r="AE96" s="44">
        <f t="shared" si="48"/>
        <v>0</v>
      </c>
      <c r="AF96" s="52">
        <f>HLOOKUP(I96,ElecAvoidedCostsWOCC!$A$5:$Q$50,G96+1,FALSE)</f>
        <v>0.11346597036450218</v>
      </c>
      <c r="AG96" s="44">
        <f t="shared" si="49"/>
        <v>5289.1027425709044</v>
      </c>
      <c r="AH96" s="52">
        <f>HLOOKUP(I96,ElecAvoidedCostsWOCC!$A$5:$Q$50,T96+1,FALSE)</f>
        <v>0.11346597036450218</v>
      </c>
      <c r="AI96" s="44">
        <f t="shared" si="50"/>
        <v>0</v>
      </c>
      <c r="AJ96" s="44">
        <f t="shared" si="51"/>
        <v>5289.1027425709044</v>
      </c>
      <c r="AK96" s="44">
        <f>HLOOKUP(I96,ElecAvoidedCostsWOCC!$A$5:$Q$50,G96+1,FALSE)*J96*L96</f>
        <v>0</v>
      </c>
      <c r="AL96" s="44">
        <f t="shared" si="52"/>
        <v>5289.1027425709044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5289.1027425709044</v>
      </c>
      <c r="AN96" s="48">
        <f t="shared" si="53"/>
        <v>5818.0130168279957</v>
      </c>
      <c r="AO96" s="47">
        <f t="shared" si="54"/>
        <v>3.9313813298828923E-2</v>
      </c>
      <c r="AP96" s="47">
        <f t="shared" si="55"/>
        <v>7.1713476085816616E-2</v>
      </c>
      <c r="AQ96">
        <v>2020</v>
      </c>
    </row>
    <row r="97" spans="2:43">
      <c r="B97" s="97" t="s">
        <v>74</v>
      </c>
      <c r="C97" s="100">
        <v>18230611</v>
      </c>
      <c r="D97" s="100" t="s">
        <v>75</v>
      </c>
      <c r="E97" s="38" t="s">
        <v>1445</v>
      </c>
      <c r="F97" s="39" t="s">
        <v>1446</v>
      </c>
      <c r="G97" s="39"/>
      <c r="H97" s="39"/>
      <c r="I97" s="40"/>
      <c r="J97" s="41">
        <v>1</v>
      </c>
      <c r="K97" s="41">
        <v>0</v>
      </c>
      <c r="L97" s="41"/>
      <c r="M97" s="42">
        <v>261.43</v>
      </c>
      <c r="N97" s="42">
        <v>261.43</v>
      </c>
      <c r="O97" s="43">
        <v>0</v>
      </c>
      <c r="P97" s="44">
        <v>261.43</v>
      </c>
      <c r="Q97" s="44">
        <v>261.43</v>
      </c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22">
        <f t="shared" si="37"/>
        <v>269.66837838206806</v>
      </c>
      <c r="AB97" s="51">
        <f t="shared" si="45"/>
        <v>0</v>
      </c>
      <c r="AC97" s="44">
        <f t="shared" si="46"/>
        <v>252.09720331127235</v>
      </c>
      <c r="AD97" s="44">
        <f t="shared" si="47"/>
        <v>0</v>
      </c>
      <c r="AE97" s="44">
        <f t="shared" si="48"/>
        <v>0</v>
      </c>
      <c r="AF97" s="52" t="e">
        <f>HLOOKUP(I97,ElecAvoidedCostsWOCC!$A$5:$Q$50,G97+1,FALSE)</f>
        <v>#N/A</v>
      </c>
      <c r="AG97" s="44" t="e">
        <f t="shared" si="49"/>
        <v>#N/A</v>
      </c>
      <c r="AH97" s="52" t="e">
        <f>HLOOKUP(I97,ElecAvoidedCostsWOCC!$A$5:$Q$50,T97+1,FALSE)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HLOOKUP(I97,ElecAvoidedCostsWOCC!$A$5:$Q$50,G97+1,FALSE)*J97*L97</f>
        <v>#N/A</v>
      </c>
      <c r="AL97" s="44" t="e">
        <f t="shared" si="5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3"/>
        <v>0</v>
      </c>
      <c r="AO97" s="47">
        <f t="shared" si="54"/>
        <v>0</v>
      </c>
      <c r="AP97" s="47">
        <f t="shared" si="55"/>
        <v>0</v>
      </c>
      <c r="AQ97">
        <v>2021</v>
      </c>
    </row>
    <row r="98" spans="2:43">
      <c r="B98" s="97" t="s">
        <v>74</v>
      </c>
      <c r="C98" s="100">
        <v>18230611</v>
      </c>
      <c r="D98" s="100" t="s">
        <v>75</v>
      </c>
      <c r="E98" s="38" t="s">
        <v>1447</v>
      </c>
      <c r="F98" s="39" t="s">
        <v>1448</v>
      </c>
      <c r="G98" s="39"/>
      <c r="H98" s="39"/>
      <c r="I98" s="40"/>
      <c r="J98" s="41">
        <v>3</v>
      </c>
      <c r="K98" s="41">
        <v>0</v>
      </c>
      <c r="L98" s="41"/>
      <c r="M98" s="42">
        <v>324.19666666666666</v>
      </c>
      <c r="N98" s="42">
        <v>324.19666666666666</v>
      </c>
      <c r="O98" s="43">
        <v>0</v>
      </c>
      <c r="P98" s="44">
        <v>972.59</v>
      </c>
      <c r="Q98" s="44">
        <v>972.59</v>
      </c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22">
        <f t="shared" si="37"/>
        <v>1003.2389860789335</v>
      </c>
      <c r="AB98" s="51">
        <f t="shared" si="45"/>
        <v>0</v>
      </c>
      <c r="AC98" s="44">
        <f t="shared" si="46"/>
        <v>937.86948310641617</v>
      </c>
      <c r="AD98" s="44">
        <f t="shared" si="47"/>
        <v>0</v>
      </c>
      <c r="AE98" s="44">
        <f t="shared" si="48"/>
        <v>0</v>
      </c>
      <c r="AF98" s="52" t="e">
        <f>HLOOKUP(I98,ElecAvoidedCostsWOCC!$A$5:$Q$50,G98+1,FALSE)</f>
        <v>#N/A</v>
      </c>
      <c r="AG98" s="44" t="e">
        <f t="shared" si="49"/>
        <v>#N/A</v>
      </c>
      <c r="AH98" s="52" t="e">
        <f>HLOOKUP(I98,ElecAvoidedCostsWOCC!$A$5:$Q$50,T98+1,FALSE)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HLOOKUP(I98,ElecAvoidedCostsWOCC!$A$5:$Q$50,G98+1,FALSE)*J98*L98</f>
        <v>#N/A</v>
      </c>
      <c r="AL98" s="44" t="e">
        <f t="shared" si="5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3"/>
        <v>0</v>
      </c>
      <c r="AO98" s="47">
        <f t="shared" si="54"/>
        <v>0</v>
      </c>
      <c r="AP98" s="47">
        <f t="shared" si="55"/>
        <v>0</v>
      </c>
      <c r="AQ98">
        <v>2021</v>
      </c>
    </row>
    <row r="99" spans="2:43">
      <c r="B99" s="97" t="s">
        <v>74</v>
      </c>
      <c r="C99" s="100">
        <v>18230611</v>
      </c>
      <c r="D99" s="100" t="s">
        <v>75</v>
      </c>
      <c r="E99" s="38" t="s">
        <v>1449</v>
      </c>
      <c r="F99" s="39" t="s">
        <v>1450</v>
      </c>
      <c r="G99" s="39">
        <v>30</v>
      </c>
      <c r="H99" s="39"/>
      <c r="I99" s="40" t="s">
        <v>267</v>
      </c>
      <c r="J99" s="41">
        <v>31</v>
      </c>
      <c r="K99" s="41">
        <v>2023.3548387096773</v>
      </c>
      <c r="L99" s="41"/>
      <c r="M99" s="42">
        <v>0</v>
      </c>
      <c r="N99" s="42">
        <v>0</v>
      </c>
      <c r="O99" s="43">
        <v>62724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30</v>
      </c>
      <c r="U99" s="47">
        <f t="shared" si="39"/>
        <v>0.81534254450178467</v>
      </c>
      <c r="V99" s="48">
        <f t="shared" si="40"/>
        <v>0</v>
      </c>
      <c r="W99" s="49">
        <f t="shared" si="41"/>
        <v>2.7178084816726157E-2</v>
      </c>
      <c r="X99" s="44">
        <f t="shared" si="42"/>
        <v>7224.1635119791254</v>
      </c>
      <c r="Y99" s="44">
        <f t="shared" si="43"/>
        <v>0</v>
      </c>
      <c r="Z99" s="44">
        <f t="shared" si="44"/>
        <v>193649.42093450605</v>
      </c>
      <c r="AA99" s="522">
        <f t="shared" si="37"/>
        <v>7224.1635119791254</v>
      </c>
      <c r="AB99" s="51">
        <f t="shared" si="45"/>
        <v>181031.52373049082</v>
      </c>
      <c r="AC99" s="44">
        <f t="shared" si="46"/>
        <v>6753.448174234949</v>
      </c>
      <c r="AD99" s="44">
        <f t="shared" si="47"/>
        <v>0</v>
      </c>
      <c r="AE99" s="44">
        <f t="shared" si="48"/>
        <v>0</v>
      </c>
      <c r="AF99" s="52">
        <f>HLOOKUP(I99,ElecAvoidedCostsWOCC!$A$5:$Q$50,G99+1,FALSE)</f>
        <v>2.1643436258224993</v>
      </c>
      <c r="AG99" s="44">
        <f t="shared" si="49"/>
        <v>135756.28958609045</v>
      </c>
      <c r="AH99" s="52">
        <f>HLOOKUP(I99,ElecAvoidedCostsWOCC!$A$5:$Q$50,T99+1,FALSE)</f>
        <v>2.1643436258224993</v>
      </c>
      <c r="AI99" s="44">
        <f t="shared" si="50"/>
        <v>0</v>
      </c>
      <c r="AJ99" s="44">
        <f t="shared" si="51"/>
        <v>135756.28958609045</v>
      </c>
      <c r="AK99" s="44">
        <f>HLOOKUP(I99,ElecAvoidedCostsWOCC!$A$5:$Q$50,G99+1,FALSE)*J99*L99</f>
        <v>0</v>
      </c>
      <c r="AL99" s="44">
        <f t="shared" si="52"/>
        <v>135756.28958609045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135756.28958609045</v>
      </c>
      <c r="AN99" s="48">
        <f t="shared" si="53"/>
        <v>149331.91854469953</v>
      </c>
      <c r="AO99" s="47">
        <f t="shared" si="54"/>
        <v>0.74990414259671423</v>
      </c>
      <c r="AP99" s="47">
        <f t="shared" si="55"/>
        <v>22.111951508625637</v>
      </c>
      <c r="AQ99">
        <v>2021</v>
      </c>
    </row>
    <row r="100" spans="2:43">
      <c r="B100" s="97" t="s">
        <v>74</v>
      </c>
      <c r="C100" s="100">
        <v>18230611</v>
      </c>
      <c r="D100" s="100" t="s">
        <v>75</v>
      </c>
      <c r="E100" s="38" t="s">
        <v>1451</v>
      </c>
      <c r="F100" s="39" t="s">
        <v>1452</v>
      </c>
      <c r="G100" s="39"/>
      <c r="H100" s="39"/>
      <c r="I100" s="40"/>
      <c r="J100" s="41">
        <v>2</v>
      </c>
      <c r="K100" s="41">
        <v>0</v>
      </c>
      <c r="L100" s="41"/>
      <c r="M100" s="42">
        <v>209.39</v>
      </c>
      <c r="N100" s="42">
        <v>209.39</v>
      </c>
      <c r="O100" s="43">
        <v>0</v>
      </c>
      <c r="P100" s="44">
        <v>418.78</v>
      </c>
      <c r="Q100" s="44">
        <v>418.78</v>
      </c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22">
        <f t="shared" si="37"/>
        <v>431.97690968459034</v>
      </c>
      <c r="AB100" s="51">
        <f t="shared" si="45"/>
        <v>0</v>
      </c>
      <c r="AC100" s="44">
        <f t="shared" si="46"/>
        <v>403.82996137663861</v>
      </c>
      <c r="AD100" s="44">
        <f t="shared" si="47"/>
        <v>0</v>
      </c>
      <c r="AE100" s="44">
        <f t="shared" si="48"/>
        <v>0</v>
      </c>
      <c r="AF100" s="52" t="e">
        <f>HLOOKUP(I100,ElecAvoidedCostsWOCC!$A$5:$Q$50,G100+1,FALSE)</f>
        <v>#N/A</v>
      </c>
      <c r="AG100" s="44" t="e">
        <f t="shared" si="49"/>
        <v>#N/A</v>
      </c>
      <c r="AH100" s="52" t="e">
        <f>HLOOKUP(I100,ElecAvoidedCostsWOCC!$A$5:$Q$50,T100+1,FALSE)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HLOOKUP(I100,ElecAvoidedCostsWOCC!$A$5:$Q$50,G100+1,FALSE)*J100*L100</f>
        <v>#N/A</v>
      </c>
      <c r="AL100" s="44" t="e">
        <f t="shared" si="5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>
        <f t="shared" si="55"/>
        <v>0</v>
      </c>
      <c r="AQ100">
        <v>2021</v>
      </c>
    </row>
    <row r="101" spans="2:43">
      <c r="B101" s="97" t="s">
        <v>74</v>
      </c>
      <c r="C101" s="100">
        <v>18230611</v>
      </c>
      <c r="D101" s="100" t="s">
        <v>75</v>
      </c>
      <c r="E101" s="38" t="s">
        <v>1453</v>
      </c>
      <c r="F101" s="39" t="s">
        <v>1454</v>
      </c>
      <c r="G101" s="39"/>
      <c r="H101" s="39"/>
      <c r="I101" s="40"/>
      <c r="J101" s="41">
        <v>17</v>
      </c>
      <c r="K101" s="41">
        <v>0</v>
      </c>
      <c r="L101" s="41"/>
      <c r="M101" s="42">
        <v>95.532941176470587</v>
      </c>
      <c r="N101" s="42">
        <v>95.532941176470587</v>
      </c>
      <c r="O101" s="43">
        <v>0</v>
      </c>
      <c r="P101" s="44">
        <v>1624.06</v>
      </c>
      <c r="Q101" s="44">
        <v>1624.06</v>
      </c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22">
        <f t="shared" si="37"/>
        <v>1675.2385976941493</v>
      </c>
      <c r="AB101" s="51">
        <f t="shared" si="45"/>
        <v>0</v>
      </c>
      <c r="AC101" s="44">
        <f t="shared" si="46"/>
        <v>1566.0826378369161</v>
      </c>
      <c r="AD101" s="44">
        <f t="shared" si="47"/>
        <v>0</v>
      </c>
      <c r="AE101" s="44">
        <f t="shared" si="48"/>
        <v>0</v>
      </c>
      <c r="AF101" s="52" t="e">
        <f>HLOOKUP(I101,ElecAvoidedCostsWOCC!$A$5:$Q$50,G101+1,FALSE)</f>
        <v>#N/A</v>
      </c>
      <c r="AG101" s="44" t="e">
        <f t="shared" si="49"/>
        <v>#N/A</v>
      </c>
      <c r="AH101" s="52" t="e">
        <f>HLOOKUP(I101,ElecAvoidedCostsWOCC!$A$5:$Q$50,T101+1,FALSE)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HLOOKUP(I101,ElecAvoidedCostsWOCC!$A$5:$Q$50,G101+1,FALSE)*J101*L101</f>
        <v>#N/A</v>
      </c>
      <c r="AL101" s="44" t="e">
        <f t="shared" si="5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>
        <f t="shared" si="55"/>
        <v>0</v>
      </c>
      <c r="AQ101">
        <v>2021</v>
      </c>
    </row>
    <row r="102" spans="2:43">
      <c r="B102" s="97" t="s">
        <v>74</v>
      </c>
      <c r="C102" s="100">
        <v>18230611</v>
      </c>
      <c r="D102" s="100" t="s">
        <v>75</v>
      </c>
      <c r="E102" s="38" t="s">
        <v>1455</v>
      </c>
      <c r="F102" s="39" t="s">
        <v>1456</v>
      </c>
      <c r="G102" s="39"/>
      <c r="H102" s="39"/>
      <c r="I102" s="40"/>
      <c r="J102" s="41">
        <v>15</v>
      </c>
      <c r="K102" s="41">
        <v>0</v>
      </c>
      <c r="L102" s="41"/>
      <c r="M102" s="42">
        <v>117.596</v>
      </c>
      <c r="N102" s="42">
        <v>117.596</v>
      </c>
      <c r="O102" s="43">
        <v>0</v>
      </c>
      <c r="P102" s="44">
        <v>1763.94</v>
      </c>
      <c r="Q102" s="44">
        <v>1763.94</v>
      </c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22">
        <f t="shared" si="37"/>
        <v>1819.5266012441768</v>
      </c>
      <c r="AB102" s="51">
        <f t="shared" si="45"/>
        <v>0</v>
      </c>
      <c r="AC102" s="44">
        <f t="shared" si="46"/>
        <v>1700.9690579079897</v>
      </c>
      <c r="AD102" s="44">
        <f t="shared" si="47"/>
        <v>0</v>
      </c>
      <c r="AE102" s="44">
        <f t="shared" si="48"/>
        <v>0</v>
      </c>
      <c r="AF102" s="52" t="e">
        <f>HLOOKUP(I102,ElecAvoidedCostsWOCC!$A$5:$Q$50,G102+1,FALSE)</f>
        <v>#N/A</v>
      </c>
      <c r="AG102" s="44" t="e">
        <f t="shared" si="49"/>
        <v>#N/A</v>
      </c>
      <c r="AH102" s="52" t="e">
        <f>HLOOKUP(I102,ElecAvoidedCostsWOCC!$A$5:$Q$50,T102+1,FALSE)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HLOOKUP(I102,ElecAvoidedCostsWOCC!$A$5:$Q$50,G102+1,FALSE)*J102*L102</f>
        <v>#N/A</v>
      </c>
      <c r="AL102" s="44" t="e">
        <f t="shared" si="5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>
        <f t="shared" si="55"/>
        <v>0</v>
      </c>
      <c r="AQ102">
        <v>2021</v>
      </c>
    </row>
    <row r="103" spans="2:43">
      <c r="B103" s="97" t="s">
        <v>74</v>
      </c>
      <c r="C103" s="100">
        <v>18230611</v>
      </c>
      <c r="D103" s="100" t="s">
        <v>75</v>
      </c>
      <c r="E103" s="38" t="s">
        <v>1457</v>
      </c>
      <c r="F103" s="39" t="s">
        <v>1458</v>
      </c>
      <c r="G103" s="39"/>
      <c r="H103" s="39"/>
      <c r="I103" s="40"/>
      <c r="J103" s="41">
        <v>2</v>
      </c>
      <c r="K103" s="41">
        <v>0</v>
      </c>
      <c r="L103" s="41"/>
      <c r="M103" s="42">
        <v>106.69</v>
      </c>
      <c r="N103" s="42">
        <v>106.69</v>
      </c>
      <c r="O103" s="43">
        <v>0</v>
      </c>
      <c r="P103" s="44">
        <v>213.38</v>
      </c>
      <c r="Q103" s="44">
        <v>213.38</v>
      </c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22">
        <f t="shared" si="37"/>
        <v>220.10419071707793</v>
      </c>
      <c r="AB103" s="51">
        <f t="shared" si="45"/>
        <v>0</v>
      </c>
      <c r="AC103" s="44">
        <f t="shared" si="46"/>
        <v>205.76254156967178</v>
      </c>
      <c r="AD103" s="44">
        <f t="shared" si="47"/>
        <v>0</v>
      </c>
      <c r="AE103" s="44">
        <f t="shared" si="48"/>
        <v>0</v>
      </c>
      <c r="AF103" s="52" t="e">
        <f>HLOOKUP(I103,ElecAvoidedCostsWOCC!$A$5:$Q$50,G103+1,FALSE)</f>
        <v>#N/A</v>
      </c>
      <c r="AG103" s="44" t="e">
        <f t="shared" si="49"/>
        <v>#N/A</v>
      </c>
      <c r="AH103" s="52" t="e">
        <f>HLOOKUP(I103,ElecAvoidedCostsWOCC!$A$5:$Q$50,T103+1,FALSE)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HLOOKUP(I103,ElecAvoidedCostsWOCC!$A$5:$Q$50,G103+1,FALSE)*J103*L103</f>
        <v>#N/A</v>
      </c>
      <c r="AL103" s="44" t="e">
        <f t="shared" si="52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>
        <f t="shared" si="55"/>
        <v>0</v>
      </c>
      <c r="AQ103">
        <v>2021</v>
      </c>
    </row>
    <row r="104" spans="2:43">
      <c r="B104" s="97" t="s">
        <v>74</v>
      </c>
      <c r="C104" s="100">
        <v>18230611</v>
      </c>
      <c r="D104" s="100" t="s">
        <v>75</v>
      </c>
      <c r="E104" s="38" t="s">
        <v>1459</v>
      </c>
      <c r="F104" s="39" t="s">
        <v>1460</v>
      </c>
      <c r="G104" s="39"/>
      <c r="H104" s="39"/>
      <c r="I104" s="40"/>
      <c r="J104" s="41">
        <v>2</v>
      </c>
      <c r="K104" s="41">
        <v>0</v>
      </c>
      <c r="L104" s="41"/>
      <c r="M104" s="42">
        <v>83.265000000000001</v>
      </c>
      <c r="N104" s="42">
        <v>83.265000000000001</v>
      </c>
      <c r="O104" s="43">
        <v>0</v>
      </c>
      <c r="P104" s="44">
        <v>166.53</v>
      </c>
      <c r="Q104" s="44">
        <v>166.53</v>
      </c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22">
        <f t="shared" si="37"/>
        <v>171.77781835277435</v>
      </c>
      <c r="AB104" s="51">
        <f t="shared" si="45"/>
        <v>0</v>
      </c>
      <c r="AC104" s="44">
        <f t="shared" si="46"/>
        <v>160.58504099539527</v>
      </c>
      <c r="AD104" s="44">
        <f t="shared" si="47"/>
        <v>0</v>
      </c>
      <c r="AE104" s="44">
        <f t="shared" si="48"/>
        <v>0</v>
      </c>
      <c r="AF104" s="52" t="e">
        <f>HLOOKUP(I104,ElecAvoidedCostsWOCC!$A$5:$Q$50,G104+1,FALSE)</f>
        <v>#N/A</v>
      </c>
      <c r="AG104" s="44" t="e">
        <f t="shared" si="49"/>
        <v>#N/A</v>
      </c>
      <c r="AH104" s="52" t="e">
        <f>HLOOKUP(I104,ElecAvoidedCostsWOCC!$A$5:$Q$50,T104+1,FALSE)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HLOOKUP(I104,ElecAvoidedCostsWOCC!$A$5:$Q$50,G104+1,FALSE)*J104*L104</f>
        <v>#N/A</v>
      </c>
      <c r="AL104" s="44" t="e">
        <f t="shared" si="52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>
        <f t="shared" si="55"/>
        <v>0</v>
      </c>
      <c r="AQ104">
        <v>2021</v>
      </c>
    </row>
    <row r="105" spans="2:43">
      <c r="B105" s="97" t="s">
        <v>74</v>
      </c>
      <c r="C105" s="100">
        <v>18230611</v>
      </c>
      <c r="D105" s="100" t="s">
        <v>75</v>
      </c>
      <c r="E105" s="38" t="s">
        <v>1461</v>
      </c>
      <c r="F105" s="39" t="s">
        <v>1462</v>
      </c>
      <c r="G105" s="39"/>
      <c r="H105" s="39"/>
      <c r="I105" s="40"/>
      <c r="J105" s="41">
        <v>8</v>
      </c>
      <c r="K105" s="41">
        <v>0</v>
      </c>
      <c r="L105" s="41"/>
      <c r="M105" s="42">
        <v>78.010000000000005</v>
      </c>
      <c r="N105" s="42">
        <v>78.010000000000005</v>
      </c>
      <c r="O105" s="43">
        <v>0</v>
      </c>
      <c r="P105" s="44">
        <v>624.08000000000004</v>
      </c>
      <c r="Q105" s="44">
        <v>624.08000000000004</v>
      </c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22">
        <f t="shared" si="37"/>
        <v>643.74647737704561</v>
      </c>
      <c r="AB105" s="51">
        <f t="shared" si="45"/>
        <v>0</v>
      </c>
      <c r="AC105" s="44">
        <f t="shared" si="46"/>
        <v>601.8009510863285</v>
      </c>
      <c r="AD105" s="44">
        <f t="shared" si="47"/>
        <v>0</v>
      </c>
      <c r="AE105" s="44">
        <f t="shared" si="48"/>
        <v>0</v>
      </c>
      <c r="AF105" s="52" t="e">
        <f>HLOOKUP(I105,ElecAvoidedCostsWOCC!$A$5:$Q$50,G105+1,FALSE)</f>
        <v>#N/A</v>
      </c>
      <c r="AG105" s="44" t="e">
        <f t="shared" si="49"/>
        <v>#N/A</v>
      </c>
      <c r="AH105" s="52" t="e">
        <f>HLOOKUP(I105,ElecAvoidedCostsWOCC!$A$5:$Q$50,T105+1,FALSE)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HLOOKUP(I105,ElecAvoidedCostsWOCC!$A$5:$Q$50,G105+1,FALSE)*J105*L105</f>
        <v>#N/A</v>
      </c>
      <c r="AL105" s="44" t="e">
        <f t="shared" si="52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>
        <f t="shared" si="55"/>
        <v>0</v>
      </c>
      <c r="AQ105">
        <v>2021</v>
      </c>
    </row>
    <row r="106" spans="2:43">
      <c r="B106" s="97" t="s">
        <v>74</v>
      </c>
      <c r="C106" s="100">
        <v>18230611</v>
      </c>
      <c r="D106" s="100" t="s">
        <v>75</v>
      </c>
      <c r="E106" s="38" t="s">
        <v>1463</v>
      </c>
      <c r="F106" s="39" t="s">
        <v>1464</v>
      </c>
      <c r="G106" s="39">
        <v>18</v>
      </c>
      <c r="H106" s="39"/>
      <c r="I106" s="40" t="s">
        <v>269</v>
      </c>
      <c r="J106" s="41">
        <v>14</v>
      </c>
      <c r="K106" s="41">
        <v>468</v>
      </c>
      <c r="L106" s="41"/>
      <c r="M106" s="42">
        <v>549</v>
      </c>
      <c r="N106" s="42">
        <v>549</v>
      </c>
      <c r="O106" s="43">
        <v>6552</v>
      </c>
      <c r="P106" s="44">
        <v>10508.05</v>
      </c>
      <c r="Q106" s="44">
        <v>10508.05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5.1101246906214787E-2</v>
      </c>
      <c r="V106" s="48">
        <f t="shared" si="40"/>
        <v>0</v>
      </c>
      <c r="W106" s="49">
        <f t="shared" si="41"/>
        <v>2.8389581614563768E-3</v>
      </c>
      <c r="X106" s="44">
        <f t="shared" si="42"/>
        <v>754.61895495324325</v>
      </c>
      <c r="Y106" s="44">
        <f t="shared" si="43"/>
        <v>0</v>
      </c>
      <c r="Z106" s="44">
        <f t="shared" si="44"/>
        <v>20228.158375787316</v>
      </c>
      <c r="AA106" s="522">
        <f t="shared" si="37"/>
        <v>11593.806513602558</v>
      </c>
      <c r="AB106" s="51">
        <f t="shared" si="45"/>
        <v>18910.122815543906</v>
      </c>
      <c r="AC106" s="44">
        <f t="shared" si="46"/>
        <v>10838.371986166736</v>
      </c>
      <c r="AD106" s="44">
        <f t="shared" si="47"/>
        <v>0</v>
      </c>
      <c r="AE106" s="44">
        <f t="shared" si="48"/>
        <v>0</v>
      </c>
      <c r="AF106" s="52">
        <f>HLOOKUP(I106,ElecAvoidedCostsWOCC!$A$5:$Q$50,G106+1,FALSE)</f>
        <v>1.5960324064820535</v>
      </c>
      <c r="AG106" s="44">
        <f t="shared" si="49"/>
        <v>10457.204327270416</v>
      </c>
      <c r="AH106" s="52">
        <f>HLOOKUP(I106,ElecAvoidedCostsWOCC!$A$5:$Q$50,T106+1,FALSE)</f>
        <v>1.5960324064820535</v>
      </c>
      <c r="AI106" s="44">
        <f t="shared" si="50"/>
        <v>0</v>
      </c>
      <c r="AJ106" s="44">
        <f t="shared" si="51"/>
        <v>10457.204327270416</v>
      </c>
      <c r="AK106" s="44">
        <f>HLOOKUP(I106,ElecAvoidedCostsWOCC!$A$5:$Q$50,G106+1,FALSE)*J106*L106</f>
        <v>0</v>
      </c>
      <c r="AL106" s="44">
        <f t="shared" si="52"/>
        <v>10457.204327270416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10457.204327270414</v>
      </c>
      <c r="AN106" s="48">
        <f t="shared" si="53"/>
        <v>11502.924759997457</v>
      </c>
      <c r="AO106" s="47">
        <f t="shared" si="54"/>
        <v>0.55299505081345701</v>
      </c>
      <c r="AP106" s="47">
        <f t="shared" si="55"/>
        <v>1.061314815055149</v>
      </c>
      <c r="AQ106">
        <v>2021</v>
      </c>
    </row>
    <row r="107" spans="2:43">
      <c r="B107" s="97" t="s">
        <v>74</v>
      </c>
      <c r="C107" s="100">
        <v>18230611</v>
      </c>
      <c r="D107" s="100" t="s">
        <v>75</v>
      </c>
      <c r="E107" s="38" t="s">
        <v>1467</v>
      </c>
      <c r="F107" s="39" t="s">
        <v>1468</v>
      </c>
      <c r="G107" s="39">
        <v>20</v>
      </c>
      <c r="H107" s="39"/>
      <c r="I107" s="40" t="s">
        <v>269</v>
      </c>
      <c r="J107" s="41">
        <v>9</v>
      </c>
      <c r="K107" s="41">
        <v>1254</v>
      </c>
      <c r="L107" s="41"/>
      <c r="M107" s="42">
        <v>631.5</v>
      </c>
      <c r="N107" s="42">
        <v>631.5</v>
      </c>
      <c r="O107" s="43">
        <v>11286</v>
      </c>
      <c r="P107" s="44">
        <v>5843.36</v>
      </c>
      <c r="Q107" s="44">
        <v>5843.36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9.7803668529293855E-2</v>
      </c>
      <c r="V107" s="48">
        <f t="shared" si="40"/>
        <v>0</v>
      </c>
      <c r="W107" s="49">
        <f t="shared" si="41"/>
        <v>4.8901834264646928E-3</v>
      </c>
      <c r="X107" s="44">
        <f t="shared" si="42"/>
        <v>1299.8518811969327</v>
      </c>
      <c r="Y107" s="44">
        <f t="shared" si="43"/>
        <v>0</v>
      </c>
      <c r="Z107" s="44">
        <f t="shared" si="44"/>
        <v>34843.558520930346</v>
      </c>
      <c r="AA107" s="522">
        <f t="shared" si="37"/>
        <v>7327.3522273800063</v>
      </c>
      <c r="AB107" s="51">
        <f t="shared" si="45"/>
        <v>32573.206058642932</v>
      </c>
      <c r="AC107" s="44">
        <f t="shared" si="46"/>
        <v>6849.9132723006505</v>
      </c>
      <c r="AD107" s="44">
        <f t="shared" si="47"/>
        <v>0</v>
      </c>
      <c r="AE107" s="44">
        <f t="shared" si="48"/>
        <v>0</v>
      </c>
      <c r="AF107" s="52">
        <f>HLOOKUP(I107,ElecAvoidedCostsWOCC!$A$5:$Q$50,G107+1,FALSE)</f>
        <v>1.727945421646023</v>
      </c>
      <c r="AG107" s="44">
        <f t="shared" si="49"/>
        <v>19501.592028697018</v>
      </c>
      <c r="AH107" s="52">
        <f>HLOOKUP(I107,ElecAvoidedCostsWOCC!$A$5:$Q$50,T107+1,FALSE)</f>
        <v>1.727945421646023</v>
      </c>
      <c r="AI107" s="44">
        <f t="shared" si="50"/>
        <v>0</v>
      </c>
      <c r="AJ107" s="44">
        <f t="shared" si="51"/>
        <v>19501.592028697018</v>
      </c>
      <c r="AK107" s="44">
        <f>HLOOKUP(I107,ElecAvoidedCostsWOCC!$A$5:$Q$50,G107+1,FALSE)*J107*L107</f>
        <v>0</v>
      </c>
      <c r="AL107" s="44">
        <f t="shared" si="52"/>
        <v>19501.592028697018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19501.592028697018</v>
      </c>
      <c r="AN107" s="48">
        <f t="shared" si="53"/>
        <v>21451.751231566723</v>
      </c>
      <c r="AO107" s="47">
        <f t="shared" si="54"/>
        <v>0.59870041633566773</v>
      </c>
      <c r="AP107" s="47">
        <f t="shared" si="55"/>
        <v>3.1316821657162115</v>
      </c>
      <c r="AQ107">
        <v>2021</v>
      </c>
    </row>
    <row r="108" spans="2:43">
      <c r="B108" s="97" t="s">
        <v>74</v>
      </c>
      <c r="C108" s="100">
        <v>18230611</v>
      </c>
      <c r="D108" s="100" t="s">
        <v>75</v>
      </c>
      <c r="E108" s="38" t="s">
        <v>1473</v>
      </c>
      <c r="F108" s="39" t="s">
        <v>1474</v>
      </c>
      <c r="G108" s="39">
        <v>15</v>
      </c>
      <c r="H108" s="39"/>
      <c r="I108" s="40" t="s">
        <v>268</v>
      </c>
      <c r="J108" s="41">
        <v>108</v>
      </c>
      <c r="K108" s="41">
        <v>2594</v>
      </c>
      <c r="L108" s="41"/>
      <c r="M108" s="42">
        <v>3798.92</v>
      </c>
      <c r="N108" s="42">
        <v>3798.92</v>
      </c>
      <c r="O108" s="43">
        <v>280152</v>
      </c>
      <c r="P108" s="44">
        <v>624411.75999999896</v>
      </c>
      <c r="Q108" s="44">
        <v>624411.75999999896</v>
      </c>
      <c r="R108" s="45">
        <v>40.71</v>
      </c>
      <c r="S108" s="46">
        <v>0</v>
      </c>
      <c r="T108" s="39">
        <f t="shared" si="38"/>
        <v>15</v>
      </c>
      <c r="U108" s="47">
        <f t="shared" si="39"/>
        <v>1.8208328911362794</v>
      </c>
      <c r="V108" s="48">
        <f t="shared" si="40"/>
        <v>0</v>
      </c>
      <c r="W108" s="49">
        <f t="shared" si="41"/>
        <v>0.1213888594090853</v>
      </c>
      <c r="X108" s="44">
        <f t="shared" si="42"/>
        <v>32266.179711242519</v>
      </c>
      <c r="Y108" s="44">
        <f t="shared" si="43"/>
        <v>0</v>
      </c>
      <c r="Z108" s="44">
        <f t="shared" si="44"/>
        <v>864920.48615591694</v>
      </c>
      <c r="AA108" s="522">
        <f t="shared" si="37"/>
        <v>676354.87175841688</v>
      </c>
      <c r="AB108" s="51">
        <f t="shared" si="45"/>
        <v>808563.60302506946</v>
      </c>
      <c r="AC108" s="44">
        <f t="shared" si="46"/>
        <v>632284.63284885185</v>
      </c>
      <c r="AD108" s="44">
        <f t="shared" si="47"/>
        <v>40120.572364995765</v>
      </c>
      <c r="AE108" s="44">
        <f t="shared" si="48"/>
        <v>0</v>
      </c>
      <c r="AF108" s="52">
        <f>HLOOKUP(I108,ElecAvoidedCostsWOCC!$A$5:$Q$50,G108+1,FALSE)</f>
        <v>1.3961506916040443</v>
      </c>
      <c r="AG108" s="44">
        <f t="shared" si="49"/>
        <v>391134.4085542562</v>
      </c>
      <c r="AH108" s="52">
        <f>HLOOKUP(I108,ElecAvoidedCostsWOCC!$A$5:$Q$50,T108+1,FALSE)</f>
        <v>1.3961506916040443</v>
      </c>
      <c r="AI108" s="44">
        <f t="shared" si="50"/>
        <v>0</v>
      </c>
      <c r="AJ108" s="44">
        <f t="shared" si="51"/>
        <v>391134.4085542562</v>
      </c>
      <c r="AK108" s="44">
        <f>HLOOKUP(I108,ElecAvoidedCostsWOCC!$A$5:$Q$50,G108+1,FALSE)*J108*L108</f>
        <v>0</v>
      </c>
      <c r="AL108" s="44">
        <f t="shared" si="52"/>
        <v>391134.4085542562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391134.4085542562</v>
      </c>
      <c r="AN108" s="48">
        <f t="shared" si="53"/>
        <v>470368.42177467764</v>
      </c>
      <c r="AO108" s="47">
        <f t="shared" si="54"/>
        <v>0.48373981600323046</v>
      </c>
      <c r="AP108" s="47">
        <f t="shared" si="55"/>
        <v>0.74391879438120012</v>
      </c>
      <c r="AQ108">
        <v>2021</v>
      </c>
    </row>
    <row r="109" spans="2:43">
      <c r="B109" s="97" t="s">
        <v>74</v>
      </c>
      <c r="C109" s="100">
        <v>18230611</v>
      </c>
      <c r="D109" s="100" t="s">
        <v>75</v>
      </c>
      <c r="E109" s="38" t="s">
        <v>1475</v>
      </c>
      <c r="F109" s="39" t="s">
        <v>1476</v>
      </c>
      <c r="G109" s="39">
        <v>15</v>
      </c>
      <c r="H109" s="39"/>
      <c r="I109" s="40" t="s">
        <v>268</v>
      </c>
      <c r="J109" s="41">
        <v>46</v>
      </c>
      <c r="K109" s="41">
        <v>1790</v>
      </c>
      <c r="L109" s="41"/>
      <c r="M109" s="42">
        <v>4282.55</v>
      </c>
      <c r="N109" s="42">
        <v>4282.55</v>
      </c>
      <c r="O109" s="43">
        <v>82340</v>
      </c>
      <c r="P109" s="44">
        <v>300878.15000000002</v>
      </c>
      <c r="Q109" s="44">
        <v>300878.15000000002</v>
      </c>
      <c r="R109" s="45">
        <v>18.46</v>
      </c>
      <c r="S109" s="46">
        <v>0</v>
      </c>
      <c r="T109" s="39">
        <f t="shared" si="38"/>
        <v>15</v>
      </c>
      <c r="U109" s="47">
        <f t="shared" si="39"/>
        <v>0.53516441166281603</v>
      </c>
      <c r="V109" s="48">
        <f t="shared" si="40"/>
        <v>0</v>
      </c>
      <c r="W109" s="49">
        <f t="shared" si="41"/>
        <v>3.5677627444187739E-2</v>
      </c>
      <c r="X109" s="44">
        <f t="shared" si="42"/>
        <v>9483.4134235119127</v>
      </c>
      <c r="Y109" s="44">
        <f t="shared" si="43"/>
        <v>0</v>
      </c>
      <c r="Z109" s="44">
        <f t="shared" si="44"/>
        <v>254210.40303149074</v>
      </c>
      <c r="AA109" s="522">
        <f t="shared" si="37"/>
        <v>319843.06151706137</v>
      </c>
      <c r="AB109" s="51">
        <f t="shared" si="45"/>
        <v>237646.44576188718</v>
      </c>
      <c r="AC109" s="44">
        <f t="shared" si="46"/>
        <v>299002.58158087439</v>
      </c>
      <c r="AD109" s="44">
        <f t="shared" si="47"/>
        <v>7748.7525199604706</v>
      </c>
      <c r="AE109" s="44">
        <f t="shared" si="48"/>
        <v>0</v>
      </c>
      <c r="AF109" s="52">
        <f>HLOOKUP(I109,ElecAvoidedCostsWOCC!$A$5:$Q$50,G109+1,FALSE)</f>
        <v>1.3961506916040443</v>
      </c>
      <c r="AG109" s="44">
        <f t="shared" si="49"/>
        <v>114959.047946677</v>
      </c>
      <c r="AH109" s="52">
        <f>HLOOKUP(I109,ElecAvoidedCostsWOCC!$A$5:$Q$50,T109+1,FALSE)</f>
        <v>1.3961506916040443</v>
      </c>
      <c r="AI109" s="44">
        <f t="shared" si="50"/>
        <v>0</v>
      </c>
      <c r="AJ109" s="44">
        <f t="shared" si="51"/>
        <v>114959.047946677</v>
      </c>
      <c r="AK109" s="44">
        <f>HLOOKUP(I109,ElecAvoidedCostsWOCC!$A$5:$Q$50,G109+1,FALSE)*J109*L109</f>
        <v>0</v>
      </c>
      <c r="AL109" s="44">
        <f t="shared" si="52"/>
        <v>114959.047946677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114959.047946677</v>
      </c>
      <c r="AN109" s="48">
        <f t="shared" si="53"/>
        <v>134203.70526130518</v>
      </c>
      <c r="AO109" s="47">
        <f t="shared" si="54"/>
        <v>0.48373981600323052</v>
      </c>
      <c r="AP109" s="47">
        <f t="shared" si="55"/>
        <v>0.44883794832723101</v>
      </c>
      <c r="AQ109">
        <v>2021</v>
      </c>
    </row>
    <row r="110" spans="2:43">
      <c r="B110" s="97" t="s">
        <v>74</v>
      </c>
      <c r="C110" s="100">
        <v>18230611</v>
      </c>
      <c r="D110" s="100" t="s">
        <v>75</v>
      </c>
      <c r="E110" s="38" t="s">
        <v>1477</v>
      </c>
      <c r="F110" s="39" t="s">
        <v>1478</v>
      </c>
      <c r="G110" s="39"/>
      <c r="H110" s="39"/>
      <c r="I110" s="40"/>
      <c r="J110" s="41">
        <v>4</v>
      </c>
      <c r="K110" s="41">
        <v>0</v>
      </c>
      <c r="L110" s="41"/>
      <c r="M110" s="42">
        <v>276.25</v>
      </c>
      <c r="N110" s="42">
        <v>276.25</v>
      </c>
      <c r="O110" s="43">
        <v>0</v>
      </c>
      <c r="P110" s="44">
        <v>1105</v>
      </c>
      <c r="Q110" s="44">
        <v>1105</v>
      </c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22">
        <f t="shared" si="37"/>
        <v>1139.8215893821873</v>
      </c>
      <c r="AB110" s="51">
        <f t="shared" si="45"/>
        <v>0</v>
      </c>
      <c r="AC110" s="44">
        <f t="shared" si="46"/>
        <v>1065.5525749108976</v>
      </c>
      <c r="AD110" s="44">
        <f t="shared" si="47"/>
        <v>0</v>
      </c>
      <c r="AE110" s="44">
        <f t="shared" si="48"/>
        <v>0</v>
      </c>
      <c r="AF110" s="52" t="e">
        <f>HLOOKUP(I110,ElecAvoidedCostsWOCC!$A$5:$Q$50,G110+1,FALSE)</f>
        <v>#N/A</v>
      </c>
      <c r="AG110" s="44" t="e">
        <f t="shared" si="49"/>
        <v>#N/A</v>
      </c>
      <c r="AH110" s="52" t="e">
        <f>HLOOKUP(I110,ElecAvoidedCostsWOCC!$A$5:$Q$50,T110+1,FALSE)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HLOOKUP(I110,ElecAvoidedCostsWOCC!$A$5:$Q$50,G110+1,FALSE)*J110*L110</f>
        <v>#N/A</v>
      </c>
      <c r="AL110" s="44" t="e">
        <f t="shared" si="52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>
        <f t="shared" si="55"/>
        <v>0</v>
      </c>
      <c r="AQ110">
        <v>2021</v>
      </c>
    </row>
    <row r="111" spans="2:43">
      <c r="B111" s="97" t="s">
        <v>74</v>
      </c>
      <c r="C111" s="100">
        <v>18230611</v>
      </c>
      <c r="D111" s="100" t="s">
        <v>75</v>
      </c>
      <c r="E111" s="38" t="s">
        <v>1479</v>
      </c>
      <c r="F111" s="39" t="s">
        <v>1480</v>
      </c>
      <c r="G111" s="39"/>
      <c r="H111" s="39"/>
      <c r="I111" s="40"/>
      <c r="J111" s="41">
        <v>1</v>
      </c>
      <c r="K111" s="41">
        <v>0</v>
      </c>
      <c r="L111" s="41"/>
      <c r="M111" s="42">
        <v>296.2</v>
      </c>
      <c r="N111" s="42">
        <v>296.2</v>
      </c>
      <c r="O111" s="43">
        <v>0</v>
      </c>
      <c r="P111" s="44">
        <v>296.2</v>
      </c>
      <c r="Q111" s="44">
        <v>296.2</v>
      </c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22">
        <f t="shared" si="37"/>
        <v>305.53407671946047</v>
      </c>
      <c r="AB111" s="51">
        <f t="shared" si="45"/>
        <v>0</v>
      </c>
      <c r="AC111" s="44">
        <f t="shared" si="46"/>
        <v>285.62594813448675</v>
      </c>
      <c r="AD111" s="44">
        <f t="shared" si="47"/>
        <v>0</v>
      </c>
      <c r="AE111" s="44">
        <f t="shared" si="48"/>
        <v>0</v>
      </c>
      <c r="AF111" s="52" t="e">
        <f>HLOOKUP(I111,ElecAvoidedCostsWOCC!$A$5:$Q$50,G111+1,FALSE)</f>
        <v>#N/A</v>
      </c>
      <c r="AG111" s="44" t="e">
        <f t="shared" si="49"/>
        <v>#N/A</v>
      </c>
      <c r="AH111" s="52" t="e">
        <f>HLOOKUP(I111,ElecAvoidedCostsWOCC!$A$5:$Q$50,T111+1,FALSE)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HLOOKUP(I111,ElecAvoidedCostsWOCC!$A$5:$Q$50,G111+1,FALSE)*J111*L111</f>
        <v>#N/A</v>
      </c>
      <c r="AL111" s="44" t="e">
        <f t="shared" si="52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>
        <f t="shared" si="55"/>
        <v>0</v>
      </c>
      <c r="AQ111">
        <v>2021</v>
      </c>
    </row>
    <row r="112" spans="2:43">
      <c r="B112" s="97" t="s">
        <v>74</v>
      </c>
      <c r="C112" s="100">
        <v>18230611</v>
      </c>
      <c r="D112" s="100" t="s">
        <v>75</v>
      </c>
      <c r="E112" s="38" t="s">
        <v>1481</v>
      </c>
      <c r="F112" s="39" t="s">
        <v>1482</v>
      </c>
      <c r="G112" s="39"/>
      <c r="H112" s="39"/>
      <c r="I112" s="40"/>
      <c r="J112" s="41">
        <v>1</v>
      </c>
      <c r="K112" s="41">
        <v>0</v>
      </c>
      <c r="L112" s="41"/>
      <c r="M112" s="42">
        <v>572</v>
      </c>
      <c r="N112" s="42">
        <v>572</v>
      </c>
      <c r="O112" s="43">
        <v>0</v>
      </c>
      <c r="P112" s="44">
        <v>572</v>
      </c>
      <c r="Q112" s="44">
        <v>572</v>
      </c>
      <c r="R112" s="45">
        <v>0</v>
      </c>
      <c r="S112" s="46">
        <v>0</v>
      </c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22">
        <f t="shared" si="37"/>
        <v>590.02529332724987</v>
      </c>
      <c r="AB112" s="51">
        <f t="shared" si="45"/>
        <v>0</v>
      </c>
      <c r="AC112" s="44">
        <f t="shared" si="46"/>
        <v>551.58015642446458</v>
      </c>
      <c r="AD112" s="44">
        <f t="shared" si="47"/>
        <v>0</v>
      </c>
      <c r="AE112" s="44">
        <f t="shared" si="48"/>
        <v>0</v>
      </c>
      <c r="AF112" s="52" t="e">
        <f>HLOOKUP(I112,ElecAvoidedCostsWOCC!$A$5:$Q$50,G112+1,FALSE)</f>
        <v>#N/A</v>
      </c>
      <c r="AG112" s="44" t="e">
        <f t="shared" si="49"/>
        <v>#N/A</v>
      </c>
      <c r="AH112" s="52" t="e">
        <f>HLOOKUP(I112,ElecAvoidedCostsWOCC!$A$5:$Q$50,T112+1,FALSE)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HLOOKUP(I112,ElecAvoidedCostsWOCC!$A$5:$Q$50,G112+1,FALSE)*J112*L112</f>
        <v>#N/A</v>
      </c>
      <c r="AL112" s="44" t="e">
        <f t="shared" si="52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>
        <f t="shared" si="55"/>
        <v>0</v>
      </c>
      <c r="AQ112">
        <v>2021</v>
      </c>
    </row>
    <row r="113" spans="2:43">
      <c r="B113" s="97" t="s">
        <v>74</v>
      </c>
      <c r="C113" s="100">
        <v>18230611</v>
      </c>
      <c r="D113" s="100" t="s">
        <v>75</v>
      </c>
      <c r="E113" s="38" t="s">
        <v>1483</v>
      </c>
      <c r="F113" s="39" t="s">
        <v>1484</v>
      </c>
      <c r="G113" s="39"/>
      <c r="H113" s="39"/>
      <c r="I113" s="40"/>
      <c r="J113" s="41">
        <v>3</v>
      </c>
      <c r="K113" s="41">
        <v>0</v>
      </c>
      <c r="L113" s="41"/>
      <c r="M113" s="42">
        <v>5363.1366666666663</v>
      </c>
      <c r="N113" s="42">
        <v>5363.1366666666663</v>
      </c>
      <c r="O113" s="43">
        <v>0</v>
      </c>
      <c r="P113" s="44">
        <v>16089.41</v>
      </c>
      <c r="Q113" s="44">
        <v>16089.41</v>
      </c>
      <c r="R113" s="45">
        <v>0</v>
      </c>
      <c r="S113" s="46">
        <v>0</v>
      </c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22">
        <f t="shared" si="37"/>
        <v>16596.431564182494</v>
      </c>
      <c r="AB113" s="51">
        <f t="shared" si="45"/>
        <v>0</v>
      </c>
      <c r="AC113" s="44">
        <f t="shared" si="46"/>
        <v>15515.033714296058</v>
      </c>
      <c r="AD113" s="44">
        <f t="shared" si="47"/>
        <v>0</v>
      </c>
      <c r="AE113" s="44">
        <f t="shared" si="48"/>
        <v>0</v>
      </c>
      <c r="AF113" s="52" t="e">
        <f>HLOOKUP(I113,ElecAvoidedCostsWOCC!$A$5:$Q$50,G113+1,FALSE)</f>
        <v>#N/A</v>
      </c>
      <c r="AG113" s="44" t="e">
        <f t="shared" si="49"/>
        <v>#N/A</v>
      </c>
      <c r="AH113" s="52" t="e">
        <f>HLOOKUP(I113,ElecAvoidedCostsWOCC!$A$5:$Q$50,T113+1,FALSE)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HLOOKUP(I113,ElecAvoidedCostsWOCC!$A$5:$Q$50,G113+1,FALSE)*J113*L113</f>
        <v>#N/A</v>
      </c>
      <c r="AL113" s="44" t="e">
        <f t="shared" si="52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>
        <f t="shared" si="55"/>
        <v>0</v>
      </c>
      <c r="AQ113">
        <v>2021</v>
      </c>
    </row>
    <row r="114" spans="2:43">
      <c r="B114" s="97" t="s">
        <v>74</v>
      </c>
      <c r="C114" s="100">
        <v>18230611</v>
      </c>
      <c r="D114" s="100" t="s">
        <v>75</v>
      </c>
      <c r="E114" s="38" t="s">
        <v>1489</v>
      </c>
      <c r="F114" s="39" t="s">
        <v>1490</v>
      </c>
      <c r="G114" s="39"/>
      <c r="H114" s="39"/>
      <c r="I114" s="40"/>
      <c r="J114" s="41">
        <v>20</v>
      </c>
      <c r="K114" s="41">
        <v>0</v>
      </c>
      <c r="L114" s="41"/>
      <c r="M114" s="42">
        <v>351.42449999999997</v>
      </c>
      <c r="N114" s="42">
        <v>351.42449999999997</v>
      </c>
      <c r="O114" s="43">
        <v>0</v>
      </c>
      <c r="P114" s="44">
        <v>7028.49</v>
      </c>
      <c r="Q114" s="44">
        <v>7028.49</v>
      </c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22">
        <f t="shared" si="37"/>
        <v>7249.9770522686058</v>
      </c>
      <c r="AB114" s="51">
        <f t="shared" si="45"/>
        <v>0</v>
      </c>
      <c r="AC114" s="44">
        <f t="shared" si="46"/>
        <v>6777.5797441045197</v>
      </c>
      <c r="AD114" s="44">
        <f t="shared" si="47"/>
        <v>0</v>
      </c>
      <c r="AE114" s="44">
        <f t="shared" si="48"/>
        <v>0</v>
      </c>
      <c r="AF114" s="52" t="e">
        <f>HLOOKUP(I114,ElecAvoidedCostsWOCC!$A$5:$Q$50,G114+1,FALSE)</f>
        <v>#N/A</v>
      </c>
      <c r="AG114" s="44" t="e">
        <f t="shared" si="49"/>
        <v>#N/A</v>
      </c>
      <c r="AH114" s="52" t="e">
        <f>HLOOKUP(I114,ElecAvoidedCostsWOCC!$A$5:$Q$50,T114+1,FALSE)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HLOOKUP(I114,ElecAvoidedCostsWOCC!$A$5:$Q$50,G114+1,FALSE)*J114*L114</f>
        <v>#N/A</v>
      </c>
      <c r="AL114" s="44" t="e">
        <f t="shared" si="52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>
        <f t="shared" si="55"/>
        <v>0</v>
      </c>
      <c r="AQ114">
        <v>2021</v>
      </c>
    </row>
    <row r="115" spans="2:43">
      <c r="B115" s="97" t="s">
        <v>74</v>
      </c>
      <c r="C115" s="100">
        <v>18230611</v>
      </c>
      <c r="D115" s="100" t="s">
        <v>75</v>
      </c>
      <c r="E115" s="38" t="s">
        <v>1491</v>
      </c>
      <c r="F115" s="39" t="s">
        <v>1492</v>
      </c>
      <c r="G115" s="39"/>
      <c r="H115" s="39"/>
      <c r="I115" s="40"/>
      <c r="J115" s="41">
        <v>11</v>
      </c>
      <c r="K115" s="41">
        <v>0</v>
      </c>
      <c r="L115" s="41"/>
      <c r="M115" s="42">
        <v>370.45181818181817</v>
      </c>
      <c r="N115" s="42">
        <v>370.45181818181817</v>
      </c>
      <c r="O115" s="43">
        <v>0</v>
      </c>
      <c r="P115" s="44">
        <v>4074.97</v>
      </c>
      <c r="Q115" s="44">
        <v>4074.97</v>
      </c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22">
        <f t="shared" si="37"/>
        <v>4203.3835131988517</v>
      </c>
      <c r="AB115" s="51">
        <f t="shared" si="45"/>
        <v>0</v>
      </c>
      <c r="AC115" s="44">
        <f t="shared" si="46"/>
        <v>3929.497535008742</v>
      </c>
      <c r="AD115" s="44">
        <f t="shared" si="47"/>
        <v>0</v>
      </c>
      <c r="AE115" s="44">
        <f t="shared" si="48"/>
        <v>0</v>
      </c>
      <c r="AF115" s="52" t="e">
        <f>HLOOKUP(I115,ElecAvoidedCostsWOCC!$A$5:$Q$50,G115+1,FALSE)</f>
        <v>#N/A</v>
      </c>
      <c r="AG115" s="44" t="e">
        <f t="shared" si="49"/>
        <v>#N/A</v>
      </c>
      <c r="AH115" s="52" t="e">
        <f>HLOOKUP(I115,ElecAvoidedCostsWOCC!$A$5:$Q$50,T115+1,FALSE)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HLOOKUP(I115,ElecAvoidedCostsWOCC!$A$5:$Q$50,G115+1,FALSE)*J115*L115</f>
        <v>#N/A</v>
      </c>
      <c r="AL115" s="44" t="e">
        <f t="shared" si="52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>
        <f t="shared" si="55"/>
        <v>0</v>
      </c>
      <c r="AQ115">
        <v>2021</v>
      </c>
    </row>
    <row r="116" spans="2:43">
      <c r="B116" s="97" t="s">
        <v>74</v>
      </c>
      <c r="C116" s="100">
        <v>18230611</v>
      </c>
      <c r="D116" s="100" t="s">
        <v>75</v>
      </c>
      <c r="E116" s="38" t="s">
        <v>1493</v>
      </c>
      <c r="F116" s="39" t="s">
        <v>1494</v>
      </c>
      <c r="G116" s="39">
        <v>20</v>
      </c>
      <c r="H116" s="39"/>
      <c r="I116" s="40" t="s">
        <v>269</v>
      </c>
      <c r="J116" s="41">
        <v>1358</v>
      </c>
      <c r="K116" s="41">
        <v>4.6500000000000004</v>
      </c>
      <c r="L116" s="41"/>
      <c r="M116" s="42">
        <v>6.46</v>
      </c>
      <c r="N116" s="42">
        <v>6.46</v>
      </c>
      <c r="O116" s="43">
        <v>6314.7</v>
      </c>
      <c r="P116" s="44">
        <v>11785.06</v>
      </c>
      <c r="Q116" s="44">
        <v>11785.06</v>
      </c>
      <c r="R116" s="45">
        <v>0</v>
      </c>
      <c r="S116" s="46">
        <v>0</v>
      </c>
      <c r="T116" s="39">
        <f t="shared" si="38"/>
        <v>20</v>
      </c>
      <c r="U116" s="47">
        <f t="shared" si="39"/>
        <v>5.4722738407046959E-2</v>
      </c>
      <c r="V116" s="48">
        <f t="shared" si="40"/>
        <v>0</v>
      </c>
      <c r="W116" s="49">
        <f t="shared" si="41"/>
        <v>2.7361369203523478E-3</v>
      </c>
      <c r="X116" s="44">
        <f t="shared" si="42"/>
        <v>727.2882043411546</v>
      </c>
      <c r="Y116" s="44">
        <f t="shared" si="43"/>
        <v>0</v>
      </c>
      <c r="Z116" s="44">
        <f t="shared" si="44"/>
        <v>19495.535973074508</v>
      </c>
      <c r="AA116" s="522">
        <f t="shared" si="37"/>
        <v>12883.727860598567</v>
      </c>
      <c r="AB116" s="51">
        <f t="shared" si="45"/>
        <v>18225.236957160425</v>
      </c>
      <c r="AC116" s="44">
        <f t="shared" si="46"/>
        <v>12044.244050293135</v>
      </c>
      <c r="AD116" s="44">
        <f t="shared" si="47"/>
        <v>0</v>
      </c>
      <c r="AE116" s="44">
        <f t="shared" si="48"/>
        <v>0</v>
      </c>
      <c r="AF116" s="52">
        <f>HLOOKUP(I116,ElecAvoidedCostsWOCC!$A$5:$Q$50,G116+1,FALSE)</f>
        <v>1.727945421646023</v>
      </c>
      <c r="AG116" s="44">
        <f t="shared" si="49"/>
        <v>10911.456954068142</v>
      </c>
      <c r="AH116" s="52">
        <f>HLOOKUP(I116,ElecAvoidedCostsWOCC!$A$5:$Q$50,T116+1,FALSE)</f>
        <v>1.727945421646023</v>
      </c>
      <c r="AI116" s="44">
        <f t="shared" si="50"/>
        <v>0</v>
      </c>
      <c r="AJ116" s="44">
        <f t="shared" si="51"/>
        <v>10911.456954068142</v>
      </c>
      <c r="AK116" s="44">
        <f>HLOOKUP(I116,ElecAvoidedCostsWOCC!$A$5:$Q$50,G116+1,FALSE)*J116*L116</f>
        <v>0</v>
      </c>
      <c r="AL116" s="44">
        <f t="shared" si="52"/>
        <v>10911.456954068142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10911.456954068142</v>
      </c>
      <c r="AN116" s="48">
        <f t="shared" si="53"/>
        <v>12002.602649474957</v>
      </c>
      <c r="AO116" s="47">
        <f t="shared" si="54"/>
        <v>0.59870041633566762</v>
      </c>
      <c r="AP116" s="47">
        <f t="shared" si="55"/>
        <v>0.99654263060061754</v>
      </c>
      <c r="AQ116">
        <v>2021</v>
      </c>
    </row>
    <row r="117" spans="2:43">
      <c r="B117" s="97" t="s">
        <v>74</v>
      </c>
      <c r="C117" s="100">
        <v>18230611</v>
      </c>
      <c r="D117" s="100" t="s">
        <v>75</v>
      </c>
      <c r="E117" s="38" t="s">
        <v>1497</v>
      </c>
      <c r="F117" s="39" t="s">
        <v>1498</v>
      </c>
      <c r="G117" s="39">
        <v>45</v>
      </c>
      <c r="H117" s="39"/>
      <c r="I117" s="40" t="s">
        <v>269</v>
      </c>
      <c r="J117" s="41">
        <v>18155</v>
      </c>
      <c r="K117" s="41">
        <v>0.36</v>
      </c>
      <c r="L117" s="41"/>
      <c r="M117" s="42">
        <v>1.87</v>
      </c>
      <c r="N117" s="42">
        <v>1.87</v>
      </c>
      <c r="O117" s="43">
        <v>6535.8</v>
      </c>
      <c r="P117" s="44">
        <v>53549.29</v>
      </c>
      <c r="Q117" s="44">
        <v>53549.29</v>
      </c>
      <c r="R117" s="45">
        <v>0</v>
      </c>
      <c r="S117" s="46">
        <v>0</v>
      </c>
      <c r="T117" s="39">
        <f t="shared" si="38"/>
        <v>45</v>
      </c>
      <c r="U117" s="47">
        <f t="shared" si="39"/>
        <v>0.12743724417339691</v>
      </c>
      <c r="V117" s="48">
        <f t="shared" si="40"/>
        <v>0</v>
      </c>
      <c r="W117" s="49">
        <f t="shared" si="41"/>
        <v>2.8319387594088201E-3</v>
      </c>
      <c r="X117" s="44">
        <f t="shared" si="42"/>
        <v>752.75313885583148</v>
      </c>
      <c r="Y117" s="44">
        <f t="shared" si="43"/>
        <v>0</v>
      </c>
      <c r="Z117" s="44">
        <f t="shared" si="44"/>
        <v>20178.143698484546</v>
      </c>
      <c r="AA117" s="522">
        <f t="shared" si="37"/>
        <v>55989.528557939702</v>
      </c>
      <c r="AB117" s="51">
        <f t="shared" si="45"/>
        <v>18863.367017373603</v>
      </c>
      <c r="AC117" s="44">
        <f t="shared" si="46"/>
        <v>52341.337344993641</v>
      </c>
      <c r="AD117" s="44">
        <f t="shared" si="47"/>
        <v>0</v>
      </c>
      <c r="AE117" s="44">
        <f t="shared" si="48"/>
        <v>0</v>
      </c>
      <c r="AF117" s="52">
        <f>HLOOKUP(I117,ElecAvoidedCostsWOCC!$A$5:$Q$50,G117+1,FALSE)</f>
        <v>3.4276422079642828</v>
      </c>
      <c r="AG117" s="44">
        <f t="shared" si="49"/>
        <v>22402.383942812958</v>
      </c>
      <c r="AH117" s="52">
        <f>HLOOKUP(I117,ElecAvoidedCostsWOCC!$A$5:$Q$50,T117+1,FALSE)</f>
        <v>3.4276422079642828</v>
      </c>
      <c r="AI117" s="44">
        <f t="shared" si="50"/>
        <v>0</v>
      </c>
      <c r="AJ117" s="44">
        <f t="shared" si="51"/>
        <v>22402.383942812958</v>
      </c>
      <c r="AK117" s="44">
        <f>HLOOKUP(I117,ElecAvoidedCostsWOCC!$A$5:$Q$50,G117+1,FALSE)*J117*L117</f>
        <v>0</v>
      </c>
      <c r="AL117" s="44">
        <f t="shared" si="52"/>
        <v>22402.383942812958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22402.383942812958</v>
      </c>
      <c r="AN117" s="48">
        <f t="shared" si="53"/>
        <v>24642.622337094257</v>
      </c>
      <c r="AO117" s="47">
        <f t="shared" si="54"/>
        <v>1.1876132146599192</v>
      </c>
      <c r="AP117" s="47">
        <f t="shared" si="55"/>
        <v>0.47080612737632471</v>
      </c>
      <c r="AQ117">
        <v>2021</v>
      </c>
    </row>
    <row r="118" spans="2:43">
      <c r="B118" s="97" t="s">
        <v>74</v>
      </c>
      <c r="C118" s="100">
        <v>18230611</v>
      </c>
      <c r="D118" s="100" t="s">
        <v>75</v>
      </c>
      <c r="E118" s="38" t="s">
        <v>1499</v>
      </c>
      <c r="F118" s="39" t="s">
        <v>1500</v>
      </c>
      <c r="G118" s="39">
        <v>25</v>
      </c>
      <c r="H118" s="39"/>
      <c r="I118" s="40" t="s">
        <v>269</v>
      </c>
      <c r="J118" s="41">
        <v>82951</v>
      </c>
      <c r="K118" s="41">
        <v>0.8</v>
      </c>
      <c r="L118" s="41"/>
      <c r="M118" s="42">
        <v>2.37</v>
      </c>
      <c r="N118" s="42">
        <v>2.37</v>
      </c>
      <c r="O118" s="43">
        <v>66360.800000000003</v>
      </c>
      <c r="P118" s="44">
        <v>270628.14</v>
      </c>
      <c r="Q118" s="44">
        <v>270628.14</v>
      </c>
      <c r="R118" s="45">
        <v>0</v>
      </c>
      <c r="S118" s="46">
        <v>0</v>
      </c>
      <c r="T118" s="39">
        <f t="shared" si="38"/>
        <v>25</v>
      </c>
      <c r="U118" s="47">
        <f t="shared" si="39"/>
        <v>0.71884743116901084</v>
      </c>
      <c r="V118" s="48">
        <f t="shared" si="40"/>
        <v>0</v>
      </c>
      <c r="W118" s="49">
        <f t="shared" si="41"/>
        <v>2.8753897246760432E-2</v>
      </c>
      <c r="X118" s="44">
        <f t="shared" si="42"/>
        <v>7643.0277084647723</v>
      </c>
      <c r="Y118" s="44">
        <f t="shared" si="43"/>
        <v>0</v>
      </c>
      <c r="Z118" s="44">
        <f t="shared" si="44"/>
        <v>204877.40725640216</v>
      </c>
      <c r="AA118" s="522">
        <f t="shared" si="37"/>
        <v>286799.40478208021</v>
      </c>
      <c r="AB118" s="51">
        <f t="shared" si="45"/>
        <v>191527.91180368527</v>
      </c>
      <c r="AC118" s="44">
        <f t="shared" si="46"/>
        <v>268111.99848750135</v>
      </c>
      <c r="AD118" s="44">
        <f t="shared" si="47"/>
        <v>0</v>
      </c>
      <c r="AE118" s="44">
        <f t="shared" si="48"/>
        <v>0</v>
      </c>
      <c r="AF118" s="52">
        <f>HLOOKUP(I118,ElecAvoidedCostsWOCC!$A$5:$Q$50,G118+1,FALSE)</f>
        <v>2.0508206305871441</v>
      </c>
      <c r="AG118" s="44">
        <f t="shared" si="49"/>
        <v>136094.09770226735</v>
      </c>
      <c r="AH118" s="52">
        <f>HLOOKUP(I118,ElecAvoidedCostsWOCC!$A$5:$Q$50,T118+1,FALSE)</f>
        <v>2.0508206305871441</v>
      </c>
      <c r="AI118" s="44">
        <f t="shared" si="50"/>
        <v>0</v>
      </c>
      <c r="AJ118" s="44">
        <f t="shared" si="51"/>
        <v>136094.09770226735</v>
      </c>
      <c r="AK118" s="44">
        <f>HLOOKUP(I118,ElecAvoidedCostsWOCC!$A$5:$Q$50,G118+1,FALSE)*J118*L118</f>
        <v>0</v>
      </c>
      <c r="AL118" s="44">
        <f t="shared" si="52"/>
        <v>136094.09770226735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136094.09770226738</v>
      </c>
      <c r="AN118" s="48">
        <f t="shared" si="53"/>
        <v>149703.50747249412</v>
      </c>
      <c r="AO118" s="47">
        <f t="shared" si="54"/>
        <v>0.71057057125837009</v>
      </c>
      <c r="AP118" s="47">
        <f t="shared" si="55"/>
        <v>0.55836183504287629</v>
      </c>
      <c r="AQ118">
        <v>2021</v>
      </c>
    </row>
    <row r="119" spans="2:43">
      <c r="B119" s="97" t="s">
        <v>74</v>
      </c>
      <c r="C119" s="100">
        <v>18230611</v>
      </c>
      <c r="D119" s="100" t="s">
        <v>75</v>
      </c>
      <c r="E119" s="38" t="s">
        <v>1503</v>
      </c>
      <c r="F119" s="39" t="s">
        <v>1504</v>
      </c>
      <c r="G119" s="39">
        <v>45</v>
      </c>
      <c r="H119" s="39"/>
      <c r="I119" s="40" t="s">
        <v>267</v>
      </c>
      <c r="J119" s="41">
        <v>500</v>
      </c>
      <c r="K119" s="41">
        <v>1.35</v>
      </c>
      <c r="L119" s="41"/>
      <c r="M119" s="42">
        <v>2.2000000000000002</v>
      </c>
      <c r="N119" s="42">
        <v>2.2000000000000002</v>
      </c>
      <c r="O119" s="43">
        <v>675</v>
      </c>
      <c r="P119" s="44">
        <v>1430</v>
      </c>
      <c r="Q119" s="44">
        <v>1430</v>
      </c>
      <c r="R119" s="45">
        <v>0</v>
      </c>
      <c r="S119" s="46">
        <v>0</v>
      </c>
      <c r="T119" s="39">
        <f t="shared" si="38"/>
        <v>45</v>
      </c>
      <c r="U119" s="47">
        <f t="shared" si="39"/>
        <v>1.3161378839169329E-2</v>
      </c>
      <c r="V119" s="48">
        <f t="shared" si="40"/>
        <v>0</v>
      </c>
      <c r="W119" s="49">
        <f t="shared" si="41"/>
        <v>2.9247508531487397E-4</v>
      </c>
      <c r="X119" s="44">
        <f t="shared" si="42"/>
        <v>77.742337392161048</v>
      </c>
      <c r="Y119" s="44">
        <f t="shared" si="43"/>
        <v>0</v>
      </c>
      <c r="Z119" s="44">
        <f t="shared" si="44"/>
        <v>2083.9448876154511</v>
      </c>
      <c r="AA119" s="522">
        <f t="shared" si="37"/>
        <v>1552.8055707102858</v>
      </c>
      <c r="AB119" s="51">
        <f t="shared" si="45"/>
        <v>1948.1582570958687</v>
      </c>
      <c r="AC119" s="44">
        <f t="shared" si="46"/>
        <v>1451.6271578108681</v>
      </c>
      <c r="AD119" s="44">
        <f t="shared" si="47"/>
        <v>0</v>
      </c>
      <c r="AE119" s="44">
        <f t="shared" si="48"/>
        <v>0</v>
      </c>
      <c r="AF119" s="52">
        <f>HLOOKUP(I119,ElecAvoidedCostsWOCC!$A$5:$Q$50,G119+1,FALSE)</f>
        <v>3.1346149049506007</v>
      </c>
      <c r="AG119" s="44">
        <f t="shared" si="49"/>
        <v>2115.8650608416556</v>
      </c>
      <c r="AH119" s="52">
        <f>HLOOKUP(I119,ElecAvoidedCostsWOCC!$A$5:$Q$50,T119+1,FALSE)</f>
        <v>3.1346149049506007</v>
      </c>
      <c r="AI119" s="44">
        <f t="shared" si="50"/>
        <v>0</v>
      </c>
      <c r="AJ119" s="44">
        <f t="shared" si="51"/>
        <v>2115.8650608416556</v>
      </c>
      <c r="AK119" s="44">
        <f>HLOOKUP(I119,ElecAvoidedCostsWOCC!$A$5:$Q$50,G119+1,FALSE)*J119*L119</f>
        <v>0</v>
      </c>
      <c r="AL119" s="44">
        <f t="shared" si="52"/>
        <v>2115.8650608416556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2115.8650608416556</v>
      </c>
      <c r="AN119" s="48">
        <f t="shared" si="53"/>
        <v>2327.4515669258212</v>
      </c>
      <c r="AO119" s="47">
        <f t="shared" si="54"/>
        <v>1.0860847947721601</v>
      </c>
      <c r="AP119" s="47">
        <f t="shared" si="55"/>
        <v>1.6033397793657591</v>
      </c>
      <c r="AQ119">
        <v>2021</v>
      </c>
    </row>
    <row r="120" spans="2:43">
      <c r="B120" s="97" t="s">
        <v>74</v>
      </c>
      <c r="C120" s="100">
        <v>18230611</v>
      </c>
      <c r="D120" s="100" t="s">
        <v>75</v>
      </c>
      <c r="E120" s="38" t="s">
        <v>1505</v>
      </c>
      <c r="F120" s="39" t="s">
        <v>1506</v>
      </c>
      <c r="G120" s="39">
        <v>25</v>
      </c>
      <c r="H120" s="39"/>
      <c r="I120" s="40" t="s">
        <v>269</v>
      </c>
      <c r="J120" s="41">
        <v>17249</v>
      </c>
      <c r="K120" s="41">
        <v>0.52</v>
      </c>
      <c r="L120" s="41"/>
      <c r="M120" s="42">
        <v>2.7</v>
      </c>
      <c r="N120" s="42">
        <v>2.7</v>
      </c>
      <c r="O120" s="43">
        <v>8969.48</v>
      </c>
      <c r="P120" s="44">
        <v>60879.11</v>
      </c>
      <c r="Q120" s="44">
        <v>60879.11</v>
      </c>
      <c r="R120" s="45">
        <v>0</v>
      </c>
      <c r="S120" s="46">
        <v>0</v>
      </c>
      <c r="T120" s="39">
        <f t="shared" si="38"/>
        <v>25</v>
      </c>
      <c r="U120" s="47">
        <f t="shared" si="39"/>
        <v>9.7161089934446512E-2</v>
      </c>
      <c r="V120" s="48">
        <f t="shared" si="40"/>
        <v>0</v>
      </c>
      <c r="W120" s="49">
        <f t="shared" si="41"/>
        <v>3.8864435973778606E-3</v>
      </c>
      <c r="X120" s="44">
        <f t="shared" si="42"/>
        <v>1033.0493931736899</v>
      </c>
      <c r="Y120" s="44">
        <f t="shared" si="43"/>
        <v>0</v>
      </c>
      <c r="Z120" s="44">
        <f t="shared" si="44"/>
        <v>27691.706652694873</v>
      </c>
      <c r="AA120" s="522">
        <f t="shared" si="37"/>
        <v>63830.627601656059</v>
      </c>
      <c r="AB120" s="51">
        <f t="shared" si="45"/>
        <v>25887.357813120379</v>
      </c>
      <c r="AC120" s="44">
        <f t="shared" si="46"/>
        <v>59671.522484487286</v>
      </c>
      <c r="AD120" s="44">
        <f t="shared" si="47"/>
        <v>0</v>
      </c>
      <c r="AE120" s="44">
        <f t="shared" si="48"/>
        <v>0</v>
      </c>
      <c r="AF120" s="52">
        <f>HLOOKUP(I120,ElecAvoidedCostsWOCC!$A$5:$Q$50,G120+1,FALSE)</f>
        <v>2.0508206305871441</v>
      </c>
      <c r="AG120" s="44">
        <f t="shared" si="49"/>
        <v>18394.794629638778</v>
      </c>
      <c r="AH120" s="52">
        <f>HLOOKUP(I120,ElecAvoidedCostsWOCC!$A$5:$Q$50,T120+1,FALSE)</f>
        <v>2.0508206305871441</v>
      </c>
      <c r="AI120" s="44">
        <f t="shared" si="50"/>
        <v>0</v>
      </c>
      <c r="AJ120" s="44">
        <f t="shared" si="51"/>
        <v>18394.794629638778</v>
      </c>
      <c r="AK120" s="44">
        <f>HLOOKUP(I120,ElecAvoidedCostsWOCC!$A$5:$Q$50,G120+1,FALSE)*J120*L120</f>
        <v>0</v>
      </c>
      <c r="AL120" s="44">
        <f t="shared" si="52"/>
        <v>18394.794629638778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18394.794629638778</v>
      </c>
      <c r="AN120" s="48">
        <f t="shared" si="53"/>
        <v>20234.274092602656</v>
      </c>
      <c r="AO120" s="47">
        <f t="shared" si="54"/>
        <v>0.71057057125837009</v>
      </c>
      <c r="AP120" s="47">
        <f t="shared" si="55"/>
        <v>0.33909431584995892</v>
      </c>
      <c r="AQ120">
        <v>2021</v>
      </c>
    </row>
    <row r="121" spans="2:43">
      <c r="B121" s="97" t="s">
        <v>74</v>
      </c>
      <c r="C121" s="100">
        <v>18230611</v>
      </c>
      <c r="D121" s="100" t="s">
        <v>75</v>
      </c>
      <c r="E121" s="38" t="s">
        <v>1509</v>
      </c>
      <c r="F121" s="39" t="s">
        <v>1510</v>
      </c>
      <c r="G121" s="39">
        <v>45</v>
      </c>
      <c r="H121" s="39"/>
      <c r="I121" s="40" t="s">
        <v>269</v>
      </c>
      <c r="J121" s="41">
        <v>24148</v>
      </c>
      <c r="K121" s="41">
        <v>0.4</v>
      </c>
      <c r="L121" s="41"/>
      <c r="M121" s="42">
        <v>2.2000000000000002</v>
      </c>
      <c r="N121" s="42">
        <v>2.2000000000000002</v>
      </c>
      <c r="O121" s="43">
        <v>9659.2000000000007</v>
      </c>
      <c r="P121" s="44">
        <v>73020.17</v>
      </c>
      <c r="Q121" s="44">
        <v>73020.17</v>
      </c>
      <c r="R121" s="45">
        <v>0</v>
      </c>
      <c r="S121" s="46">
        <v>0</v>
      </c>
      <c r="T121" s="39">
        <f t="shared" si="38"/>
        <v>45</v>
      </c>
      <c r="U121" s="47">
        <f t="shared" si="39"/>
        <v>0.18833835627156206</v>
      </c>
      <c r="V121" s="48">
        <f t="shared" si="40"/>
        <v>0</v>
      </c>
      <c r="W121" s="49">
        <f t="shared" si="41"/>
        <v>4.1852968060347127E-3</v>
      </c>
      <c r="X121" s="44">
        <f t="shared" si="42"/>
        <v>1112.4870893901659</v>
      </c>
      <c r="Y121" s="44">
        <f t="shared" si="43"/>
        <v>0</v>
      </c>
      <c r="Z121" s="44">
        <f t="shared" si="44"/>
        <v>29821.096975489141</v>
      </c>
      <c r="AA121" s="522">
        <f t="shared" si="37"/>
        <v>76433.723493333615</v>
      </c>
      <c r="AB121" s="51">
        <f t="shared" si="45"/>
        <v>27878.000351022845</v>
      </c>
      <c r="AC121" s="44">
        <f t="shared" si="46"/>
        <v>71453.420111558022</v>
      </c>
      <c r="AD121" s="44">
        <f t="shared" si="47"/>
        <v>0</v>
      </c>
      <c r="AE121" s="44">
        <f t="shared" si="48"/>
        <v>0</v>
      </c>
      <c r="AF121" s="52">
        <f>HLOOKUP(I121,ElecAvoidedCostsWOCC!$A$5:$Q$50,G121+1,FALSE)</f>
        <v>3.4276422079642828</v>
      </c>
      <c r="AG121" s="44">
        <f t="shared" si="49"/>
        <v>33108.281615168606</v>
      </c>
      <c r="AH121" s="52">
        <f>HLOOKUP(I121,ElecAvoidedCostsWOCC!$A$5:$Q$50,T121+1,FALSE)</f>
        <v>3.4276422079642828</v>
      </c>
      <c r="AI121" s="44">
        <f t="shared" si="50"/>
        <v>0</v>
      </c>
      <c r="AJ121" s="44">
        <f t="shared" si="51"/>
        <v>33108.281615168606</v>
      </c>
      <c r="AK121" s="44">
        <f>HLOOKUP(I121,ElecAvoidedCostsWOCC!$A$5:$Q$50,G121+1,FALSE)*J121*L121</f>
        <v>0</v>
      </c>
      <c r="AL121" s="44">
        <f t="shared" si="52"/>
        <v>33108.281615168606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33108.281615168606</v>
      </c>
      <c r="AN121" s="48">
        <f t="shared" si="53"/>
        <v>36419.109776685473</v>
      </c>
      <c r="AO121" s="47">
        <f t="shared" si="54"/>
        <v>1.1876132146599194</v>
      </c>
      <c r="AP121" s="47">
        <f t="shared" si="55"/>
        <v>0.50969022504206851</v>
      </c>
      <c r="AQ121">
        <v>2021</v>
      </c>
    </row>
    <row r="122" spans="2:43">
      <c r="B122" s="97" t="s">
        <v>74</v>
      </c>
      <c r="C122" s="100">
        <v>18230611</v>
      </c>
      <c r="D122" s="100" t="s">
        <v>75</v>
      </c>
      <c r="E122" s="38" t="s">
        <v>1513</v>
      </c>
      <c r="F122" s="39" t="s">
        <v>1514</v>
      </c>
      <c r="G122" s="39">
        <v>25</v>
      </c>
      <c r="H122" s="39"/>
      <c r="I122" s="40" t="s">
        <v>269</v>
      </c>
      <c r="J122" s="41">
        <v>7160</v>
      </c>
      <c r="K122" s="41">
        <v>0.37</v>
      </c>
      <c r="L122" s="41"/>
      <c r="M122" s="42">
        <v>1.84</v>
      </c>
      <c r="N122" s="42">
        <v>1.84</v>
      </c>
      <c r="O122" s="43">
        <v>2649.2</v>
      </c>
      <c r="P122" s="44">
        <v>15596.78</v>
      </c>
      <c r="Q122" s="44">
        <v>15596.78</v>
      </c>
      <c r="R122" s="45">
        <v>0</v>
      </c>
      <c r="S122" s="46">
        <v>0</v>
      </c>
      <c r="T122" s="39">
        <f t="shared" si="38"/>
        <v>25</v>
      </c>
      <c r="U122" s="47">
        <f t="shared" si="39"/>
        <v>2.8697222074672745E-2</v>
      </c>
      <c r="V122" s="48">
        <f t="shared" si="40"/>
        <v>0</v>
      </c>
      <c r="W122" s="49">
        <f t="shared" si="41"/>
        <v>1.1478888829869098E-3</v>
      </c>
      <c r="X122" s="44">
        <f t="shared" si="42"/>
        <v>305.11851884342673</v>
      </c>
      <c r="Y122" s="44">
        <f t="shared" si="43"/>
        <v>0</v>
      </c>
      <c r="Z122" s="44">
        <f t="shared" si="44"/>
        <v>8178.943401882746</v>
      </c>
      <c r="AA122" s="522">
        <f t="shared" si="37"/>
        <v>16393.395956711582</v>
      </c>
      <c r="AB122" s="51">
        <f t="shared" si="45"/>
        <v>7646.0160810346315</v>
      </c>
      <c r="AC122" s="44">
        <f t="shared" si="46"/>
        <v>15325.227593448239</v>
      </c>
      <c r="AD122" s="44">
        <f t="shared" si="47"/>
        <v>0</v>
      </c>
      <c r="AE122" s="44">
        <f t="shared" si="48"/>
        <v>0</v>
      </c>
      <c r="AF122" s="52">
        <f>HLOOKUP(I122,ElecAvoidedCostsWOCC!$A$5:$Q$50,G122+1,FALSE)</f>
        <v>2.0508206305871441</v>
      </c>
      <c r="AG122" s="44">
        <f t="shared" si="49"/>
        <v>5433.0340145514629</v>
      </c>
      <c r="AH122" s="52">
        <f>HLOOKUP(I122,ElecAvoidedCostsWOCC!$A$5:$Q$50,T122+1,FALSE)</f>
        <v>2.0508206305871441</v>
      </c>
      <c r="AI122" s="44">
        <f t="shared" si="50"/>
        <v>0</v>
      </c>
      <c r="AJ122" s="44">
        <f t="shared" si="51"/>
        <v>5433.0340145514629</v>
      </c>
      <c r="AK122" s="44">
        <f>HLOOKUP(I122,ElecAvoidedCostsWOCC!$A$5:$Q$50,G122+1,FALSE)*J122*L122</f>
        <v>0</v>
      </c>
      <c r="AL122" s="44">
        <f t="shared" si="52"/>
        <v>5433.0340145514629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5433.034014551462</v>
      </c>
      <c r="AN122" s="48">
        <f t="shared" si="53"/>
        <v>5976.3374160066087</v>
      </c>
      <c r="AO122" s="47">
        <f t="shared" si="54"/>
        <v>0.71057057125837009</v>
      </c>
      <c r="AP122" s="47">
        <f t="shared" si="55"/>
        <v>0.38996728626474569</v>
      </c>
      <c r="AQ122">
        <v>2021</v>
      </c>
    </row>
    <row r="123" spans="2:43">
      <c r="B123" s="97" t="s">
        <v>74</v>
      </c>
      <c r="C123" s="100">
        <v>18230611</v>
      </c>
      <c r="D123" s="100" t="s">
        <v>75</v>
      </c>
      <c r="E123" s="38" t="s">
        <v>1515</v>
      </c>
      <c r="F123" s="39" t="s">
        <v>1516</v>
      </c>
      <c r="G123" s="39">
        <v>45</v>
      </c>
      <c r="H123" s="39"/>
      <c r="I123" s="40" t="s">
        <v>267</v>
      </c>
      <c r="J123" s="41">
        <v>19187</v>
      </c>
      <c r="K123" s="41">
        <v>2.0499999999999998</v>
      </c>
      <c r="L123" s="41"/>
      <c r="M123" s="42">
        <v>2.75</v>
      </c>
      <c r="N123" s="42">
        <v>2.75</v>
      </c>
      <c r="O123" s="43">
        <v>39333.35</v>
      </c>
      <c r="P123" s="44">
        <v>68593.52</v>
      </c>
      <c r="Q123" s="44">
        <v>68593.52</v>
      </c>
      <c r="R123" s="45">
        <v>0</v>
      </c>
      <c r="S123" s="46">
        <v>0</v>
      </c>
      <c r="T123" s="39">
        <f t="shared" si="38"/>
        <v>45</v>
      </c>
      <c r="U123" s="47">
        <f t="shared" si="39"/>
        <v>0.76693499313131996</v>
      </c>
      <c r="V123" s="48">
        <f t="shared" si="40"/>
        <v>0</v>
      </c>
      <c r="W123" s="49">
        <f t="shared" si="41"/>
        <v>1.7042999847362666E-2</v>
      </c>
      <c r="X123" s="44">
        <f t="shared" si="42"/>
        <v>4530.1726910577154</v>
      </c>
      <c r="Y123" s="44">
        <f t="shared" si="43"/>
        <v>0</v>
      </c>
      <c r="Z123" s="44">
        <f t="shared" si="44"/>
        <v>121434.86465968774</v>
      </c>
      <c r="AA123" s="522">
        <f t="shared" si="37"/>
        <v>75285.263177681118</v>
      </c>
      <c r="AB123" s="51">
        <f t="shared" si="45"/>
        <v>113522.35641739528</v>
      </c>
      <c r="AC123" s="44">
        <f t="shared" si="46"/>
        <v>70379.791696439293</v>
      </c>
      <c r="AD123" s="44">
        <f t="shared" si="47"/>
        <v>0</v>
      </c>
      <c r="AE123" s="44">
        <f t="shared" si="48"/>
        <v>0</v>
      </c>
      <c r="AF123" s="52">
        <f>HLOOKUP(I123,ElecAvoidedCostsWOCC!$A$5:$Q$50,G123+1,FALSE)</f>
        <v>3.1346149049506007</v>
      </c>
      <c r="AG123" s="44">
        <f t="shared" si="49"/>
        <v>123294.9051716387</v>
      </c>
      <c r="AH123" s="52">
        <f>HLOOKUP(I123,ElecAvoidedCostsWOCC!$A$5:$Q$50,T123+1,FALSE)</f>
        <v>3.1346149049506007</v>
      </c>
      <c r="AI123" s="44">
        <f t="shared" si="50"/>
        <v>0</v>
      </c>
      <c r="AJ123" s="44">
        <f t="shared" si="51"/>
        <v>123294.9051716387</v>
      </c>
      <c r="AK123" s="44">
        <f>HLOOKUP(I123,ElecAvoidedCostsWOCC!$A$5:$Q$50,G123+1,FALSE)*J123*L123</f>
        <v>0</v>
      </c>
      <c r="AL123" s="44">
        <f t="shared" si="52"/>
        <v>123294.9051716387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123294.90517163869</v>
      </c>
      <c r="AN123" s="48">
        <f t="shared" si="53"/>
        <v>135624.39568880256</v>
      </c>
      <c r="AO123" s="47">
        <f t="shared" si="54"/>
        <v>1.0860847947721595</v>
      </c>
      <c r="AP123" s="47">
        <f t="shared" si="55"/>
        <v>1.9270360485546048</v>
      </c>
      <c r="AQ123">
        <v>2021</v>
      </c>
    </row>
    <row r="124" spans="2:43">
      <c r="B124" s="97" t="s">
        <v>74</v>
      </c>
      <c r="C124" s="100">
        <v>18230611</v>
      </c>
      <c r="D124" s="100" t="s">
        <v>75</v>
      </c>
      <c r="E124" s="38" t="s">
        <v>1517</v>
      </c>
      <c r="F124" s="39" t="s">
        <v>1518</v>
      </c>
      <c r="G124" s="39">
        <v>45</v>
      </c>
      <c r="H124" s="39"/>
      <c r="I124" s="40" t="s">
        <v>269</v>
      </c>
      <c r="J124" s="41">
        <v>7136</v>
      </c>
      <c r="K124" s="41">
        <v>0.83</v>
      </c>
      <c r="L124" s="41"/>
      <c r="M124" s="42">
        <v>2.75</v>
      </c>
      <c r="N124" s="42">
        <v>2.75</v>
      </c>
      <c r="O124" s="43">
        <v>5922.88</v>
      </c>
      <c r="P124" s="44">
        <v>26462.720000000001</v>
      </c>
      <c r="Q124" s="44">
        <v>26462.720000000001</v>
      </c>
      <c r="R124" s="45">
        <v>0</v>
      </c>
      <c r="S124" s="46">
        <v>0</v>
      </c>
      <c r="T124" s="39">
        <f t="shared" si="38"/>
        <v>45</v>
      </c>
      <c r="U124" s="47">
        <f t="shared" si="39"/>
        <v>0.11548632222065072</v>
      </c>
      <c r="V124" s="48">
        <f t="shared" si="40"/>
        <v>0</v>
      </c>
      <c r="W124" s="49">
        <f t="shared" si="41"/>
        <v>2.5663627160144604E-3</v>
      </c>
      <c r="X124" s="44">
        <f t="shared" si="42"/>
        <v>682.16079302708567</v>
      </c>
      <c r="Y124" s="44">
        <f t="shared" si="43"/>
        <v>0</v>
      </c>
      <c r="Z124" s="44">
        <f t="shared" si="44"/>
        <v>18285.859994014529</v>
      </c>
      <c r="AA124" s="522">
        <f t="shared" si="37"/>
        <v>27978.793887846812</v>
      </c>
      <c r="AB124" s="51">
        <f t="shared" si="45"/>
        <v>17094.381596722938</v>
      </c>
      <c r="AC124" s="44">
        <f t="shared" si="46"/>
        <v>26155.738887395353</v>
      </c>
      <c r="AD124" s="44">
        <f t="shared" si="47"/>
        <v>0</v>
      </c>
      <c r="AE124" s="44">
        <f t="shared" si="48"/>
        <v>0</v>
      </c>
      <c r="AF124" s="52">
        <f>HLOOKUP(I124,ElecAvoidedCostsWOCC!$A$5:$Q$50,G124+1,FALSE)</f>
        <v>3.4276422079642828</v>
      </c>
      <c r="AG124" s="44">
        <f t="shared" si="49"/>
        <v>20301.51348070749</v>
      </c>
      <c r="AH124" s="52">
        <f>HLOOKUP(I124,ElecAvoidedCostsWOCC!$A$5:$Q$50,T124+1,FALSE)</f>
        <v>3.4276422079642828</v>
      </c>
      <c r="AI124" s="44">
        <f t="shared" si="50"/>
        <v>0</v>
      </c>
      <c r="AJ124" s="44">
        <f t="shared" si="51"/>
        <v>20301.51348070749</v>
      </c>
      <c r="AK124" s="44">
        <f>HLOOKUP(I124,ElecAvoidedCostsWOCC!$A$5:$Q$50,G124+1,FALSE)*J124*L124</f>
        <v>0</v>
      </c>
      <c r="AL124" s="44">
        <f t="shared" si="52"/>
        <v>20301.51348070749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20301.51348070749</v>
      </c>
      <c r="AN124" s="48">
        <f t="shared" si="53"/>
        <v>22331.664828778241</v>
      </c>
      <c r="AO124" s="47">
        <f t="shared" si="54"/>
        <v>1.1876132146599192</v>
      </c>
      <c r="AP124" s="47">
        <f t="shared" si="55"/>
        <v>0.85379598431226267</v>
      </c>
      <c r="AQ124">
        <v>2021</v>
      </c>
    </row>
    <row r="125" spans="2:43">
      <c r="B125" s="97" t="s">
        <v>74</v>
      </c>
      <c r="C125" s="100">
        <v>18230611</v>
      </c>
      <c r="D125" s="100" t="s">
        <v>75</v>
      </c>
      <c r="E125" s="38" t="s">
        <v>1521</v>
      </c>
      <c r="F125" s="39" t="s">
        <v>1522</v>
      </c>
      <c r="G125" s="39">
        <v>25</v>
      </c>
      <c r="H125" s="39"/>
      <c r="I125" s="40" t="s">
        <v>269</v>
      </c>
      <c r="J125" s="41">
        <v>-383</v>
      </c>
      <c r="K125" s="41">
        <v>0.33</v>
      </c>
      <c r="L125" s="41"/>
      <c r="M125" s="42">
        <v>2.0299999999999998</v>
      </c>
      <c r="N125" s="42">
        <v>2.0299999999999998</v>
      </c>
      <c r="O125" s="43">
        <v>-126.39</v>
      </c>
      <c r="P125" s="44">
        <v>-1228.57</v>
      </c>
      <c r="Q125" s="44">
        <v>-1228.57</v>
      </c>
      <c r="R125" s="45">
        <v>0</v>
      </c>
      <c r="S125" s="46">
        <v>0</v>
      </c>
      <c r="T125" s="39">
        <f t="shared" si="38"/>
        <v>25</v>
      </c>
      <c r="U125" s="47">
        <f t="shared" si="39"/>
        <v>-1.3691083715906267E-3</v>
      </c>
      <c r="V125" s="48">
        <f t="shared" si="40"/>
        <v>0</v>
      </c>
      <c r="W125" s="49">
        <f t="shared" si="41"/>
        <v>-5.4764334863625069E-5</v>
      </c>
      <c r="X125" s="44">
        <f t="shared" si="42"/>
        <v>-14.556820774807754</v>
      </c>
      <c r="Y125" s="44">
        <f t="shared" si="43"/>
        <v>0</v>
      </c>
      <c r="Z125" s="44">
        <f t="shared" si="44"/>
        <v>-390.20710273439539</v>
      </c>
      <c r="AA125" s="522">
        <f t="shared" si="37"/>
        <v>-1281.842440745191</v>
      </c>
      <c r="AB125" s="51">
        <f t="shared" si="45"/>
        <v>-364.78181053977318</v>
      </c>
      <c r="AC125" s="44">
        <f t="shared" si="46"/>
        <v>-1198.3195669301588</v>
      </c>
      <c r="AD125" s="44">
        <f t="shared" si="47"/>
        <v>0</v>
      </c>
      <c r="AE125" s="44">
        <f t="shared" si="48"/>
        <v>0</v>
      </c>
      <c r="AF125" s="52">
        <f>HLOOKUP(I125,ElecAvoidedCostsWOCC!$A$5:$Q$50,G125+1,FALSE)</f>
        <v>2.0508206305871441</v>
      </c>
      <c r="AG125" s="44">
        <f t="shared" si="49"/>
        <v>-259.20321949990915</v>
      </c>
      <c r="AH125" s="52">
        <f>HLOOKUP(I125,ElecAvoidedCostsWOCC!$A$5:$Q$50,T125+1,FALSE)</f>
        <v>2.0508206305871441</v>
      </c>
      <c r="AI125" s="44">
        <f t="shared" si="50"/>
        <v>0</v>
      </c>
      <c r="AJ125" s="44">
        <f t="shared" si="51"/>
        <v>-259.20321949990915</v>
      </c>
      <c r="AK125" s="44">
        <f>HLOOKUP(I125,ElecAvoidedCostsWOCC!$A$5:$Q$50,G125+1,FALSE)*J125*L125</f>
        <v>0</v>
      </c>
      <c r="AL125" s="44">
        <f t="shared" si="52"/>
        <v>-259.20321949990915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-259.20321949990915</v>
      </c>
      <c r="AN125" s="48">
        <f t="shared" si="53"/>
        <v>-285.12354144990007</v>
      </c>
      <c r="AO125" s="47">
        <f t="shared" si="54"/>
        <v>0.71057057125837009</v>
      </c>
      <c r="AP125" s="47">
        <f t="shared" si="55"/>
        <v>0.23793614768414928</v>
      </c>
      <c r="AQ125">
        <v>2021</v>
      </c>
    </row>
    <row r="126" spans="2:43">
      <c r="B126" s="97" t="s">
        <v>74</v>
      </c>
      <c r="C126" s="100">
        <v>18230611</v>
      </c>
      <c r="D126" s="100" t="s">
        <v>75</v>
      </c>
      <c r="E126" s="38" t="s">
        <v>1523</v>
      </c>
      <c r="F126" s="39" t="s">
        <v>1522</v>
      </c>
      <c r="G126" s="39">
        <v>25</v>
      </c>
      <c r="H126" s="39"/>
      <c r="I126" s="40" t="s">
        <v>269</v>
      </c>
      <c r="J126" s="41">
        <v>14362</v>
      </c>
      <c r="K126" s="41">
        <v>0.92</v>
      </c>
      <c r="L126" s="41"/>
      <c r="M126" s="42">
        <v>2.0299999999999998</v>
      </c>
      <c r="N126" s="42">
        <v>2.0299999999999998</v>
      </c>
      <c r="O126" s="43">
        <v>13213.04</v>
      </c>
      <c r="P126" s="44">
        <v>36086.21</v>
      </c>
      <c r="Q126" s="44">
        <v>36086.21</v>
      </c>
      <c r="R126" s="45">
        <v>0</v>
      </c>
      <c r="S126" s="46">
        <v>0</v>
      </c>
      <c r="T126" s="39">
        <f t="shared" si="38"/>
        <v>25</v>
      </c>
      <c r="U126" s="47">
        <f t="shared" si="39"/>
        <v>0.14312907412106823</v>
      </c>
      <c r="V126" s="48">
        <f t="shared" si="40"/>
        <v>0</v>
      </c>
      <c r="W126" s="49">
        <f t="shared" si="41"/>
        <v>5.7251629648427298E-3</v>
      </c>
      <c r="X126" s="44">
        <f t="shared" si="42"/>
        <v>1521.7964646757328</v>
      </c>
      <c r="Y126" s="44">
        <f t="shared" si="43"/>
        <v>0</v>
      </c>
      <c r="Z126" s="44">
        <f t="shared" si="44"/>
        <v>40792.95875238291</v>
      </c>
      <c r="AA126" s="522">
        <f t="shared" si="37"/>
        <v>38745.182199498697</v>
      </c>
      <c r="AB126" s="51">
        <f t="shared" si="45"/>
        <v>38134.952559019264</v>
      </c>
      <c r="AC126" s="44">
        <f t="shared" si="46"/>
        <v>36220.60596382041</v>
      </c>
      <c r="AD126" s="44">
        <f t="shared" si="47"/>
        <v>0</v>
      </c>
      <c r="AE126" s="44">
        <f t="shared" si="48"/>
        <v>0</v>
      </c>
      <c r="AF126" s="52">
        <f>HLOOKUP(I126,ElecAvoidedCostsWOCC!$A$5:$Q$50,G126+1,FALSE)</f>
        <v>2.0508206305871441</v>
      </c>
      <c r="AG126" s="44">
        <f t="shared" si="49"/>
        <v>27097.575024773159</v>
      </c>
      <c r="AH126" s="52">
        <f>HLOOKUP(I126,ElecAvoidedCostsWOCC!$A$5:$Q$50,T126+1,FALSE)</f>
        <v>2.0508206305871441</v>
      </c>
      <c r="AI126" s="44">
        <f t="shared" si="50"/>
        <v>0</v>
      </c>
      <c r="AJ126" s="44">
        <f t="shared" si="51"/>
        <v>27097.575024773159</v>
      </c>
      <c r="AK126" s="44">
        <f>HLOOKUP(I126,ElecAvoidedCostsWOCC!$A$5:$Q$50,G126+1,FALSE)*J126*L126</f>
        <v>0</v>
      </c>
      <c r="AL126" s="44">
        <f t="shared" si="52"/>
        <v>27097.575024773159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27097.575024773159</v>
      </c>
      <c r="AN126" s="48">
        <f t="shared" si="53"/>
        <v>29807.332527250477</v>
      </c>
      <c r="AO126" s="47">
        <f t="shared" si="54"/>
        <v>0.71057057125837009</v>
      </c>
      <c r="AP126" s="47">
        <f t="shared" si="55"/>
        <v>0.82293853827360197</v>
      </c>
      <c r="AQ126">
        <v>2021</v>
      </c>
    </row>
    <row r="127" spans="2:43">
      <c r="B127" s="97" t="s">
        <v>74</v>
      </c>
      <c r="C127" s="100">
        <v>18230611</v>
      </c>
      <c r="D127" s="100" t="s">
        <v>75</v>
      </c>
      <c r="E127" s="38" t="s">
        <v>1526</v>
      </c>
      <c r="F127" s="39" t="s">
        <v>1527</v>
      </c>
      <c r="G127" s="39">
        <v>45</v>
      </c>
      <c r="H127" s="39"/>
      <c r="I127" s="40" t="s">
        <v>269</v>
      </c>
      <c r="J127" s="41">
        <v>3293</v>
      </c>
      <c r="K127" s="41">
        <v>1.35</v>
      </c>
      <c r="L127" s="41"/>
      <c r="M127" s="42">
        <v>2.4300000000000002</v>
      </c>
      <c r="N127" s="42">
        <v>2.4300000000000002</v>
      </c>
      <c r="O127" s="43">
        <v>4445.55</v>
      </c>
      <c r="P127" s="44">
        <v>11767.55</v>
      </c>
      <c r="Q127" s="44">
        <v>11767.55</v>
      </c>
      <c r="R127" s="45">
        <v>0</v>
      </c>
      <c r="S127" s="46">
        <v>0</v>
      </c>
      <c r="T127" s="39">
        <f t="shared" si="38"/>
        <v>45</v>
      </c>
      <c r="U127" s="47">
        <f t="shared" si="39"/>
        <v>8.668084103476921E-2</v>
      </c>
      <c r="V127" s="48">
        <f t="shared" si="40"/>
        <v>0</v>
      </c>
      <c r="W127" s="49">
        <f t="shared" si="41"/>
        <v>1.9262409118837602E-3</v>
      </c>
      <c r="X127" s="44">
        <f t="shared" si="42"/>
        <v>512.01103406477273</v>
      </c>
      <c r="Y127" s="44">
        <f t="shared" si="43"/>
        <v>0</v>
      </c>
      <c r="Z127" s="44">
        <f t="shared" si="44"/>
        <v>13724.861029835365</v>
      </c>
      <c r="AA127" s="522">
        <f t="shared" si="37"/>
        <v>12650.388902059665</v>
      </c>
      <c r="AB127" s="51">
        <f t="shared" si="45"/>
        <v>12830.570281233397</v>
      </c>
      <c r="AC127" s="44">
        <f t="shared" si="46"/>
        <v>11826.109097933686</v>
      </c>
      <c r="AD127" s="44">
        <f t="shared" si="47"/>
        <v>0</v>
      </c>
      <c r="AE127" s="44">
        <f t="shared" si="48"/>
        <v>0</v>
      </c>
      <c r="AF127" s="52">
        <f>HLOOKUP(I127,ElecAvoidedCostsWOCC!$A$5:$Q$50,G127+1,FALSE)</f>
        <v>3.4276422079642828</v>
      </c>
      <c r="AG127" s="44">
        <f t="shared" si="49"/>
        <v>15237.75481761562</v>
      </c>
      <c r="AH127" s="52">
        <f>HLOOKUP(I127,ElecAvoidedCostsWOCC!$A$5:$Q$50,T127+1,FALSE)</f>
        <v>3.4276422079642828</v>
      </c>
      <c r="AI127" s="44">
        <f t="shared" si="50"/>
        <v>0</v>
      </c>
      <c r="AJ127" s="44">
        <f t="shared" si="51"/>
        <v>15237.75481761562</v>
      </c>
      <c r="AK127" s="44">
        <f>HLOOKUP(I127,ElecAvoidedCostsWOCC!$A$5:$Q$50,G127+1,FALSE)*J127*L127</f>
        <v>0</v>
      </c>
      <c r="AL127" s="44">
        <f t="shared" si="52"/>
        <v>15237.75481761562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15237.75481761562</v>
      </c>
      <c r="AN127" s="48">
        <f t="shared" si="53"/>
        <v>16761.530299377184</v>
      </c>
      <c r="AO127" s="47">
        <f t="shared" si="54"/>
        <v>1.1876132146599194</v>
      </c>
      <c r="AP127" s="47">
        <f t="shared" si="55"/>
        <v>1.417332629064435</v>
      </c>
      <c r="AQ127">
        <v>2021</v>
      </c>
    </row>
    <row r="128" spans="2:43">
      <c r="B128" s="97" t="s">
        <v>74</v>
      </c>
      <c r="C128" s="100">
        <v>18230611</v>
      </c>
      <c r="D128" s="100" t="s">
        <v>75</v>
      </c>
      <c r="E128" s="38" t="s">
        <v>1530</v>
      </c>
      <c r="F128" s="39" t="s">
        <v>1531</v>
      </c>
      <c r="G128" s="39">
        <v>45</v>
      </c>
      <c r="H128" s="39"/>
      <c r="I128" s="40" t="s">
        <v>269</v>
      </c>
      <c r="J128" s="41">
        <v>5472</v>
      </c>
      <c r="K128" s="41">
        <v>0.36</v>
      </c>
      <c r="L128" s="41"/>
      <c r="M128" s="42">
        <v>1.59</v>
      </c>
      <c r="N128" s="42">
        <v>1.59</v>
      </c>
      <c r="O128" s="43">
        <v>1969.92</v>
      </c>
      <c r="P128" s="44">
        <v>14191.42</v>
      </c>
      <c r="Q128" s="44">
        <v>14191.42</v>
      </c>
      <c r="R128" s="45">
        <v>0</v>
      </c>
      <c r="S128" s="46">
        <v>0</v>
      </c>
      <c r="T128" s="39">
        <f t="shared" si="38"/>
        <v>45</v>
      </c>
      <c r="U128" s="47">
        <f t="shared" si="39"/>
        <v>3.8410168004231769E-2</v>
      </c>
      <c r="V128" s="48">
        <f t="shared" si="40"/>
        <v>0</v>
      </c>
      <c r="W128" s="49">
        <f t="shared" si="41"/>
        <v>8.5355928898292824E-4</v>
      </c>
      <c r="X128" s="44">
        <f t="shared" si="42"/>
        <v>226.88323744528279</v>
      </c>
      <c r="Y128" s="44">
        <f t="shared" si="43"/>
        <v>0</v>
      </c>
      <c r="Z128" s="44">
        <f t="shared" si="44"/>
        <v>6081.7847600169334</v>
      </c>
      <c r="AA128" s="522">
        <f t="shared" si="37"/>
        <v>14865.513916169411</v>
      </c>
      <c r="AB128" s="51">
        <f t="shared" si="45"/>
        <v>5685.5050575085843</v>
      </c>
      <c r="AC128" s="44">
        <f t="shared" si="46"/>
        <v>13896.89998707059</v>
      </c>
      <c r="AD128" s="44">
        <f t="shared" si="47"/>
        <v>0</v>
      </c>
      <c r="AE128" s="44">
        <f t="shared" si="48"/>
        <v>0</v>
      </c>
      <c r="AF128" s="52">
        <f>HLOOKUP(I128,ElecAvoidedCostsWOCC!$A$5:$Q$50,G128+1,FALSE)</f>
        <v>3.4276422079642828</v>
      </c>
      <c r="AG128" s="44">
        <f t="shared" si="49"/>
        <v>6752.1809383130003</v>
      </c>
      <c r="AH128" s="52">
        <f>HLOOKUP(I128,ElecAvoidedCostsWOCC!$A$5:$Q$50,T128+1,FALSE)</f>
        <v>3.4276422079642828</v>
      </c>
      <c r="AI128" s="44">
        <f t="shared" si="50"/>
        <v>0</v>
      </c>
      <c r="AJ128" s="44">
        <f t="shared" si="51"/>
        <v>6752.1809383130003</v>
      </c>
      <c r="AK128" s="44">
        <f>HLOOKUP(I128,ElecAvoidedCostsWOCC!$A$5:$Q$50,G128+1,FALSE)*J128*L128</f>
        <v>0</v>
      </c>
      <c r="AL128" s="44">
        <f t="shared" si="52"/>
        <v>6752.1809383130003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6752.1809383129994</v>
      </c>
      <c r="AN128" s="48">
        <f t="shared" si="53"/>
        <v>7427.3990321442998</v>
      </c>
      <c r="AO128" s="47">
        <f t="shared" si="54"/>
        <v>1.1876132146599194</v>
      </c>
      <c r="AP128" s="47">
        <f t="shared" si="55"/>
        <v>0.53446445171618195</v>
      </c>
      <c r="AQ128">
        <v>2021</v>
      </c>
    </row>
    <row r="129" spans="2:43">
      <c r="B129" s="97" t="s">
        <v>74</v>
      </c>
      <c r="C129" s="100">
        <v>18230611</v>
      </c>
      <c r="D129" s="100" t="s">
        <v>75</v>
      </c>
      <c r="E129" s="38" t="s">
        <v>1534</v>
      </c>
      <c r="F129" s="39" t="s">
        <v>1535</v>
      </c>
      <c r="G129" s="39">
        <v>45</v>
      </c>
      <c r="H129" s="39"/>
      <c r="I129" s="40" t="s">
        <v>269</v>
      </c>
      <c r="J129" s="41">
        <v>8333</v>
      </c>
      <c r="K129" s="41">
        <v>0.17</v>
      </c>
      <c r="L129" s="41"/>
      <c r="M129" s="42">
        <v>1.29</v>
      </c>
      <c r="N129" s="42">
        <v>1.29</v>
      </c>
      <c r="O129" s="43">
        <v>1416.61</v>
      </c>
      <c r="P129" s="44">
        <v>16678.61</v>
      </c>
      <c r="Q129" s="44">
        <v>16678.61</v>
      </c>
      <c r="R129" s="45">
        <v>0</v>
      </c>
      <c r="S129" s="46">
        <v>0</v>
      </c>
      <c r="T129" s="39">
        <f t="shared" si="38"/>
        <v>45</v>
      </c>
      <c r="U129" s="47">
        <f t="shared" si="39"/>
        <v>2.7621542040526911E-2</v>
      </c>
      <c r="V129" s="48">
        <f t="shared" si="40"/>
        <v>0</v>
      </c>
      <c r="W129" s="49">
        <f t="shared" si="41"/>
        <v>6.1381204534504243E-4</v>
      </c>
      <c r="X129" s="44">
        <f t="shared" si="42"/>
        <v>163.15640381201371</v>
      </c>
      <c r="Y129" s="44">
        <f t="shared" si="43"/>
        <v>0</v>
      </c>
      <c r="Z129" s="44">
        <f t="shared" si="44"/>
        <v>4373.5365440665555</v>
      </c>
      <c r="AA129" s="522">
        <f t="shared" si="37"/>
        <v>17367.355280631597</v>
      </c>
      <c r="AB129" s="51">
        <f t="shared" si="45"/>
        <v>4088.56365716234</v>
      </c>
      <c r="AC129" s="44">
        <f t="shared" si="46"/>
        <v>16235.725231963723</v>
      </c>
      <c r="AD129" s="44">
        <f t="shared" si="47"/>
        <v>0</v>
      </c>
      <c r="AE129" s="44">
        <f t="shared" si="48"/>
        <v>0</v>
      </c>
      <c r="AF129" s="52">
        <f>HLOOKUP(I129,ElecAvoidedCostsWOCC!$A$5:$Q$50,G129+1,FALSE)</f>
        <v>3.4276422079642828</v>
      </c>
      <c r="AG129" s="44">
        <f t="shared" si="49"/>
        <v>4855.6322282242827</v>
      </c>
      <c r="AH129" s="52">
        <f>HLOOKUP(I129,ElecAvoidedCostsWOCC!$A$5:$Q$50,T129+1,FALSE)</f>
        <v>3.4276422079642828</v>
      </c>
      <c r="AI129" s="44">
        <f t="shared" si="50"/>
        <v>0</v>
      </c>
      <c r="AJ129" s="44">
        <f t="shared" si="51"/>
        <v>4855.6322282242827</v>
      </c>
      <c r="AK129" s="44">
        <f>HLOOKUP(I129,ElecAvoidedCostsWOCC!$A$5:$Q$50,G129+1,FALSE)*J129*L129</f>
        <v>0</v>
      </c>
      <c r="AL129" s="44">
        <f t="shared" si="52"/>
        <v>4855.6322282242827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4855.6322282242827</v>
      </c>
      <c r="AN129" s="48">
        <f t="shared" si="53"/>
        <v>5341.1954510467112</v>
      </c>
      <c r="AO129" s="47">
        <f t="shared" si="54"/>
        <v>1.1876132146599192</v>
      </c>
      <c r="AP129" s="47">
        <f t="shared" si="55"/>
        <v>0.32897794060540958</v>
      </c>
      <c r="AQ129">
        <v>2021</v>
      </c>
    </row>
    <row r="130" spans="2:43">
      <c r="B130" s="97" t="s">
        <v>74</v>
      </c>
      <c r="C130" s="100">
        <v>18230611</v>
      </c>
      <c r="D130" s="100" t="s">
        <v>75</v>
      </c>
      <c r="E130" s="38" t="s">
        <v>1536</v>
      </c>
      <c r="F130" s="39" t="s">
        <v>1537</v>
      </c>
      <c r="G130" s="39"/>
      <c r="H130" s="39"/>
      <c r="I130" s="40"/>
      <c r="J130" s="41">
        <v>404</v>
      </c>
      <c r="K130" s="41">
        <v>0</v>
      </c>
      <c r="L130" s="41"/>
      <c r="M130" s="42">
        <v>15.288019801980198</v>
      </c>
      <c r="N130" s="42">
        <v>15.288019801980198</v>
      </c>
      <c r="O130" s="43">
        <v>0</v>
      </c>
      <c r="P130" s="44">
        <v>6176.36</v>
      </c>
      <c r="Q130" s="44">
        <v>6176.36</v>
      </c>
      <c r="R130" s="45">
        <v>0</v>
      </c>
      <c r="S130" s="46">
        <v>0</v>
      </c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22">
        <f t="shared" si="37"/>
        <v>6370.9940921235893</v>
      </c>
      <c r="AB130" s="51">
        <f t="shared" si="45"/>
        <v>0</v>
      </c>
      <c r="AC130" s="44">
        <f t="shared" si="46"/>
        <v>5955.8699561779831</v>
      </c>
      <c r="AD130" s="44">
        <f t="shared" si="47"/>
        <v>0</v>
      </c>
      <c r="AE130" s="44">
        <f t="shared" si="48"/>
        <v>0</v>
      </c>
      <c r="AF130" s="52" t="e">
        <f>HLOOKUP(I130,ElecAvoidedCostsWOCC!$A$5:$Q$50,G130+1,FALSE)</f>
        <v>#N/A</v>
      </c>
      <c r="AG130" s="44" t="e">
        <f t="shared" si="49"/>
        <v>#N/A</v>
      </c>
      <c r="AH130" s="52" t="e">
        <f>HLOOKUP(I130,ElecAvoidedCostsWOCC!$A$5:$Q$50,T130+1,FALSE)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HLOOKUP(I130,ElecAvoidedCostsWOCC!$A$5:$Q$50,G130+1,FALSE)*J130*L130</f>
        <v>#N/A</v>
      </c>
      <c r="AL130" s="44" t="e">
        <f t="shared" si="52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>
        <f t="shared" si="55"/>
        <v>0</v>
      </c>
      <c r="AQ130">
        <v>2021</v>
      </c>
    </row>
    <row r="131" spans="2:43">
      <c r="B131" s="97" t="s">
        <v>74</v>
      </c>
      <c r="C131" s="100">
        <v>18230611</v>
      </c>
      <c r="D131" s="100" t="s">
        <v>75</v>
      </c>
      <c r="E131" s="38" t="s">
        <v>1538</v>
      </c>
      <c r="F131" s="39" t="s">
        <v>1539</v>
      </c>
      <c r="G131" s="39"/>
      <c r="H131" s="39"/>
      <c r="I131" s="40"/>
      <c r="J131" s="41">
        <v>387</v>
      </c>
      <c r="K131" s="41">
        <v>0</v>
      </c>
      <c r="L131" s="41"/>
      <c r="M131" s="42">
        <v>14.944263565891474</v>
      </c>
      <c r="N131" s="42">
        <v>14.944263565891474</v>
      </c>
      <c r="O131" s="43">
        <v>0</v>
      </c>
      <c r="P131" s="44">
        <v>5783.43</v>
      </c>
      <c r="Q131" s="44">
        <v>5783.43</v>
      </c>
      <c r="R131" s="45">
        <v>0</v>
      </c>
      <c r="S131" s="46">
        <v>0</v>
      </c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22">
        <f t="shared" si="37"/>
        <v>5965.6817870412888</v>
      </c>
      <c r="AB131" s="51">
        <f t="shared" si="45"/>
        <v>0</v>
      </c>
      <c r="AC131" s="44">
        <f t="shared" si="46"/>
        <v>5576.967174947451</v>
      </c>
      <c r="AD131" s="44">
        <f t="shared" si="47"/>
        <v>0</v>
      </c>
      <c r="AE131" s="44">
        <f t="shared" si="48"/>
        <v>0</v>
      </c>
      <c r="AF131" s="52" t="e">
        <f>HLOOKUP(I131,ElecAvoidedCostsWOCC!$A$5:$Q$50,G131+1,FALSE)</f>
        <v>#N/A</v>
      </c>
      <c r="AG131" s="44" t="e">
        <f t="shared" si="49"/>
        <v>#N/A</v>
      </c>
      <c r="AH131" s="52" t="e">
        <f>HLOOKUP(I131,ElecAvoidedCostsWOCC!$A$5:$Q$50,T131+1,FALSE)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HLOOKUP(I131,ElecAvoidedCostsWOCC!$A$5:$Q$50,G131+1,FALSE)*J131*L131</f>
        <v>#N/A</v>
      </c>
      <c r="AL131" s="44" t="e">
        <f t="shared" si="52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>
        <f t="shared" si="55"/>
        <v>0</v>
      </c>
      <c r="AQ131">
        <v>2021</v>
      </c>
    </row>
    <row r="132" spans="2:43">
      <c r="B132" s="97" t="s">
        <v>74</v>
      </c>
      <c r="C132" s="100">
        <v>18230611</v>
      </c>
      <c r="D132" s="100" t="s">
        <v>75</v>
      </c>
      <c r="E132" s="38" t="s">
        <v>1540</v>
      </c>
      <c r="F132" s="39" t="s">
        <v>1541</v>
      </c>
      <c r="G132" s="39"/>
      <c r="H132" s="39"/>
      <c r="I132" s="40" t="s">
        <v>269</v>
      </c>
      <c r="J132" s="41">
        <v>1</v>
      </c>
      <c r="K132" s="41">
        <v>0</v>
      </c>
      <c r="L132" s="41"/>
      <c r="M132" s="42">
        <v>44.11</v>
      </c>
      <c r="N132" s="42">
        <v>44.11</v>
      </c>
      <c r="O132" s="43">
        <v>0</v>
      </c>
      <c r="P132" s="44">
        <v>44.11</v>
      </c>
      <c r="Q132" s="44">
        <v>44.11</v>
      </c>
      <c r="R132" s="45">
        <v>0</v>
      </c>
      <c r="S132" s="46">
        <v>0</v>
      </c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22">
        <f t="shared" si="37"/>
        <v>45.500027427736001</v>
      </c>
      <c r="AB132" s="51">
        <f t="shared" si="45"/>
        <v>0</v>
      </c>
      <c r="AC132" s="44">
        <f t="shared" si="46"/>
        <v>42.535315908886602</v>
      </c>
      <c r="AD132" s="44">
        <f t="shared" si="47"/>
        <v>0</v>
      </c>
      <c r="AE132" s="44">
        <f t="shared" si="48"/>
        <v>0</v>
      </c>
      <c r="AF132" s="52" t="str">
        <f>HLOOKUP(I132,ElecAvoidedCostsWOCC!$A$5:$Q$50,G132+1,FALSE)</f>
        <v>SF Space Heat</v>
      </c>
      <c r="AG132" s="44" t="e">
        <f t="shared" si="49"/>
        <v>#VALUE!</v>
      </c>
      <c r="AH132" s="52" t="str">
        <f>HLOOKUP(I132,ElecAvoidedCostsWOCC!$A$5:$Q$50,T132+1,FALSE)</f>
        <v>SF Space Heat</v>
      </c>
      <c r="AI132" s="44" t="e">
        <f t="shared" si="50"/>
        <v>#VALUE!</v>
      </c>
      <c r="AJ132" s="44" t="e">
        <f t="shared" si="51"/>
        <v>#VALUE!</v>
      </c>
      <c r="AK132" s="44" t="e">
        <f>HLOOKUP(I132,ElecAvoidedCostsWOCC!$A$5:$Q$50,G132+1,FALSE)*J132*L132</f>
        <v>#VALUE!</v>
      </c>
      <c r="AL132" s="44" t="e">
        <f t="shared" si="52"/>
        <v>#VALUE!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3"/>
        <v>0</v>
      </c>
      <c r="AO132" s="47">
        <f t="shared" si="54"/>
        <v>0</v>
      </c>
      <c r="AP132" s="47">
        <f t="shared" si="55"/>
        <v>0</v>
      </c>
      <c r="AQ132">
        <v>2021</v>
      </c>
    </row>
    <row r="133" spans="2:43">
      <c r="B133" s="97" t="s">
        <v>74</v>
      </c>
      <c r="C133" s="100">
        <v>18230611</v>
      </c>
      <c r="D133" s="100" t="s">
        <v>75</v>
      </c>
      <c r="E133" s="38" t="s">
        <v>1542</v>
      </c>
      <c r="F133" s="39" t="s">
        <v>1543</v>
      </c>
      <c r="G133" s="39"/>
      <c r="H133" s="39"/>
      <c r="I133" s="40" t="s">
        <v>269</v>
      </c>
      <c r="J133" s="41">
        <v>7</v>
      </c>
      <c r="K133" s="41">
        <v>0</v>
      </c>
      <c r="L133" s="41"/>
      <c r="M133" s="42">
        <v>113.33142857142857</v>
      </c>
      <c r="N133" s="42">
        <v>113.33142857142857</v>
      </c>
      <c r="O133" s="43">
        <v>0</v>
      </c>
      <c r="P133" s="44">
        <v>793.32</v>
      </c>
      <c r="Q133" s="44">
        <v>793.32</v>
      </c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22">
        <f t="shared" si="37"/>
        <v>818.31969528387049</v>
      </c>
      <c r="AB133" s="51">
        <f t="shared" si="45"/>
        <v>0</v>
      </c>
      <c r="AC133" s="44">
        <f t="shared" si="46"/>
        <v>764.99924771793064</v>
      </c>
      <c r="AD133" s="44">
        <f t="shared" si="47"/>
        <v>0</v>
      </c>
      <c r="AE133" s="44">
        <f t="shared" si="48"/>
        <v>0</v>
      </c>
      <c r="AF133" s="52" t="str">
        <f>HLOOKUP(I133,ElecAvoidedCostsWOCC!$A$5:$Q$50,G133+1,FALSE)</f>
        <v>SF Space Heat</v>
      </c>
      <c r="AG133" s="44" t="e">
        <f t="shared" si="49"/>
        <v>#VALUE!</v>
      </c>
      <c r="AH133" s="52" t="str">
        <f>HLOOKUP(I133,ElecAvoidedCostsWOCC!$A$5:$Q$50,T133+1,FALSE)</f>
        <v>SF Space Heat</v>
      </c>
      <c r="AI133" s="44" t="e">
        <f t="shared" si="50"/>
        <v>#VALUE!</v>
      </c>
      <c r="AJ133" s="44" t="e">
        <f t="shared" si="51"/>
        <v>#VALUE!</v>
      </c>
      <c r="AK133" s="44" t="e">
        <f>HLOOKUP(I133,ElecAvoidedCostsWOCC!$A$5:$Q$50,G133+1,FALSE)*J133*L133</f>
        <v>#VALUE!</v>
      </c>
      <c r="AL133" s="44" t="e">
        <f t="shared" si="52"/>
        <v>#VALUE!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3"/>
        <v>0</v>
      </c>
      <c r="AO133" s="47">
        <f t="shared" si="54"/>
        <v>0</v>
      </c>
      <c r="AP133" s="47">
        <f t="shared" si="55"/>
        <v>0</v>
      </c>
      <c r="AQ133">
        <v>2021</v>
      </c>
    </row>
    <row r="134" spans="2:43">
      <c r="B134" s="97" t="s">
        <v>74</v>
      </c>
      <c r="C134" s="100">
        <v>18230611</v>
      </c>
      <c r="D134" s="100" t="s">
        <v>75</v>
      </c>
      <c r="E134" s="38" t="s">
        <v>1544</v>
      </c>
      <c r="F134" s="39" t="s">
        <v>1545</v>
      </c>
      <c r="G134" s="39"/>
      <c r="H134" s="39"/>
      <c r="I134" s="40" t="s">
        <v>269</v>
      </c>
      <c r="J134" s="41">
        <v>13</v>
      </c>
      <c r="K134" s="41">
        <v>0</v>
      </c>
      <c r="L134" s="41"/>
      <c r="M134" s="42">
        <v>123.79230769230769</v>
      </c>
      <c r="N134" s="42">
        <v>123.79230769230769</v>
      </c>
      <c r="O134" s="43">
        <v>0</v>
      </c>
      <c r="P134" s="44">
        <v>1609.3</v>
      </c>
      <c r="Q134" s="44">
        <v>1609.3</v>
      </c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22">
        <f t="shared" si="37"/>
        <v>1660.0134694957048</v>
      </c>
      <c r="AB134" s="51">
        <f t="shared" si="45"/>
        <v>0</v>
      </c>
      <c r="AC134" s="44">
        <f t="shared" si="46"/>
        <v>1551.8495554788303</v>
      </c>
      <c r="AD134" s="44">
        <f t="shared" si="47"/>
        <v>0</v>
      </c>
      <c r="AE134" s="44">
        <f t="shared" si="48"/>
        <v>0</v>
      </c>
      <c r="AF134" s="52" t="str">
        <f>HLOOKUP(I134,ElecAvoidedCostsWOCC!$A$5:$Q$50,G134+1,FALSE)</f>
        <v>SF Space Heat</v>
      </c>
      <c r="AG134" s="44" t="e">
        <f t="shared" si="49"/>
        <v>#VALUE!</v>
      </c>
      <c r="AH134" s="52" t="str">
        <f>HLOOKUP(I134,ElecAvoidedCostsWOCC!$A$5:$Q$50,T134+1,FALSE)</f>
        <v>SF Space Heat</v>
      </c>
      <c r="AI134" s="44" t="e">
        <f t="shared" si="50"/>
        <v>#VALUE!</v>
      </c>
      <c r="AJ134" s="44" t="e">
        <f t="shared" si="51"/>
        <v>#VALUE!</v>
      </c>
      <c r="AK134" s="44" t="e">
        <f>HLOOKUP(I134,ElecAvoidedCostsWOCC!$A$5:$Q$50,G134+1,FALSE)*J134*L134</f>
        <v>#VALUE!</v>
      </c>
      <c r="AL134" s="44" t="e">
        <f t="shared" si="52"/>
        <v>#VALUE!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3"/>
        <v>0</v>
      </c>
      <c r="AO134" s="47">
        <f t="shared" si="54"/>
        <v>0</v>
      </c>
      <c r="AP134" s="47">
        <f t="shared" si="55"/>
        <v>0</v>
      </c>
      <c r="AQ134">
        <v>2021</v>
      </c>
    </row>
    <row r="135" spans="2:43">
      <c r="B135" s="97" t="s">
        <v>74</v>
      </c>
      <c r="C135" s="100">
        <v>18230611</v>
      </c>
      <c r="D135" s="100" t="s">
        <v>75</v>
      </c>
      <c r="E135" s="38" t="s">
        <v>1546</v>
      </c>
      <c r="F135" s="39" t="s">
        <v>1547</v>
      </c>
      <c r="G135" s="39">
        <v>45</v>
      </c>
      <c r="H135" s="39"/>
      <c r="I135" s="40" t="s">
        <v>263</v>
      </c>
      <c r="J135" s="41">
        <v>8</v>
      </c>
      <c r="K135" s="41">
        <v>131</v>
      </c>
      <c r="L135" s="41"/>
      <c r="M135" s="42">
        <v>708.1</v>
      </c>
      <c r="N135" s="42">
        <v>708.1</v>
      </c>
      <c r="O135" s="43">
        <v>1048</v>
      </c>
      <c r="P135" s="44">
        <v>10220</v>
      </c>
      <c r="Q135" s="44">
        <v>10220</v>
      </c>
      <c r="R135" s="45">
        <v>0</v>
      </c>
      <c r="S135" s="46">
        <v>0</v>
      </c>
      <c r="T135" s="39">
        <f t="shared" si="38"/>
        <v>45</v>
      </c>
      <c r="U135" s="47">
        <f t="shared" si="39"/>
        <v>2.0434259293999196E-2</v>
      </c>
      <c r="V135" s="48">
        <f t="shared" si="40"/>
        <v>0</v>
      </c>
      <c r="W135" s="49">
        <f t="shared" si="41"/>
        <v>4.5409465097775992E-4</v>
      </c>
      <c r="X135" s="44">
        <f t="shared" si="42"/>
        <v>120.70217716590338</v>
      </c>
      <c r="Y135" s="44">
        <f t="shared" si="43"/>
        <v>0</v>
      </c>
      <c r="Z135" s="44">
        <f t="shared" si="44"/>
        <v>3235.5173958829528</v>
      </c>
      <c r="AA135" s="522">
        <f t="shared" ref="AA135:AA198" si="56">((Q135/A$12)*A$6)+X135</f>
        <v>10662.762488012921</v>
      </c>
      <c r="AB135" s="51">
        <f t="shared" si="45"/>
        <v>3024.6960791651422</v>
      </c>
      <c r="AC135" s="44">
        <f t="shared" si="46"/>
        <v>9967.9933514190143</v>
      </c>
      <c r="AD135" s="44">
        <f t="shared" si="47"/>
        <v>0</v>
      </c>
      <c r="AE135" s="44">
        <f t="shared" si="48"/>
        <v>0</v>
      </c>
      <c r="AF135" s="52">
        <f>HLOOKUP(I135,ElecAvoidedCostsWOCC!$A$5:$Q$50,G135+1,FALSE)</f>
        <v>2.4586883970162168</v>
      </c>
      <c r="AG135" s="44">
        <f t="shared" si="49"/>
        <v>2576.7054400729953</v>
      </c>
      <c r="AH135" s="52">
        <f>HLOOKUP(I135,ElecAvoidedCostsWOCC!$A$5:$Q$50,T135+1,FALSE)</f>
        <v>2.4586883970162168</v>
      </c>
      <c r="AI135" s="44">
        <f t="shared" si="50"/>
        <v>0</v>
      </c>
      <c r="AJ135" s="44">
        <f t="shared" si="51"/>
        <v>2576.7054400729953</v>
      </c>
      <c r="AK135" s="44">
        <f>HLOOKUP(I135,ElecAvoidedCostsWOCC!$A$5:$Q$50,G135+1,FALSE)*J135*L135</f>
        <v>0</v>
      </c>
      <c r="AL135" s="44">
        <f t="shared" si="52"/>
        <v>2576.7054400729953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2576.7054400729953</v>
      </c>
      <c r="AN135" s="48">
        <f t="shared" si="53"/>
        <v>2834.375984080295</v>
      </c>
      <c r="AO135" s="47">
        <f t="shared" si="54"/>
        <v>0.85188904029795998</v>
      </c>
      <c r="AP135" s="47">
        <f t="shared" si="55"/>
        <v>0.28434770009921823</v>
      </c>
      <c r="AQ135">
        <v>2021</v>
      </c>
    </row>
    <row r="136" spans="2:43">
      <c r="B136" s="97" t="s">
        <v>74</v>
      </c>
      <c r="C136" s="100">
        <v>18230611</v>
      </c>
      <c r="D136" s="100" t="s">
        <v>75</v>
      </c>
      <c r="E136" s="38" t="s">
        <v>1548</v>
      </c>
      <c r="F136" s="39" t="s">
        <v>1549</v>
      </c>
      <c r="G136" s="39">
        <v>45</v>
      </c>
      <c r="H136" s="39"/>
      <c r="I136" s="40" t="s">
        <v>263</v>
      </c>
      <c r="J136" s="41">
        <v>95</v>
      </c>
      <c r="K136" s="41">
        <v>131</v>
      </c>
      <c r="L136" s="41"/>
      <c r="M136" s="42">
        <v>730.01</v>
      </c>
      <c r="N136" s="42">
        <v>730.01</v>
      </c>
      <c r="O136" s="43">
        <v>12445</v>
      </c>
      <c r="P136" s="44">
        <v>95041.56</v>
      </c>
      <c r="Q136" s="44">
        <v>95041.56</v>
      </c>
      <c r="R136" s="45">
        <v>0</v>
      </c>
      <c r="S136" s="46">
        <v>0</v>
      </c>
      <c r="T136" s="39">
        <f t="shared" si="38"/>
        <v>45</v>
      </c>
      <c r="U136" s="47">
        <f t="shared" si="39"/>
        <v>0.24265682911624045</v>
      </c>
      <c r="V136" s="48">
        <f t="shared" si="40"/>
        <v>0</v>
      </c>
      <c r="W136" s="49">
        <f t="shared" si="41"/>
        <v>5.392373980360899E-3</v>
      </c>
      <c r="X136" s="44">
        <f t="shared" si="42"/>
        <v>1433.3383538451026</v>
      </c>
      <c r="Y136" s="44">
        <f t="shared" si="43"/>
        <v>0</v>
      </c>
      <c r="Z136" s="44">
        <f t="shared" si="44"/>
        <v>38421.76907611006</v>
      </c>
      <c r="AA136" s="522">
        <f t="shared" si="56"/>
        <v>99469.919328109812</v>
      </c>
      <c r="AB136" s="51">
        <f t="shared" si="45"/>
        <v>35918.265940086058</v>
      </c>
      <c r="AC136" s="44">
        <f t="shared" si="46"/>
        <v>92988.613001878854</v>
      </c>
      <c r="AD136" s="44">
        <f t="shared" si="47"/>
        <v>0</v>
      </c>
      <c r="AE136" s="44">
        <f t="shared" si="48"/>
        <v>0</v>
      </c>
      <c r="AF136" s="52">
        <f>HLOOKUP(I136,ElecAvoidedCostsWOCC!$A$5:$Q$50,G136+1,FALSE)</f>
        <v>2.4586883970162168</v>
      </c>
      <c r="AG136" s="44">
        <f t="shared" si="49"/>
        <v>30598.377100866819</v>
      </c>
      <c r="AH136" s="52">
        <f>HLOOKUP(I136,ElecAvoidedCostsWOCC!$A$5:$Q$50,T136+1,FALSE)</f>
        <v>2.4586883970162168</v>
      </c>
      <c r="AI136" s="44">
        <f t="shared" si="50"/>
        <v>0</v>
      </c>
      <c r="AJ136" s="44">
        <f t="shared" si="51"/>
        <v>30598.377100866819</v>
      </c>
      <c r="AK136" s="44">
        <f>HLOOKUP(I136,ElecAvoidedCostsWOCC!$A$5:$Q$50,G136+1,FALSE)*J136*L136</f>
        <v>0</v>
      </c>
      <c r="AL136" s="44">
        <f t="shared" si="52"/>
        <v>30598.377100866819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30598.377100866819</v>
      </c>
      <c r="AN136" s="48">
        <f t="shared" si="53"/>
        <v>33658.214810953505</v>
      </c>
      <c r="AO136" s="47">
        <f t="shared" si="54"/>
        <v>0.85188904029796009</v>
      </c>
      <c r="AP136" s="47">
        <f t="shared" si="55"/>
        <v>0.36196060705060129</v>
      </c>
      <c r="AQ136">
        <v>2021</v>
      </c>
    </row>
    <row r="137" spans="2:43">
      <c r="B137" s="97" t="s">
        <v>74</v>
      </c>
      <c r="C137" s="100">
        <v>18230611</v>
      </c>
      <c r="D137" s="100" t="s">
        <v>75</v>
      </c>
      <c r="E137" s="38" t="s">
        <v>1550</v>
      </c>
      <c r="F137" s="39" t="s">
        <v>1551</v>
      </c>
      <c r="G137" s="39">
        <v>45</v>
      </c>
      <c r="H137" s="39"/>
      <c r="I137" s="40" t="s">
        <v>263</v>
      </c>
      <c r="J137" s="41">
        <v>65</v>
      </c>
      <c r="K137" s="41">
        <v>131</v>
      </c>
      <c r="L137" s="41"/>
      <c r="M137" s="42">
        <v>708.1</v>
      </c>
      <c r="N137" s="42">
        <v>708.1</v>
      </c>
      <c r="O137" s="43">
        <v>8515</v>
      </c>
      <c r="P137" s="44">
        <v>65964.53</v>
      </c>
      <c r="Q137" s="44">
        <v>65964.53</v>
      </c>
      <c r="R137" s="45">
        <v>0</v>
      </c>
      <c r="S137" s="46">
        <v>0</v>
      </c>
      <c r="T137" s="39">
        <f t="shared" si="38"/>
        <v>45</v>
      </c>
      <c r="U137" s="47">
        <f t="shared" si="39"/>
        <v>0.16602835676374347</v>
      </c>
      <c r="V137" s="48">
        <f t="shared" si="40"/>
        <v>0</v>
      </c>
      <c r="W137" s="49">
        <f t="shared" si="41"/>
        <v>3.6895190391942993E-3</v>
      </c>
      <c r="X137" s="44">
        <f t="shared" si="42"/>
        <v>980.70518947296489</v>
      </c>
      <c r="Y137" s="44">
        <f t="shared" si="43"/>
        <v>0</v>
      </c>
      <c r="Z137" s="44">
        <f t="shared" si="44"/>
        <v>26288.578841548991</v>
      </c>
      <c r="AA137" s="522">
        <f t="shared" si="56"/>
        <v>69023.958969969783</v>
      </c>
      <c r="AB137" s="51">
        <f t="shared" si="45"/>
        <v>24575.655643216778</v>
      </c>
      <c r="AC137" s="44">
        <f t="shared" si="46"/>
        <v>64526.46440120574</v>
      </c>
      <c r="AD137" s="44">
        <f t="shared" si="47"/>
        <v>0</v>
      </c>
      <c r="AE137" s="44">
        <f t="shared" si="48"/>
        <v>0</v>
      </c>
      <c r="AF137" s="52">
        <f>HLOOKUP(I137,ElecAvoidedCostsWOCC!$A$5:$Q$50,G137+1,FALSE)</f>
        <v>2.4586883970162168</v>
      </c>
      <c r="AG137" s="44">
        <f t="shared" si="49"/>
        <v>20935.731700593085</v>
      </c>
      <c r="AH137" s="52">
        <f>HLOOKUP(I137,ElecAvoidedCostsWOCC!$A$5:$Q$50,T137+1,FALSE)</f>
        <v>2.4586883970162168</v>
      </c>
      <c r="AI137" s="44">
        <f t="shared" si="50"/>
        <v>0</v>
      </c>
      <c r="AJ137" s="44">
        <f t="shared" si="51"/>
        <v>20935.731700593085</v>
      </c>
      <c r="AK137" s="44">
        <f>HLOOKUP(I137,ElecAvoidedCostsWOCC!$A$5:$Q$50,G137+1,FALSE)*J137*L137</f>
        <v>0</v>
      </c>
      <c r="AL137" s="44">
        <f t="shared" si="52"/>
        <v>20935.731700593085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20935.731700593085</v>
      </c>
      <c r="AN137" s="48">
        <f t="shared" si="53"/>
        <v>23029.304870652395</v>
      </c>
      <c r="AO137" s="47">
        <f t="shared" si="54"/>
        <v>0.85188904029795998</v>
      </c>
      <c r="AP137" s="47">
        <f t="shared" si="55"/>
        <v>0.35689705122325083</v>
      </c>
      <c r="AQ137">
        <v>2021</v>
      </c>
    </row>
    <row r="138" spans="2:43">
      <c r="B138" s="97" t="s">
        <v>74</v>
      </c>
      <c r="C138" s="100">
        <v>18230611</v>
      </c>
      <c r="D138" s="100" t="s">
        <v>75</v>
      </c>
      <c r="E138" s="38" t="s">
        <v>1552</v>
      </c>
      <c r="F138" s="39" t="s">
        <v>1553</v>
      </c>
      <c r="G138" s="39"/>
      <c r="H138" s="39"/>
      <c r="I138" s="40"/>
      <c r="J138" s="41">
        <v>12</v>
      </c>
      <c r="K138" s="41">
        <v>0</v>
      </c>
      <c r="L138" s="41"/>
      <c r="M138" s="42">
        <v>532.50083333333339</v>
      </c>
      <c r="N138" s="42">
        <v>532.50083333333339</v>
      </c>
      <c r="O138" s="43">
        <v>0</v>
      </c>
      <c r="P138" s="44">
        <v>6390.01</v>
      </c>
      <c r="Q138" s="44">
        <v>6390.01</v>
      </c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22">
        <f t="shared" si="56"/>
        <v>6591.3767912833218</v>
      </c>
      <c r="AB138" s="51">
        <f t="shared" si="45"/>
        <v>0</v>
      </c>
      <c r="AC138" s="44">
        <f t="shared" si="46"/>
        <v>6161.8928590103033</v>
      </c>
      <c r="AD138" s="44">
        <f t="shared" si="47"/>
        <v>0</v>
      </c>
      <c r="AE138" s="44">
        <f t="shared" si="48"/>
        <v>0</v>
      </c>
      <c r="AF138" s="52" t="e">
        <f>HLOOKUP(I138,ElecAvoidedCostsWOCC!$A$5:$Q$50,G138+1,FALSE)</f>
        <v>#N/A</v>
      </c>
      <c r="AG138" s="44" t="e">
        <f t="shared" si="49"/>
        <v>#N/A</v>
      </c>
      <c r="AH138" s="52" t="e">
        <f>HLOOKUP(I138,ElecAvoidedCostsWOCC!$A$5:$Q$50,T138+1,FALSE)</f>
        <v>#N/A</v>
      </c>
      <c r="AI138" s="44" t="e">
        <f t="shared" si="50"/>
        <v>#N/A</v>
      </c>
      <c r="AJ138" s="44" t="e">
        <f t="shared" si="51"/>
        <v>#N/A</v>
      </c>
      <c r="AK138" s="44" t="e">
        <f>HLOOKUP(I138,ElecAvoidedCostsWOCC!$A$5:$Q$50,G138+1,FALSE)*J138*L138</f>
        <v>#N/A</v>
      </c>
      <c r="AL138" s="44" t="e">
        <f t="shared" si="5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3"/>
        <v>0</v>
      </c>
      <c r="AO138" s="47">
        <f t="shared" si="54"/>
        <v>0</v>
      </c>
      <c r="AP138" s="47">
        <f t="shared" si="55"/>
        <v>0</v>
      </c>
      <c r="AQ138">
        <v>2021</v>
      </c>
    </row>
    <row r="139" spans="2:43">
      <c r="B139" s="97" t="s">
        <v>74</v>
      </c>
      <c r="C139" s="100">
        <v>18230611</v>
      </c>
      <c r="D139" s="100" t="s">
        <v>75</v>
      </c>
      <c r="E139" s="38" t="s">
        <v>1554</v>
      </c>
      <c r="F139" s="39" t="s">
        <v>1555</v>
      </c>
      <c r="G139" s="39"/>
      <c r="H139" s="39"/>
      <c r="I139" s="40"/>
      <c r="J139" s="41">
        <v>4</v>
      </c>
      <c r="K139" s="41">
        <v>0</v>
      </c>
      <c r="L139" s="41"/>
      <c r="M139" s="42">
        <v>463.33</v>
      </c>
      <c r="N139" s="42">
        <v>463.33</v>
      </c>
      <c r="O139" s="43">
        <v>0</v>
      </c>
      <c r="P139" s="44">
        <v>1853.32</v>
      </c>
      <c r="Q139" s="44">
        <v>1853.32</v>
      </c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22">
        <f t="shared" si="56"/>
        <v>1911.7232108903124</v>
      </c>
      <c r="AB139" s="51">
        <f t="shared" si="45"/>
        <v>0</v>
      </c>
      <c r="AC139" s="44">
        <f t="shared" si="46"/>
        <v>1787.1582788541762</v>
      </c>
      <c r="AD139" s="44">
        <f t="shared" si="47"/>
        <v>0</v>
      </c>
      <c r="AE139" s="44">
        <f t="shared" si="48"/>
        <v>0</v>
      </c>
      <c r="AF139" s="52" t="e">
        <f>HLOOKUP(I139,ElecAvoidedCostsWOCC!$A$5:$Q$50,G139+1,FALSE)</f>
        <v>#N/A</v>
      </c>
      <c r="AG139" s="44" t="e">
        <f t="shared" si="49"/>
        <v>#N/A</v>
      </c>
      <c r="AH139" s="52" t="e">
        <f>HLOOKUP(I139,ElecAvoidedCostsWOCC!$A$5:$Q$50,T139+1,FALSE)</f>
        <v>#N/A</v>
      </c>
      <c r="AI139" s="44" t="e">
        <f t="shared" si="50"/>
        <v>#N/A</v>
      </c>
      <c r="AJ139" s="44" t="e">
        <f t="shared" si="51"/>
        <v>#N/A</v>
      </c>
      <c r="AK139" s="44" t="e">
        <f>HLOOKUP(I139,ElecAvoidedCostsWOCC!$A$5:$Q$50,G139+1,FALSE)*J139*L139</f>
        <v>#N/A</v>
      </c>
      <c r="AL139" s="44" t="e">
        <f t="shared" si="5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3"/>
        <v>0</v>
      </c>
      <c r="AO139" s="47">
        <f t="shared" si="54"/>
        <v>0</v>
      </c>
      <c r="AP139" s="47">
        <f t="shared" si="55"/>
        <v>0</v>
      </c>
      <c r="AQ139">
        <v>2021</v>
      </c>
    </row>
    <row r="140" spans="2:43">
      <c r="B140" s="97" t="s">
        <v>74</v>
      </c>
      <c r="C140" s="100">
        <v>18230611</v>
      </c>
      <c r="D140" s="100" t="s">
        <v>75</v>
      </c>
      <c r="E140" s="38" t="s">
        <v>1556</v>
      </c>
      <c r="F140" s="39" t="s">
        <v>1557</v>
      </c>
      <c r="G140" s="39"/>
      <c r="H140" s="39"/>
      <c r="I140" s="40"/>
      <c r="J140" s="41">
        <v>4</v>
      </c>
      <c r="K140" s="41">
        <v>0</v>
      </c>
      <c r="L140" s="41"/>
      <c r="M140" s="42">
        <v>452.40249999999997</v>
      </c>
      <c r="N140" s="42">
        <v>452.40249999999997</v>
      </c>
      <c r="O140" s="43">
        <v>0</v>
      </c>
      <c r="P140" s="44">
        <v>1809.61</v>
      </c>
      <c r="Q140" s="44">
        <v>1809.61</v>
      </c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22">
        <f t="shared" si="56"/>
        <v>1866.6357885628054</v>
      </c>
      <c r="AB140" s="51">
        <f t="shared" si="45"/>
        <v>0</v>
      </c>
      <c r="AC140" s="44">
        <f t="shared" si="46"/>
        <v>1745.0086833343978</v>
      </c>
      <c r="AD140" s="44">
        <f t="shared" si="47"/>
        <v>0</v>
      </c>
      <c r="AE140" s="44">
        <f t="shared" si="48"/>
        <v>0</v>
      </c>
      <c r="AF140" s="52" t="e">
        <f>HLOOKUP(I140,ElecAvoidedCostsWOCC!$A$5:$Q$50,G140+1,FALSE)</f>
        <v>#N/A</v>
      </c>
      <c r="AG140" s="44" t="e">
        <f t="shared" si="49"/>
        <v>#N/A</v>
      </c>
      <c r="AH140" s="52" t="e">
        <f>HLOOKUP(I140,ElecAvoidedCostsWOCC!$A$5:$Q$50,T140+1,FALSE)</f>
        <v>#N/A</v>
      </c>
      <c r="AI140" s="44" t="e">
        <f t="shared" si="50"/>
        <v>#N/A</v>
      </c>
      <c r="AJ140" s="44" t="e">
        <f t="shared" si="51"/>
        <v>#N/A</v>
      </c>
      <c r="AK140" s="44" t="e">
        <f>HLOOKUP(I140,ElecAvoidedCostsWOCC!$A$5:$Q$50,G140+1,FALSE)*J140*L140</f>
        <v>#N/A</v>
      </c>
      <c r="AL140" s="44" t="e">
        <f t="shared" si="5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3"/>
        <v>0</v>
      </c>
      <c r="AO140" s="47">
        <f t="shared" si="54"/>
        <v>0</v>
      </c>
      <c r="AP140" s="47">
        <f t="shared" si="55"/>
        <v>0</v>
      </c>
      <c r="AQ140">
        <v>2021</v>
      </c>
    </row>
    <row r="141" spans="2:43">
      <c r="B141" s="97" t="s">
        <v>74</v>
      </c>
      <c r="C141" s="100">
        <v>18230611</v>
      </c>
      <c r="D141" s="100" t="s">
        <v>75</v>
      </c>
      <c r="E141" s="38" t="s">
        <v>1558</v>
      </c>
      <c r="F141" s="39" t="s">
        <v>1559</v>
      </c>
      <c r="G141" s="39"/>
      <c r="H141" s="39"/>
      <c r="I141" s="40"/>
      <c r="J141" s="41">
        <v>2</v>
      </c>
      <c r="K141" s="41">
        <v>0</v>
      </c>
      <c r="L141" s="41"/>
      <c r="M141" s="42">
        <v>1005.125</v>
      </c>
      <c r="N141" s="42">
        <v>1005.125</v>
      </c>
      <c r="O141" s="43">
        <v>0</v>
      </c>
      <c r="P141" s="44">
        <v>2010.25</v>
      </c>
      <c r="Q141" s="44">
        <v>2010.25</v>
      </c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22">
        <f t="shared" si="56"/>
        <v>2073.5985068375944</v>
      </c>
      <c r="AB141" s="51">
        <f t="shared" si="45"/>
        <v>0</v>
      </c>
      <c r="AC141" s="44">
        <f t="shared" si="46"/>
        <v>1938.4860305109789</v>
      </c>
      <c r="AD141" s="44">
        <f t="shared" si="47"/>
        <v>0</v>
      </c>
      <c r="AE141" s="44">
        <f t="shared" si="48"/>
        <v>0</v>
      </c>
      <c r="AF141" s="52" t="e">
        <f>HLOOKUP(I141,ElecAvoidedCostsWOCC!$A$5:$Q$50,G141+1,FALSE)</f>
        <v>#N/A</v>
      </c>
      <c r="AG141" s="44" t="e">
        <f t="shared" si="49"/>
        <v>#N/A</v>
      </c>
      <c r="AH141" s="52" t="e">
        <f>HLOOKUP(I141,ElecAvoidedCostsWOCC!$A$5:$Q$50,T141+1,FALSE)</f>
        <v>#N/A</v>
      </c>
      <c r="AI141" s="44" t="e">
        <f t="shared" si="50"/>
        <v>#N/A</v>
      </c>
      <c r="AJ141" s="44" t="e">
        <f t="shared" si="51"/>
        <v>#N/A</v>
      </c>
      <c r="AK141" s="44" t="e">
        <f>HLOOKUP(I141,ElecAvoidedCostsWOCC!$A$5:$Q$50,G141+1,FALSE)*J141*L141</f>
        <v>#N/A</v>
      </c>
      <c r="AL141" s="44" t="e">
        <f t="shared" si="5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3"/>
        <v>0</v>
      </c>
      <c r="AO141" s="47">
        <f t="shared" si="54"/>
        <v>0</v>
      </c>
      <c r="AP141" s="47">
        <f t="shared" si="55"/>
        <v>0</v>
      </c>
      <c r="AQ141">
        <v>2021</v>
      </c>
    </row>
    <row r="142" spans="2:43">
      <c r="B142" s="97" t="s">
        <v>74</v>
      </c>
      <c r="C142" s="100">
        <v>18230611</v>
      </c>
      <c r="D142" s="100" t="s">
        <v>75</v>
      </c>
      <c r="E142" s="38" t="s">
        <v>1560</v>
      </c>
      <c r="F142" s="39" t="s">
        <v>1561</v>
      </c>
      <c r="G142" s="39"/>
      <c r="H142" s="39"/>
      <c r="I142" s="40"/>
      <c r="J142" s="41">
        <v>6</v>
      </c>
      <c r="K142" s="41">
        <v>0</v>
      </c>
      <c r="L142" s="41"/>
      <c r="M142" s="42">
        <v>385.98333333333335</v>
      </c>
      <c r="N142" s="42">
        <v>385.98333333333335</v>
      </c>
      <c r="O142" s="43">
        <v>0</v>
      </c>
      <c r="P142" s="44">
        <v>2315.9</v>
      </c>
      <c r="Q142" s="44">
        <v>2315.9</v>
      </c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22">
        <f t="shared" si="56"/>
        <v>2388.8803790499619</v>
      </c>
      <c r="AB142" s="51">
        <f t="shared" si="45"/>
        <v>0</v>
      </c>
      <c r="AC142" s="44">
        <f t="shared" si="46"/>
        <v>2233.2246228381432</v>
      </c>
      <c r="AD142" s="44">
        <f t="shared" si="47"/>
        <v>0</v>
      </c>
      <c r="AE142" s="44">
        <f t="shared" si="48"/>
        <v>0</v>
      </c>
      <c r="AF142" s="52" t="e">
        <f>HLOOKUP(I142,ElecAvoidedCostsWOCC!$A$5:$Q$50,G142+1,FALSE)</f>
        <v>#N/A</v>
      </c>
      <c r="AG142" s="44" t="e">
        <f t="shared" si="49"/>
        <v>#N/A</v>
      </c>
      <c r="AH142" s="52" t="e">
        <f>HLOOKUP(I142,ElecAvoidedCostsWOCC!$A$5:$Q$50,T142+1,FALSE)</f>
        <v>#N/A</v>
      </c>
      <c r="AI142" s="44" t="e">
        <f t="shared" si="50"/>
        <v>#N/A</v>
      </c>
      <c r="AJ142" s="44" t="e">
        <f t="shared" si="51"/>
        <v>#N/A</v>
      </c>
      <c r="AK142" s="44" t="e">
        <f>HLOOKUP(I142,ElecAvoidedCostsWOCC!$A$5:$Q$50,G142+1,FALSE)*J142*L142</f>
        <v>#N/A</v>
      </c>
      <c r="AL142" s="44" t="e">
        <f t="shared" si="5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3"/>
        <v>0</v>
      </c>
      <c r="AO142" s="47">
        <f t="shared" si="54"/>
        <v>0</v>
      </c>
      <c r="AP142" s="47">
        <f t="shared" si="55"/>
        <v>0</v>
      </c>
      <c r="AQ142">
        <v>2021</v>
      </c>
    </row>
    <row r="143" spans="2:43">
      <c r="B143" s="97" t="s">
        <v>74</v>
      </c>
      <c r="C143" s="100">
        <v>18230611</v>
      </c>
      <c r="D143" s="100" t="s">
        <v>75</v>
      </c>
      <c r="E143" s="38" t="s">
        <v>1562</v>
      </c>
      <c r="F143" s="39" t="s">
        <v>1563</v>
      </c>
      <c r="G143" s="39"/>
      <c r="H143" s="39"/>
      <c r="I143" s="40"/>
      <c r="J143" s="41">
        <v>4</v>
      </c>
      <c r="K143" s="41">
        <v>0</v>
      </c>
      <c r="L143" s="41"/>
      <c r="M143" s="42">
        <v>2170.2925</v>
      </c>
      <c r="N143" s="42">
        <v>2170.2925</v>
      </c>
      <c r="O143" s="43">
        <v>0</v>
      </c>
      <c r="P143" s="44">
        <v>8681.17</v>
      </c>
      <c r="Q143" s="44">
        <v>8681.17</v>
      </c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22">
        <f t="shared" si="56"/>
        <v>8954.7375448841285</v>
      </c>
      <c r="AB143" s="51">
        <f t="shared" si="45"/>
        <v>0</v>
      </c>
      <c r="AC143" s="44">
        <f t="shared" si="46"/>
        <v>8371.260675782114</v>
      </c>
      <c r="AD143" s="44">
        <f t="shared" si="47"/>
        <v>0</v>
      </c>
      <c r="AE143" s="44">
        <f t="shared" si="48"/>
        <v>0</v>
      </c>
      <c r="AF143" s="52" t="e">
        <f>HLOOKUP(I143,ElecAvoidedCostsWOCC!$A$5:$Q$50,G143+1,FALSE)</f>
        <v>#N/A</v>
      </c>
      <c r="AG143" s="44" t="e">
        <f t="shared" si="49"/>
        <v>#N/A</v>
      </c>
      <c r="AH143" s="52" t="e">
        <f>HLOOKUP(I143,ElecAvoidedCostsWOCC!$A$5:$Q$50,T143+1,FALSE)</f>
        <v>#N/A</v>
      </c>
      <c r="AI143" s="44" t="e">
        <f t="shared" si="50"/>
        <v>#N/A</v>
      </c>
      <c r="AJ143" s="44" t="e">
        <f t="shared" si="51"/>
        <v>#N/A</v>
      </c>
      <c r="AK143" s="44" t="e">
        <f>HLOOKUP(I143,ElecAvoidedCostsWOCC!$A$5:$Q$50,G143+1,FALSE)*J143*L143</f>
        <v>#N/A</v>
      </c>
      <c r="AL143" s="44" t="e">
        <f t="shared" si="5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3"/>
        <v>0</v>
      </c>
      <c r="AO143" s="47">
        <f t="shared" si="54"/>
        <v>0</v>
      </c>
      <c r="AP143" s="47">
        <f t="shared" si="55"/>
        <v>0</v>
      </c>
      <c r="AQ143">
        <v>2021</v>
      </c>
    </row>
    <row r="144" spans="2:43">
      <c r="B144" s="97" t="s">
        <v>74</v>
      </c>
      <c r="C144" s="100">
        <v>18230611</v>
      </c>
      <c r="D144" s="100" t="s">
        <v>75</v>
      </c>
      <c r="E144" s="38" t="s">
        <v>1564</v>
      </c>
      <c r="F144" s="39" t="s">
        <v>1565</v>
      </c>
      <c r="G144" s="39"/>
      <c r="H144" s="39"/>
      <c r="I144" s="40"/>
      <c r="J144" s="41">
        <v>7</v>
      </c>
      <c r="K144" s="41">
        <v>0</v>
      </c>
      <c r="L144" s="41"/>
      <c r="M144" s="42">
        <v>834.33428571428578</v>
      </c>
      <c r="N144" s="42">
        <v>834.33428571428578</v>
      </c>
      <c r="O144" s="43">
        <v>0</v>
      </c>
      <c r="P144" s="44">
        <v>5840.34</v>
      </c>
      <c r="Q144" s="44">
        <v>5840.34</v>
      </c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22">
        <f t="shared" si="56"/>
        <v>6024.3851776763477</v>
      </c>
      <c r="AB144" s="51">
        <f t="shared" si="45"/>
        <v>0</v>
      </c>
      <c r="AC144" s="44">
        <f t="shared" si="46"/>
        <v>5631.8455433077943</v>
      </c>
      <c r="AD144" s="44">
        <f t="shared" si="47"/>
        <v>0</v>
      </c>
      <c r="AE144" s="44">
        <f t="shared" si="48"/>
        <v>0</v>
      </c>
      <c r="AF144" s="52" t="e">
        <f>HLOOKUP(I144,ElecAvoidedCostsWOCC!$A$5:$Q$50,G144+1,FALSE)</f>
        <v>#N/A</v>
      </c>
      <c r="AG144" s="44" t="e">
        <f t="shared" si="49"/>
        <v>#N/A</v>
      </c>
      <c r="AH144" s="52" t="e">
        <f>HLOOKUP(I144,ElecAvoidedCostsWOCC!$A$5:$Q$50,T144+1,FALSE)</f>
        <v>#N/A</v>
      </c>
      <c r="AI144" s="44" t="e">
        <f t="shared" si="50"/>
        <v>#N/A</v>
      </c>
      <c r="AJ144" s="44" t="e">
        <f t="shared" si="51"/>
        <v>#N/A</v>
      </c>
      <c r="AK144" s="44" t="e">
        <f>HLOOKUP(I144,ElecAvoidedCostsWOCC!$A$5:$Q$50,G144+1,FALSE)*J144*L144</f>
        <v>#N/A</v>
      </c>
      <c r="AL144" s="44" t="e">
        <f t="shared" si="5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3"/>
        <v>0</v>
      </c>
      <c r="AO144" s="47">
        <f t="shared" si="54"/>
        <v>0</v>
      </c>
      <c r="AP144" s="47">
        <f t="shared" si="55"/>
        <v>0</v>
      </c>
      <c r="AQ144">
        <v>2021</v>
      </c>
    </row>
    <row r="145" spans="2:43">
      <c r="B145" s="97" t="s">
        <v>74</v>
      </c>
      <c r="C145" s="100">
        <v>18230611</v>
      </c>
      <c r="D145" s="100" t="s">
        <v>75</v>
      </c>
      <c r="E145" s="38" t="s">
        <v>1566</v>
      </c>
      <c r="F145" s="39" t="s">
        <v>1567</v>
      </c>
      <c r="G145" s="39"/>
      <c r="H145" s="39"/>
      <c r="I145" s="40"/>
      <c r="J145" s="41">
        <v>2</v>
      </c>
      <c r="K145" s="41">
        <v>0</v>
      </c>
      <c r="L145" s="41"/>
      <c r="M145" s="42">
        <v>957.125</v>
      </c>
      <c r="N145" s="42">
        <v>957.125</v>
      </c>
      <c r="O145" s="43">
        <v>0</v>
      </c>
      <c r="P145" s="44">
        <v>1914.25</v>
      </c>
      <c r="Q145" s="44">
        <v>1914.25</v>
      </c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22">
        <f t="shared" si="56"/>
        <v>1974.5732827826714</v>
      </c>
      <c r="AB145" s="51">
        <f t="shared" si="45"/>
        <v>0</v>
      </c>
      <c r="AC145" s="44">
        <f t="shared" si="46"/>
        <v>1845.9131371250548</v>
      </c>
      <c r="AD145" s="44">
        <f t="shared" si="47"/>
        <v>0</v>
      </c>
      <c r="AE145" s="44">
        <f t="shared" si="48"/>
        <v>0</v>
      </c>
      <c r="AF145" s="52" t="e">
        <f>HLOOKUP(I145,ElecAvoidedCostsWOCC!$A$5:$Q$50,G145+1,FALSE)</f>
        <v>#N/A</v>
      </c>
      <c r="AG145" s="44" t="e">
        <f t="shared" si="49"/>
        <v>#N/A</v>
      </c>
      <c r="AH145" s="52" t="e">
        <f>HLOOKUP(I145,ElecAvoidedCostsWOCC!$A$5:$Q$50,T145+1,FALSE)</f>
        <v>#N/A</v>
      </c>
      <c r="AI145" s="44" t="e">
        <f t="shared" si="50"/>
        <v>#N/A</v>
      </c>
      <c r="AJ145" s="44" t="e">
        <f t="shared" si="51"/>
        <v>#N/A</v>
      </c>
      <c r="AK145" s="44" t="e">
        <f>HLOOKUP(I145,ElecAvoidedCostsWOCC!$A$5:$Q$50,G145+1,FALSE)*J145*L145</f>
        <v>#N/A</v>
      </c>
      <c r="AL145" s="44" t="e">
        <f t="shared" si="5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3"/>
        <v>0</v>
      </c>
      <c r="AO145" s="47">
        <f t="shared" si="54"/>
        <v>0</v>
      </c>
      <c r="AP145" s="47">
        <f t="shared" si="55"/>
        <v>0</v>
      </c>
      <c r="AQ145">
        <v>2021</v>
      </c>
    </row>
    <row r="146" spans="2:43">
      <c r="B146" s="97" t="s">
        <v>74</v>
      </c>
      <c r="C146" s="100">
        <v>18230611</v>
      </c>
      <c r="D146" s="100" t="s">
        <v>75</v>
      </c>
      <c r="E146" s="38" t="s">
        <v>1568</v>
      </c>
      <c r="F146" s="39" t="s">
        <v>1569</v>
      </c>
      <c r="G146" s="39"/>
      <c r="H146" s="39"/>
      <c r="I146" s="40"/>
      <c r="J146" s="41">
        <v>1</v>
      </c>
      <c r="K146" s="41">
        <v>0</v>
      </c>
      <c r="L146" s="41"/>
      <c r="M146" s="42">
        <v>521.88</v>
      </c>
      <c r="N146" s="42">
        <v>521.88</v>
      </c>
      <c r="O146" s="43">
        <v>0</v>
      </c>
      <c r="P146" s="44">
        <v>521.88</v>
      </c>
      <c r="Q146" s="44">
        <v>521.88</v>
      </c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22">
        <f t="shared" si="56"/>
        <v>538.32587426857549</v>
      </c>
      <c r="AB146" s="51">
        <f t="shared" si="45"/>
        <v>0</v>
      </c>
      <c r="AC146" s="44">
        <f t="shared" si="46"/>
        <v>503.24939166923008</v>
      </c>
      <c r="AD146" s="44">
        <f t="shared" si="47"/>
        <v>0</v>
      </c>
      <c r="AE146" s="44">
        <f t="shared" si="48"/>
        <v>0</v>
      </c>
      <c r="AF146" s="52" t="e">
        <f>HLOOKUP(I146,ElecAvoidedCostsWOCC!$A$5:$Q$50,G146+1,FALSE)</f>
        <v>#N/A</v>
      </c>
      <c r="AG146" s="44" t="e">
        <f t="shared" si="49"/>
        <v>#N/A</v>
      </c>
      <c r="AH146" s="52" t="e">
        <f>HLOOKUP(I146,ElecAvoidedCostsWOCC!$A$5:$Q$50,T146+1,FALSE)</f>
        <v>#N/A</v>
      </c>
      <c r="AI146" s="44" t="e">
        <f t="shared" si="50"/>
        <v>#N/A</v>
      </c>
      <c r="AJ146" s="44" t="e">
        <f t="shared" si="51"/>
        <v>#N/A</v>
      </c>
      <c r="AK146" s="44" t="e">
        <f>HLOOKUP(I146,ElecAvoidedCostsWOCC!$A$5:$Q$50,G146+1,FALSE)*J146*L146</f>
        <v>#N/A</v>
      </c>
      <c r="AL146" s="44" t="e">
        <f t="shared" si="5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3"/>
        <v>0</v>
      </c>
      <c r="AO146" s="47">
        <f t="shared" si="54"/>
        <v>0</v>
      </c>
      <c r="AP146" s="47">
        <f t="shared" si="55"/>
        <v>0</v>
      </c>
      <c r="AQ146">
        <v>2021</v>
      </c>
    </row>
    <row r="147" spans="2:43">
      <c r="B147" s="97" t="s">
        <v>74</v>
      </c>
      <c r="C147" s="100">
        <v>18230611</v>
      </c>
      <c r="D147" s="100" t="s">
        <v>75</v>
      </c>
      <c r="E147" s="38" t="s">
        <v>1570</v>
      </c>
      <c r="F147" s="39" t="s">
        <v>1571</v>
      </c>
      <c r="G147" s="39"/>
      <c r="H147" s="39"/>
      <c r="I147" s="40"/>
      <c r="J147" s="41">
        <v>1</v>
      </c>
      <c r="K147" s="41">
        <v>0</v>
      </c>
      <c r="L147" s="41"/>
      <c r="M147" s="42">
        <v>644.91999999999996</v>
      </c>
      <c r="N147" s="42">
        <v>644.91999999999996</v>
      </c>
      <c r="O147" s="43">
        <v>0</v>
      </c>
      <c r="P147" s="44">
        <v>644.91999999999996</v>
      </c>
      <c r="Q147" s="44">
        <v>644.91999999999996</v>
      </c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22">
        <f t="shared" si="56"/>
        <v>665.24320309896848</v>
      </c>
      <c r="AB147" s="51">
        <f t="shared" si="45"/>
        <v>0</v>
      </c>
      <c r="AC147" s="44">
        <f t="shared" si="46"/>
        <v>621.89698335885612</v>
      </c>
      <c r="AD147" s="44">
        <f t="shared" si="47"/>
        <v>0</v>
      </c>
      <c r="AE147" s="44">
        <f t="shared" si="48"/>
        <v>0</v>
      </c>
      <c r="AF147" s="52" t="e">
        <f>HLOOKUP(I147,ElecAvoidedCostsWOCC!$A$5:$Q$50,G147+1,FALSE)</f>
        <v>#N/A</v>
      </c>
      <c r="AG147" s="44" t="e">
        <f t="shared" si="49"/>
        <v>#N/A</v>
      </c>
      <c r="AH147" s="52" t="e">
        <f>HLOOKUP(I147,ElecAvoidedCostsWOCC!$A$5:$Q$50,T147+1,FALSE)</f>
        <v>#N/A</v>
      </c>
      <c r="AI147" s="44" t="e">
        <f t="shared" si="50"/>
        <v>#N/A</v>
      </c>
      <c r="AJ147" s="44" t="e">
        <f t="shared" si="51"/>
        <v>#N/A</v>
      </c>
      <c r="AK147" s="44" t="e">
        <f>HLOOKUP(I147,ElecAvoidedCostsWOCC!$A$5:$Q$50,G147+1,FALSE)*J147*L147</f>
        <v>#N/A</v>
      </c>
      <c r="AL147" s="44" t="e">
        <f t="shared" si="5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3"/>
        <v>0</v>
      </c>
      <c r="AO147" s="47">
        <f t="shared" si="54"/>
        <v>0</v>
      </c>
      <c r="AP147" s="47">
        <f t="shared" si="55"/>
        <v>0</v>
      </c>
      <c r="AQ147">
        <v>2021</v>
      </c>
    </row>
    <row r="148" spans="2:43">
      <c r="B148" s="97" t="s">
        <v>74</v>
      </c>
      <c r="C148" s="100">
        <v>18230611</v>
      </c>
      <c r="D148" s="100" t="s">
        <v>75</v>
      </c>
      <c r="E148" s="38" t="s">
        <v>1572</v>
      </c>
      <c r="F148" s="39" t="s">
        <v>1573</v>
      </c>
      <c r="G148" s="39"/>
      <c r="H148" s="39"/>
      <c r="I148" s="40"/>
      <c r="J148" s="41">
        <v>2</v>
      </c>
      <c r="K148" s="41">
        <v>0</v>
      </c>
      <c r="L148" s="41"/>
      <c r="M148" s="42">
        <v>887.23500000000001</v>
      </c>
      <c r="N148" s="42">
        <v>887.23500000000001</v>
      </c>
      <c r="O148" s="43">
        <v>0</v>
      </c>
      <c r="P148" s="44">
        <v>1774.47</v>
      </c>
      <c r="Q148" s="44">
        <v>1774.47</v>
      </c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22">
        <f t="shared" si="56"/>
        <v>1830.3884305077013</v>
      </c>
      <c r="AB148" s="51">
        <f t="shared" si="45"/>
        <v>0</v>
      </c>
      <c r="AC148" s="44">
        <f t="shared" si="46"/>
        <v>1711.1231471512583</v>
      </c>
      <c r="AD148" s="44">
        <f t="shared" si="47"/>
        <v>0</v>
      </c>
      <c r="AE148" s="44">
        <f t="shared" si="48"/>
        <v>0</v>
      </c>
      <c r="AF148" s="52" t="e">
        <f>HLOOKUP(I148,ElecAvoidedCostsWOCC!$A$5:$Q$50,G148+1,FALSE)</f>
        <v>#N/A</v>
      </c>
      <c r="AG148" s="44" t="e">
        <f t="shared" si="49"/>
        <v>#N/A</v>
      </c>
      <c r="AH148" s="52" t="e">
        <f>HLOOKUP(I148,ElecAvoidedCostsWOCC!$A$5:$Q$50,T148+1,FALSE)</f>
        <v>#N/A</v>
      </c>
      <c r="AI148" s="44" t="e">
        <f t="shared" si="50"/>
        <v>#N/A</v>
      </c>
      <c r="AJ148" s="44" t="e">
        <f t="shared" si="51"/>
        <v>#N/A</v>
      </c>
      <c r="AK148" s="44" t="e">
        <f>HLOOKUP(I148,ElecAvoidedCostsWOCC!$A$5:$Q$50,G148+1,FALSE)*J148*L148</f>
        <v>#N/A</v>
      </c>
      <c r="AL148" s="44" t="e">
        <f t="shared" si="5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3"/>
        <v>0</v>
      </c>
      <c r="AO148" s="47">
        <f t="shared" si="54"/>
        <v>0</v>
      </c>
      <c r="AP148" s="47">
        <f t="shared" si="55"/>
        <v>0</v>
      </c>
      <c r="AQ148">
        <v>2021</v>
      </c>
    </row>
    <row r="149" spans="2:43">
      <c r="B149" s="97" t="s">
        <v>74</v>
      </c>
      <c r="C149" s="100">
        <v>18230611</v>
      </c>
      <c r="D149" s="100" t="s">
        <v>75</v>
      </c>
      <c r="E149" s="38" t="s">
        <v>1574</v>
      </c>
      <c r="F149" s="39" t="s">
        <v>1575</v>
      </c>
      <c r="G149" s="39"/>
      <c r="H149" s="39"/>
      <c r="I149" s="40"/>
      <c r="J149" s="41">
        <v>1</v>
      </c>
      <c r="K149" s="41">
        <v>0</v>
      </c>
      <c r="L149" s="41"/>
      <c r="M149" s="42">
        <v>494.59</v>
      </c>
      <c r="N149" s="42">
        <v>494.59</v>
      </c>
      <c r="O149" s="43">
        <v>0</v>
      </c>
      <c r="P149" s="44">
        <v>494.59</v>
      </c>
      <c r="Q149" s="44">
        <v>494.59</v>
      </c>
      <c r="R149" s="45">
        <v>0</v>
      </c>
      <c r="S149" s="46">
        <v>0</v>
      </c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22">
        <f t="shared" si="56"/>
        <v>510.17589130546241</v>
      </c>
      <c r="AB149" s="51">
        <f t="shared" si="45"/>
        <v>0</v>
      </c>
      <c r="AC149" s="44">
        <f t="shared" si="46"/>
        <v>476.93361812233559</v>
      </c>
      <c r="AD149" s="44">
        <f t="shared" si="47"/>
        <v>0</v>
      </c>
      <c r="AE149" s="44">
        <f t="shared" si="48"/>
        <v>0</v>
      </c>
      <c r="AF149" s="52" t="e">
        <f>HLOOKUP(I149,ElecAvoidedCostsWOCC!$A$5:$Q$50,G149+1,FALSE)</f>
        <v>#N/A</v>
      </c>
      <c r="AG149" s="44" t="e">
        <f t="shared" si="49"/>
        <v>#N/A</v>
      </c>
      <c r="AH149" s="52" t="e">
        <f>HLOOKUP(I149,ElecAvoidedCostsWOCC!$A$5:$Q$50,T149+1,FALSE)</f>
        <v>#N/A</v>
      </c>
      <c r="AI149" s="44" t="e">
        <f t="shared" si="50"/>
        <v>#N/A</v>
      </c>
      <c r="AJ149" s="44" t="e">
        <f t="shared" si="51"/>
        <v>#N/A</v>
      </c>
      <c r="AK149" s="44" t="e">
        <f>HLOOKUP(I149,ElecAvoidedCostsWOCC!$A$5:$Q$50,G149+1,FALSE)*J149*L149</f>
        <v>#N/A</v>
      </c>
      <c r="AL149" s="44" t="e">
        <f t="shared" si="5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3"/>
        <v>0</v>
      </c>
      <c r="AO149" s="47">
        <f t="shared" si="54"/>
        <v>0</v>
      </c>
      <c r="AP149" s="47">
        <f t="shared" si="55"/>
        <v>0</v>
      </c>
      <c r="AQ149">
        <v>2021</v>
      </c>
    </row>
    <row r="150" spans="2:43">
      <c r="B150" s="97" t="s">
        <v>74</v>
      </c>
      <c r="C150" s="100">
        <v>18230611</v>
      </c>
      <c r="D150" s="100" t="s">
        <v>75</v>
      </c>
      <c r="E150" s="38" t="s">
        <v>1576</v>
      </c>
      <c r="F150" s="39" t="s">
        <v>1577</v>
      </c>
      <c r="G150" s="39"/>
      <c r="H150" s="39"/>
      <c r="I150" s="40"/>
      <c r="J150" s="41">
        <v>7</v>
      </c>
      <c r="K150" s="41">
        <v>0</v>
      </c>
      <c r="L150" s="41"/>
      <c r="M150" s="42">
        <v>668.26714285714286</v>
      </c>
      <c r="N150" s="42">
        <v>668.26714285714286</v>
      </c>
      <c r="O150" s="43">
        <v>0</v>
      </c>
      <c r="P150" s="44">
        <v>4677.87</v>
      </c>
      <c r="Q150" s="44">
        <v>4677.87</v>
      </c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22">
        <f t="shared" si="56"/>
        <v>4825.2825505187802</v>
      </c>
      <c r="AB150" s="51">
        <f t="shared" si="45"/>
        <v>0</v>
      </c>
      <c r="AC150" s="44">
        <f t="shared" si="46"/>
        <v>4510.8745914918009</v>
      </c>
      <c r="AD150" s="44">
        <f t="shared" si="47"/>
        <v>0</v>
      </c>
      <c r="AE150" s="44">
        <f t="shared" si="48"/>
        <v>0</v>
      </c>
      <c r="AF150" s="52" t="e">
        <f>HLOOKUP(I150,ElecAvoidedCostsWOCC!$A$5:$Q$50,G150+1,FALSE)</f>
        <v>#N/A</v>
      </c>
      <c r="AG150" s="44" t="e">
        <f t="shared" si="49"/>
        <v>#N/A</v>
      </c>
      <c r="AH150" s="52" t="e">
        <f>HLOOKUP(I150,ElecAvoidedCostsWOCC!$A$5:$Q$50,T150+1,FALSE)</f>
        <v>#N/A</v>
      </c>
      <c r="AI150" s="44" t="e">
        <f t="shared" si="50"/>
        <v>#N/A</v>
      </c>
      <c r="AJ150" s="44" t="e">
        <f t="shared" si="51"/>
        <v>#N/A</v>
      </c>
      <c r="AK150" s="44" t="e">
        <f>HLOOKUP(I150,ElecAvoidedCostsWOCC!$A$5:$Q$50,G150+1,FALSE)*J150*L150</f>
        <v>#N/A</v>
      </c>
      <c r="AL150" s="44" t="e">
        <f t="shared" si="5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3"/>
        <v>0</v>
      </c>
      <c r="AO150" s="47">
        <f t="shared" si="54"/>
        <v>0</v>
      </c>
      <c r="AP150" s="47">
        <f t="shared" si="55"/>
        <v>0</v>
      </c>
      <c r="AQ150">
        <v>2021</v>
      </c>
    </row>
    <row r="151" spans="2:43">
      <c r="B151" s="97" t="s">
        <v>74</v>
      </c>
      <c r="C151" s="100">
        <v>18230611</v>
      </c>
      <c r="D151" s="100" t="s">
        <v>75</v>
      </c>
      <c r="E151" s="38" t="s">
        <v>1578</v>
      </c>
      <c r="F151" s="39" t="s">
        <v>1579</v>
      </c>
      <c r="G151" s="39">
        <v>30</v>
      </c>
      <c r="H151" s="39"/>
      <c r="I151" s="40" t="s">
        <v>267</v>
      </c>
      <c r="J151" s="41">
        <v>5</v>
      </c>
      <c r="K151" s="41">
        <v>0</v>
      </c>
      <c r="L151" s="41"/>
      <c r="M151" s="42">
        <v>0.95</v>
      </c>
      <c r="N151" s="42">
        <v>0.95</v>
      </c>
      <c r="O151" s="43">
        <v>0</v>
      </c>
      <c r="P151" s="44">
        <v>15220.77</v>
      </c>
      <c r="Q151" s="44">
        <v>15220.77</v>
      </c>
      <c r="R151" s="45">
        <v>0</v>
      </c>
      <c r="S151" s="46"/>
      <c r="T151" s="39">
        <f t="shared" si="38"/>
        <v>30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22">
        <f t="shared" si="56"/>
        <v>15700.418328525535</v>
      </c>
      <c r="AB151" s="51">
        <f t="shared" si="45"/>
        <v>0</v>
      </c>
      <c r="AC151" s="44">
        <f t="shared" si="46"/>
        <v>14677.40331730909</v>
      </c>
      <c r="AD151" s="44">
        <f t="shared" si="47"/>
        <v>0</v>
      </c>
      <c r="AE151" s="44">
        <f t="shared" si="48"/>
        <v>0</v>
      </c>
      <c r="AF151" s="52">
        <f>HLOOKUP(I151,ElecAvoidedCostsWOCC!$A$5:$Q$50,G151+1,FALSE)</f>
        <v>2.1643436258224993</v>
      </c>
      <c r="AG151" s="44">
        <f t="shared" si="49"/>
        <v>0</v>
      </c>
      <c r="AH151" s="52">
        <f>HLOOKUP(I151,ElecAvoidedCostsWOCC!$A$5:$Q$50,T151+1,FALSE)</f>
        <v>2.1643436258224993</v>
      </c>
      <c r="AI151" s="44">
        <f t="shared" si="50"/>
        <v>0</v>
      </c>
      <c r="AJ151" s="44">
        <f t="shared" si="51"/>
        <v>0</v>
      </c>
      <c r="AK151" s="44">
        <f>HLOOKUP(I151,ElecAvoidedCostsWOCC!$A$5:$Q$50,G151+1,FALSE)*J151*L151</f>
        <v>0</v>
      </c>
      <c r="AL151" s="44">
        <f t="shared" si="52"/>
        <v>0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3"/>
        <v>0</v>
      </c>
      <c r="AO151" s="47">
        <f t="shared" si="54"/>
        <v>0</v>
      </c>
      <c r="AP151" s="47">
        <f t="shared" si="55"/>
        <v>0</v>
      </c>
      <c r="AQ151">
        <v>2021</v>
      </c>
    </row>
    <row r="152" spans="2:43">
      <c r="B152" s="97" t="s">
        <v>74</v>
      </c>
      <c r="C152" s="100">
        <v>18230611</v>
      </c>
      <c r="D152" s="100" t="s">
        <v>75</v>
      </c>
      <c r="E152" s="38" t="s">
        <v>1580</v>
      </c>
      <c r="F152" s="39" t="s">
        <v>1581</v>
      </c>
      <c r="G152" s="39">
        <v>30</v>
      </c>
      <c r="H152" s="39"/>
      <c r="I152" s="40" t="s">
        <v>267</v>
      </c>
      <c r="J152" s="41">
        <v>3</v>
      </c>
      <c r="K152" s="41">
        <v>0</v>
      </c>
      <c r="L152" s="41"/>
      <c r="M152" s="42">
        <v>0.95</v>
      </c>
      <c r="N152" s="42">
        <v>0.95</v>
      </c>
      <c r="O152" s="43">
        <v>0</v>
      </c>
      <c r="P152" s="44">
        <v>5123.7299999999996</v>
      </c>
      <c r="Q152" s="44">
        <v>5123.7299999999996</v>
      </c>
      <c r="R152" s="45">
        <v>0</v>
      </c>
      <c r="S152" s="46"/>
      <c r="T152" s="39">
        <f t="shared" ref="T152:T215" si="57">G152+H152</f>
        <v>30</v>
      </c>
      <c r="U152" s="47">
        <f t="shared" ref="U152:U215" si="58">(O152/$A$10)*T152</f>
        <v>0</v>
      </c>
      <c r="V152" s="48">
        <f t="shared" ref="V152:V215" si="59">N152-M152</f>
        <v>0</v>
      </c>
      <c r="W152" s="49">
        <f t="shared" ref="W152:W215" si="60">(O152/A$10)</f>
        <v>0</v>
      </c>
      <c r="X152" s="44">
        <f t="shared" ref="X152:X215" si="61">W152*A$8</f>
        <v>0</v>
      </c>
      <c r="Y152" s="44">
        <f t="shared" ref="Y152:Y215" si="62">Q152-P152</f>
        <v>0</v>
      </c>
      <c r="Z152" s="44">
        <f t="shared" ref="Z152:Z215" si="63">X152+(A$6*W152)</f>
        <v>0</v>
      </c>
      <c r="AA152" s="522">
        <f t="shared" si="56"/>
        <v>5285.1928254888626</v>
      </c>
      <c r="AB152" s="51">
        <f t="shared" ref="AB152:AB215" si="64">Z152/(1+ElecDiscountRate)^1</f>
        <v>0</v>
      </c>
      <c r="AC152" s="44">
        <f t="shared" ref="AC152:AC215" si="65">AA152/(1+ElecDiscountRate)^1</f>
        <v>4940.8178232110522</v>
      </c>
      <c r="AD152" s="44">
        <f t="shared" ref="AD152:AD215" si="66">-PV(ElecDiscountRate,T152,R152)*J152</f>
        <v>0</v>
      </c>
      <c r="AE152" s="44">
        <f t="shared" ref="AE152:AE215" si="67">-PV(ElecDiscountRate,T152,S152)*J152</f>
        <v>0</v>
      </c>
      <c r="AF152" s="52">
        <f>HLOOKUP(I152,ElecAvoidedCostsWOCC!$A$5:$Q$50,G152+1,FALSE)</f>
        <v>2.1643436258224993</v>
      </c>
      <c r="AG152" s="44">
        <f t="shared" ref="AG152:AG215" si="68">AF152*J152*K152</f>
        <v>0</v>
      </c>
      <c r="AH152" s="52">
        <f>HLOOKUP(I152,ElecAvoidedCostsWOCC!$A$5:$Q$50,T152+1,FALSE)</f>
        <v>2.1643436258224993</v>
      </c>
      <c r="AI152" s="44">
        <f t="shared" ref="AI152:AI215" si="69">AH152*J152*L152</f>
        <v>0</v>
      </c>
      <c r="AJ152" s="44">
        <f t="shared" ref="AJ152:AJ215" si="70">AG152+AI152</f>
        <v>0</v>
      </c>
      <c r="AK152" s="44">
        <f>HLOOKUP(I152,ElecAvoidedCostsWOCC!$A$5:$Q$50,G152+1,FALSE)*J152*L152</f>
        <v>0</v>
      </c>
      <c r="AL152" s="44">
        <f t="shared" ref="AL152:AL215" si="71">AG152+AI152-AK152</f>
        <v>0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ref="AN152:AN215" si="72">AM152*1.1+AD152+AE152</f>
        <v>0</v>
      </c>
      <c r="AO152" s="47">
        <f t="shared" ref="AO152:AO215" si="73">IFERROR(AM152/AB152,0)</f>
        <v>0</v>
      </c>
      <c r="AP152" s="47">
        <f t="shared" ref="AP152:AP215" si="74">AN152/AC152</f>
        <v>0</v>
      </c>
      <c r="AQ152">
        <v>2021</v>
      </c>
    </row>
    <row r="153" spans="2:43">
      <c r="B153" s="97" t="s">
        <v>74</v>
      </c>
      <c r="C153" s="100">
        <v>18230611</v>
      </c>
      <c r="D153" s="100" t="s">
        <v>75</v>
      </c>
      <c r="E153" s="38" t="s">
        <v>1582</v>
      </c>
      <c r="F153" s="39" t="s">
        <v>1583</v>
      </c>
      <c r="G153" s="39">
        <v>30</v>
      </c>
      <c r="H153" s="39"/>
      <c r="I153" s="40" t="s">
        <v>267</v>
      </c>
      <c r="J153" s="41">
        <v>8</v>
      </c>
      <c r="K153" s="41">
        <v>0</v>
      </c>
      <c r="L153" s="41"/>
      <c r="M153" s="42">
        <v>2.75</v>
      </c>
      <c r="N153" s="42">
        <v>2.75</v>
      </c>
      <c r="O153" s="43">
        <v>0</v>
      </c>
      <c r="P153" s="44">
        <v>75843.63</v>
      </c>
      <c r="Q153" s="44">
        <v>75843.63</v>
      </c>
      <c r="R153" s="45">
        <v>0</v>
      </c>
      <c r="S153" s="46"/>
      <c r="T153" s="39">
        <f t="shared" si="57"/>
        <v>30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22">
        <f t="shared" si="56"/>
        <v>78233.671394673787</v>
      </c>
      <c r="AB153" s="51">
        <f t="shared" si="64"/>
        <v>0</v>
      </c>
      <c r="AC153" s="44">
        <f t="shared" si="65"/>
        <v>73136.086187411216</v>
      </c>
      <c r="AD153" s="44">
        <f t="shared" si="66"/>
        <v>0</v>
      </c>
      <c r="AE153" s="44">
        <f t="shared" si="67"/>
        <v>0</v>
      </c>
      <c r="AF153" s="52">
        <f>HLOOKUP(I153,ElecAvoidedCostsWOCC!$A$5:$Q$50,G153+1,FALSE)</f>
        <v>2.1643436258224993</v>
      </c>
      <c r="AG153" s="44">
        <f t="shared" si="68"/>
        <v>0</v>
      </c>
      <c r="AH153" s="52">
        <f>HLOOKUP(I153,ElecAvoidedCostsWOCC!$A$5:$Q$50,T153+1,FALSE)</f>
        <v>2.1643436258224993</v>
      </c>
      <c r="AI153" s="44">
        <f t="shared" si="69"/>
        <v>0</v>
      </c>
      <c r="AJ153" s="44">
        <f t="shared" si="70"/>
        <v>0</v>
      </c>
      <c r="AK153" s="44">
        <f>HLOOKUP(I153,ElecAvoidedCostsWOCC!$A$5:$Q$50,G153+1,FALSE)*J153*L153</f>
        <v>0</v>
      </c>
      <c r="AL153" s="44">
        <f t="shared" si="71"/>
        <v>0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>
        <f t="shared" si="74"/>
        <v>0</v>
      </c>
      <c r="AQ153">
        <v>2021</v>
      </c>
    </row>
    <row r="154" spans="2:43">
      <c r="B154" s="97" t="s">
        <v>74</v>
      </c>
      <c r="C154" s="100">
        <v>18230611</v>
      </c>
      <c r="D154" s="100" t="s">
        <v>75</v>
      </c>
      <c r="E154" s="38" t="s">
        <v>1592</v>
      </c>
      <c r="F154" s="39" t="s">
        <v>1593</v>
      </c>
      <c r="G154" s="39">
        <v>15</v>
      </c>
      <c r="H154" s="39"/>
      <c r="I154" s="40" t="s">
        <v>265</v>
      </c>
      <c r="J154" s="41">
        <v>71</v>
      </c>
      <c r="K154" s="41">
        <v>20.68</v>
      </c>
      <c r="L154" s="41"/>
      <c r="M154" s="42">
        <v>20</v>
      </c>
      <c r="N154" s="42">
        <v>20</v>
      </c>
      <c r="O154" s="43">
        <v>1468.28</v>
      </c>
      <c r="P154" s="44">
        <v>3665.85</v>
      </c>
      <c r="Q154" s="44">
        <v>3665.85</v>
      </c>
      <c r="R154" s="45">
        <v>0</v>
      </c>
      <c r="S154" s="46">
        <v>0</v>
      </c>
      <c r="T154" s="39">
        <f t="shared" si="57"/>
        <v>15</v>
      </c>
      <c r="U154" s="47">
        <f t="shared" si="58"/>
        <v>9.5430070725805154E-3</v>
      </c>
      <c r="V154" s="48">
        <f t="shared" si="59"/>
        <v>0</v>
      </c>
      <c r="W154" s="49">
        <f t="shared" si="60"/>
        <v>6.362004715053677E-4</v>
      </c>
      <c r="X154" s="44">
        <f t="shared" si="61"/>
        <v>169.1074357720922</v>
      </c>
      <c r="Y154" s="44">
        <f t="shared" si="62"/>
        <v>0</v>
      </c>
      <c r="Z154" s="44">
        <f t="shared" si="63"/>
        <v>4533.0586660563185</v>
      </c>
      <c r="AA154" s="522">
        <f t="shared" si="56"/>
        <v>3950.4784524568804</v>
      </c>
      <c r="AB154" s="51">
        <f t="shared" si="64"/>
        <v>4237.6915640425523</v>
      </c>
      <c r="AC154" s="44">
        <f t="shared" si="65"/>
        <v>3693.0713774487053</v>
      </c>
      <c r="AD154" s="44">
        <f t="shared" si="66"/>
        <v>0</v>
      </c>
      <c r="AE154" s="44">
        <f t="shared" si="67"/>
        <v>0</v>
      </c>
      <c r="AF154" s="52">
        <f>HLOOKUP(I154,ElecAvoidedCostsWOCC!$A$5:$Q$50,G154+1,FALSE)</f>
        <v>1.0786528141421943</v>
      </c>
      <c r="AG154" s="44">
        <f t="shared" si="68"/>
        <v>1583.764353948701</v>
      </c>
      <c r="AH154" s="52">
        <f>HLOOKUP(I154,ElecAvoidedCostsWOCC!$A$5:$Q$50,T154+1,FALSE)</f>
        <v>1.0786528141421943</v>
      </c>
      <c r="AI154" s="44">
        <f t="shared" si="69"/>
        <v>0</v>
      </c>
      <c r="AJ154" s="44">
        <f t="shared" si="70"/>
        <v>1583.764353948701</v>
      </c>
      <c r="AK154" s="44">
        <f>HLOOKUP(I154,ElecAvoidedCostsWOCC!$A$5:$Q$50,G154+1,FALSE)*J154*L154</f>
        <v>0</v>
      </c>
      <c r="AL154" s="44">
        <f t="shared" si="71"/>
        <v>1583.764353948701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1583.764353948701</v>
      </c>
      <c r="AN154" s="48">
        <f t="shared" si="72"/>
        <v>1742.1407893435712</v>
      </c>
      <c r="AO154" s="47">
        <f t="shared" si="73"/>
        <v>0.37373280476266341</v>
      </c>
      <c r="AP154" s="47">
        <f t="shared" si="74"/>
        <v>0.47173222808033</v>
      </c>
      <c r="AQ154">
        <v>2021</v>
      </c>
    </row>
    <row r="155" spans="2:43">
      <c r="B155" s="97" t="s">
        <v>74</v>
      </c>
      <c r="C155" s="100">
        <v>18230611</v>
      </c>
      <c r="D155" s="100" t="s">
        <v>75</v>
      </c>
      <c r="E155" s="38" t="s">
        <v>1596</v>
      </c>
      <c r="F155" s="39" t="s">
        <v>1597</v>
      </c>
      <c r="G155" s="39">
        <v>15</v>
      </c>
      <c r="H155" s="39"/>
      <c r="I155" s="40" t="s">
        <v>265</v>
      </c>
      <c r="J155" s="41">
        <v>26</v>
      </c>
      <c r="K155" s="41">
        <v>20.68</v>
      </c>
      <c r="L155" s="41"/>
      <c r="M155" s="42">
        <v>20</v>
      </c>
      <c r="N155" s="42">
        <v>20</v>
      </c>
      <c r="O155" s="43">
        <v>537.67999999999995</v>
      </c>
      <c r="P155" s="44">
        <v>2687.72</v>
      </c>
      <c r="Q155" s="44">
        <v>2687.72</v>
      </c>
      <c r="R155" s="45">
        <v>0</v>
      </c>
      <c r="S155" s="46">
        <v>0</v>
      </c>
      <c r="T155" s="39">
        <f t="shared" si="57"/>
        <v>15</v>
      </c>
      <c r="U155" s="47">
        <f t="shared" si="58"/>
        <v>3.4946223082689206E-3</v>
      </c>
      <c r="V155" s="48">
        <f t="shared" si="59"/>
        <v>0</v>
      </c>
      <c r="W155" s="49">
        <f t="shared" si="60"/>
        <v>2.3297482055126137E-4</v>
      </c>
      <c r="X155" s="44">
        <f t="shared" si="61"/>
        <v>61.926666620766142</v>
      </c>
      <c r="Y155" s="44">
        <f t="shared" si="62"/>
        <v>0</v>
      </c>
      <c r="Z155" s="44">
        <f t="shared" si="63"/>
        <v>1659.9933143304827</v>
      </c>
      <c r="AA155" s="522">
        <f t="shared" si="56"/>
        <v>2834.3441165884515</v>
      </c>
      <c r="AB155" s="51">
        <f t="shared" si="64"/>
        <v>1551.8307135930472</v>
      </c>
      <c r="AC155" s="44">
        <f t="shared" si="65"/>
        <v>2649.6626311942146</v>
      </c>
      <c r="AD155" s="44">
        <f t="shared" si="66"/>
        <v>0</v>
      </c>
      <c r="AE155" s="44">
        <f t="shared" si="67"/>
        <v>0</v>
      </c>
      <c r="AF155" s="52">
        <f>HLOOKUP(I155,ElecAvoidedCostsWOCC!$A$5:$Q$50,G155+1,FALSE)</f>
        <v>1.0786528141421943</v>
      </c>
      <c r="AG155" s="44">
        <f t="shared" si="68"/>
        <v>579.97004510797501</v>
      </c>
      <c r="AH155" s="52">
        <f>HLOOKUP(I155,ElecAvoidedCostsWOCC!$A$5:$Q$50,T155+1,FALSE)</f>
        <v>1.0786528141421943</v>
      </c>
      <c r="AI155" s="44">
        <f t="shared" si="69"/>
        <v>0</v>
      </c>
      <c r="AJ155" s="44">
        <f t="shared" si="70"/>
        <v>579.97004510797501</v>
      </c>
      <c r="AK155" s="44">
        <f>HLOOKUP(I155,ElecAvoidedCostsWOCC!$A$5:$Q$50,G155+1,FALSE)*J155*L155</f>
        <v>0</v>
      </c>
      <c r="AL155" s="44">
        <f t="shared" si="71"/>
        <v>579.97004510797501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579.97004510797501</v>
      </c>
      <c r="AN155" s="48">
        <f t="shared" si="72"/>
        <v>637.96704961877253</v>
      </c>
      <c r="AO155" s="47">
        <f t="shared" si="73"/>
        <v>0.37373280476266346</v>
      </c>
      <c r="AP155" s="47">
        <f t="shared" si="74"/>
        <v>0.24077293543262826</v>
      </c>
      <c r="AQ155">
        <v>2021</v>
      </c>
    </row>
    <row r="156" spans="2:43">
      <c r="B156" s="97" t="s">
        <v>74</v>
      </c>
      <c r="C156" s="100">
        <v>18230611</v>
      </c>
      <c r="D156" s="100" t="s">
        <v>75</v>
      </c>
      <c r="E156" s="38" t="s">
        <v>1600</v>
      </c>
      <c r="F156" s="39" t="s">
        <v>1601</v>
      </c>
      <c r="G156" s="39"/>
      <c r="H156" s="39"/>
      <c r="I156" s="40"/>
      <c r="J156" s="41">
        <v>1</v>
      </c>
      <c r="K156" s="41">
        <v>0</v>
      </c>
      <c r="L156" s="41"/>
      <c r="M156" s="42">
        <v>201.47</v>
      </c>
      <c r="N156" s="42">
        <v>201.47</v>
      </c>
      <c r="O156" s="43">
        <v>0</v>
      </c>
      <c r="P156" s="44">
        <v>201.47</v>
      </c>
      <c r="Q156" s="44">
        <v>201.47</v>
      </c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22">
        <f t="shared" si="56"/>
        <v>207.81887385776406</v>
      </c>
      <c r="AB156" s="51">
        <f t="shared" si="64"/>
        <v>0</v>
      </c>
      <c r="AC156" s="44">
        <f t="shared" si="65"/>
        <v>194.27771698398058</v>
      </c>
      <c r="AD156" s="44">
        <f t="shared" si="66"/>
        <v>0</v>
      </c>
      <c r="AE156" s="44">
        <f t="shared" si="67"/>
        <v>0</v>
      </c>
      <c r="AF156" s="52" t="e">
        <f>HLOOKUP(I156,ElecAvoidedCostsWOCC!$A$5:$Q$50,G156+1,FALSE)</f>
        <v>#N/A</v>
      </c>
      <c r="AG156" s="44" t="e">
        <f t="shared" si="68"/>
        <v>#N/A</v>
      </c>
      <c r="AH156" s="52" t="e">
        <f>HLOOKUP(I156,ElecAvoidedCostsWOCC!$A$5:$Q$50,T156+1,FALSE)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HLOOKUP(I156,ElecAvoidedCostsWOCC!$A$5:$Q$50,G156+1,FALSE)*J156*L156</f>
        <v>#N/A</v>
      </c>
      <c r="AL156" s="44" t="e">
        <f t="shared" si="7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>
        <f t="shared" si="74"/>
        <v>0</v>
      </c>
      <c r="AQ156">
        <v>2021</v>
      </c>
    </row>
    <row r="157" spans="2:43">
      <c r="B157" s="97" t="s">
        <v>74</v>
      </c>
      <c r="C157" s="100">
        <v>18230611</v>
      </c>
      <c r="D157" s="100" t="s">
        <v>75</v>
      </c>
      <c r="E157" s="38" t="s">
        <v>1602</v>
      </c>
      <c r="F157" s="39" t="s">
        <v>1603</v>
      </c>
      <c r="G157" s="39"/>
      <c r="H157" s="39"/>
      <c r="I157" s="40"/>
      <c r="J157" s="41">
        <v>2</v>
      </c>
      <c r="K157" s="41">
        <v>0</v>
      </c>
      <c r="L157" s="41"/>
      <c r="M157" s="42">
        <v>294.89</v>
      </c>
      <c r="N157" s="42">
        <v>294.89</v>
      </c>
      <c r="O157" s="43">
        <v>0</v>
      </c>
      <c r="P157" s="44">
        <v>589.78</v>
      </c>
      <c r="Q157" s="44">
        <v>589.78</v>
      </c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22">
        <f t="shared" si="56"/>
        <v>608.36559003242212</v>
      </c>
      <c r="AB157" s="51">
        <f t="shared" si="64"/>
        <v>0</v>
      </c>
      <c r="AC157" s="44">
        <f t="shared" si="65"/>
        <v>568.72542772031602</v>
      </c>
      <c r="AD157" s="44">
        <f t="shared" si="66"/>
        <v>0</v>
      </c>
      <c r="AE157" s="44">
        <f t="shared" si="67"/>
        <v>0</v>
      </c>
      <c r="AF157" s="52" t="e">
        <f>HLOOKUP(I157,ElecAvoidedCostsWOCC!$A$5:$Q$50,G157+1,FALSE)</f>
        <v>#N/A</v>
      </c>
      <c r="AG157" s="44" t="e">
        <f t="shared" si="68"/>
        <v>#N/A</v>
      </c>
      <c r="AH157" s="52" t="e">
        <f>HLOOKUP(I157,ElecAvoidedCostsWOCC!$A$5:$Q$50,T157+1,FALSE)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HLOOKUP(I157,ElecAvoidedCostsWOCC!$A$5:$Q$50,G157+1,FALSE)*J157*L157</f>
        <v>#N/A</v>
      </c>
      <c r="AL157" s="44" t="e">
        <f t="shared" si="7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>
        <f t="shared" si="74"/>
        <v>0</v>
      </c>
      <c r="AQ157">
        <v>2021</v>
      </c>
    </row>
    <row r="158" spans="2:43">
      <c r="B158" s="97" t="s">
        <v>74</v>
      </c>
      <c r="C158" s="100">
        <v>18230611</v>
      </c>
      <c r="D158" s="100" t="s">
        <v>75</v>
      </c>
      <c r="E158" s="38" t="s">
        <v>1604</v>
      </c>
      <c r="F158" s="39" t="s">
        <v>1605</v>
      </c>
      <c r="G158" s="39">
        <v>25</v>
      </c>
      <c r="H158" s="39"/>
      <c r="I158" s="40" t="s">
        <v>269</v>
      </c>
      <c r="J158" s="41">
        <v>244</v>
      </c>
      <c r="K158" s="41">
        <v>6.71</v>
      </c>
      <c r="L158" s="41"/>
      <c r="M158" s="42">
        <v>18.53</v>
      </c>
      <c r="N158" s="42">
        <v>18.53</v>
      </c>
      <c r="O158" s="43">
        <v>1637.24</v>
      </c>
      <c r="P158" s="44">
        <v>5877.72</v>
      </c>
      <c r="Q158" s="44">
        <v>5877.72</v>
      </c>
      <c r="R158" s="45">
        <v>0</v>
      </c>
      <c r="S158" s="46">
        <v>0</v>
      </c>
      <c r="T158" s="39">
        <f t="shared" si="57"/>
        <v>25</v>
      </c>
      <c r="U158" s="47">
        <f t="shared" si="58"/>
        <v>1.7735255877071272E-2</v>
      </c>
      <c r="V158" s="48">
        <f t="shared" si="59"/>
        <v>0</v>
      </c>
      <c r="W158" s="49">
        <f t="shared" si="60"/>
        <v>7.0941023508285081E-4</v>
      </c>
      <c r="X158" s="44">
        <f t="shared" si="61"/>
        <v>188.56720662509889</v>
      </c>
      <c r="Y158" s="44">
        <f t="shared" si="62"/>
        <v>0</v>
      </c>
      <c r="Z158" s="44">
        <f t="shared" si="63"/>
        <v>5054.6932263696617</v>
      </c>
      <c r="AA158" s="522">
        <f t="shared" si="56"/>
        <v>6251.5103309178321</v>
      </c>
      <c r="AB158" s="51">
        <f t="shared" si="64"/>
        <v>4725.3372219965049</v>
      </c>
      <c r="AC158" s="44">
        <f t="shared" si="65"/>
        <v>5844.1715723266634</v>
      </c>
      <c r="AD158" s="44">
        <f t="shared" si="66"/>
        <v>0</v>
      </c>
      <c r="AE158" s="44">
        <f t="shared" si="67"/>
        <v>0</v>
      </c>
      <c r="AF158" s="52">
        <f>HLOOKUP(I158,ElecAvoidedCostsWOCC!$A$5:$Q$50,G158+1,FALSE)</f>
        <v>2.0508206305871441</v>
      </c>
      <c r="AG158" s="44">
        <f t="shared" si="68"/>
        <v>3357.6855692224958</v>
      </c>
      <c r="AH158" s="52">
        <f>HLOOKUP(I158,ElecAvoidedCostsWOCC!$A$5:$Q$50,T158+1,FALSE)</f>
        <v>2.0508206305871441</v>
      </c>
      <c r="AI158" s="44">
        <f t="shared" si="69"/>
        <v>0</v>
      </c>
      <c r="AJ158" s="44">
        <f t="shared" si="70"/>
        <v>3357.6855692224958</v>
      </c>
      <c r="AK158" s="44">
        <f>HLOOKUP(I158,ElecAvoidedCostsWOCC!$A$5:$Q$50,G158+1,FALSE)*J158*L158</f>
        <v>0</v>
      </c>
      <c r="AL158" s="44">
        <f t="shared" si="71"/>
        <v>3357.6855692224958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3357.6855692224958</v>
      </c>
      <c r="AN158" s="48">
        <f t="shared" si="72"/>
        <v>3693.4541261447457</v>
      </c>
      <c r="AO158" s="47">
        <f t="shared" si="73"/>
        <v>0.71057057125837009</v>
      </c>
      <c r="AP158" s="47">
        <f t="shared" si="74"/>
        <v>0.63198933851189443</v>
      </c>
      <c r="AQ158">
        <v>2021</v>
      </c>
    </row>
    <row r="159" spans="2:43">
      <c r="B159" s="97" t="s">
        <v>74</v>
      </c>
      <c r="C159" s="100">
        <v>18230611</v>
      </c>
      <c r="D159" s="100" t="s">
        <v>75</v>
      </c>
      <c r="E159" s="38" t="s">
        <v>1606</v>
      </c>
      <c r="F159" s="39" t="s">
        <v>1607</v>
      </c>
      <c r="G159" s="39">
        <v>25</v>
      </c>
      <c r="H159" s="39"/>
      <c r="I159" s="40" t="s">
        <v>269</v>
      </c>
      <c r="J159" s="41">
        <v>1146</v>
      </c>
      <c r="K159" s="41">
        <v>16.53</v>
      </c>
      <c r="L159" s="41"/>
      <c r="M159" s="42">
        <v>18.53</v>
      </c>
      <c r="N159" s="42">
        <v>18.53</v>
      </c>
      <c r="O159" s="43">
        <v>18943.38</v>
      </c>
      <c r="P159" s="44">
        <v>26892.67</v>
      </c>
      <c r="Q159" s="44">
        <v>26892.67</v>
      </c>
      <c r="R159" s="45">
        <v>0</v>
      </c>
      <c r="S159" s="46">
        <v>0</v>
      </c>
      <c r="T159" s="39">
        <f t="shared" si="57"/>
        <v>25</v>
      </c>
      <c r="U159" s="47">
        <f t="shared" si="58"/>
        <v>0.20520246969081771</v>
      </c>
      <c r="V159" s="48">
        <f t="shared" si="59"/>
        <v>0</v>
      </c>
      <c r="W159" s="49">
        <f t="shared" si="60"/>
        <v>8.2080987876327078E-3</v>
      </c>
      <c r="X159" s="44">
        <f t="shared" si="61"/>
        <v>2181.781687863579</v>
      </c>
      <c r="Y159" s="44">
        <f t="shared" si="62"/>
        <v>0</v>
      </c>
      <c r="Z159" s="44">
        <f t="shared" si="63"/>
        <v>58484.385044676725</v>
      </c>
      <c r="AA159" s="522">
        <f t="shared" si="56"/>
        <v>29921.913689791782</v>
      </c>
      <c r="AB159" s="51">
        <f t="shared" si="64"/>
        <v>54673.632836007033</v>
      </c>
      <c r="AC159" s="44">
        <f t="shared" si="65"/>
        <v>27972.248003918648</v>
      </c>
      <c r="AD159" s="44">
        <f t="shared" si="66"/>
        <v>0</v>
      </c>
      <c r="AE159" s="44">
        <f t="shared" si="67"/>
        <v>0</v>
      </c>
      <c r="AF159" s="52">
        <f>HLOOKUP(I159,ElecAvoidedCostsWOCC!$A$5:$Q$50,G159+1,FALSE)</f>
        <v>2.0508206305871441</v>
      </c>
      <c r="AG159" s="44">
        <f t="shared" si="68"/>
        <v>38849.474517051902</v>
      </c>
      <c r="AH159" s="52">
        <f>HLOOKUP(I159,ElecAvoidedCostsWOCC!$A$5:$Q$50,T159+1,FALSE)</f>
        <v>2.0508206305871441</v>
      </c>
      <c r="AI159" s="44">
        <f t="shared" si="69"/>
        <v>0</v>
      </c>
      <c r="AJ159" s="44">
        <f t="shared" si="70"/>
        <v>38849.474517051902</v>
      </c>
      <c r="AK159" s="44">
        <f>HLOOKUP(I159,ElecAvoidedCostsWOCC!$A$5:$Q$50,G159+1,FALSE)*J159*L159</f>
        <v>0</v>
      </c>
      <c r="AL159" s="44">
        <f t="shared" si="71"/>
        <v>38849.474517051902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38849.474517051895</v>
      </c>
      <c r="AN159" s="48">
        <f t="shared" si="72"/>
        <v>42734.421968757088</v>
      </c>
      <c r="AO159" s="47">
        <f t="shared" si="73"/>
        <v>0.71057057125836998</v>
      </c>
      <c r="AP159" s="47">
        <f t="shared" si="74"/>
        <v>1.5277435679381364</v>
      </c>
      <c r="AQ159">
        <v>2021</v>
      </c>
    </row>
    <row r="160" spans="2:43">
      <c r="B160" s="97" t="s">
        <v>74</v>
      </c>
      <c r="C160" s="100">
        <v>18230611</v>
      </c>
      <c r="D160" s="100" t="s">
        <v>75</v>
      </c>
      <c r="E160" s="38" t="s">
        <v>1608</v>
      </c>
      <c r="F160" s="39" t="s">
        <v>1609</v>
      </c>
      <c r="G160" s="39">
        <v>45</v>
      </c>
      <c r="H160" s="39"/>
      <c r="I160" s="40" t="s">
        <v>269</v>
      </c>
      <c r="J160" s="41">
        <v>232</v>
      </c>
      <c r="K160" s="41">
        <v>3.98</v>
      </c>
      <c r="L160" s="41"/>
      <c r="M160" s="42">
        <v>22.6</v>
      </c>
      <c r="N160" s="42">
        <v>22.6</v>
      </c>
      <c r="O160" s="43">
        <v>923.36</v>
      </c>
      <c r="P160" s="44">
        <v>6816.16</v>
      </c>
      <c r="Q160" s="44">
        <v>6816.16</v>
      </c>
      <c r="R160" s="45">
        <v>0</v>
      </c>
      <c r="S160" s="46">
        <v>0</v>
      </c>
      <c r="T160" s="39">
        <f t="shared" si="57"/>
        <v>45</v>
      </c>
      <c r="U160" s="47">
        <f t="shared" si="58"/>
        <v>1.8003986318422802E-2</v>
      </c>
      <c r="V160" s="48">
        <f t="shared" si="59"/>
        <v>0</v>
      </c>
      <c r="W160" s="49">
        <f t="shared" si="60"/>
        <v>4.0008858485384005E-4</v>
      </c>
      <c r="X160" s="44">
        <f t="shared" si="61"/>
        <v>106.34691059914937</v>
      </c>
      <c r="Y160" s="44">
        <f t="shared" si="62"/>
        <v>0</v>
      </c>
      <c r="Z160" s="44">
        <f t="shared" si="63"/>
        <v>2850.7131132275604</v>
      </c>
      <c r="AA160" s="522">
        <f t="shared" si="56"/>
        <v>7137.3028605387772</v>
      </c>
      <c r="AB160" s="51">
        <f t="shared" si="64"/>
        <v>2664.9650492919136</v>
      </c>
      <c r="AC160" s="44">
        <f t="shared" si="65"/>
        <v>6672.2472286984921</v>
      </c>
      <c r="AD160" s="44">
        <f t="shared" si="66"/>
        <v>0</v>
      </c>
      <c r="AE160" s="44">
        <f t="shared" si="67"/>
        <v>0</v>
      </c>
      <c r="AF160" s="52">
        <f>HLOOKUP(I160,ElecAvoidedCostsWOCC!$A$5:$Q$50,G160+1,FALSE)</f>
        <v>3.4276422079642828</v>
      </c>
      <c r="AG160" s="44">
        <f t="shared" si="68"/>
        <v>3164.9477091459003</v>
      </c>
      <c r="AH160" s="52">
        <f>HLOOKUP(I160,ElecAvoidedCostsWOCC!$A$5:$Q$50,T160+1,FALSE)</f>
        <v>3.4276422079642828</v>
      </c>
      <c r="AI160" s="44">
        <f t="shared" si="69"/>
        <v>0</v>
      </c>
      <c r="AJ160" s="44">
        <f t="shared" si="70"/>
        <v>3164.9477091459003</v>
      </c>
      <c r="AK160" s="44">
        <f>HLOOKUP(I160,ElecAvoidedCostsWOCC!$A$5:$Q$50,G160+1,FALSE)*J160*L160</f>
        <v>0</v>
      </c>
      <c r="AL160" s="44">
        <f t="shared" si="71"/>
        <v>3164.9477091459003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3164.9477091459003</v>
      </c>
      <c r="AN160" s="48">
        <f t="shared" si="72"/>
        <v>3481.4424800604907</v>
      </c>
      <c r="AO160" s="47">
        <f t="shared" si="73"/>
        <v>1.1876132146599194</v>
      </c>
      <c r="AP160" s="47">
        <f t="shared" si="74"/>
        <v>0.52177959849662092</v>
      </c>
      <c r="AQ160">
        <v>2021</v>
      </c>
    </row>
    <row r="161" spans="2:43">
      <c r="B161" s="97" t="s">
        <v>74</v>
      </c>
      <c r="C161" s="100">
        <v>18230611</v>
      </c>
      <c r="D161" s="100" t="s">
        <v>75</v>
      </c>
      <c r="E161" s="38" t="s">
        <v>1610</v>
      </c>
      <c r="F161" s="39" t="s">
        <v>1611</v>
      </c>
      <c r="G161" s="39">
        <v>45</v>
      </c>
      <c r="H161" s="39"/>
      <c r="I161" s="40" t="s">
        <v>267</v>
      </c>
      <c r="J161" s="41">
        <v>8136</v>
      </c>
      <c r="K161" s="41">
        <v>0.95</v>
      </c>
      <c r="L161" s="41"/>
      <c r="M161" s="42">
        <v>2.4300000000000002</v>
      </c>
      <c r="N161" s="42">
        <v>2.4300000000000002</v>
      </c>
      <c r="O161" s="43">
        <v>7729.2</v>
      </c>
      <c r="P161" s="44">
        <v>25701.62</v>
      </c>
      <c r="Q161" s="44">
        <v>25701.62</v>
      </c>
      <c r="R161" s="45">
        <v>0</v>
      </c>
      <c r="S161" s="46">
        <v>0</v>
      </c>
      <c r="T161" s="39">
        <f t="shared" si="57"/>
        <v>45</v>
      </c>
      <c r="U161" s="47">
        <f t="shared" si="58"/>
        <v>0.15070656196104826</v>
      </c>
      <c r="V161" s="48">
        <f t="shared" si="59"/>
        <v>0</v>
      </c>
      <c r="W161" s="49">
        <f t="shared" si="60"/>
        <v>3.3490347102455168E-3</v>
      </c>
      <c r="X161" s="44">
        <f t="shared" si="61"/>
        <v>890.20159136517202</v>
      </c>
      <c r="Y161" s="44">
        <f t="shared" si="62"/>
        <v>0</v>
      </c>
      <c r="Z161" s="44">
        <f t="shared" si="63"/>
        <v>23862.558259788661</v>
      </c>
      <c r="AA161" s="522">
        <f t="shared" si="56"/>
        <v>27401.750331724455</v>
      </c>
      <c r="AB161" s="51">
        <f t="shared" si="64"/>
        <v>22307.710815919098</v>
      </c>
      <c r="AC161" s="44">
        <f t="shared" si="65"/>
        <v>25616.294598227963</v>
      </c>
      <c r="AD161" s="44">
        <f t="shared" si="66"/>
        <v>0</v>
      </c>
      <c r="AE161" s="44">
        <f t="shared" si="67"/>
        <v>0</v>
      </c>
      <c r="AF161" s="52">
        <f>HLOOKUP(I161,ElecAvoidedCostsWOCC!$A$5:$Q$50,G161+1,FALSE)</f>
        <v>3.1346149049506007</v>
      </c>
      <c r="AG161" s="44">
        <f t="shared" si="68"/>
        <v>24228.065523344183</v>
      </c>
      <c r="AH161" s="52">
        <f>HLOOKUP(I161,ElecAvoidedCostsWOCC!$A$5:$Q$50,T161+1,FALSE)</f>
        <v>3.1346149049506007</v>
      </c>
      <c r="AI161" s="44">
        <f t="shared" si="69"/>
        <v>0</v>
      </c>
      <c r="AJ161" s="44">
        <f t="shared" si="70"/>
        <v>24228.065523344183</v>
      </c>
      <c r="AK161" s="44">
        <f>HLOOKUP(I161,ElecAvoidedCostsWOCC!$A$5:$Q$50,G161+1,FALSE)*J161*L161</f>
        <v>0</v>
      </c>
      <c r="AL161" s="44">
        <f t="shared" si="71"/>
        <v>24228.065523344183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24228.065523344179</v>
      </c>
      <c r="AN161" s="48">
        <f t="shared" si="72"/>
        <v>26650.872075678599</v>
      </c>
      <c r="AO161" s="47">
        <f t="shared" si="73"/>
        <v>1.0860847947721597</v>
      </c>
      <c r="AP161" s="47">
        <f t="shared" si="74"/>
        <v>1.0403874757718552</v>
      </c>
      <c r="AQ161">
        <v>2021</v>
      </c>
    </row>
    <row r="162" spans="2:43">
      <c r="B162" s="97" t="s">
        <v>74</v>
      </c>
      <c r="C162" s="100">
        <v>18230611</v>
      </c>
      <c r="D162" s="100" t="s">
        <v>75</v>
      </c>
      <c r="E162" s="38" t="s">
        <v>1612</v>
      </c>
      <c r="F162" s="39" t="s">
        <v>1613</v>
      </c>
      <c r="G162" s="39">
        <v>45</v>
      </c>
      <c r="H162" s="39"/>
      <c r="I162" s="40" t="s">
        <v>269</v>
      </c>
      <c r="J162" s="41">
        <v>15703</v>
      </c>
      <c r="K162" s="41">
        <v>1.37</v>
      </c>
      <c r="L162" s="41"/>
      <c r="M162" s="42">
        <v>2.4300000000000002</v>
      </c>
      <c r="N162" s="42">
        <v>2.4300000000000002</v>
      </c>
      <c r="O162" s="43">
        <v>21513.11</v>
      </c>
      <c r="P162" s="44">
        <v>53021.93</v>
      </c>
      <c r="Q162" s="44">
        <v>53021.93</v>
      </c>
      <c r="R162" s="45">
        <v>0</v>
      </c>
      <c r="S162" s="46">
        <v>0</v>
      </c>
      <c r="T162" s="39">
        <f t="shared" si="57"/>
        <v>45</v>
      </c>
      <c r="U162" s="47">
        <f t="shared" si="58"/>
        <v>0.41946991217588459</v>
      </c>
      <c r="V162" s="48">
        <f t="shared" si="59"/>
        <v>0</v>
      </c>
      <c r="W162" s="49">
        <f t="shared" si="60"/>
        <v>9.3215536039085462E-3</v>
      </c>
      <c r="X162" s="44">
        <f t="shared" si="61"/>
        <v>2477.7473421847017</v>
      </c>
      <c r="Y162" s="44">
        <f t="shared" si="62"/>
        <v>0</v>
      </c>
      <c r="Z162" s="44">
        <f t="shared" si="63"/>
        <v>66417.978668457537</v>
      </c>
      <c r="AA162" s="522">
        <f t="shared" si="56"/>
        <v>57170.544197126852</v>
      </c>
      <c r="AB162" s="51">
        <f t="shared" si="64"/>
        <v>62090.285751572897</v>
      </c>
      <c r="AC162" s="44">
        <f t="shared" si="65"/>
        <v>53445.399829042581</v>
      </c>
      <c r="AD162" s="44">
        <f t="shared" si="66"/>
        <v>0</v>
      </c>
      <c r="AE162" s="44">
        <f t="shared" si="67"/>
        <v>0</v>
      </c>
      <c r="AF162" s="52">
        <f>HLOOKUP(I162,ElecAvoidedCostsWOCC!$A$5:$Q$50,G162+1,FALSE)</f>
        <v>3.4276422079642828</v>
      </c>
      <c r="AG162" s="44">
        <f t="shared" si="68"/>
        <v>73739.243860578499</v>
      </c>
      <c r="AH162" s="52">
        <f>HLOOKUP(I162,ElecAvoidedCostsWOCC!$A$5:$Q$50,T162+1,FALSE)</f>
        <v>3.4276422079642828</v>
      </c>
      <c r="AI162" s="44">
        <f t="shared" si="69"/>
        <v>0</v>
      </c>
      <c r="AJ162" s="44">
        <f t="shared" si="70"/>
        <v>73739.243860578499</v>
      </c>
      <c r="AK162" s="44">
        <f>HLOOKUP(I162,ElecAvoidedCostsWOCC!$A$5:$Q$50,G162+1,FALSE)*J162*L162</f>
        <v>0</v>
      </c>
      <c r="AL162" s="44">
        <f t="shared" si="71"/>
        <v>73739.243860578499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73739.243860578499</v>
      </c>
      <c r="AN162" s="48">
        <f t="shared" si="72"/>
        <v>81113.168246636356</v>
      </c>
      <c r="AO162" s="47">
        <f t="shared" si="73"/>
        <v>1.1876132146599196</v>
      </c>
      <c r="AP162" s="47">
        <f t="shared" si="74"/>
        <v>1.5176828783411762</v>
      </c>
      <c r="AQ162">
        <v>2021</v>
      </c>
    </row>
    <row r="163" spans="2:43">
      <c r="B163" s="97" t="s">
        <v>74</v>
      </c>
      <c r="C163" s="100">
        <v>18230611</v>
      </c>
      <c r="D163" s="100" t="s">
        <v>75</v>
      </c>
      <c r="E163" s="38" t="s">
        <v>1616</v>
      </c>
      <c r="F163" s="39" t="s">
        <v>1617</v>
      </c>
      <c r="G163" s="39">
        <v>45</v>
      </c>
      <c r="H163" s="39"/>
      <c r="I163" s="40" t="s">
        <v>269</v>
      </c>
      <c r="J163" s="41">
        <v>14725</v>
      </c>
      <c r="K163" s="41">
        <v>0.38</v>
      </c>
      <c r="L163" s="41"/>
      <c r="M163" s="42">
        <v>1.82</v>
      </c>
      <c r="N163" s="42">
        <v>1.82</v>
      </c>
      <c r="O163" s="43">
        <v>5595.5</v>
      </c>
      <c r="P163" s="44">
        <v>38621.49</v>
      </c>
      <c r="Q163" s="44">
        <v>38621.49</v>
      </c>
      <c r="R163" s="45">
        <v>0</v>
      </c>
      <c r="S163" s="46">
        <v>0</v>
      </c>
      <c r="T163" s="39">
        <f t="shared" si="57"/>
        <v>45</v>
      </c>
      <c r="U163" s="47">
        <f t="shared" si="58"/>
        <v>0.10910295599195849</v>
      </c>
      <c r="V163" s="48">
        <f t="shared" si="59"/>
        <v>0</v>
      </c>
      <c r="W163" s="49">
        <f t="shared" si="60"/>
        <v>2.4245101331546331E-3</v>
      </c>
      <c r="X163" s="44">
        <f t="shared" si="61"/>
        <v>644.45518352272165</v>
      </c>
      <c r="Y163" s="44">
        <f t="shared" si="62"/>
        <v>0</v>
      </c>
      <c r="Z163" s="44">
        <f t="shared" si="63"/>
        <v>17275.131286892232</v>
      </c>
      <c r="AA163" s="522">
        <f t="shared" si="56"/>
        <v>40483.014564616162</v>
      </c>
      <c r="AB163" s="51">
        <f t="shared" si="64"/>
        <v>16149.510411229532</v>
      </c>
      <c r="AC163" s="44">
        <f t="shared" si="65"/>
        <v>37845.203855862543</v>
      </c>
      <c r="AD163" s="44">
        <f t="shared" si="66"/>
        <v>0</v>
      </c>
      <c r="AE163" s="44">
        <f t="shared" si="67"/>
        <v>0</v>
      </c>
      <c r="AF163" s="52">
        <f>HLOOKUP(I163,ElecAvoidedCostsWOCC!$A$5:$Q$50,G163+1,FALSE)</f>
        <v>3.4276422079642828</v>
      </c>
      <c r="AG163" s="44">
        <f t="shared" si="68"/>
        <v>19179.371974664144</v>
      </c>
      <c r="AH163" s="52">
        <f>HLOOKUP(I163,ElecAvoidedCostsWOCC!$A$5:$Q$50,T163+1,FALSE)</f>
        <v>3.4276422079642828</v>
      </c>
      <c r="AI163" s="44">
        <f t="shared" si="69"/>
        <v>0</v>
      </c>
      <c r="AJ163" s="44">
        <f t="shared" si="70"/>
        <v>19179.371974664144</v>
      </c>
      <c r="AK163" s="44">
        <f>HLOOKUP(I163,ElecAvoidedCostsWOCC!$A$5:$Q$50,G163+1,FALSE)*J163*L163</f>
        <v>0</v>
      </c>
      <c r="AL163" s="44">
        <f t="shared" si="71"/>
        <v>19179.371974664144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19179.371974664144</v>
      </c>
      <c r="AN163" s="48">
        <f t="shared" si="72"/>
        <v>21097.309172130561</v>
      </c>
      <c r="AO163" s="47">
        <f t="shared" si="73"/>
        <v>1.1876132146599194</v>
      </c>
      <c r="AP163" s="47">
        <f t="shared" si="74"/>
        <v>0.55746321918312003</v>
      </c>
      <c r="AQ163">
        <v>2021</v>
      </c>
    </row>
    <row r="164" spans="2:43">
      <c r="B164" s="97" t="s">
        <v>74</v>
      </c>
      <c r="C164" s="100">
        <v>18230611</v>
      </c>
      <c r="D164" s="100" t="s">
        <v>75</v>
      </c>
      <c r="E164" s="38" t="s">
        <v>1620</v>
      </c>
      <c r="F164" s="39" t="s">
        <v>1621</v>
      </c>
      <c r="G164" s="39">
        <v>45</v>
      </c>
      <c r="H164" s="39"/>
      <c r="I164" s="40" t="s">
        <v>267</v>
      </c>
      <c r="J164" s="41">
        <v>2646</v>
      </c>
      <c r="K164" s="41">
        <v>0.28999999999999998</v>
      </c>
      <c r="L164" s="41"/>
      <c r="M164" s="42">
        <v>1.82</v>
      </c>
      <c r="N164" s="42">
        <v>1.82</v>
      </c>
      <c r="O164" s="43">
        <v>767.34</v>
      </c>
      <c r="P164" s="44">
        <v>6260.44</v>
      </c>
      <c r="Q164" s="44">
        <v>6260.44</v>
      </c>
      <c r="R164" s="45"/>
      <c r="S164" s="46"/>
      <c r="T164" s="39">
        <f t="shared" si="57"/>
        <v>45</v>
      </c>
      <c r="U164" s="47">
        <f t="shared" si="58"/>
        <v>1.4961855464367695E-2</v>
      </c>
      <c r="V164" s="48">
        <f t="shared" si="59"/>
        <v>0</v>
      </c>
      <c r="W164" s="49">
        <f t="shared" si="60"/>
        <v>3.3248567698594878E-4</v>
      </c>
      <c r="X164" s="44">
        <f t="shared" si="61"/>
        <v>88.377489147408681</v>
      </c>
      <c r="Y164" s="44">
        <f t="shared" si="62"/>
        <v>0</v>
      </c>
      <c r="Z164" s="44">
        <f t="shared" si="63"/>
        <v>2369.0285482412455</v>
      </c>
      <c r="AA164" s="522">
        <f t="shared" si="56"/>
        <v>6546.1011733391006</v>
      </c>
      <c r="AB164" s="51">
        <f t="shared" si="64"/>
        <v>2214.6663066665842</v>
      </c>
      <c r="AC164" s="44">
        <f t="shared" si="65"/>
        <v>6119.5673304095544</v>
      </c>
      <c r="AD164" s="44">
        <f t="shared" si="66"/>
        <v>0</v>
      </c>
      <c r="AE164" s="44">
        <f t="shared" si="67"/>
        <v>0</v>
      </c>
      <c r="AF164" s="52">
        <f>HLOOKUP(I164,ElecAvoidedCostsWOCC!$A$5:$Q$50,G164+1,FALSE)</f>
        <v>3.1346149049506007</v>
      </c>
      <c r="AG164" s="44">
        <f t="shared" si="68"/>
        <v>2405.3154011647939</v>
      </c>
      <c r="AH164" s="52">
        <f>HLOOKUP(I164,ElecAvoidedCostsWOCC!$A$5:$Q$50,T164+1,FALSE)</f>
        <v>3.1346149049506007</v>
      </c>
      <c r="AI164" s="44">
        <f t="shared" si="69"/>
        <v>0</v>
      </c>
      <c r="AJ164" s="44">
        <f t="shared" si="70"/>
        <v>2405.3154011647939</v>
      </c>
      <c r="AK164" s="44">
        <f>HLOOKUP(I164,ElecAvoidedCostsWOCC!$A$5:$Q$50,G164+1,FALSE)*J164*L164</f>
        <v>0</v>
      </c>
      <c r="AL164" s="44">
        <f t="shared" si="71"/>
        <v>2405.3154011647939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2405.3154011647939</v>
      </c>
      <c r="AN164" s="48">
        <f t="shared" si="72"/>
        <v>2645.8469412812733</v>
      </c>
      <c r="AO164" s="47">
        <f t="shared" si="73"/>
        <v>1.0860847947721597</v>
      </c>
      <c r="AP164" s="47">
        <f t="shared" si="74"/>
        <v>0.43235849830974882</v>
      </c>
      <c r="AQ164">
        <v>2021</v>
      </c>
    </row>
    <row r="165" spans="2:43">
      <c r="B165" s="97" t="s">
        <v>74</v>
      </c>
      <c r="C165" s="100">
        <v>18230611</v>
      </c>
      <c r="D165" s="100" t="s">
        <v>75</v>
      </c>
      <c r="E165" s="38" t="s">
        <v>1622</v>
      </c>
      <c r="F165" s="39" t="s">
        <v>1623</v>
      </c>
      <c r="G165" s="39">
        <v>10</v>
      </c>
      <c r="H165" s="39"/>
      <c r="I165" s="40" t="s">
        <v>265</v>
      </c>
      <c r="J165" s="41">
        <v>2</v>
      </c>
      <c r="K165" s="41">
        <v>0</v>
      </c>
      <c r="L165" s="41"/>
      <c r="M165" s="42">
        <v>11.35</v>
      </c>
      <c r="N165" s="42">
        <v>11.35</v>
      </c>
      <c r="O165" s="43">
        <v>0</v>
      </c>
      <c r="P165" s="44">
        <v>16.12</v>
      </c>
      <c r="Q165" s="44">
        <v>16.12</v>
      </c>
      <c r="R165" s="45">
        <v>5.22</v>
      </c>
      <c r="S165" s="46">
        <v>0</v>
      </c>
      <c r="T165" s="39">
        <f t="shared" si="57"/>
        <v>10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22">
        <f t="shared" si="56"/>
        <v>16.6279855392225</v>
      </c>
      <c r="AB165" s="51">
        <f t="shared" si="64"/>
        <v>0</v>
      </c>
      <c r="AC165" s="44">
        <f t="shared" si="65"/>
        <v>15.544531681053098</v>
      </c>
      <c r="AD165" s="44">
        <f t="shared" si="66"/>
        <v>73.427984394888838</v>
      </c>
      <c r="AE165" s="44">
        <f t="shared" si="67"/>
        <v>0</v>
      </c>
      <c r="AF165" s="52">
        <f>HLOOKUP(I165,ElecAvoidedCostsWOCC!$A$5:$Q$50,G165+1,FALSE)</f>
        <v>0.74487332198138856</v>
      </c>
      <c r="AG165" s="44">
        <f t="shared" si="68"/>
        <v>0</v>
      </c>
      <c r="AH165" s="52">
        <f>HLOOKUP(I165,ElecAvoidedCostsWOCC!$A$5:$Q$50,T165+1,FALSE)</f>
        <v>0.74487332198138856</v>
      </c>
      <c r="AI165" s="44">
        <f t="shared" si="69"/>
        <v>0</v>
      </c>
      <c r="AJ165" s="44">
        <f t="shared" si="70"/>
        <v>0</v>
      </c>
      <c r="AK165" s="44">
        <f>HLOOKUP(I165,ElecAvoidedCostsWOCC!$A$5:$Q$50,G165+1,FALSE)*J165*L165</f>
        <v>0</v>
      </c>
      <c r="AL165" s="44">
        <f t="shared" si="71"/>
        <v>0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2"/>
        <v>73.427984394888838</v>
      </c>
      <c r="AO165" s="47">
        <f t="shared" si="73"/>
        <v>0</v>
      </c>
      <c r="AP165" s="47">
        <f t="shared" si="74"/>
        <v>4.7237180187543801</v>
      </c>
      <c r="AQ165">
        <v>2021</v>
      </c>
    </row>
    <row r="166" spans="2:43">
      <c r="B166" s="97" t="s">
        <v>74</v>
      </c>
      <c r="C166" s="100">
        <v>18230611</v>
      </c>
      <c r="D166" s="100" t="s">
        <v>75</v>
      </c>
      <c r="E166" s="38" t="s">
        <v>1624</v>
      </c>
      <c r="F166" s="39" t="s">
        <v>1625</v>
      </c>
      <c r="G166" s="39"/>
      <c r="H166" s="39"/>
      <c r="I166" s="40"/>
      <c r="J166" s="41">
        <v>27</v>
      </c>
      <c r="K166" s="41">
        <v>0</v>
      </c>
      <c r="L166" s="41"/>
      <c r="M166" s="42">
        <v>15.287777777777777</v>
      </c>
      <c r="N166" s="42">
        <v>15.287777777777777</v>
      </c>
      <c r="O166" s="43">
        <v>0</v>
      </c>
      <c r="P166" s="44">
        <v>412.77</v>
      </c>
      <c r="Q166" s="44">
        <v>412.77</v>
      </c>
      <c r="R166" s="45">
        <v>0</v>
      </c>
      <c r="S166" s="46">
        <v>0</v>
      </c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22">
        <f t="shared" si="56"/>
        <v>425.77751805365199</v>
      </c>
      <c r="AB166" s="51">
        <f t="shared" si="64"/>
        <v>0</v>
      </c>
      <c r="AC166" s="44">
        <f t="shared" si="65"/>
        <v>398.03451253029067</v>
      </c>
      <c r="AD166" s="44">
        <f t="shared" si="66"/>
        <v>0</v>
      </c>
      <c r="AE166" s="44">
        <f t="shared" si="67"/>
        <v>0</v>
      </c>
      <c r="AF166" s="52" t="e">
        <f>HLOOKUP(I166,ElecAvoidedCostsWOCC!$A$5:$Q$50,G166+1,FALSE)</f>
        <v>#N/A</v>
      </c>
      <c r="AG166" s="44" t="e">
        <f t="shared" si="68"/>
        <v>#N/A</v>
      </c>
      <c r="AH166" s="52" t="e">
        <f>HLOOKUP(I166,ElecAvoidedCostsWOCC!$A$5:$Q$50,T166+1,FALSE)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HLOOKUP(I166,ElecAvoidedCostsWOCC!$A$5:$Q$50,G166+1,FALSE)*J166*L166</f>
        <v>#N/A</v>
      </c>
      <c r="AL166" s="44" t="e">
        <f t="shared" si="7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>
        <f t="shared" si="74"/>
        <v>0</v>
      </c>
      <c r="AQ166">
        <v>2021</v>
      </c>
    </row>
    <row r="167" spans="2:43">
      <c r="B167" s="97" t="s">
        <v>74</v>
      </c>
      <c r="C167" s="100">
        <v>18230611</v>
      </c>
      <c r="D167" s="100" t="s">
        <v>75</v>
      </c>
      <c r="E167" s="38" t="s">
        <v>1626</v>
      </c>
      <c r="F167" s="39" t="s">
        <v>1627</v>
      </c>
      <c r="G167" s="39"/>
      <c r="H167" s="39"/>
      <c r="I167" s="40"/>
      <c r="J167" s="41">
        <v>33</v>
      </c>
      <c r="K167" s="41">
        <v>0</v>
      </c>
      <c r="L167" s="41"/>
      <c r="M167" s="42">
        <v>15.287878787878787</v>
      </c>
      <c r="N167" s="42">
        <v>15.287878787878787</v>
      </c>
      <c r="O167" s="43">
        <v>0</v>
      </c>
      <c r="P167" s="44">
        <v>504.5</v>
      </c>
      <c r="Q167" s="44">
        <v>504.5</v>
      </c>
      <c r="R167" s="45">
        <v>0</v>
      </c>
      <c r="S167" s="46">
        <v>0</v>
      </c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22">
        <f t="shared" si="56"/>
        <v>520.39818266363216</v>
      </c>
      <c r="AB167" s="51">
        <f t="shared" si="64"/>
        <v>0</v>
      </c>
      <c r="AC167" s="44">
        <f t="shared" si="65"/>
        <v>486.48984076248678</v>
      </c>
      <c r="AD167" s="44">
        <f t="shared" si="66"/>
        <v>0</v>
      </c>
      <c r="AE167" s="44">
        <f t="shared" si="67"/>
        <v>0</v>
      </c>
      <c r="AF167" s="52" t="e">
        <f>HLOOKUP(I167,ElecAvoidedCostsWOCC!$A$5:$Q$50,G167+1,FALSE)</f>
        <v>#N/A</v>
      </c>
      <c r="AG167" s="44" t="e">
        <f t="shared" si="68"/>
        <v>#N/A</v>
      </c>
      <c r="AH167" s="52" t="e">
        <f>HLOOKUP(I167,ElecAvoidedCostsWOCC!$A$5:$Q$50,T167+1,FALSE)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HLOOKUP(I167,ElecAvoidedCostsWOCC!$A$5:$Q$50,G167+1,FALSE)*J167*L167</f>
        <v>#N/A</v>
      </c>
      <c r="AL167" s="44" t="e">
        <f t="shared" si="71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>
        <f t="shared" si="74"/>
        <v>0</v>
      </c>
      <c r="AQ167">
        <v>2021</v>
      </c>
    </row>
    <row r="168" spans="2:43">
      <c r="B168" s="97" t="s">
        <v>74</v>
      </c>
      <c r="C168" s="100">
        <v>18230611</v>
      </c>
      <c r="D168" s="100" t="s">
        <v>75</v>
      </c>
      <c r="E168" s="38" t="s">
        <v>1628</v>
      </c>
      <c r="F168" s="39" t="s">
        <v>1629</v>
      </c>
      <c r="G168" s="39">
        <v>30</v>
      </c>
      <c r="H168" s="39"/>
      <c r="I168" s="40" t="s">
        <v>267</v>
      </c>
      <c r="J168" s="41">
        <v>4</v>
      </c>
      <c r="K168" s="41">
        <v>8167.25</v>
      </c>
      <c r="L168" s="41"/>
      <c r="M168" s="42"/>
      <c r="N168" s="42"/>
      <c r="O168" s="43">
        <v>32669</v>
      </c>
      <c r="P168" s="44">
        <v>0</v>
      </c>
      <c r="Q168" s="44">
        <v>0</v>
      </c>
      <c r="R168" s="45"/>
      <c r="S168" s="46"/>
      <c r="T168" s="39">
        <f t="shared" si="57"/>
        <v>30</v>
      </c>
      <c r="U168" s="47">
        <f t="shared" si="58"/>
        <v>0.42466082498451635</v>
      </c>
      <c r="V168" s="48">
        <f t="shared" si="59"/>
        <v>0</v>
      </c>
      <c r="W168" s="49">
        <f t="shared" si="60"/>
        <v>1.4155360832817212E-2</v>
      </c>
      <c r="X168" s="44">
        <f t="shared" si="61"/>
        <v>3762.6139559474209</v>
      </c>
      <c r="Y168" s="44">
        <f t="shared" si="62"/>
        <v>0</v>
      </c>
      <c r="Z168" s="44">
        <f t="shared" si="63"/>
        <v>100859.84523482842</v>
      </c>
      <c r="AA168" s="522">
        <f t="shared" si="56"/>
        <v>3762.6139559474209</v>
      </c>
      <c r="AB168" s="51">
        <f t="shared" si="64"/>
        <v>94287.973483059191</v>
      </c>
      <c r="AC168" s="44">
        <f t="shared" si="65"/>
        <v>3517.4478414017208</v>
      </c>
      <c r="AD168" s="44">
        <f t="shared" si="66"/>
        <v>0</v>
      </c>
      <c r="AE168" s="44">
        <f t="shared" si="67"/>
        <v>0</v>
      </c>
      <c r="AF168" s="52">
        <f>HLOOKUP(I168,ElecAvoidedCostsWOCC!$A$5:$Q$50,G168+1,FALSE)</f>
        <v>2.1643436258224993</v>
      </c>
      <c r="AG168" s="44">
        <f t="shared" si="68"/>
        <v>70706.941911995236</v>
      </c>
      <c r="AH168" s="52">
        <f>HLOOKUP(I168,ElecAvoidedCostsWOCC!$A$5:$Q$50,T168+1,FALSE)</f>
        <v>2.1643436258224993</v>
      </c>
      <c r="AI168" s="44">
        <f t="shared" si="69"/>
        <v>0</v>
      </c>
      <c r="AJ168" s="44">
        <f t="shared" si="70"/>
        <v>70706.941911995236</v>
      </c>
      <c r="AK168" s="44">
        <f>HLOOKUP(I168,ElecAvoidedCostsWOCC!$A$5:$Q$50,G168+1,FALSE)*J168*L168</f>
        <v>0</v>
      </c>
      <c r="AL168" s="44">
        <f t="shared" si="71"/>
        <v>70706.941911995236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70706.941911995236</v>
      </c>
      <c r="AN168" s="48">
        <f t="shared" si="72"/>
        <v>77777.63610319476</v>
      </c>
      <c r="AO168" s="47">
        <f t="shared" si="73"/>
        <v>0.74990414259671434</v>
      </c>
      <c r="AP168" s="47">
        <f t="shared" si="74"/>
        <v>22.111951508625634</v>
      </c>
      <c r="AQ168">
        <v>2021</v>
      </c>
    </row>
    <row r="169" spans="2:43">
      <c r="B169" s="97" t="s">
        <v>74</v>
      </c>
      <c r="C169" s="100">
        <v>18230611</v>
      </c>
      <c r="D169" s="100" t="s">
        <v>75</v>
      </c>
      <c r="E169" s="38" t="s">
        <v>1630</v>
      </c>
      <c r="F169" s="39" t="s">
        <v>1631</v>
      </c>
      <c r="G169" s="39">
        <v>15</v>
      </c>
      <c r="H169" s="39"/>
      <c r="I169" s="40" t="s">
        <v>266</v>
      </c>
      <c r="J169" s="41">
        <v>82</v>
      </c>
      <c r="K169" s="41">
        <v>1300</v>
      </c>
      <c r="L169" s="41"/>
      <c r="M169" s="42">
        <v>3758.92</v>
      </c>
      <c r="N169" s="42">
        <v>3758.92</v>
      </c>
      <c r="O169" s="43">
        <v>106600</v>
      </c>
      <c r="P169" s="44">
        <v>181918.52</v>
      </c>
      <c r="Q169" s="44">
        <v>181918.52</v>
      </c>
      <c r="R169" s="45">
        <v>0</v>
      </c>
      <c r="S169" s="46">
        <v>0</v>
      </c>
      <c r="T169" s="39">
        <f t="shared" si="57"/>
        <v>15</v>
      </c>
      <c r="U169" s="47">
        <f t="shared" si="58"/>
        <v>0.69284097987923476</v>
      </c>
      <c r="V169" s="48">
        <f t="shared" si="59"/>
        <v>0</v>
      </c>
      <c r="W169" s="49">
        <f t="shared" si="60"/>
        <v>4.6189398658615655E-2</v>
      </c>
      <c r="X169" s="44">
        <f t="shared" si="61"/>
        <v>12277.530616302767</v>
      </c>
      <c r="Y169" s="44">
        <f t="shared" si="62"/>
        <v>0</v>
      </c>
      <c r="Z169" s="44">
        <f t="shared" si="63"/>
        <v>329108.92595526978</v>
      </c>
      <c r="AA169" s="522">
        <f t="shared" si="56"/>
        <v>199928.8035615111</v>
      </c>
      <c r="AB169" s="51">
        <f t="shared" si="64"/>
        <v>307664.69660210318</v>
      </c>
      <c r="AC169" s="44">
        <f t="shared" si="65"/>
        <v>186901.75148313647</v>
      </c>
      <c r="AD169" s="44">
        <f t="shared" si="66"/>
        <v>0</v>
      </c>
      <c r="AE169" s="44">
        <f t="shared" si="67"/>
        <v>0</v>
      </c>
      <c r="AF169" s="52">
        <f>HLOOKUP(I169,ElecAvoidedCostsWOCC!$A$5:$Q$50,G169+1,FALSE)</f>
        <v>1.3961506916040443</v>
      </c>
      <c r="AG169" s="44">
        <f t="shared" si="68"/>
        <v>148829.66372499111</v>
      </c>
      <c r="AH169" s="52">
        <f>HLOOKUP(I169,ElecAvoidedCostsWOCC!$A$5:$Q$50,T169+1,FALSE)</f>
        <v>1.3961506916040443</v>
      </c>
      <c r="AI169" s="44">
        <f t="shared" si="69"/>
        <v>0</v>
      </c>
      <c r="AJ169" s="44">
        <f t="shared" si="70"/>
        <v>148829.66372499111</v>
      </c>
      <c r="AK169" s="44">
        <f>HLOOKUP(I169,ElecAvoidedCostsWOCC!$A$5:$Q$50,G169+1,FALSE)*J169*L169</f>
        <v>0</v>
      </c>
      <c r="AL169" s="44">
        <f t="shared" si="71"/>
        <v>148829.66372499111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148829.66372499111</v>
      </c>
      <c r="AN169" s="48">
        <f t="shared" si="72"/>
        <v>163712.63009749024</v>
      </c>
      <c r="AO169" s="47">
        <f t="shared" si="73"/>
        <v>0.48373981600323046</v>
      </c>
      <c r="AP169" s="47">
        <f t="shared" si="74"/>
        <v>0.87592881713717641</v>
      </c>
      <c r="AQ169">
        <v>2021</v>
      </c>
    </row>
    <row r="170" spans="2:43">
      <c r="B170" s="97" t="s">
        <v>74</v>
      </c>
      <c r="C170" s="100">
        <v>18230611</v>
      </c>
      <c r="D170" s="100" t="s">
        <v>75</v>
      </c>
      <c r="E170" s="38" t="s">
        <v>1634</v>
      </c>
      <c r="F170" s="39" t="s">
        <v>1635</v>
      </c>
      <c r="G170" s="39">
        <v>25</v>
      </c>
      <c r="H170" s="39"/>
      <c r="I170" s="40" t="s">
        <v>269</v>
      </c>
      <c r="J170" s="41">
        <v>14399</v>
      </c>
      <c r="K170" s="41">
        <v>0.68</v>
      </c>
      <c r="L170" s="41"/>
      <c r="M170" s="42">
        <v>1.55</v>
      </c>
      <c r="N170" s="42">
        <v>1.55</v>
      </c>
      <c r="O170" s="43">
        <v>9791.32</v>
      </c>
      <c r="P170" s="44">
        <v>33485.43</v>
      </c>
      <c r="Q170" s="44">
        <v>33485.43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0.10606359823500859</v>
      </c>
      <c r="V170" s="48">
        <f t="shared" si="59"/>
        <v>0</v>
      </c>
      <c r="W170" s="49">
        <f t="shared" si="60"/>
        <v>4.2425439294003437E-3</v>
      </c>
      <c r="X170" s="44">
        <f t="shared" si="61"/>
        <v>1127.7038562290581</v>
      </c>
      <c r="Y170" s="44">
        <f t="shared" si="62"/>
        <v>0</v>
      </c>
      <c r="Z170" s="44">
        <f t="shared" si="63"/>
        <v>30228.994454825068</v>
      </c>
      <c r="AA170" s="522">
        <f t="shared" si="56"/>
        <v>35668.351859619084</v>
      </c>
      <c r="AB170" s="51">
        <f t="shared" si="64"/>
        <v>28259.319860545074</v>
      </c>
      <c r="AC170" s="44">
        <f t="shared" si="65"/>
        <v>33344.257137159089</v>
      </c>
      <c r="AD170" s="44">
        <f t="shared" si="66"/>
        <v>0</v>
      </c>
      <c r="AE170" s="44">
        <f t="shared" si="67"/>
        <v>0</v>
      </c>
      <c r="AF170" s="52">
        <f>HLOOKUP(I170,ElecAvoidedCostsWOCC!$A$5:$Q$50,G170+1,FALSE)</f>
        <v>2.0508206305871441</v>
      </c>
      <c r="AG170" s="44">
        <f t="shared" si="68"/>
        <v>20080.241056680519</v>
      </c>
      <c r="AH170" s="52">
        <f>HLOOKUP(I170,ElecAvoidedCostsWOCC!$A$5:$Q$50,T170+1,FALSE)</f>
        <v>2.0508206305871441</v>
      </c>
      <c r="AI170" s="44">
        <f t="shared" si="69"/>
        <v>0</v>
      </c>
      <c r="AJ170" s="44">
        <f t="shared" si="70"/>
        <v>20080.241056680519</v>
      </c>
      <c r="AK170" s="44">
        <f>HLOOKUP(I170,ElecAvoidedCostsWOCC!$A$5:$Q$50,G170+1,FALSE)*J170*L170</f>
        <v>0</v>
      </c>
      <c r="AL170" s="44">
        <f t="shared" si="71"/>
        <v>20080.241056680519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20080.241056680516</v>
      </c>
      <c r="AN170" s="48">
        <f t="shared" si="72"/>
        <v>22088.265162348569</v>
      </c>
      <c r="AO170" s="47">
        <f t="shared" si="73"/>
        <v>0.71057057125837009</v>
      </c>
      <c r="AP170" s="47">
        <f t="shared" si="74"/>
        <v>0.66243086692530451</v>
      </c>
      <c r="AQ170">
        <v>2021</v>
      </c>
    </row>
    <row r="171" spans="2:43">
      <c r="B171" s="97" t="s">
        <v>74</v>
      </c>
      <c r="C171" s="100">
        <v>18230611</v>
      </c>
      <c r="D171" s="100" t="s">
        <v>75</v>
      </c>
      <c r="E171" s="38" t="s">
        <v>1640</v>
      </c>
      <c r="F171" s="39" t="s">
        <v>1641</v>
      </c>
      <c r="G171" s="39">
        <v>13</v>
      </c>
      <c r="H171" s="39"/>
      <c r="I171" s="40" t="s">
        <v>265</v>
      </c>
      <c r="J171" s="41">
        <v>1</v>
      </c>
      <c r="K171" s="41">
        <v>1225</v>
      </c>
      <c r="L171" s="41"/>
      <c r="M171" s="42">
        <v>1369</v>
      </c>
      <c r="N171" s="42">
        <v>1369</v>
      </c>
      <c r="O171" s="43">
        <v>1225</v>
      </c>
      <c r="P171" s="44">
        <v>1779.7</v>
      </c>
      <c r="Q171" s="44">
        <v>1779.7</v>
      </c>
      <c r="R171" s="45"/>
      <c r="S171" s="46"/>
      <c r="T171" s="39">
        <f t="shared" si="57"/>
        <v>13</v>
      </c>
      <c r="U171" s="47">
        <f t="shared" si="58"/>
        <v>6.9002455313175821E-3</v>
      </c>
      <c r="V171" s="48">
        <f t="shared" si="59"/>
        <v>0</v>
      </c>
      <c r="W171" s="49">
        <f t="shared" si="60"/>
        <v>5.3078811779366016E-4</v>
      </c>
      <c r="X171" s="44">
        <f t="shared" si="61"/>
        <v>141.08794563762561</v>
      </c>
      <c r="Y171" s="44">
        <f t="shared" si="62"/>
        <v>0</v>
      </c>
      <c r="Z171" s="44">
        <f t="shared" si="63"/>
        <v>3781.9740553021152</v>
      </c>
      <c r="AA171" s="522">
        <f t="shared" si="56"/>
        <v>1976.8711878308191</v>
      </c>
      <c r="AB171" s="51">
        <f t="shared" si="64"/>
        <v>3535.546466581392</v>
      </c>
      <c r="AC171" s="44">
        <f t="shared" si="65"/>
        <v>1848.0613142290538</v>
      </c>
      <c r="AD171" s="44">
        <f t="shared" si="66"/>
        <v>0</v>
      </c>
      <c r="AE171" s="44">
        <f t="shared" si="67"/>
        <v>0</v>
      </c>
      <c r="AF171" s="52">
        <f>HLOOKUP(I171,ElecAvoidedCostsWOCC!$A$5:$Q$50,G171+1,FALSE)</f>
        <v>0.95298626106018935</v>
      </c>
      <c r="AG171" s="44">
        <f t="shared" si="68"/>
        <v>1167.4081697987319</v>
      </c>
      <c r="AH171" s="52">
        <f>HLOOKUP(I171,ElecAvoidedCostsWOCC!$A$5:$Q$50,T171+1,FALSE)</f>
        <v>0.95298626106018935</v>
      </c>
      <c r="AI171" s="44">
        <f t="shared" si="69"/>
        <v>0</v>
      </c>
      <c r="AJ171" s="44">
        <f t="shared" si="70"/>
        <v>1167.4081697987319</v>
      </c>
      <c r="AK171" s="44">
        <f>HLOOKUP(I171,ElecAvoidedCostsWOCC!$A$5:$Q$50,G171+1,FALSE)*J171*L171</f>
        <v>0</v>
      </c>
      <c r="AL171" s="44">
        <f t="shared" si="71"/>
        <v>1167.4081697987319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1167.4081697987319</v>
      </c>
      <c r="AN171" s="48">
        <f t="shared" si="72"/>
        <v>1284.1489867786051</v>
      </c>
      <c r="AO171" s="47">
        <f t="shared" si="73"/>
        <v>0.33019172024276294</v>
      </c>
      <c r="AP171" s="47">
        <f t="shared" si="74"/>
        <v>0.69486276071652253</v>
      </c>
      <c r="AQ171">
        <v>2021</v>
      </c>
    </row>
    <row r="172" spans="2:43">
      <c r="B172" s="97" t="s">
        <v>74</v>
      </c>
      <c r="C172" s="100">
        <v>18230611</v>
      </c>
      <c r="D172" s="100" t="s">
        <v>75</v>
      </c>
      <c r="E172" s="38" t="s">
        <v>1656</v>
      </c>
      <c r="F172" s="39" t="s">
        <v>1657</v>
      </c>
      <c r="G172" s="39"/>
      <c r="H172" s="39"/>
      <c r="I172" s="40"/>
      <c r="J172" s="41">
        <v>1</v>
      </c>
      <c r="K172" s="41">
        <v>0</v>
      </c>
      <c r="L172" s="41"/>
      <c r="M172" s="42">
        <v>15.29</v>
      </c>
      <c r="N172" s="42">
        <v>15.29</v>
      </c>
      <c r="O172" s="43">
        <v>0</v>
      </c>
      <c r="P172" s="44">
        <v>15.29</v>
      </c>
      <c r="Q172" s="44">
        <v>15.29</v>
      </c>
      <c r="R172" s="45">
        <v>0</v>
      </c>
      <c r="S172" s="46">
        <v>0</v>
      </c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22">
        <f t="shared" si="56"/>
        <v>15.77182995624764</v>
      </c>
      <c r="AB172" s="51">
        <f t="shared" si="64"/>
        <v>0</v>
      </c>
      <c r="AC172" s="44">
        <f t="shared" si="65"/>
        <v>14.744161873653958</v>
      </c>
      <c r="AD172" s="44">
        <f t="shared" si="66"/>
        <v>0</v>
      </c>
      <c r="AE172" s="44">
        <f t="shared" si="67"/>
        <v>0</v>
      </c>
      <c r="AF172" s="52" t="e">
        <f>HLOOKUP(I172,ElecAvoidedCostsWOCC!$A$5:$Q$50,G172+1,FALSE)</f>
        <v>#N/A</v>
      </c>
      <c r="AG172" s="44" t="e">
        <f t="shared" si="68"/>
        <v>#N/A</v>
      </c>
      <c r="AH172" s="52" t="e">
        <f>HLOOKUP(I172,ElecAvoidedCostsWOCC!$A$5:$Q$50,T172+1,FALSE)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HLOOKUP(I172,ElecAvoidedCostsWOCC!$A$5:$Q$50,G172+1,FALSE)*J172*L172</f>
        <v>#N/A</v>
      </c>
      <c r="AL172" s="44" t="e">
        <f t="shared" si="71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>
        <f t="shared" si="74"/>
        <v>0</v>
      </c>
      <c r="AQ172">
        <v>2021</v>
      </c>
    </row>
    <row r="173" spans="2:43">
      <c r="B173" s="97" t="s">
        <v>74</v>
      </c>
      <c r="C173" s="100">
        <v>18230611</v>
      </c>
      <c r="D173" s="100" t="s">
        <v>75</v>
      </c>
      <c r="E173" s="38" t="s">
        <v>1660</v>
      </c>
      <c r="F173" s="39" t="s">
        <v>1661</v>
      </c>
      <c r="G173" s="39">
        <v>41</v>
      </c>
      <c r="H173" s="39"/>
      <c r="I173" s="40" t="s">
        <v>269</v>
      </c>
      <c r="J173" s="41">
        <v>1</v>
      </c>
      <c r="K173" s="41">
        <v>8471</v>
      </c>
      <c r="L173" s="41"/>
      <c r="M173" s="42">
        <v>13500</v>
      </c>
      <c r="N173" s="42">
        <v>75400</v>
      </c>
      <c r="O173" s="43">
        <v>8471</v>
      </c>
      <c r="P173" s="44">
        <v>17550</v>
      </c>
      <c r="Q173" s="44">
        <v>17550</v>
      </c>
      <c r="R173" s="45">
        <v>25000</v>
      </c>
      <c r="S173" s="46"/>
      <c r="T173" s="39">
        <f t="shared" si="57"/>
        <v>41</v>
      </c>
      <c r="U173" s="47">
        <f t="shared" si="58"/>
        <v>0.15048861386043585</v>
      </c>
      <c r="V173" s="48">
        <f t="shared" si="59"/>
        <v>61900</v>
      </c>
      <c r="W173" s="49">
        <f t="shared" si="60"/>
        <v>3.6704539965959964E-3</v>
      </c>
      <c r="X173" s="44">
        <f t="shared" si="61"/>
        <v>975.63754081332775</v>
      </c>
      <c r="Y173" s="44">
        <f t="shared" si="62"/>
        <v>0</v>
      </c>
      <c r="Z173" s="44">
        <f t="shared" si="63"/>
        <v>26152.736508134058</v>
      </c>
      <c r="AA173" s="522">
        <f t="shared" si="56"/>
        <v>19078.686313353948</v>
      </c>
      <c r="AB173" s="51">
        <f t="shared" si="64"/>
        <v>24448.664586457937</v>
      </c>
      <c r="AC173" s="44">
        <f t="shared" si="65"/>
        <v>17835.548577502053</v>
      </c>
      <c r="AD173" s="44">
        <f t="shared" si="66"/>
        <v>336035.41833482741</v>
      </c>
      <c r="AE173" s="44">
        <f t="shared" si="67"/>
        <v>0</v>
      </c>
      <c r="AF173" s="52">
        <f>HLOOKUP(I173,ElecAvoidedCostsWOCC!$A$5:$Q$50,G173+1,FALSE)</f>
        <v>3.105274668448097</v>
      </c>
      <c r="AG173" s="44">
        <f t="shared" si="68"/>
        <v>26304.781716423829</v>
      </c>
      <c r="AH173" s="52">
        <f>HLOOKUP(I173,ElecAvoidedCostsWOCC!$A$5:$Q$50,T173+1,FALSE)</f>
        <v>3.105274668448097</v>
      </c>
      <c r="AI173" s="44">
        <f t="shared" si="69"/>
        <v>0</v>
      </c>
      <c r="AJ173" s="44">
        <f t="shared" si="70"/>
        <v>26304.781716423829</v>
      </c>
      <c r="AK173" s="44">
        <f>HLOOKUP(I173,ElecAvoidedCostsWOCC!$A$5:$Q$50,G173+1,FALSE)*J173*L173</f>
        <v>0</v>
      </c>
      <c r="AL173" s="44">
        <f t="shared" si="71"/>
        <v>26304.781716423829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26304.781716423829</v>
      </c>
      <c r="AN173" s="48">
        <f t="shared" si="72"/>
        <v>364970.67822289362</v>
      </c>
      <c r="AO173" s="47">
        <f t="shared" si="73"/>
        <v>1.0759189575938635</v>
      </c>
      <c r="AP173" s="47">
        <f t="shared" si="74"/>
        <v>20.463103595438128</v>
      </c>
      <c r="AQ173">
        <v>2021</v>
      </c>
    </row>
    <row r="174" spans="2:43">
      <c r="B174" s="97" t="s">
        <v>74</v>
      </c>
      <c r="C174" s="100">
        <v>18230611</v>
      </c>
      <c r="D174" s="100" t="s">
        <v>75</v>
      </c>
      <c r="E174" s="38" t="s">
        <v>1672</v>
      </c>
      <c r="F174" s="39" t="s">
        <v>1673</v>
      </c>
      <c r="G174" s="39">
        <v>6</v>
      </c>
      <c r="H174" s="39">
        <v>12</v>
      </c>
      <c r="I174" s="40" t="s">
        <v>268</v>
      </c>
      <c r="J174" s="41">
        <v>19</v>
      </c>
      <c r="K174" s="41">
        <v>4193</v>
      </c>
      <c r="L174" s="41">
        <v>2096</v>
      </c>
      <c r="M174" s="42">
        <v>5829.66</v>
      </c>
      <c r="N174" s="42">
        <v>5829.66</v>
      </c>
      <c r="O174" s="43">
        <v>79667</v>
      </c>
      <c r="P174" s="44">
        <v>142318.31</v>
      </c>
      <c r="Q174" s="44">
        <v>142318.31</v>
      </c>
      <c r="R174" s="45">
        <v>0</v>
      </c>
      <c r="S174" s="46">
        <v>0</v>
      </c>
      <c r="T174" s="39">
        <f t="shared" si="57"/>
        <v>18</v>
      </c>
      <c r="U174" s="47">
        <f t="shared" si="58"/>
        <v>0.62134966991413509</v>
      </c>
      <c r="V174" s="48">
        <f t="shared" si="59"/>
        <v>0</v>
      </c>
      <c r="W174" s="49">
        <f t="shared" si="60"/>
        <v>3.4519426106340838E-2</v>
      </c>
      <c r="X174" s="44">
        <f t="shared" si="61"/>
        <v>9175.5537674389543</v>
      </c>
      <c r="Y174" s="44">
        <f t="shared" si="62"/>
        <v>0</v>
      </c>
      <c r="Z174" s="44">
        <f t="shared" si="63"/>
        <v>245957.98127653357</v>
      </c>
      <c r="AA174" s="522">
        <f t="shared" si="56"/>
        <v>155978.70517231393</v>
      </c>
      <c r="AB174" s="51">
        <f t="shared" si="64"/>
        <v>229931.73906378757</v>
      </c>
      <c r="AC174" s="44">
        <f t="shared" si="65"/>
        <v>145815.37363028317</v>
      </c>
      <c r="AD174" s="44">
        <f t="shared" si="66"/>
        <v>0</v>
      </c>
      <c r="AE174" s="44">
        <f t="shared" si="67"/>
        <v>0</v>
      </c>
      <c r="AF174" s="52">
        <f>HLOOKUP(I174,ElecAvoidedCostsWOCC!$A$5:$Q$50,G174+1,FALSE)</f>
        <v>0.61270729802506985</v>
      </c>
      <c r="AG174" s="44">
        <f t="shared" si="68"/>
        <v>48812.55231176324</v>
      </c>
      <c r="AH174" s="52">
        <f>HLOOKUP(I174,ElecAvoidedCostsWOCC!$A$5:$Q$50,T174+1,FALSE)</f>
        <v>1.6039068652152917</v>
      </c>
      <c r="AI174" s="44">
        <f t="shared" si="69"/>
        <v>63873.987000333771</v>
      </c>
      <c r="AJ174" s="44">
        <f t="shared" si="70"/>
        <v>112686.53931209701</v>
      </c>
      <c r="AK174" s="44">
        <f>HLOOKUP(I174,ElecAvoidedCostsWOCC!$A$5:$Q$50,G174+1,FALSE)*J174*L174</f>
        <v>24400.455436550383</v>
      </c>
      <c r="AL174" s="44">
        <f t="shared" si="71"/>
        <v>88286.083875546625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88286.083875546625</v>
      </c>
      <c r="AN174" s="48">
        <f t="shared" si="72"/>
        <v>97114.6922631013</v>
      </c>
      <c r="AO174" s="47">
        <f t="shared" si="73"/>
        <v>0.38396649473022226</v>
      </c>
      <c r="AP174" s="47">
        <f t="shared" si="74"/>
        <v>0.66601133917015432</v>
      </c>
      <c r="AQ174">
        <v>2021</v>
      </c>
    </row>
    <row r="175" spans="2:43">
      <c r="B175" s="97" t="s">
        <v>74</v>
      </c>
      <c r="C175" s="100">
        <v>18230611</v>
      </c>
      <c r="D175" s="100" t="s">
        <v>75</v>
      </c>
      <c r="E175" s="38" t="s">
        <v>1674</v>
      </c>
      <c r="F175" s="39" t="s">
        <v>1675</v>
      </c>
      <c r="G175" s="39">
        <v>6</v>
      </c>
      <c r="H175" s="39">
        <v>12</v>
      </c>
      <c r="I175" s="40" t="s">
        <v>268</v>
      </c>
      <c r="J175" s="41">
        <v>12</v>
      </c>
      <c r="K175" s="41">
        <v>4566</v>
      </c>
      <c r="L175" s="41">
        <v>2283</v>
      </c>
      <c r="M175" s="42">
        <v>6453.87</v>
      </c>
      <c r="N175" s="42">
        <v>6453.87</v>
      </c>
      <c r="O175" s="43">
        <v>54792</v>
      </c>
      <c r="P175" s="44">
        <v>103077.36</v>
      </c>
      <c r="Q175" s="44">
        <v>103077.36</v>
      </c>
      <c r="R175" s="45">
        <v>0</v>
      </c>
      <c r="S175" s="46">
        <v>0</v>
      </c>
      <c r="T175" s="39">
        <f t="shared" si="57"/>
        <v>18</v>
      </c>
      <c r="U175" s="47">
        <f t="shared" si="58"/>
        <v>0.42734119665526871</v>
      </c>
      <c r="V175" s="48">
        <f t="shared" si="59"/>
        <v>0</v>
      </c>
      <c r="W175" s="49">
        <f t="shared" si="60"/>
        <v>2.3741177591959373E-2</v>
      </c>
      <c r="X175" s="44">
        <f t="shared" si="61"/>
        <v>6310.6046672463535</v>
      </c>
      <c r="Y175" s="44">
        <f t="shared" si="62"/>
        <v>0</v>
      </c>
      <c r="Z175" s="44">
        <f t="shared" si="63"/>
        <v>169160.75301070491</v>
      </c>
      <c r="AA175" s="522">
        <f t="shared" si="56"/>
        <v>112636.21580255848</v>
      </c>
      <c r="AB175" s="51">
        <f t="shared" si="64"/>
        <v>158138.49958932868</v>
      </c>
      <c r="AC175" s="44">
        <f t="shared" si="65"/>
        <v>105297.01393153078</v>
      </c>
      <c r="AD175" s="44">
        <f t="shared" si="66"/>
        <v>0</v>
      </c>
      <c r="AE175" s="44">
        <f t="shared" si="67"/>
        <v>0</v>
      </c>
      <c r="AF175" s="52">
        <f>HLOOKUP(I175,ElecAvoidedCostsWOCC!$A$5:$Q$50,G175+1,FALSE)</f>
        <v>0.61270729802506985</v>
      </c>
      <c r="AG175" s="44">
        <f t="shared" si="68"/>
        <v>33571.458273389624</v>
      </c>
      <c r="AH175" s="52">
        <f>HLOOKUP(I175,ElecAvoidedCostsWOCC!$A$5:$Q$50,T175+1,FALSE)</f>
        <v>1.6039068652152917</v>
      </c>
      <c r="AI175" s="44">
        <f t="shared" si="69"/>
        <v>43940.632479438129</v>
      </c>
      <c r="AJ175" s="44">
        <f t="shared" si="70"/>
        <v>77512.09075282776</v>
      </c>
      <c r="AK175" s="44">
        <f>HLOOKUP(I175,ElecAvoidedCostsWOCC!$A$5:$Q$50,G175+1,FALSE)*J175*L175</f>
        <v>16785.729136694812</v>
      </c>
      <c r="AL175" s="44">
        <f t="shared" si="71"/>
        <v>60726.361616132948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60726.361616132941</v>
      </c>
      <c r="AN175" s="48">
        <f t="shared" si="72"/>
        <v>66798.997777746234</v>
      </c>
      <c r="AO175" s="47">
        <f t="shared" si="73"/>
        <v>0.3840074477362172</v>
      </c>
      <c r="AP175" s="47">
        <f t="shared" si="74"/>
        <v>0.63438643968747477</v>
      </c>
      <c r="AQ175">
        <v>2021</v>
      </c>
    </row>
    <row r="176" spans="2:43">
      <c r="B176" s="97" t="s">
        <v>74</v>
      </c>
      <c r="C176" s="61">
        <v>18230611</v>
      </c>
      <c r="D176" s="61" t="s">
        <v>75</v>
      </c>
      <c r="E176" s="38" t="s">
        <v>1676</v>
      </c>
      <c r="F176" s="39" t="s">
        <v>1677</v>
      </c>
      <c r="G176" s="39"/>
      <c r="H176" s="39"/>
      <c r="I176" s="40"/>
      <c r="J176" s="41">
        <v>6</v>
      </c>
      <c r="K176" s="41">
        <v>0</v>
      </c>
      <c r="L176" s="41"/>
      <c r="M176" s="42">
        <v>50.038333333333334</v>
      </c>
      <c r="N176" s="42">
        <v>50.038333333333334</v>
      </c>
      <c r="O176" s="43">
        <v>0</v>
      </c>
      <c r="P176" s="44">
        <v>300.23</v>
      </c>
      <c r="Q176" s="44">
        <v>300.23</v>
      </c>
      <c r="R176" s="45">
        <v>0</v>
      </c>
      <c r="S176" s="46">
        <v>0</v>
      </c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22">
        <f t="shared" si="56"/>
        <v>309.69107310426614</v>
      </c>
      <c r="AB176" s="51">
        <f t="shared" si="64"/>
        <v>0</v>
      </c>
      <c r="AC176" s="44">
        <f t="shared" si="65"/>
        <v>289.51208105475001</v>
      </c>
      <c r="AD176" s="44">
        <f t="shared" si="66"/>
        <v>0</v>
      </c>
      <c r="AE176" s="44">
        <f t="shared" si="67"/>
        <v>0</v>
      </c>
      <c r="AF176" s="52" t="e">
        <f>HLOOKUP(I176,ElecAvoidedCostsWOCC!$A$5:$Q$50,G176+1,FALSE)</f>
        <v>#N/A</v>
      </c>
      <c r="AG176" s="44" t="e">
        <f t="shared" si="68"/>
        <v>#N/A</v>
      </c>
      <c r="AH176" s="52" t="e">
        <f>HLOOKUP(I176,ElecAvoidedCostsWOCC!$A$5:$Q$50,T176+1,FALSE)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HLOOKUP(I176,ElecAvoidedCostsWOCC!$A$5:$Q$50,G176+1,FALSE)*J176*L176</f>
        <v>#N/A</v>
      </c>
      <c r="AL176" s="44" t="e">
        <f t="shared" si="71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>
        <f t="shared" si="74"/>
        <v>0</v>
      </c>
      <c r="AQ176">
        <v>2021</v>
      </c>
    </row>
    <row r="177" spans="2:43">
      <c r="B177" s="97" t="s">
        <v>74</v>
      </c>
      <c r="C177" s="61">
        <v>18230612</v>
      </c>
      <c r="D177" s="61" t="s">
        <v>75</v>
      </c>
      <c r="E177" s="38" t="s">
        <v>1678</v>
      </c>
      <c r="F177" s="39" t="s">
        <v>1679</v>
      </c>
      <c r="G177" s="39"/>
      <c r="H177" s="39"/>
      <c r="I177" s="40"/>
      <c r="J177" s="41">
        <v>25</v>
      </c>
      <c r="K177" s="41">
        <v>0</v>
      </c>
      <c r="L177" s="41"/>
      <c r="M177" s="42">
        <v>20.735199999999999</v>
      </c>
      <c r="N177" s="42">
        <v>20.735199999999999</v>
      </c>
      <c r="O177" s="43">
        <v>0</v>
      </c>
      <c r="P177" s="44">
        <v>518.38</v>
      </c>
      <c r="Q177" s="44">
        <v>518.38</v>
      </c>
      <c r="R177" s="45">
        <v>0</v>
      </c>
      <c r="S177" s="46">
        <v>0</v>
      </c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22">
        <f t="shared" si="56"/>
        <v>534.71557964157307</v>
      </c>
      <c r="AB177" s="51">
        <f t="shared" si="64"/>
        <v>0</v>
      </c>
      <c r="AC177" s="44">
        <f t="shared" si="65"/>
        <v>499.87433826453491</v>
      </c>
      <c r="AD177" s="44">
        <f t="shared" si="66"/>
        <v>0</v>
      </c>
      <c r="AE177" s="44">
        <f t="shared" si="67"/>
        <v>0</v>
      </c>
      <c r="AF177" s="52" t="e">
        <f>HLOOKUP(I177,ElecAvoidedCostsWOCC!$A$5:$Q$50,G177+1,FALSE)</f>
        <v>#N/A</v>
      </c>
      <c r="AG177" s="44" t="e">
        <f t="shared" si="68"/>
        <v>#N/A</v>
      </c>
      <c r="AH177" s="52" t="e">
        <f>HLOOKUP(I177,ElecAvoidedCostsWOCC!$A$5:$Q$50,T177+1,FALSE)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HLOOKUP(I177,ElecAvoidedCostsWOCC!$A$5:$Q$50,G177+1,FALSE)*J177*L177</f>
        <v>#N/A</v>
      </c>
      <c r="AL177" s="44" t="e">
        <f t="shared" si="71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>
        <f t="shared" si="74"/>
        <v>0</v>
      </c>
      <c r="AQ177">
        <v>2021</v>
      </c>
    </row>
    <row r="178" spans="2:43">
      <c r="B178" s="97" t="s">
        <v>74</v>
      </c>
      <c r="C178" s="61">
        <v>18230613</v>
      </c>
      <c r="D178" s="61" t="s">
        <v>75</v>
      </c>
      <c r="E178" s="38" t="s">
        <v>1682</v>
      </c>
      <c r="F178" s="39" t="s">
        <v>1683</v>
      </c>
      <c r="G178" s="39">
        <v>30</v>
      </c>
      <c r="H178" s="39"/>
      <c r="I178" s="40" t="s">
        <v>269</v>
      </c>
      <c r="J178" s="41">
        <v>1</v>
      </c>
      <c r="K178" s="41">
        <v>48185</v>
      </c>
      <c r="L178" s="41"/>
      <c r="M178" s="42">
        <v>12000</v>
      </c>
      <c r="N178" s="42">
        <v>12000</v>
      </c>
      <c r="O178" s="43">
        <v>48185</v>
      </c>
      <c r="P178" s="44">
        <v>12000</v>
      </c>
      <c r="Q178" s="44">
        <v>12000</v>
      </c>
      <c r="R178" s="45">
        <v>0</v>
      </c>
      <c r="S178" s="46">
        <v>0</v>
      </c>
      <c r="T178" s="39">
        <f t="shared" si="57"/>
        <v>30</v>
      </c>
      <c r="U178" s="47">
        <f t="shared" si="58"/>
        <v>0.62635164381765351</v>
      </c>
      <c r="V178" s="48">
        <f t="shared" si="59"/>
        <v>0</v>
      </c>
      <c r="W178" s="49">
        <f t="shared" si="60"/>
        <v>2.0878388127255117E-2</v>
      </c>
      <c r="X178" s="44">
        <f t="shared" si="61"/>
        <v>5549.6511514685635</v>
      </c>
      <c r="Y178" s="44">
        <f t="shared" si="62"/>
        <v>0</v>
      </c>
      <c r="Z178" s="44">
        <f t="shared" si="63"/>
        <v>148762.79171814895</v>
      </c>
      <c r="AA178" s="522">
        <f t="shared" si="56"/>
        <v>17927.804158333947</v>
      </c>
      <c r="AB178" s="51">
        <f t="shared" si="64"/>
        <v>139069.63795283626</v>
      </c>
      <c r="AC178" s="44">
        <f t="shared" si="65"/>
        <v>16759.656126328828</v>
      </c>
      <c r="AD178" s="44">
        <f t="shared" si="66"/>
        <v>0</v>
      </c>
      <c r="AE178" s="44">
        <f t="shared" si="67"/>
        <v>0</v>
      </c>
      <c r="AF178" s="52">
        <f>HLOOKUP(I178,ElecAvoidedCostsWOCC!$A$5:$Q$50,G178+1,FALSE)</f>
        <v>2.3666688857668672</v>
      </c>
      <c r="AG178" s="44">
        <f t="shared" si="68"/>
        <v>114037.94026067649</v>
      </c>
      <c r="AH178" s="52">
        <f>HLOOKUP(I178,ElecAvoidedCostsWOCC!$A$5:$Q$50,T178+1,FALSE)</f>
        <v>2.3666688857668672</v>
      </c>
      <c r="AI178" s="44">
        <f t="shared" si="69"/>
        <v>0</v>
      </c>
      <c r="AJ178" s="44">
        <f t="shared" si="70"/>
        <v>114037.94026067649</v>
      </c>
      <c r="AK178" s="44">
        <f>HLOOKUP(I178,ElecAvoidedCostsWOCC!$A$5:$Q$50,G178+1,FALSE)*J178*L178</f>
        <v>0</v>
      </c>
      <c r="AL178" s="44">
        <f t="shared" si="71"/>
        <v>114037.94026067649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114037.94026067649</v>
      </c>
      <c r="AN178" s="48">
        <f t="shared" si="72"/>
        <v>125441.73428674415</v>
      </c>
      <c r="AO178" s="47">
        <f t="shared" si="73"/>
        <v>0.82000601956949826</v>
      </c>
      <c r="AP178" s="47">
        <f t="shared" si="74"/>
        <v>7.4847439196368484</v>
      </c>
      <c r="AQ178">
        <v>2021</v>
      </c>
    </row>
    <row r="179" spans="2:43">
      <c r="B179" s="97" t="s">
        <v>2572</v>
      </c>
      <c r="C179" s="61">
        <v>18230614</v>
      </c>
      <c r="D179" s="61" t="s">
        <v>75</v>
      </c>
      <c r="E179" s="38" t="s">
        <v>1584</v>
      </c>
      <c r="F179" s="39" t="s">
        <v>1585</v>
      </c>
      <c r="G179" s="39">
        <v>25</v>
      </c>
      <c r="H179" s="39"/>
      <c r="I179" s="40" t="s">
        <v>269</v>
      </c>
      <c r="J179" s="41">
        <v>80858</v>
      </c>
      <c r="K179" s="41">
        <v>0.34</v>
      </c>
      <c r="L179" s="41"/>
      <c r="M179" s="42">
        <v>1.1499999999999999</v>
      </c>
      <c r="N179" s="42">
        <v>1.1499999999999999</v>
      </c>
      <c r="O179" s="43">
        <v>27491.72</v>
      </c>
      <c r="P179" s="44">
        <v>113097.33</v>
      </c>
      <c r="Q179" s="44">
        <v>113097.33</v>
      </c>
      <c r="R179" s="45">
        <v>0</v>
      </c>
      <c r="S179" s="46">
        <v>0</v>
      </c>
      <c r="T179" s="39">
        <f t="shared" si="57"/>
        <v>25</v>
      </c>
      <c r="U179" s="47">
        <f t="shared" si="58"/>
        <v>0.29780159823898622</v>
      </c>
      <c r="V179" s="48">
        <f t="shared" si="59"/>
        <v>0</v>
      </c>
      <c r="W179" s="49">
        <f t="shared" si="60"/>
        <v>1.1912063929559449E-2</v>
      </c>
      <c r="X179" s="44">
        <f t="shared" si="61"/>
        <v>3166.3267729345507</v>
      </c>
      <c r="Y179" s="44">
        <f t="shared" si="62"/>
        <v>0</v>
      </c>
      <c r="Z179" s="44">
        <f t="shared" si="63"/>
        <v>84875.895327045131</v>
      </c>
      <c r="AA179" s="522">
        <f t="shared" si="56"/>
        <v>119827.66472359677</v>
      </c>
      <c r="AB179" s="51">
        <f t="shared" si="64"/>
        <v>79345.513066322455</v>
      </c>
      <c r="AC179" s="44">
        <f t="shared" si="65"/>
        <v>112019.87914704754</v>
      </c>
      <c r="AD179" s="44">
        <f t="shared" si="66"/>
        <v>0</v>
      </c>
      <c r="AE179" s="44">
        <f t="shared" si="67"/>
        <v>0</v>
      </c>
      <c r="AF179" s="52">
        <f>HLOOKUP(I179,ElecAvoidedCostsWOCC!$A$5:$Q$50,G179+1,FALSE)</f>
        <v>2.0508206305871441</v>
      </c>
      <c r="AG179" s="44">
        <f t="shared" si="68"/>
        <v>56380.586546325205</v>
      </c>
      <c r="AH179" s="52">
        <f>HLOOKUP(I179,ElecAvoidedCostsWOCC!$A$5:$Q$50,T179+1,FALSE)</f>
        <v>2.0508206305871441</v>
      </c>
      <c r="AI179" s="44">
        <f t="shared" si="69"/>
        <v>0</v>
      </c>
      <c r="AJ179" s="44">
        <f t="shared" si="70"/>
        <v>56380.586546325205</v>
      </c>
      <c r="AK179" s="44">
        <f>HLOOKUP(I179,ElecAvoidedCostsWOCC!$A$5:$Q$50,G179+1,FALSE)*J179*L179</f>
        <v>0</v>
      </c>
      <c r="AL179" s="44">
        <f t="shared" si="71"/>
        <v>56380.586546325205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56380.586546325205</v>
      </c>
      <c r="AN179" s="48">
        <f t="shared" si="72"/>
        <v>62018.645200957733</v>
      </c>
      <c r="AO179" s="47">
        <f t="shared" si="73"/>
        <v>0.71057057125836998</v>
      </c>
      <c r="AP179" s="47">
        <f t="shared" si="74"/>
        <v>0.55363963676077876</v>
      </c>
      <c r="AQ179">
        <v>2021</v>
      </c>
    </row>
    <row r="180" spans="2:43">
      <c r="B180" s="97" t="s">
        <v>2573</v>
      </c>
      <c r="C180" s="61">
        <v>18230615</v>
      </c>
      <c r="D180" s="61" t="s">
        <v>75</v>
      </c>
      <c r="E180" s="38" t="s">
        <v>1588</v>
      </c>
      <c r="F180" s="39" t="s">
        <v>1589</v>
      </c>
      <c r="G180" s="39">
        <v>15</v>
      </c>
      <c r="H180" s="39"/>
      <c r="I180" s="40" t="s">
        <v>269</v>
      </c>
      <c r="J180" s="41">
        <v>28434</v>
      </c>
      <c r="K180" s="41">
        <v>0.13</v>
      </c>
      <c r="L180" s="41"/>
      <c r="M180" s="42">
        <v>1.32</v>
      </c>
      <c r="N180" s="42">
        <v>1.32</v>
      </c>
      <c r="O180" s="43">
        <v>3696.42</v>
      </c>
      <c r="P180" s="44">
        <v>43514.080000000002</v>
      </c>
      <c r="Q180" s="44">
        <v>43514.080000000002</v>
      </c>
      <c r="R180" s="45">
        <v>0</v>
      </c>
      <c r="S180" s="46">
        <v>0</v>
      </c>
      <c r="T180" s="39">
        <f t="shared" si="57"/>
        <v>15</v>
      </c>
      <c r="U180" s="47">
        <f t="shared" si="58"/>
        <v>2.402468344132459E-2</v>
      </c>
      <c r="V180" s="48">
        <f t="shared" si="59"/>
        <v>0</v>
      </c>
      <c r="W180" s="49">
        <f t="shared" si="60"/>
        <v>1.6016455627549727E-3</v>
      </c>
      <c r="X180" s="44">
        <f t="shared" si="61"/>
        <v>425.73086041945476</v>
      </c>
      <c r="Y180" s="44">
        <f t="shared" si="62"/>
        <v>0</v>
      </c>
      <c r="Z180" s="44">
        <f t="shared" si="63"/>
        <v>11412.052683673344</v>
      </c>
      <c r="AA180" s="522">
        <f t="shared" si="56"/>
        <v>45311.059209834522</v>
      </c>
      <c r="AB180" s="51">
        <f t="shared" si="64"/>
        <v>10668.460955102686</v>
      </c>
      <c r="AC180" s="44">
        <f t="shared" si="65"/>
        <v>42358.660568228959</v>
      </c>
      <c r="AD180" s="44">
        <f t="shared" si="66"/>
        <v>0</v>
      </c>
      <c r="AE180" s="44">
        <f t="shared" si="67"/>
        <v>0</v>
      </c>
      <c r="AF180" s="52">
        <f>HLOOKUP(I180,ElecAvoidedCostsWOCC!$A$5:$Q$50,G180+1,FALSE)</f>
        <v>1.3893373920773078</v>
      </c>
      <c r="AG180" s="44">
        <f t="shared" si="68"/>
        <v>5135.5745228224023</v>
      </c>
      <c r="AH180" s="52">
        <f>HLOOKUP(I180,ElecAvoidedCostsWOCC!$A$5:$Q$50,T180+1,FALSE)</f>
        <v>1.3893373920773078</v>
      </c>
      <c r="AI180" s="44">
        <f t="shared" si="69"/>
        <v>0</v>
      </c>
      <c r="AJ180" s="44">
        <f t="shared" si="70"/>
        <v>5135.5745228224023</v>
      </c>
      <c r="AK180" s="44">
        <f>HLOOKUP(I180,ElecAvoidedCostsWOCC!$A$5:$Q$50,G180+1,FALSE)*J180*L180</f>
        <v>0</v>
      </c>
      <c r="AL180" s="44">
        <f t="shared" si="71"/>
        <v>5135.5745228224023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5135.5745228224023</v>
      </c>
      <c r="AN180" s="48">
        <f t="shared" si="72"/>
        <v>5649.1319751046431</v>
      </c>
      <c r="AO180" s="47">
        <f t="shared" si="73"/>
        <v>0.48137913654415876</v>
      </c>
      <c r="AP180" s="47">
        <f t="shared" si="74"/>
        <v>0.13336427307481399</v>
      </c>
      <c r="AQ180">
        <v>2021</v>
      </c>
    </row>
    <row r="181" spans="2:43">
      <c r="B181" s="97" t="s">
        <v>2574</v>
      </c>
      <c r="C181" s="61">
        <v>18230616</v>
      </c>
      <c r="D181" s="61" t="s">
        <v>75</v>
      </c>
      <c r="E181" s="38" t="s">
        <v>1471</v>
      </c>
      <c r="F181" s="39" t="s">
        <v>1472</v>
      </c>
      <c r="G181" s="39">
        <v>15</v>
      </c>
      <c r="H181" s="39"/>
      <c r="I181" s="40" t="s">
        <v>269</v>
      </c>
      <c r="J181" s="41">
        <v>49</v>
      </c>
      <c r="K181" s="41">
        <v>52.938775510204081</v>
      </c>
      <c r="L181" s="41"/>
      <c r="M181" s="42">
        <v>0</v>
      </c>
      <c r="N181" s="42">
        <v>1352.0122448979594</v>
      </c>
      <c r="O181" s="43">
        <v>2594</v>
      </c>
      <c r="P181" s="44">
        <v>0</v>
      </c>
      <c r="Q181" s="44">
        <v>66248.600000000006</v>
      </c>
      <c r="R181" s="45">
        <v>0</v>
      </c>
      <c r="S181" s="46">
        <v>0</v>
      </c>
      <c r="T181" s="39">
        <f t="shared" si="57"/>
        <v>15</v>
      </c>
      <c r="U181" s="47">
        <f t="shared" si="58"/>
        <v>1.6859563806817406E-2</v>
      </c>
      <c r="V181" s="48">
        <f t="shared" si="59"/>
        <v>1352.0122448979594</v>
      </c>
      <c r="W181" s="49">
        <f t="shared" si="60"/>
        <v>1.1239709204544936E-3</v>
      </c>
      <c r="X181" s="44">
        <f t="shared" si="61"/>
        <v>298.76092325224562</v>
      </c>
      <c r="Y181" s="44">
        <f t="shared" si="62"/>
        <v>66248.600000000006</v>
      </c>
      <c r="Z181" s="44">
        <f t="shared" si="63"/>
        <v>8008.5230199621947</v>
      </c>
      <c r="AA181" s="522">
        <f t="shared" si="56"/>
        <v>68635.036530804078</v>
      </c>
      <c r="AB181" s="51">
        <f t="shared" si="64"/>
        <v>7486.7000280099037</v>
      </c>
      <c r="AC181" s="44">
        <f t="shared" si="65"/>
        <v>64162.883547540499</v>
      </c>
      <c r="AD181" s="44">
        <f t="shared" si="66"/>
        <v>0</v>
      </c>
      <c r="AE181" s="44">
        <f t="shared" si="67"/>
        <v>0</v>
      </c>
      <c r="AF181" s="52">
        <f>HLOOKUP(I181,ElecAvoidedCostsWOCC!$A$5:$Q$50,G181+1,FALSE)</f>
        <v>1.3893373920773078</v>
      </c>
      <c r="AG181" s="44">
        <f t="shared" si="68"/>
        <v>3603.9411950485364</v>
      </c>
      <c r="AH181" s="52">
        <f>HLOOKUP(I181,ElecAvoidedCostsWOCC!$A$5:$Q$50,T181+1,FALSE)</f>
        <v>1.3893373920773078</v>
      </c>
      <c r="AI181" s="44">
        <f t="shared" si="69"/>
        <v>0</v>
      </c>
      <c r="AJ181" s="44">
        <f t="shared" si="70"/>
        <v>3603.9411950485364</v>
      </c>
      <c r="AK181" s="44">
        <f>HLOOKUP(I181,ElecAvoidedCostsWOCC!$A$5:$Q$50,G181+1,FALSE)*J181*L181</f>
        <v>0</v>
      </c>
      <c r="AL181" s="44">
        <f t="shared" si="71"/>
        <v>3603.9411950485364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3603.941195048536</v>
      </c>
      <c r="AN181" s="48">
        <f t="shared" si="72"/>
        <v>3964.3353145533897</v>
      </c>
      <c r="AO181" s="47">
        <f t="shared" si="73"/>
        <v>0.48137913654415865</v>
      </c>
      <c r="AP181" s="47">
        <f t="shared" si="74"/>
        <v>6.178549178850537E-2</v>
      </c>
      <c r="AQ181">
        <v>2021</v>
      </c>
    </row>
    <row r="182" spans="2:43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22">
        <f t="shared" si="56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HLOOKUP(I182,ElecAvoidedCostsWOCC!$A$5:$Q$50,G182+1,FALSE)</f>
        <v>#N/A</v>
      </c>
      <c r="AG182" s="44" t="e">
        <f t="shared" si="68"/>
        <v>#N/A</v>
      </c>
      <c r="AH182" s="52" t="e">
        <f>HLOOKUP(I182,ElecAvoidedCostsWOCC!$A$5:$Q$50,T182+1,FALSE)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HLOOKUP(I182,ElecAvoidedCostsWOCC!$A$5:$Q$50,G182+1,FALSE)*J182*L182</f>
        <v>#N/A</v>
      </c>
      <c r="AL182" s="44" t="e">
        <f t="shared" si="71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3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22">
        <f t="shared" si="56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HLOOKUP(I183,ElecAvoidedCostsWOCC!$A$5:$Q$50,G183+1,FALSE)</f>
        <v>#N/A</v>
      </c>
      <c r="AG183" s="44" t="e">
        <f t="shared" si="68"/>
        <v>#N/A</v>
      </c>
      <c r="AH183" s="52" t="e">
        <f>HLOOKUP(I183,ElecAvoidedCostsWOCC!$A$5:$Q$50,T183+1,FALSE)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HLOOKUP(I183,ElecAvoidedCostsWOCC!$A$5:$Q$50,G183+1,FALSE)*J183*L183</f>
        <v>#N/A</v>
      </c>
      <c r="AL183" s="44" t="e">
        <f t="shared" si="71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3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22">
        <f t="shared" si="56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HLOOKUP(I184,ElecAvoidedCostsWOCC!$A$5:$Q$50,G184+1,FALSE)</f>
        <v>#N/A</v>
      </c>
      <c r="AG184" s="44" t="e">
        <f t="shared" si="68"/>
        <v>#N/A</v>
      </c>
      <c r="AH184" s="52" t="e">
        <f>HLOOKUP(I184,ElecAvoidedCostsWOCC!$A$5:$Q$50,T184+1,FALSE)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HLOOKUP(I184,ElecAvoidedCostsWOCC!$A$5:$Q$50,G184+1,FALSE)*J184*L184</f>
        <v>#N/A</v>
      </c>
      <c r="AL184" s="44" t="e">
        <f t="shared" si="71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3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22">
        <f t="shared" si="56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HLOOKUP(I185,ElecAvoidedCostsWOCC!$A$5:$Q$50,G185+1,FALSE)</f>
        <v>#N/A</v>
      </c>
      <c r="AG185" s="44" t="e">
        <f t="shared" si="68"/>
        <v>#N/A</v>
      </c>
      <c r="AH185" s="52" t="e">
        <f>HLOOKUP(I185,ElecAvoidedCostsWOCC!$A$5:$Q$50,T185+1,FALSE)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HLOOKUP(I185,ElecAvoidedCostsWOCC!$A$5:$Q$50,G185+1,FALSE)*J185*L185</f>
        <v>#N/A</v>
      </c>
      <c r="AL185" s="44" t="e">
        <f t="shared" si="71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3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22">
        <f t="shared" si="56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HLOOKUP(I186,ElecAvoidedCostsWOCC!$A$5:$Q$50,G186+1,FALSE)</f>
        <v>#N/A</v>
      </c>
      <c r="AG186" s="44" t="e">
        <f t="shared" si="68"/>
        <v>#N/A</v>
      </c>
      <c r="AH186" s="52" t="e">
        <f>HLOOKUP(I186,ElecAvoidedCostsWOCC!$A$5:$Q$50,T186+1,FALSE)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HLOOKUP(I186,ElecAvoidedCostsWOCC!$A$5:$Q$50,G186+1,FALSE)*J186*L186</f>
        <v>#N/A</v>
      </c>
      <c r="AL186" s="44" t="e">
        <f t="shared" si="71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3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22">
        <f t="shared" si="56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HLOOKUP(I187,ElecAvoidedCostsWOCC!$A$5:$Q$50,G187+1,FALSE)</f>
        <v>#N/A</v>
      </c>
      <c r="AG187" s="44" t="e">
        <f t="shared" si="68"/>
        <v>#N/A</v>
      </c>
      <c r="AH187" s="52" t="e">
        <f>HLOOKUP(I187,ElecAvoidedCostsWOCC!$A$5:$Q$50,T187+1,FALSE)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HLOOKUP(I187,ElecAvoidedCostsWOCC!$A$5:$Q$50,G187+1,FALSE)*J187*L187</f>
        <v>#N/A</v>
      </c>
      <c r="AL187" s="44" t="e">
        <f t="shared" si="71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  <row r="188" spans="2:43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22">
        <f t="shared" si="56"/>
        <v>0</v>
      </c>
      <c r="AB188" s="51">
        <f t="shared" si="64"/>
        <v>0</v>
      </c>
      <c r="AC188" s="44">
        <f t="shared" si="65"/>
        <v>0</v>
      </c>
      <c r="AD188" s="44">
        <f t="shared" si="66"/>
        <v>0</v>
      </c>
      <c r="AE188" s="44">
        <f t="shared" si="67"/>
        <v>0</v>
      </c>
      <c r="AF188" s="52" t="e">
        <f>HLOOKUP(I188,ElecAvoidedCostsWOCC!$A$5:$Q$50,G188+1,FALSE)</f>
        <v>#N/A</v>
      </c>
      <c r="AG188" s="44" t="e">
        <f t="shared" si="68"/>
        <v>#N/A</v>
      </c>
      <c r="AH188" s="52" t="e">
        <f>HLOOKUP(I188,ElecAvoidedCostsWOCC!$A$5:$Q$50,T188+1,FALSE)</f>
        <v>#N/A</v>
      </c>
      <c r="AI188" s="44" t="e">
        <f t="shared" si="69"/>
        <v>#N/A</v>
      </c>
      <c r="AJ188" s="44" t="e">
        <f t="shared" si="70"/>
        <v>#N/A</v>
      </c>
      <c r="AK188" s="44" t="e">
        <f>HLOOKUP(I188,ElecAvoidedCostsWOCC!$A$5:$Q$50,G188+1,FALSE)*J188*L188</f>
        <v>#N/A</v>
      </c>
      <c r="AL188" s="44" t="e">
        <f t="shared" si="71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2"/>
        <v>0</v>
      </c>
      <c r="AO188" s="47">
        <f t="shared" si="73"/>
        <v>0</v>
      </c>
      <c r="AP188" s="47" t="e">
        <f t="shared" si="74"/>
        <v>#DIV/0!</v>
      </c>
    </row>
    <row r="189" spans="2:43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22">
        <f t="shared" si="56"/>
        <v>0</v>
      </c>
      <c r="AB189" s="51">
        <f t="shared" si="64"/>
        <v>0</v>
      </c>
      <c r="AC189" s="44">
        <f t="shared" si="65"/>
        <v>0</v>
      </c>
      <c r="AD189" s="44">
        <f t="shared" si="66"/>
        <v>0</v>
      </c>
      <c r="AE189" s="44">
        <f t="shared" si="67"/>
        <v>0</v>
      </c>
      <c r="AF189" s="52" t="e">
        <f>HLOOKUP(I189,ElecAvoidedCostsWOCC!$A$5:$Q$50,G189+1,FALSE)</f>
        <v>#N/A</v>
      </c>
      <c r="AG189" s="44" t="e">
        <f t="shared" si="68"/>
        <v>#N/A</v>
      </c>
      <c r="AH189" s="52" t="e">
        <f>HLOOKUP(I189,ElecAvoidedCostsWOCC!$A$5:$Q$50,T189+1,FALSE)</f>
        <v>#N/A</v>
      </c>
      <c r="AI189" s="44" t="e">
        <f t="shared" si="69"/>
        <v>#N/A</v>
      </c>
      <c r="AJ189" s="44" t="e">
        <f t="shared" si="70"/>
        <v>#N/A</v>
      </c>
      <c r="AK189" s="44" t="e">
        <f>HLOOKUP(I189,ElecAvoidedCostsWOCC!$A$5:$Q$50,G189+1,FALSE)*J189*L189</f>
        <v>#N/A</v>
      </c>
      <c r="AL189" s="44" t="e">
        <f t="shared" si="71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2"/>
        <v>0</v>
      </c>
      <c r="AO189" s="47">
        <f t="shared" si="73"/>
        <v>0</v>
      </c>
      <c r="AP189" s="47" t="e">
        <f t="shared" si="74"/>
        <v>#DIV/0!</v>
      </c>
    </row>
    <row r="190" spans="2:43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22">
        <f t="shared" si="56"/>
        <v>0</v>
      </c>
      <c r="AB190" s="51">
        <f t="shared" si="64"/>
        <v>0</v>
      </c>
      <c r="AC190" s="44">
        <f t="shared" si="65"/>
        <v>0</v>
      </c>
      <c r="AD190" s="44">
        <f t="shared" si="66"/>
        <v>0</v>
      </c>
      <c r="AE190" s="44">
        <f t="shared" si="67"/>
        <v>0</v>
      </c>
      <c r="AF190" s="52" t="e">
        <f>HLOOKUP(I190,ElecAvoidedCostsWOCC!$A$5:$Q$50,G190+1,FALSE)</f>
        <v>#N/A</v>
      </c>
      <c r="AG190" s="44" t="e">
        <f t="shared" si="68"/>
        <v>#N/A</v>
      </c>
      <c r="AH190" s="52" t="e">
        <f>HLOOKUP(I190,ElecAvoidedCostsWOCC!$A$5:$Q$50,T190+1,FALSE)</f>
        <v>#N/A</v>
      </c>
      <c r="AI190" s="44" t="e">
        <f t="shared" si="69"/>
        <v>#N/A</v>
      </c>
      <c r="AJ190" s="44" t="e">
        <f t="shared" si="70"/>
        <v>#N/A</v>
      </c>
      <c r="AK190" s="44" t="e">
        <f>HLOOKUP(I190,ElecAvoidedCostsWOCC!$A$5:$Q$50,G190+1,FALSE)*J190*L190</f>
        <v>#N/A</v>
      </c>
      <c r="AL190" s="44" t="e">
        <f t="shared" si="71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2"/>
        <v>0</v>
      </c>
      <c r="AO190" s="47">
        <f t="shared" si="73"/>
        <v>0</v>
      </c>
      <c r="AP190" s="47" t="e">
        <f t="shared" si="74"/>
        <v>#DIV/0!</v>
      </c>
    </row>
    <row r="191" spans="2:43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22">
        <f t="shared" si="56"/>
        <v>0</v>
      </c>
      <c r="AB191" s="51">
        <f t="shared" si="64"/>
        <v>0</v>
      </c>
      <c r="AC191" s="44">
        <f t="shared" si="65"/>
        <v>0</v>
      </c>
      <c r="AD191" s="44">
        <f t="shared" si="66"/>
        <v>0</v>
      </c>
      <c r="AE191" s="44">
        <f t="shared" si="67"/>
        <v>0</v>
      </c>
      <c r="AF191" s="52" t="e">
        <f>HLOOKUP(I191,ElecAvoidedCostsWOCC!$A$5:$Q$50,G191+1,FALSE)</f>
        <v>#N/A</v>
      </c>
      <c r="AG191" s="44" t="e">
        <f t="shared" si="68"/>
        <v>#N/A</v>
      </c>
      <c r="AH191" s="52" t="e">
        <f>HLOOKUP(I191,ElecAvoidedCostsWOCC!$A$5:$Q$50,T191+1,FALSE)</f>
        <v>#N/A</v>
      </c>
      <c r="AI191" s="44" t="e">
        <f t="shared" si="69"/>
        <v>#N/A</v>
      </c>
      <c r="AJ191" s="44" t="e">
        <f t="shared" si="70"/>
        <v>#N/A</v>
      </c>
      <c r="AK191" s="44" t="e">
        <f>HLOOKUP(I191,ElecAvoidedCostsWOCC!$A$5:$Q$50,G191+1,FALSE)*J191*L191</f>
        <v>#N/A</v>
      </c>
      <c r="AL191" s="44" t="e">
        <f t="shared" si="71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2"/>
        <v>0</v>
      </c>
      <c r="AO191" s="47">
        <f t="shared" si="73"/>
        <v>0</v>
      </c>
      <c r="AP191" s="47" t="e">
        <f t="shared" si="74"/>
        <v>#DIV/0!</v>
      </c>
    </row>
    <row r="192" spans="2:43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22">
        <f t="shared" si="56"/>
        <v>0</v>
      </c>
      <c r="AB192" s="51">
        <f t="shared" si="64"/>
        <v>0</v>
      </c>
      <c r="AC192" s="44">
        <f t="shared" si="65"/>
        <v>0</v>
      </c>
      <c r="AD192" s="44">
        <f t="shared" si="66"/>
        <v>0</v>
      </c>
      <c r="AE192" s="44">
        <f t="shared" si="67"/>
        <v>0</v>
      </c>
      <c r="AF192" s="52" t="e">
        <f>HLOOKUP(I192,ElecAvoidedCostsWOCC!$A$5:$Q$50,G192+1,FALSE)</f>
        <v>#N/A</v>
      </c>
      <c r="AG192" s="44" t="e">
        <f t="shared" si="68"/>
        <v>#N/A</v>
      </c>
      <c r="AH192" s="52" t="e">
        <f>HLOOKUP(I192,ElecAvoidedCostsWOCC!$A$5:$Q$50,T192+1,FALSE)</f>
        <v>#N/A</v>
      </c>
      <c r="AI192" s="44" t="e">
        <f t="shared" si="69"/>
        <v>#N/A</v>
      </c>
      <c r="AJ192" s="44" t="e">
        <f t="shared" si="70"/>
        <v>#N/A</v>
      </c>
      <c r="AK192" s="44" t="e">
        <f>HLOOKUP(I192,ElecAvoidedCostsWOCC!$A$5:$Q$50,G192+1,FALSE)*J192*L192</f>
        <v>#N/A</v>
      </c>
      <c r="AL192" s="44" t="e">
        <f t="shared" si="71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2"/>
        <v>0</v>
      </c>
      <c r="AO192" s="47">
        <f t="shared" si="73"/>
        <v>0</v>
      </c>
      <c r="AP192" s="47" t="e">
        <f t="shared" si="74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22">
        <f t="shared" si="56"/>
        <v>0</v>
      </c>
      <c r="AB193" s="51">
        <f t="shared" si="64"/>
        <v>0</v>
      </c>
      <c r="AC193" s="44">
        <f t="shared" si="65"/>
        <v>0</v>
      </c>
      <c r="AD193" s="44">
        <f t="shared" si="66"/>
        <v>0</v>
      </c>
      <c r="AE193" s="44">
        <f t="shared" si="67"/>
        <v>0</v>
      </c>
      <c r="AF193" s="52" t="e">
        <f>HLOOKUP(I193,ElecAvoidedCostsWOCC!$A$5:$Q$50,G193+1,FALSE)</f>
        <v>#N/A</v>
      </c>
      <c r="AG193" s="44" t="e">
        <f t="shared" si="68"/>
        <v>#N/A</v>
      </c>
      <c r="AH193" s="52" t="e">
        <f>HLOOKUP(I193,ElecAvoidedCostsWOCC!$A$5:$Q$50,T193+1,FALSE)</f>
        <v>#N/A</v>
      </c>
      <c r="AI193" s="44" t="e">
        <f t="shared" si="69"/>
        <v>#N/A</v>
      </c>
      <c r="AJ193" s="44" t="e">
        <f t="shared" si="70"/>
        <v>#N/A</v>
      </c>
      <c r="AK193" s="44" t="e">
        <f>HLOOKUP(I193,ElecAvoidedCostsWOCC!$A$5:$Q$50,G193+1,FALSE)*J193*L193</f>
        <v>#N/A</v>
      </c>
      <c r="AL193" s="44" t="e">
        <f t="shared" si="71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2"/>
        <v>0</v>
      </c>
      <c r="AO193" s="47">
        <f t="shared" si="73"/>
        <v>0</v>
      </c>
      <c r="AP193" s="47" t="e">
        <f t="shared" si="74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22">
        <f t="shared" si="56"/>
        <v>0</v>
      </c>
      <c r="AB194" s="51">
        <f t="shared" si="64"/>
        <v>0</v>
      </c>
      <c r="AC194" s="44">
        <f t="shared" si="65"/>
        <v>0</v>
      </c>
      <c r="AD194" s="44">
        <f t="shared" si="66"/>
        <v>0</v>
      </c>
      <c r="AE194" s="44">
        <f t="shared" si="67"/>
        <v>0</v>
      </c>
      <c r="AF194" s="52" t="e">
        <f>HLOOKUP(I194,ElecAvoidedCostsWOCC!$A$5:$Q$50,G194+1,FALSE)</f>
        <v>#N/A</v>
      </c>
      <c r="AG194" s="44" t="e">
        <f t="shared" si="68"/>
        <v>#N/A</v>
      </c>
      <c r="AH194" s="52" t="e">
        <f>HLOOKUP(I194,ElecAvoidedCostsWOCC!$A$5:$Q$50,T194+1,FALSE)</f>
        <v>#N/A</v>
      </c>
      <c r="AI194" s="44" t="e">
        <f t="shared" si="69"/>
        <v>#N/A</v>
      </c>
      <c r="AJ194" s="44" t="e">
        <f t="shared" si="70"/>
        <v>#N/A</v>
      </c>
      <c r="AK194" s="44" t="e">
        <f>HLOOKUP(I194,ElecAvoidedCostsWOCC!$A$5:$Q$50,G194+1,FALSE)*J194*L194</f>
        <v>#N/A</v>
      </c>
      <c r="AL194" s="44" t="e">
        <f t="shared" si="71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2"/>
        <v>0</v>
      </c>
      <c r="AO194" s="47">
        <f t="shared" si="73"/>
        <v>0</v>
      </c>
      <c r="AP194" s="47" t="e">
        <f t="shared" si="74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22">
        <f t="shared" si="56"/>
        <v>0</v>
      </c>
      <c r="AB195" s="51">
        <f t="shared" si="64"/>
        <v>0</v>
      </c>
      <c r="AC195" s="44">
        <f t="shared" si="65"/>
        <v>0</v>
      </c>
      <c r="AD195" s="44">
        <f t="shared" si="66"/>
        <v>0</v>
      </c>
      <c r="AE195" s="44">
        <f t="shared" si="67"/>
        <v>0</v>
      </c>
      <c r="AF195" s="52" t="e">
        <f>HLOOKUP(I195,ElecAvoidedCostsWOCC!$A$5:$Q$50,G195+1,FALSE)</f>
        <v>#N/A</v>
      </c>
      <c r="AG195" s="44" t="e">
        <f t="shared" si="68"/>
        <v>#N/A</v>
      </c>
      <c r="AH195" s="52" t="e">
        <f>HLOOKUP(I195,ElecAvoidedCostsWOCC!$A$5:$Q$50,T195+1,FALSE)</f>
        <v>#N/A</v>
      </c>
      <c r="AI195" s="44" t="e">
        <f t="shared" si="69"/>
        <v>#N/A</v>
      </c>
      <c r="AJ195" s="44" t="e">
        <f t="shared" si="70"/>
        <v>#N/A</v>
      </c>
      <c r="AK195" s="44" t="e">
        <f>HLOOKUP(I195,ElecAvoidedCostsWOCC!$A$5:$Q$50,G195+1,FALSE)*J195*L195</f>
        <v>#N/A</v>
      </c>
      <c r="AL195" s="44" t="e">
        <f t="shared" si="71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2"/>
        <v>0</v>
      </c>
      <c r="AO195" s="47">
        <f t="shared" si="73"/>
        <v>0</v>
      </c>
      <c r="AP195" s="47" t="e">
        <f t="shared" si="74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22">
        <f t="shared" si="56"/>
        <v>0</v>
      </c>
      <c r="AB196" s="51">
        <f t="shared" si="64"/>
        <v>0</v>
      </c>
      <c r="AC196" s="44">
        <f t="shared" si="65"/>
        <v>0</v>
      </c>
      <c r="AD196" s="44">
        <f t="shared" si="66"/>
        <v>0</v>
      </c>
      <c r="AE196" s="44">
        <f t="shared" si="67"/>
        <v>0</v>
      </c>
      <c r="AF196" s="52" t="e">
        <f>HLOOKUP(I196,ElecAvoidedCostsWOCC!$A$5:$Q$50,G196+1,FALSE)</f>
        <v>#N/A</v>
      </c>
      <c r="AG196" s="44" t="e">
        <f t="shared" si="68"/>
        <v>#N/A</v>
      </c>
      <c r="AH196" s="52" t="e">
        <f>HLOOKUP(I196,ElecAvoidedCostsWOCC!$A$5:$Q$50,T196+1,FALSE)</f>
        <v>#N/A</v>
      </c>
      <c r="AI196" s="44" t="e">
        <f t="shared" si="69"/>
        <v>#N/A</v>
      </c>
      <c r="AJ196" s="44" t="e">
        <f t="shared" si="70"/>
        <v>#N/A</v>
      </c>
      <c r="AK196" s="44" t="e">
        <f>HLOOKUP(I196,ElecAvoidedCostsWOCC!$A$5:$Q$50,G196+1,FALSE)*J196*L196</f>
        <v>#N/A</v>
      </c>
      <c r="AL196" s="44" t="e">
        <f t="shared" si="71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2"/>
        <v>0</v>
      </c>
      <c r="AO196" s="47">
        <f t="shared" si="73"/>
        <v>0</v>
      </c>
      <c r="AP196" s="47" t="e">
        <f t="shared" si="74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22">
        <f t="shared" si="56"/>
        <v>0</v>
      </c>
      <c r="AB197" s="51">
        <f t="shared" si="64"/>
        <v>0</v>
      </c>
      <c r="AC197" s="44">
        <f t="shared" si="65"/>
        <v>0</v>
      </c>
      <c r="AD197" s="44">
        <f t="shared" si="66"/>
        <v>0</v>
      </c>
      <c r="AE197" s="44">
        <f t="shared" si="67"/>
        <v>0</v>
      </c>
      <c r="AF197" s="52" t="e">
        <f>HLOOKUP(I197,ElecAvoidedCostsWOCC!$A$5:$Q$50,G197+1,FALSE)</f>
        <v>#N/A</v>
      </c>
      <c r="AG197" s="44" t="e">
        <f t="shared" si="68"/>
        <v>#N/A</v>
      </c>
      <c r="AH197" s="52" t="e">
        <f>HLOOKUP(I197,ElecAvoidedCostsWOCC!$A$5:$Q$50,T197+1,FALSE)</f>
        <v>#N/A</v>
      </c>
      <c r="AI197" s="44" t="e">
        <f t="shared" si="69"/>
        <v>#N/A</v>
      </c>
      <c r="AJ197" s="44" t="e">
        <f t="shared" si="70"/>
        <v>#N/A</v>
      </c>
      <c r="AK197" s="44" t="e">
        <f>HLOOKUP(I197,ElecAvoidedCostsWOCC!$A$5:$Q$50,G197+1,FALSE)*J197*L197</f>
        <v>#N/A</v>
      </c>
      <c r="AL197" s="44" t="e">
        <f t="shared" si="7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2"/>
        <v>0</v>
      </c>
      <c r="AO197" s="47">
        <f t="shared" si="73"/>
        <v>0</v>
      </c>
      <c r="AP197" s="47" t="e">
        <f t="shared" si="74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22">
        <f t="shared" si="56"/>
        <v>0</v>
      </c>
      <c r="AB198" s="51">
        <f t="shared" si="64"/>
        <v>0</v>
      </c>
      <c r="AC198" s="44">
        <f t="shared" si="65"/>
        <v>0</v>
      </c>
      <c r="AD198" s="44">
        <f t="shared" si="66"/>
        <v>0</v>
      </c>
      <c r="AE198" s="44">
        <f t="shared" si="67"/>
        <v>0</v>
      </c>
      <c r="AF198" s="52" t="e">
        <f>HLOOKUP(I198,ElecAvoidedCostsWOCC!$A$5:$Q$50,G198+1,FALSE)</f>
        <v>#N/A</v>
      </c>
      <c r="AG198" s="44" t="e">
        <f t="shared" si="68"/>
        <v>#N/A</v>
      </c>
      <c r="AH198" s="52" t="e">
        <f>HLOOKUP(I198,ElecAvoidedCostsWOCC!$A$5:$Q$50,T198+1,FALSE)</f>
        <v>#N/A</v>
      </c>
      <c r="AI198" s="44" t="e">
        <f t="shared" si="69"/>
        <v>#N/A</v>
      </c>
      <c r="AJ198" s="44" t="e">
        <f t="shared" si="70"/>
        <v>#N/A</v>
      </c>
      <c r="AK198" s="44" t="e">
        <f>HLOOKUP(I198,ElecAvoidedCostsWOCC!$A$5:$Q$50,G198+1,FALSE)*J198*L198</f>
        <v>#N/A</v>
      </c>
      <c r="AL198" s="44" t="e">
        <f t="shared" si="7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2"/>
        <v>0</v>
      </c>
      <c r="AO198" s="47">
        <f t="shared" si="73"/>
        <v>0</v>
      </c>
      <c r="AP198" s="47" t="e">
        <f t="shared" si="74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22">
        <f t="shared" ref="AA199:AA232" si="75">((Q199/A$12)*A$6)+X199</f>
        <v>0</v>
      </c>
      <c r="AB199" s="51">
        <f t="shared" si="64"/>
        <v>0</v>
      </c>
      <c r="AC199" s="44">
        <f t="shared" si="65"/>
        <v>0</v>
      </c>
      <c r="AD199" s="44">
        <f t="shared" si="66"/>
        <v>0</v>
      </c>
      <c r="AE199" s="44">
        <f t="shared" si="67"/>
        <v>0</v>
      </c>
      <c r="AF199" s="52" t="e">
        <f>HLOOKUP(I199,ElecAvoidedCostsWOCC!$A$5:$Q$50,G199+1,FALSE)</f>
        <v>#N/A</v>
      </c>
      <c r="AG199" s="44" t="e">
        <f t="shared" si="68"/>
        <v>#N/A</v>
      </c>
      <c r="AH199" s="52" t="e">
        <f>HLOOKUP(I199,ElecAvoidedCostsWOCC!$A$5:$Q$50,T199+1,FALSE)</f>
        <v>#N/A</v>
      </c>
      <c r="AI199" s="44" t="e">
        <f t="shared" si="69"/>
        <v>#N/A</v>
      </c>
      <c r="AJ199" s="44" t="e">
        <f t="shared" si="70"/>
        <v>#N/A</v>
      </c>
      <c r="AK199" s="44" t="e">
        <f>HLOOKUP(I199,ElecAvoidedCostsWOCC!$A$5:$Q$50,G199+1,FALSE)*J199*L199</f>
        <v>#N/A</v>
      </c>
      <c r="AL199" s="44" t="e">
        <f t="shared" si="7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2"/>
        <v>0</v>
      </c>
      <c r="AO199" s="47">
        <f t="shared" si="73"/>
        <v>0</v>
      </c>
      <c r="AP199" s="47" t="e">
        <f t="shared" si="74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22">
        <f t="shared" si="75"/>
        <v>0</v>
      </c>
      <c r="AB200" s="51">
        <f t="shared" si="64"/>
        <v>0</v>
      </c>
      <c r="AC200" s="44">
        <f t="shared" si="65"/>
        <v>0</v>
      </c>
      <c r="AD200" s="44">
        <f t="shared" si="66"/>
        <v>0</v>
      </c>
      <c r="AE200" s="44">
        <f t="shared" si="67"/>
        <v>0</v>
      </c>
      <c r="AF200" s="52" t="e">
        <f>HLOOKUP(I200,ElecAvoidedCostsWOCC!$A$5:$Q$50,G200+1,FALSE)</f>
        <v>#N/A</v>
      </c>
      <c r="AG200" s="44" t="e">
        <f t="shared" si="68"/>
        <v>#N/A</v>
      </c>
      <c r="AH200" s="52" t="e">
        <f>HLOOKUP(I200,ElecAvoidedCostsWOCC!$A$5:$Q$50,T200+1,FALSE)</f>
        <v>#N/A</v>
      </c>
      <c r="AI200" s="44" t="e">
        <f t="shared" si="69"/>
        <v>#N/A</v>
      </c>
      <c r="AJ200" s="44" t="e">
        <f t="shared" si="70"/>
        <v>#N/A</v>
      </c>
      <c r="AK200" s="44" t="e">
        <f>HLOOKUP(I200,ElecAvoidedCostsWOCC!$A$5:$Q$50,G200+1,FALSE)*J200*L200</f>
        <v>#N/A</v>
      </c>
      <c r="AL200" s="44" t="e">
        <f t="shared" si="7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2"/>
        <v>0</v>
      </c>
      <c r="AO200" s="47">
        <f t="shared" si="73"/>
        <v>0</v>
      </c>
      <c r="AP200" s="47" t="e">
        <f t="shared" si="74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22">
        <f t="shared" si="75"/>
        <v>0</v>
      </c>
      <c r="AB201" s="51">
        <f t="shared" si="64"/>
        <v>0</v>
      </c>
      <c r="AC201" s="44">
        <f t="shared" si="65"/>
        <v>0</v>
      </c>
      <c r="AD201" s="44">
        <f t="shared" si="66"/>
        <v>0</v>
      </c>
      <c r="AE201" s="44">
        <f t="shared" si="67"/>
        <v>0</v>
      </c>
      <c r="AF201" s="52" t="e">
        <f>HLOOKUP(I201,ElecAvoidedCostsWOCC!$A$5:$Q$50,G201+1,FALSE)</f>
        <v>#N/A</v>
      </c>
      <c r="AG201" s="44" t="e">
        <f t="shared" si="68"/>
        <v>#N/A</v>
      </c>
      <c r="AH201" s="52" t="e">
        <f>HLOOKUP(I201,ElecAvoidedCostsWOCC!$A$5:$Q$50,T201+1,FALSE)</f>
        <v>#N/A</v>
      </c>
      <c r="AI201" s="44" t="e">
        <f t="shared" si="69"/>
        <v>#N/A</v>
      </c>
      <c r="AJ201" s="44" t="e">
        <f t="shared" si="70"/>
        <v>#N/A</v>
      </c>
      <c r="AK201" s="44" t="e">
        <f>HLOOKUP(I201,ElecAvoidedCostsWOCC!$A$5:$Q$50,G201+1,FALSE)*J201*L201</f>
        <v>#N/A</v>
      </c>
      <c r="AL201" s="44" t="e">
        <f t="shared" si="7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2"/>
        <v>0</v>
      </c>
      <c r="AO201" s="47">
        <f t="shared" si="73"/>
        <v>0</v>
      </c>
      <c r="AP201" s="47" t="e">
        <f t="shared" si="74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22">
        <f t="shared" si="75"/>
        <v>0</v>
      </c>
      <c r="AB202" s="51">
        <f t="shared" si="64"/>
        <v>0</v>
      </c>
      <c r="AC202" s="44">
        <f t="shared" si="65"/>
        <v>0</v>
      </c>
      <c r="AD202" s="44">
        <f t="shared" si="66"/>
        <v>0</v>
      </c>
      <c r="AE202" s="44">
        <f t="shared" si="67"/>
        <v>0</v>
      </c>
      <c r="AF202" s="52" t="e">
        <f>HLOOKUP(I202,ElecAvoidedCostsWOCC!$A$5:$Q$50,G202+1,FALSE)</f>
        <v>#N/A</v>
      </c>
      <c r="AG202" s="44" t="e">
        <f t="shared" si="68"/>
        <v>#N/A</v>
      </c>
      <c r="AH202" s="52" t="e">
        <f>HLOOKUP(I202,ElecAvoidedCostsWOCC!$A$5:$Q$50,T202+1,FALSE)</f>
        <v>#N/A</v>
      </c>
      <c r="AI202" s="44" t="e">
        <f t="shared" si="69"/>
        <v>#N/A</v>
      </c>
      <c r="AJ202" s="44" t="e">
        <f t="shared" si="70"/>
        <v>#N/A</v>
      </c>
      <c r="AK202" s="44" t="e">
        <f>HLOOKUP(I202,ElecAvoidedCostsWOCC!$A$5:$Q$50,G202+1,FALSE)*J202*L202</f>
        <v>#N/A</v>
      </c>
      <c r="AL202" s="44" t="e">
        <f t="shared" si="7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2"/>
        <v>0</v>
      </c>
      <c r="AO202" s="47">
        <f t="shared" si="73"/>
        <v>0</v>
      </c>
      <c r="AP202" s="47" t="e">
        <f t="shared" si="74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22">
        <f t="shared" si="75"/>
        <v>0</v>
      </c>
      <c r="AB203" s="51">
        <f t="shared" si="64"/>
        <v>0</v>
      </c>
      <c r="AC203" s="44">
        <f t="shared" si="65"/>
        <v>0</v>
      </c>
      <c r="AD203" s="44">
        <f t="shared" si="66"/>
        <v>0</v>
      </c>
      <c r="AE203" s="44">
        <f t="shared" si="67"/>
        <v>0</v>
      </c>
      <c r="AF203" s="52" t="e">
        <f>HLOOKUP(I203,ElecAvoidedCostsWOCC!$A$5:$Q$50,G203+1,FALSE)</f>
        <v>#N/A</v>
      </c>
      <c r="AG203" s="44" t="e">
        <f t="shared" si="68"/>
        <v>#N/A</v>
      </c>
      <c r="AH203" s="52" t="e">
        <f>HLOOKUP(I203,ElecAvoidedCostsWOCC!$A$5:$Q$50,T203+1,FALSE)</f>
        <v>#N/A</v>
      </c>
      <c r="AI203" s="44" t="e">
        <f t="shared" si="69"/>
        <v>#N/A</v>
      </c>
      <c r="AJ203" s="44" t="e">
        <f t="shared" si="70"/>
        <v>#N/A</v>
      </c>
      <c r="AK203" s="44" t="e">
        <f>HLOOKUP(I203,ElecAvoidedCostsWOCC!$A$5:$Q$50,G203+1,FALSE)*J203*L203</f>
        <v>#N/A</v>
      </c>
      <c r="AL203" s="44" t="e">
        <f t="shared" si="7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2"/>
        <v>0</v>
      </c>
      <c r="AO203" s="47">
        <f t="shared" si="73"/>
        <v>0</v>
      </c>
      <c r="AP203" s="47" t="e">
        <f t="shared" si="74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22">
        <f t="shared" si="75"/>
        <v>0</v>
      </c>
      <c r="AB204" s="51">
        <f t="shared" si="64"/>
        <v>0</v>
      </c>
      <c r="AC204" s="44">
        <f t="shared" si="65"/>
        <v>0</v>
      </c>
      <c r="AD204" s="44">
        <f t="shared" si="66"/>
        <v>0</v>
      </c>
      <c r="AE204" s="44">
        <f t="shared" si="67"/>
        <v>0</v>
      </c>
      <c r="AF204" s="52" t="e">
        <f>HLOOKUP(I204,ElecAvoidedCostsWOCC!$A$5:$Q$50,G204+1,FALSE)</f>
        <v>#N/A</v>
      </c>
      <c r="AG204" s="44" t="e">
        <f t="shared" si="68"/>
        <v>#N/A</v>
      </c>
      <c r="AH204" s="52" t="e">
        <f>HLOOKUP(I204,ElecAvoidedCostsWOCC!$A$5:$Q$50,T204+1,FALSE)</f>
        <v>#N/A</v>
      </c>
      <c r="AI204" s="44" t="e">
        <f t="shared" si="69"/>
        <v>#N/A</v>
      </c>
      <c r="AJ204" s="44" t="e">
        <f t="shared" si="70"/>
        <v>#N/A</v>
      </c>
      <c r="AK204" s="44" t="e">
        <f>HLOOKUP(I204,ElecAvoidedCostsWOCC!$A$5:$Q$50,G204+1,FALSE)*J204*L204</f>
        <v>#N/A</v>
      </c>
      <c r="AL204" s="44" t="e">
        <f t="shared" si="7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2"/>
        <v>0</v>
      </c>
      <c r="AO204" s="47">
        <f t="shared" si="73"/>
        <v>0</v>
      </c>
      <c r="AP204" s="47" t="e">
        <f t="shared" si="74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22">
        <f t="shared" si="75"/>
        <v>0</v>
      </c>
      <c r="AB205" s="51">
        <f t="shared" si="64"/>
        <v>0</v>
      </c>
      <c r="AC205" s="44">
        <f t="shared" si="65"/>
        <v>0</v>
      </c>
      <c r="AD205" s="44">
        <f t="shared" si="66"/>
        <v>0</v>
      </c>
      <c r="AE205" s="44">
        <f t="shared" si="67"/>
        <v>0</v>
      </c>
      <c r="AF205" s="52" t="e">
        <f>HLOOKUP(I205,ElecAvoidedCostsWOCC!$A$5:$Q$50,G205+1,FALSE)</f>
        <v>#N/A</v>
      </c>
      <c r="AG205" s="44" t="e">
        <f t="shared" si="68"/>
        <v>#N/A</v>
      </c>
      <c r="AH205" s="52" t="e">
        <f>HLOOKUP(I205,ElecAvoidedCostsWOCC!$A$5:$Q$50,T205+1,FALSE)</f>
        <v>#N/A</v>
      </c>
      <c r="AI205" s="44" t="e">
        <f t="shared" si="69"/>
        <v>#N/A</v>
      </c>
      <c r="AJ205" s="44" t="e">
        <f t="shared" si="70"/>
        <v>#N/A</v>
      </c>
      <c r="AK205" s="44" t="e">
        <f>HLOOKUP(I205,ElecAvoidedCostsWOCC!$A$5:$Q$50,G205+1,FALSE)*J205*L205</f>
        <v>#N/A</v>
      </c>
      <c r="AL205" s="44" t="e">
        <f t="shared" si="7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2"/>
        <v>0</v>
      </c>
      <c r="AO205" s="47">
        <f t="shared" si="73"/>
        <v>0</v>
      </c>
      <c r="AP205" s="47" t="e">
        <f t="shared" si="74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22">
        <f t="shared" si="75"/>
        <v>0</v>
      </c>
      <c r="AB206" s="51">
        <f t="shared" si="64"/>
        <v>0</v>
      </c>
      <c r="AC206" s="44">
        <f t="shared" si="65"/>
        <v>0</v>
      </c>
      <c r="AD206" s="44">
        <f t="shared" si="66"/>
        <v>0</v>
      </c>
      <c r="AE206" s="44">
        <f t="shared" si="67"/>
        <v>0</v>
      </c>
      <c r="AF206" s="52" t="e">
        <f>HLOOKUP(I206,ElecAvoidedCostsWOCC!$A$5:$Q$50,G206+1,FALSE)</f>
        <v>#N/A</v>
      </c>
      <c r="AG206" s="44" t="e">
        <f t="shared" si="68"/>
        <v>#N/A</v>
      </c>
      <c r="AH206" s="52" t="e">
        <f>HLOOKUP(I206,ElecAvoidedCostsWOCC!$A$5:$Q$50,T206+1,FALSE)</f>
        <v>#N/A</v>
      </c>
      <c r="AI206" s="44" t="e">
        <f t="shared" si="69"/>
        <v>#N/A</v>
      </c>
      <c r="AJ206" s="44" t="e">
        <f t="shared" si="70"/>
        <v>#N/A</v>
      </c>
      <c r="AK206" s="44" t="e">
        <f>HLOOKUP(I206,ElecAvoidedCostsWOCC!$A$5:$Q$50,G206+1,FALSE)*J206*L206</f>
        <v>#N/A</v>
      </c>
      <c r="AL206" s="44" t="e">
        <f t="shared" si="7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2"/>
        <v>0</v>
      </c>
      <c r="AO206" s="47">
        <f t="shared" si="73"/>
        <v>0</v>
      </c>
      <c r="AP206" s="47" t="e">
        <f t="shared" si="74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22">
        <f t="shared" si="75"/>
        <v>0</v>
      </c>
      <c r="AB207" s="51">
        <f t="shared" si="64"/>
        <v>0</v>
      </c>
      <c r="AC207" s="44">
        <f t="shared" si="65"/>
        <v>0</v>
      </c>
      <c r="AD207" s="44">
        <f t="shared" si="66"/>
        <v>0</v>
      </c>
      <c r="AE207" s="44">
        <f t="shared" si="67"/>
        <v>0</v>
      </c>
      <c r="AF207" s="52" t="e">
        <f>HLOOKUP(I207,ElecAvoidedCostsWOCC!$A$5:$Q$50,G207+1,FALSE)</f>
        <v>#N/A</v>
      </c>
      <c r="AG207" s="44" t="e">
        <f t="shared" si="68"/>
        <v>#N/A</v>
      </c>
      <c r="AH207" s="52" t="e">
        <f>HLOOKUP(I207,ElecAvoidedCostsWOCC!$A$5:$Q$50,T207+1,FALSE)</f>
        <v>#N/A</v>
      </c>
      <c r="AI207" s="44" t="e">
        <f t="shared" si="69"/>
        <v>#N/A</v>
      </c>
      <c r="AJ207" s="44" t="e">
        <f t="shared" si="70"/>
        <v>#N/A</v>
      </c>
      <c r="AK207" s="44" t="e">
        <f>HLOOKUP(I207,ElecAvoidedCostsWOCC!$A$5:$Q$50,G207+1,FALSE)*J207*L207</f>
        <v>#N/A</v>
      </c>
      <c r="AL207" s="44" t="e">
        <f t="shared" si="7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2"/>
        <v>0</v>
      </c>
      <c r="AO207" s="47">
        <f t="shared" si="73"/>
        <v>0</v>
      </c>
      <c r="AP207" s="47" t="e">
        <f t="shared" si="74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22">
        <f t="shared" si="75"/>
        <v>0</v>
      </c>
      <c r="AB208" s="51">
        <f t="shared" si="64"/>
        <v>0</v>
      </c>
      <c r="AC208" s="44">
        <f t="shared" si="65"/>
        <v>0</v>
      </c>
      <c r="AD208" s="44">
        <f t="shared" si="66"/>
        <v>0</v>
      </c>
      <c r="AE208" s="44">
        <f t="shared" si="67"/>
        <v>0</v>
      </c>
      <c r="AF208" s="52" t="e">
        <f>HLOOKUP(I208,ElecAvoidedCostsWOCC!$A$5:$Q$50,G208+1,FALSE)</f>
        <v>#N/A</v>
      </c>
      <c r="AG208" s="44" t="e">
        <f t="shared" si="68"/>
        <v>#N/A</v>
      </c>
      <c r="AH208" s="52" t="e">
        <f>HLOOKUP(I208,ElecAvoidedCostsWOCC!$A$5:$Q$50,T208+1,FALSE)</f>
        <v>#N/A</v>
      </c>
      <c r="AI208" s="44" t="e">
        <f t="shared" si="69"/>
        <v>#N/A</v>
      </c>
      <c r="AJ208" s="44" t="e">
        <f t="shared" si="70"/>
        <v>#N/A</v>
      </c>
      <c r="AK208" s="44" t="e">
        <f>HLOOKUP(I208,ElecAvoidedCostsWOCC!$A$5:$Q$50,G208+1,FALSE)*J208*L208</f>
        <v>#N/A</v>
      </c>
      <c r="AL208" s="44" t="e">
        <f t="shared" si="7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2"/>
        <v>0</v>
      </c>
      <c r="AO208" s="47">
        <f t="shared" si="73"/>
        <v>0</v>
      </c>
      <c r="AP208" s="47" t="e">
        <f t="shared" si="74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22">
        <f t="shared" si="75"/>
        <v>0</v>
      </c>
      <c r="AB209" s="51">
        <f t="shared" si="64"/>
        <v>0</v>
      </c>
      <c r="AC209" s="44">
        <f t="shared" si="65"/>
        <v>0</v>
      </c>
      <c r="AD209" s="44">
        <f t="shared" si="66"/>
        <v>0</v>
      </c>
      <c r="AE209" s="44">
        <f t="shared" si="67"/>
        <v>0</v>
      </c>
      <c r="AF209" s="52" t="e">
        <f>HLOOKUP(I209,ElecAvoidedCostsWOCC!$A$5:$Q$50,G209+1,FALSE)</f>
        <v>#N/A</v>
      </c>
      <c r="AG209" s="44" t="e">
        <f t="shared" si="68"/>
        <v>#N/A</v>
      </c>
      <c r="AH209" s="52" t="e">
        <f>HLOOKUP(I209,ElecAvoidedCostsWOCC!$A$5:$Q$50,T209+1,FALSE)</f>
        <v>#N/A</v>
      </c>
      <c r="AI209" s="44" t="e">
        <f t="shared" si="69"/>
        <v>#N/A</v>
      </c>
      <c r="AJ209" s="44" t="e">
        <f t="shared" si="70"/>
        <v>#N/A</v>
      </c>
      <c r="AK209" s="44" t="e">
        <f>HLOOKUP(I209,ElecAvoidedCostsWOCC!$A$5:$Q$50,G209+1,FALSE)*J209*L209</f>
        <v>#N/A</v>
      </c>
      <c r="AL209" s="44" t="e">
        <f t="shared" si="7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2"/>
        <v>0</v>
      </c>
      <c r="AO209" s="47">
        <f t="shared" si="73"/>
        <v>0</v>
      </c>
      <c r="AP209" s="47" t="e">
        <f t="shared" si="74"/>
        <v>#DIV/0!</v>
      </c>
    </row>
    <row r="210" spans="2:42">
      <c r="B210" s="9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22">
        <f t="shared" si="75"/>
        <v>0</v>
      </c>
      <c r="AB210" s="51">
        <f t="shared" si="64"/>
        <v>0</v>
      </c>
      <c r="AC210" s="44">
        <f t="shared" si="65"/>
        <v>0</v>
      </c>
      <c r="AD210" s="44">
        <f t="shared" si="66"/>
        <v>0</v>
      </c>
      <c r="AE210" s="44">
        <f t="shared" si="67"/>
        <v>0</v>
      </c>
      <c r="AF210" s="52" t="e">
        <f>HLOOKUP(I210,ElecAvoidedCostsWOCC!$A$5:$Q$50,G210+1,FALSE)</f>
        <v>#N/A</v>
      </c>
      <c r="AG210" s="44" t="e">
        <f t="shared" si="68"/>
        <v>#N/A</v>
      </c>
      <c r="AH210" s="52" t="e">
        <f>HLOOKUP(I210,ElecAvoidedCostsWOCC!$A$5:$Q$50,T210+1,FALSE)</f>
        <v>#N/A</v>
      </c>
      <c r="AI210" s="44" t="e">
        <f t="shared" si="69"/>
        <v>#N/A</v>
      </c>
      <c r="AJ210" s="44" t="e">
        <f t="shared" si="70"/>
        <v>#N/A</v>
      </c>
      <c r="AK210" s="44" t="e">
        <f>HLOOKUP(I210,ElecAvoidedCostsWOCC!$A$5:$Q$50,G210+1,FALSE)*J210*L210</f>
        <v>#N/A</v>
      </c>
      <c r="AL210" s="44" t="e">
        <f t="shared" si="7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2"/>
        <v>0</v>
      </c>
      <c r="AO210" s="47">
        <f t="shared" si="73"/>
        <v>0</v>
      </c>
      <c r="AP210" s="47" t="e">
        <f t="shared" si="74"/>
        <v>#DIV/0!</v>
      </c>
    </row>
    <row r="211" spans="2:42">
      <c r="B211" s="9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22">
        <f t="shared" si="75"/>
        <v>0</v>
      </c>
      <c r="AB211" s="51">
        <f t="shared" si="64"/>
        <v>0</v>
      </c>
      <c r="AC211" s="44">
        <f t="shared" si="65"/>
        <v>0</v>
      </c>
      <c r="AD211" s="44">
        <f t="shared" si="66"/>
        <v>0</v>
      </c>
      <c r="AE211" s="44">
        <f t="shared" si="67"/>
        <v>0</v>
      </c>
      <c r="AF211" s="52" t="e">
        <f>HLOOKUP(I211,ElecAvoidedCostsWOCC!$A$5:$Q$50,G211+1,FALSE)</f>
        <v>#N/A</v>
      </c>
      <c r="AG211" s="44" t="e">
        <f t="shared" si="68"/>
        <v>#N/A</v>
      </c>
      <c r="AH211" s="52" t="e">
        <f>HLOOKUP(I211,ElecAvoidedCostsWOCC!$A$5:$Q$50,T211+1,FALSE)</f>
        <v>#N/A</v>
      </c>
      <c r="AI211" s="44" t="e">
        <f t="shared" si="69"/>
        <v>#N/A</v>
      </c>
      <c r="AJ211" s="44" t="e">
        <f t="shared" si="70"/>
        <v>#N/A</v>
      </c>
      <c r="AK211" s="44" t="e">
        <f>HLOOKUP(I211,ElecAvoidedCostsWOCC!$A$5:$Q$50,G211+1,FALSE)*J211*L211</f>
        <v>#N/A</v>
      </c>
      <c r="AL211" s="44" t="e">
        <f t="shared" si="7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2"/>
        <v>0</v>
      </c>
      <c r="AO211" s="47">
        <f t="shared" si="73"/>
        <v>0</v>
      </c>
      <c r="AP211" s="47" t="e">
        <f t="shared" si="7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22">
        <f t="shared" si="75"/>
        <v>0</v>
      </c>
      <c r="AB212" s="51">
        <f t="shared" si="64"/>
        <v>0</v>
      </c>
      <c r="AC212" s="44">
        <f t="shared" si="65"/>
        <v>0</v>
      </c>
      <c r="AD212" s="44">
        <f t="shared" si="66"/>
        <v>0</v>
      </c>
      <c r="AE212" s="44">
        <f t="shared" si="67"/>
        <v>0</v>
      </c>
      <c r="AF212" s="52" t="e">
        <f>HLOOKUP(I212,ElecAvoidedCostsWOCC!$A$5:$Q$50,G212+1,FALSE)</f>
        <v>#N/A</v>
      </c>
      <c r="AG212" s="44" t="e">
        <f t="shared" si="68"/>
        <v>#N/A</v>
      </c>
      <c r="AH212" s="52" t="e">
        <f>HLOOKUP(I212,ElecAvoidedCostsWOCC!$A$5:$Q$50,T212+1,FALSE)</f>
        <v>#N/A</v>
      </c>
      <c r="AI212" s="44" t="e">
        <f t="shared" si="69"/>
        <v>#N/A</v>
      </c>
      <c r="AJ212" s="44" t="e">
        <f t="shared" si="70"/>
        <v>#N/A</v>
      </c>
      <c r="AK212" s="44" t="e">
        <f>HLOOKUP(I212,ElecAvoidedCostsWOCC!$A$5:$Q$50,G212+1,FALSE)*J212*L212</f>
        <v>#N/A</v>
      </c>
      <c r="AL212" s="44" t="e">
        <f t="shared" si="7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2"/>
        <v>0</v>
      </c>
      <c r="AO212" s="47">
        <f t="shared" si="73"/>
        <v>0</v>
      </c>
      <c r="AP212" s="47" t="e">
        <f t="shared" si="7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22">
        <f t="shared" si="75"/>
        <v>0</v>
      </c>
      <c r="AB213" s="51">
        <f t="shared" si="64"/>
        <v>0</v>
      </c>
      <c r="AC213" s="44">
        <f t="shared" si="65"/>
        <v>0</v>
      </c>
      <c r="AD213" s="44">
        <f t="shared" si="66"/>
        <v>0</v>
      </c>
      <c r="AE213" s="44">
        <f t="shared" si="67"/>
        <v>0</v>
      </c>
      <c r="AF213" s="52" t="e">
        <f>HLOOKUP(I213,ElecAvoidedCostsWOCC!$A$5:$Q$50,G213+1,FALSE)</f>
        <v>#N/A</v>
      </c>
      <c r="AG213" s="44" t="e">
        <f t="shared" si="68"/>
        <v>#N/A</v>
      </c>
      <c r="AH213" s="52" t="e">
        <f>HLOOKUP(I213,ElecAvoidedCostsWOCC!$A$5:$Q$50,T213+1,FALSE)</f>
        <v>#N/A</v>
      </c>
      <c r="AI213" s="44" t="e">
        <f t="shared" si="69"/>
        <v>#N/A</v>
      </c>
      <c r="AJ213" s="44" t="e">
        <f t="shared" si="70"/>
        <v>#N/A</v>
      </c>
      <c r="AK213" s="44" t="e">
        <f>HLOOKUP(I213,ElecAvoidedCostsWOCC!$A$5:$Q$50,G213+1,FALSE)*J213*L213</f>
        <v>#N/A</v>
      </c>
      <c r="AL213" s="44" t="e">
        <f t="shared" si="7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2"/>
        <v>0</v>
      </c>
      <c r="AO213" s="47">
        <f t="shared" si="73"/>
        <v>0</v>
      </c>
      <c r="AP213" s="47" t="e">
        <f t="shared" si="7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22">
        <f t="shared" si="75"/>
        <v>0</v>
      </c>
      <c r="AB214" s="51">
        <f t="shared" si="64"/>
        <v>0</v>
      </c>
      <c r="AC214" s="44">
        <f t="shared" si="65"/>
        <v>0</v>
      </c>
      <c r="AD214" s="44">
        <f t="shared" si="66"/>
        <v>0</v>
      </c>
      <c r="AE214" s="44">
        <f t="shared" si="67"/>
        <v>0</v>
      </c>
      <c r="AF214" s="52" t="e">
        <f>HLOOKUP(I214,ElecAvoidedCostsWOCC!$A$5:$Q$50,G214+1,FALSE)</f>
        <v>#N/A</v>
      </c>
      <c r="AG214" s="44" t="e">
        <f t="shared" si="68"/>
        <v>#N/A</v>
      </c>
      <c r="AH214" s="52" t="e">
        <f>HLOOKUP(I214,ElecAvoidedCostsWOCC!$A$5:$Q$50,T214+1,FALSE)</f>
        <v>#N/A</v>
      </c>
      <c r="AI214" s="44" t="e">
        <f t="shared" si="69"/>
        <v>#N/A</v>
      </c>
      <c r="AJ214" s="44" t="e">
        <f t="shared" si="70"/>
        <v>#N/A</v>
      </c>
      <c r="AK214" s="44" t="e">
        <f>HLOOKUP(I214,ElecAvoidedCostsWOCC!$A$5:$Q$50,G214+1,FALSE)*J214*L214</f>
        <v>#N/A</v>
      </c>
      <c r="AL214" s="44" t="e">
        <f t="shared" si="7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2"/>
        <v>0</v>
      </c>
      <c r="AO214" s="47">
        <f t="shared" si="73"/>
        <v>0</v>
      </c>
      <c r="AP214" s="47" t="e">
        <f t="shared" si="7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22">
        <f t="shared" si="75"/>
        <v>0</v>
      </c>
      <c r="AB215" s="51">
        <f t="shared" si="64"/>
        <v>0</v>
      </c>
      <c r="AC215" s="44">
        <f t="shared" si="65"/>
        <v>0</v>
      </c>
      <c r="AD215" s="44">
        <f t="shared" si="66"/>
        <v>0</v>
      </c>
      <c r="AE215" s="44">
        <f t="shared" si="67"/>
        <v>0</v>
      </c>
      <c r="AF215" s="52" t="e">
        <f>HLOOKUP(I215,ElecAvoidedCostsWOCC!$A$5:$Q$50,G215+1,FALSE)</f>
        <v>#N/A</v>
      </c>
      <c r="AG215" s="44" t="e">
        <f t="shared" si="68"/>
        <v>#N/A</v>
      </c>
      <c r="AH215" s="52" t="e">
        <f>HLOOKUP(I215,ElecAvoidedCostsWOCC!$A$5:$Q$50,T215+1,FALSE)</f>
        <v>#N/A</v>
      </c>
      <c r="AI215" s="44" t="e">
        <f t="shared" si="69"/>
        <v>#N/A</v>
      </c>
      <c r="AJ215" s="44" t="e">
        <f t="shared" si="70"/>
        <v>#N/A</v>
      </c>
      <c r="AK215" s="44" t="e">
        <f>HLOOKUP(I215,ElecAvoidedCostsWOCC!$A$5:$Q$50,G215+1,FALSE)*J215*L215</f>
        <v>#N/A</v>
      </c>
      <c r="AL215" s="44" t="e">
        <f t="shared" si="7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2"/>
        <v>0</v>
      </c>
      <c r="AO215" s="47">
        <f t="shared" si="73"/>
        <v>0</v>
      </c>
      <c r="AP215" s="47" t="e">
        <f t="shared" si="7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ref="T216:T232" si="76">G216+H216</f>
        <v>0</v>
      </c>
      <c r="U216" s="47">
        <f t="shared" ref="U216:U232" si="77">(O216/$A$10)*T216</f>
        <v>0</v>
      </c>
      <c r="V216" s="48">
        <f t="shared" ref="V216:V232" si="78">N216-M216</f>
        <v>0</v>
      </c>
      <c r="W216" s="49">
        <f t="shared" ref="W216:W232" si="79">(O216/A$10)</f>
        <v>0</v>
      </c>
      <c r="X216" s="44">
        <f t="shared" ref="X216:X232" si="80">W216*A$8</f>
        <v>0</v>
      </c>
      <c r="Y216" s="44">
        <f t="shared" ref="Y216:Y232" si="81">Q216-P216</f>
        <v>0</v>
      </c>
      <c r="Z216" s="44">
        <f t="shared" ref="Z216:Z232" si="82">X216+(A$6*W216)</f>
        <v>0</v>
      </c>
      <c r="AA216" s="522">
        <f t="shared" si="75"/>
        <v>0</v>
      </c>
      <c r="AB216" s="51">
        <f t="shared" ref="AB216:AB232" si="83">Z216/(1+ElecDiscountRate)^1</f>
        <v>0</v>
      </c>
      <c r="AC216" s="44">
        <f t="shared" ref="AC216:AC232" si="84">AA216/(1+ElecDiscountRate)^1</f>
        <v>0</v>
      </c>
      <c r="AD216" s="44">
        <f t="shared" ref="AD216:AD232" si="85">-PV(ElecDiscountRate,T216,R216)*J216</f>
        <v>0</v>
      </c>
      <c r="AE216" s="44">
        <f t="shared" ref="AE216:AE232" si="86">-PV(ElecDiscountRate,T216,S216)*J216</f>
        <v>0</v>
      </c>
      <c r="AF216" s="52" t="e">
        <f>HLOOKUP(I216,ElecAvoidedCostsWOCC!$A$5:$Q$50,G216+1,FALSE)</f>
        <v>#N/A</v>
      </c>
      <c r="AG216" s="44" t="e">
        <f t="shared" ref="AG216:AG232" si="87">AF216*J216*K216</f>
        <v>#N/A</v>
      </c>
      <c r="AH216" s="52" t="e">
        <f>HLOOKUP(I216,ElecAvoidedCostsWOCC!$A$5:$Q$50,T216+1,FALSE)</f>
        <v>#N/A</v>
      </c>
      <c r="AI216" s="44" t="e">
        <f t="shared" ref="AI216:AI232" si="88">AH216*J216*L216</f>
        <v>#N/A</v>
      </c>
      <c r="AJ216" s="44" t="e">
        <f t="shared" ref="AJ216:AJ232" si="89">AG216+AI216</f>
        <v>#N/A</v>
      </c>
      <c r="AK216" s="44" t="e">
        <f>HLOOKUP(I216,ElecAvoidedCostsWOCC!$A$5:$Q$50,G216+1,FALSE)*J216*L216</f>
        <v>#N/A</v>
      </c>
      <c r="AL216" s="44" t="e">
        <f t="shared" ref="AL216:AL232" si="90">AG216+AI216-AK216</f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ref="AN216:AN232" si="91">AM216*1.1+AD216+AE216</f>
        <v>0</v>
      </c>
      <c r="AO216" s="47">
        <f t="shared" ref="AO216:AO232" si="92">IFERROR(AM216/AB216,0)</f>
        <v>0</v>
      </c>
      <c r="AP216" s="47" t="e">
        <f t="shared" ref="AP216:AP232" si="93">AN216/AC216</f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22">
        <f t="shared" si="75"/>
        <v>0</v>
      </c>
      <c r="AB217" s="51">
        <f t="shared" si="83"/>
        <v>0</v>
      </c>
      <c r="AC217" s="44">
        <f t="shared" si="84"/>
        <v>0</v>
      </c>
      <c r="AD217" s="44">
        <f t="shared" si="85"/>
        <v>0</v>
      </c>
      <c r="AE217" s="44">
        <f t="shared" si="86"/>
        <v>0</v>
      </c>
      <c r="AF217" s="52" t="e">
        <f>HLOOKUP(I217,ElecAvoidedCostsWOCC!$A$5:$Q$50,G217+1,FALSE)</f>
        <v>#N/A</v>
      </c>
      <c r="AG217" s="44" t="e">
        <f t="shared" si="87"/>
        <v>#N/A</v>
      </c>
      <c r="AH217" s="52" t="e">
        <f>HLOOKUP(I217,ElecAvoidedCostsWOCC!$A$5:$Q$50,T217+1,FALSE)</f>
        <v>#N/A</v>
      </c>
      <c r="AI217" s="44" t="e">
        <f t="shared" si="88"/>
        <v>#N/A</v>
      </c>
      <c r="AJ217" s="44" t="e">
        <f t="shared" si="89"/>
        <v>#N/A</v>
      </c>
      <c r="AK217" s="44" t="e">
        <f>HLOOKUP(I217,ElecAvoidedCostsWOCC!$A$5:$Q$50,G217+1,FALSE)*J217*L217</f>
        <v>#N/A</v>
      </c>
      <c r="AL217" s="44" t="e">
        <f t="shared" si="9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1"/>
        <v>0</v>
      </c>
      <c r="AO217" s="47">
        <f t="shared" si="92"/>
        <v>0</v>
      </c>
      <c r="AP217" s="47" t="e">
        <f t="shared" si="93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22">
        <f t="shared" si="75"/>
        <v>0</v>
      </c>
      <c r="AB218" s="51">
        <f t="shared" si="83"/>
        <v>0</v>
      </c>
      <c r="AC218" s="44">
        <f t="shared" si="84"/>
        <v>0</v>
      </c>
      <c r="AD218" s="44">
        <f t="shared" si="85"/>
        <v>0</v>
      </c>
      <c r="AE218" s="44">
        <f t="shared" si="86"/>
        <v>0</v>
      </c>
      <c r="AF218" s="52" t="e">
        <f>HLOOKUP(I218,ElecAvoidedCostsWOCC!$A$5:$Q$50,G218+1,FALSE)</f>
        <v>#N/A</v>
      </c>
      <c r="AG218" s="44" t="e">
        <f t="shared" si="87"/>
        <v>#N/A</v>
      </c>
      <c r="AH218" s="52" t="e">
        <f>HLOOKUP(I218,ElecAvoidedCostsWOCC!$A$5:$Q$50,T218+1,FALSE)</f>
        <v>#N/A</v>
      </c>
      <c r="AI218" s="44" t="e">
        <f t="shared" si="88"/>
        <v>#N/A</v>
      </c>
      <c r="AJ218" s="44" t="e">
        <f t="shared" si="89"/>
        <v>#N/A</v>
      </c>
      <c r="AK218" s="44" t="e">
        <f>HLOOKUP(I218,ElecAvoidedCostsWOCC!$A$5:$Q$50,G218+1,FALSE)*J218*L218</f>
        <v>#N/A</v>
      </c>
      <c r="AL218" s="44" t="e">
        <f t="shared" si="9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1"/>
        <v>0</v>
      </c>
      <c r="AO218" s="47">
        <f t="shared" si="92"/>
        <v>0</v>
      </c>
      <c r="AP218" s="47" t="e">
        <f t="shared" si="93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22">
        <f t="shared" si="75"/>
        <v>0</v>
      </c>
      <c r="AB219" s="51">
        <f t="shared" si="83"/>
        <v>0</v>
      </c>
      <c r="AC219" s="44">
        <f t="shared" si="84"/>
        <v>0</v>
      </c>
      <c r="AD219" s="44">
        <f t="shared" si="85"/>
        <v>0</v>
      </c>
      <c r="AE219" s="44">
        <f t="shared" si="86"/>
        <v>0</v>
      </c>
      <c r="AF219" s="52" t="e">
        <f>HLOOKUP(I219,ElecAvoidedCostsWOCC!$A$5:$Q$50,G219+1,FALSE)</f>
        <v>#N/A</v>
      </c>
      <c r="AG219" s="44" t="e">
        <f t="shared" si="87"/>
        <v>#N/A</v>
      </c>
      <c r="AH219" s="52" t="e">
        <f>HLOOKUP(I219,ElecAvoidedCostsWOCC!$A$5:$Q$50,T219+1,FALSE)</f>
        <v>#N/A</v>
      </c>
      <c r="AI219" s="44" t="e">
        <f t="shared" si="88"/>
        <v>#N/A</v>
      </c>
      <c r="AJ219" s="44" t="e">
        <f t="shared" si="89"/>
        <v>#N/A</v>
      </c>
      <c r="AK219" s="44" t="e">
        <f>HLOOKUP(I219,ElecAvoidedCostsWOCC!$A$5:$Q$50,G219+1,FALSE)*J219*L219</f>
        <v>#N/A</v>
      </c>
      <c r="AL219" s="44" t="e">
        <f t="shared" si="9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1"/>
        <v>0</v>
      </c>
      <c r="AO219" s="47">
        <f t="shared" si="92"/>
        <v>0</v>
      </c>
      <c r="AP219" s="47" t="e">
        <f t="shared" si="93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22">
        <f t="shared" si="75"/>
        <v>0</v>
      </c>
      <c r="AB220" s="51">
        <f t="shared" si="83"/>
        <v>0</v>
      </c>
      <c r="AC220" s="44">
        <f t="shared" si="84"/>
        <v>0</v>
      </c>
      <c r="AD220" s="44">
        <f t="shared" si="85"/>
        <v>0</v>
      </c>
      <c r="AE220" s="44">
        <f t="shared" si="86"/>
        <v>0</v>
      </c>
      <c r="AF220" s="52" t="e">
        <f>HLOOKUP(I220,ElecAvoidedCostsWOCC!$A$5:$Q$50,G220+1,FALSE)</f>
        <v>#N/A</v>
      </c>
      <c r="AG220" s="44" t="e">
        <f t="shared" si="87"/>
        <v>#N/A</v>
      </c>
      <c r="AH220" s="52" t="e">
        <f>HLOOKUP(I220,ElecAvoidedCostsWOCC!$A$5:$Q$50,T220+1,FALSE)</f>
        <v>#N/A</v>
      </c>
      <c r="AI220" s="44" t="e">
        <f t="shared" si="88"/>
        <v>#N/A</v>
      </c>
      <c r="AJ220" s="44" t="e">
        <f t="shared" si="89"/>
        <v>#N/A</v>
      </c>
      <c r="AK220" s="44" t="e">
        <f>HLOOKUP(I220,ElecAvoidedCostsWOCC!$A$5:$Q$50,G220+1,FALSE)*J220*L220</f>
        <v>#N/A</v>
      </c>
      <c r="AL220" s="44" t="e">
        <f t="shared" si="9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1"/>
        <v>0</v>
      </c>
      <c r="AO220" s="47">
        <f t="shared" si="92"/>
        <v>0</v>
      </c>
      <c r="AP220" s="47" t="e">
        <f t="shared" si="93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22">
        <f t="shared" si="75"/>
        <v>0</v>
      </c>
      <c r="AB221" s="51">
        <f t="shared" si="83"/>
        <v>0</v>
      </c>
      <c r="AC221" s="44">
        <f t="shared" si="84"/>
        <v>0</v>
      </c>
      <c r="AD221" s="44">
        <f t="shared" si="85"/>
        <v>0</v>
      </c>
      <c r="AE221" s="44">
        <f t="shared" si="86"/>
        <v>0</v>
      </c>
      <c r="AF221" s="52" t="e">
        <f>HLOOKUP(I221,ElecAvoidedCostsWOCC!$A$5:$Q$50,G221+1,FALSE)</f>
        <v>#N/A</v>
      </c>
      <c r="AG221" s="44" t="e">
        <f t="shared" si="87"/>
        <v>#N/A</v>
      </c>
      <c r="AH221" s="52" t="e">
        <f>HLOOKUP(I221,ElecAvoidedCostsWOCC!$A$5:$Q$50,T221+1,FALSE)</f>
        <v>#N/A</v>
      </c>
      <c r="AI221" s="44" t="e">
        <f t="shared" si="88"/>
        <v>#N/A</v>
      </c>
      <c r="AJ221" s="44" t="e">
        <f t="shared" si="89"/>
        <v>#N/A</v>
      </c>
      <c r="AK221" s="44" t="e">
        <f>HLOOKUP(I221,ElecAvoidedCostsWOCC!$A$5:$Q$50,G221+1,FALSE)*J221*L221</f>
        <v>#N/A</v>
      </c>
      <c r="AL221" s="44" t="e">
        <f t="shared" si="9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1"/>
        <v>0</v>
      </c>
      <c r="AO221" s="47">
        <f t="shared" si="92"/>
        <v>0</v>
      </c>
      <c r="AP221" s="47" t="e">
        <f t="shared" si="93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22">
        <f t="shared" si="75"/>
        <v>0</v>
      </c>
      <c r="AB222" s="51">
        <f t="shared" si="83"/>
        <v>0</v>
      </c>
      <c r="AC222" s="44">
        <f t="shared" si="84"/>
        <v>0</v>
      </c>
      <c r="AD222" s="44">
        <f t="shared" si="85"/>
        <v>0</v>
      </c>
      <c r="AE222" s="44">
        <f t="shared" si="86"/>
        <v>0</v>
      </c>
      <c r="AF222" s="52" t="e">
        <f>HLOOKUP(I222,ElecAvoidedCostsWOCC!$A$5:$Q$50,G222+1,FALSE)</f>
        <v>#N/A</v>
      </c>
      <c r="AG222" s="44" t="e">
        <f t="shared" si="87"/>
        <v>#N/A</v>
      </c>
      <c r="AH222" s="52" t="e">
        <f>HLOOKUP(I222,ElecAvoidedCostsWOCC!$A$5:$Q$50,T222+1,FALSE)</f>
        <v>#N/A</v>
      </c>
      <c r="AI222" s="44" t="e">
        <f t="shared" si="88"/>
        <v>#N/A</v>
      </c>
      <c r="AJ222" s="44" t="e">
        <f t="shared" si="89"/>
        <v>#N/A</v>
      </c>
      <c r="AK222" s="44" t="e">
        <f>HLOOKUP(I222,ElecAvoidedCostsWOCC!$A$5:$Q$50,G222+1,FALSE)*J222*L222</f>
        <v>#N/A</v>
      </c>
      <c r="AL222" s="44" t="e">
        <f t="shared" si="9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1"/>
        <v>0</v>
      </c>
      <c r="AO222" s="47">
        <f t="shared" si="92"/>
        <v>0</v>
      </c>
      <c r="AP222" s="47" t="e">
        <f t="shared" si="93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22">
        <f t="shared" si="75"/>
        <v>0</v>
      </c>
      <c r="AB223" s="51">
        <f t="shared" si="83"/>
        <v>0</v>
      </c>
      <c r="AC223" s="44">
        <f t="shared" si="84"/>
        <v>0</v>
      </c>
      <c r="AD223" s="44">
        <f t="shared" si="85"/>
        <v>0</v>
      </c>
      <c r="AE223" s="44">
        <f t="shared" si="86"/>
        <v>0</v>
      </c>
      <c r="AF223" s="52" t="e">
        <f>HLOOKUP(I223,ElecAvoidedCostsWOCC!$A$5:$Q$50,G223+1,FALSE)</f>
        <v>#N/A</v>
      </c>
      <c r="AG223" s="44" t="e">
        <f t="shared" si="87"/>
        <v>#N/A</v>
      </c>
      <c r="AH223" s="52" t="e">
        <f>HLOOKUP(I223,ElecAvoidedCostsWOCC!$A$5:$Q$50,T223+1,FALSE)</f>
        <v>#N/A</v>
      </c>
      <c r="AI223" s="44" t="e">
        <f t="shared" si="88"/>
        <v>#N/A</v>
      </c>
      <c r="AJ223" s="44" t="e">
        <f t="shared" si="89"/>
        <v>#N/A</v>
      </c>
      <c r="AK223" s="44" t="e">
        <f>HLOOKUP(I223,ElecAvoidedCostsWOCC!$A$5:$Q$50,G223+1,FALSE)*J223*L223</f>
        <v>#N/A</v>
      </c>
      <c r="AL223" s="44" t="e">
        <f t="shared" si="9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1"/>
        <v>0</v>
      </c>
      <c r="AO223" s="47">
        <f t="shared" si="92"/>
        <v>0</v>
      </c>
      <c r="AP223" s="47" t="e">
        <f t="shared" si="93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22">
        <f t="shared" si="75"/>
        <v>0</v>
      </c>
      <c r="AB224" s="51">
        <f t="shared" si="83"/>
        <v>0</v>
      </c>
      <c r="AC224" s="44">
        <f t="shared" si="84"/>
        <v>0</v>
      </c>
      <c r="AD224" s="44">
        <f t="shared" si="85"/>
        <v>0</v>
      </c>
      <c r="AE224" s="44">
        <f t="shared" si="86"/>
        <v>0</v>
      </c>
      <c r="AF224" s="52" t="e">
        <f>HLOOKUP(I224,ElecAvoidedCostsWOCC!$A$5:$Q$50,G224+1,FALSE)</f>
        <v>#N/A</v>
      </c>
      <c r="AG224" s="44" t="e">
        <f t="shared" si="87"/>
        <v>#N/A</v>
      </c>
      <c r="AH224" s="52" t="e">
        <f>HLOOKUP(I224,ElecAvoidedCostsWOCC!$A$5:$Q$50,T224+1,FALSE)</f>
        <v>#N/A</v>
      </c>
      <c r="AI224" s="44" t="e">
        <f t="shared" si="88"/>
        <v>#N/A</v>
      </c>
      <c r="AJ224" s="44" t="e">
        <f t="shared" si="89"/>
        <v>#N/A</v>
      </c>
      <c r="AK224" s="44" t="e">
        <f>HLOOKUP(I224,ElecAvoidedCostsWOCC!$A$5:$Q$50,G224+1,FALSE)*J224*L224</f>
        <v>#N/A</v>
      </c>
      <c r="AL224" s="44" t="e">
        <f t="shared" si="9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1"/>
        <v>0</v>
      </c>
      <c r="AO224" s="47">
        <f t="shared" si="92"/>
        <v>0</v>
      </c>
      <c r="AP224" s="47" t="e">
        <f t="shared" si="93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22">
        <f t="shared" si="75"/>
        <v>0</v>
      </c>
      <c r="AB225" s="51">
        <f t="shared" si="83"/>
        <v>0</v>
      </c>
      <c r="AC225" s="44">
        <f t="shared" si="84"/>
        <v>0</v>
      </c>
      <c r="AD225" s="44">
        <f t="shared" si="85"/>
        <v>0</v>
      </c>
      <c r="AE225" s="44">
        <f t="shared" si="86"/>
        <v>0</v>
      </c>
      <c r="AF225" s="52" t="e">
        <f>HLOOKUP(I225,ElecAvoidedCostsWOCC!$A$5:$Q$50,G225+1,FALSE)</f>
        <v>#N/A</v>
      </c>
      <c r="AG225" s="44" t="e">
        <f t="shared" si="87"/>
        <v>#N/A</v>
      </c>
      <c r="AH225" s="52" t="e">
        <f>HLOOKUP(I225,ElecAvoidedCostsWOCC!$A$5:$Q$50,T225+1,FALSE)</f>
        <v>#N/A</v>
      </c>
      <c r="AI225" s="44" t="e">
        <f t="shared" si="88"/>
        <v>#N/A</v>
      </c>
      <c r="AJ225" s="44" t="e">
        <f t="shared" si="89"/>
        <v>#N/A</v>
      </c>
      <c r="AK225" s="44" t="e">
        <f>HLOOKUP(I225,ElecAvoidedCostsWOCC!$A$5:$Q$50,G225+1,FALSE)*J225*L225</f>
        <v>#N/A</v>
      </c>
      <c r="AL225" s="44" t="e">
        <f t="shared" si="9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1"/>
        <v>0</v>
      </c>
      <c r="AO225" s="47">
        <f t="shared" si="92"/>
        <v>0</v>
      </c>
      <c r="AP225" s="47" t="e">
        <f t="shared" si="93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22">
        <f t="shared" si="75"/>
        <v>0</v>
      </c>
      <c r="AB226" s="51">
        <f t="shared" si="83"/>
        <v>0</v>
      </c>
      <c r="AC226" s="44">
        <f t="shared" si="84"/>
        <v>0</v>
      </c>
      <c r="AD226" s="44">
        <f t="shared" si="85"/>
        <v>0</v>
      </c>
      <c r="AE226" s="44">
        <f t="shared" si="86"/>
        <v>0</v>
      </c>
      <c r="AF226" s="52" t="e">
        <f>HLOOKUP(I226,ElecAvoidedCostsWOCC!$A$5:$Q$50,G226+1,FALSE)</f>
        <v>#N/A</v>
      </c>
      <c r="AG226" s="44" t="e">
        <f t="shared" si="87"/>
        <v>#N/A</v>
      </c>
      <c r="AH226" s="52" t="e">
        <f>HLOOKUP(I226,ElecAvoidedCostsWOCC!$A$5:$Q$50,T226+1,FALSE)</f>
        <v>#N/A</v>
      </c>
      <c r="AI226" s="44" t="e">
        <f t="shared" si="88"/>
        <v>#N/A</v>
      </c>
      <c r="AJ226" s="44" t="e">
        <f t="shared" si="89"/>
        <v>#N/A</v>
      </c>
      <c r="AK226" s="44" t="e">
        <f>HLOOKUP(I226,ElecAvoidedCostsWOCC!$A$5:$Q$50,G226+1,FALSE)*J226*L226</f>
        <v>#N/A</v>
      </c>
      <c r="AL226" s="44" t="e">
        <f t="shared" si="9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1"/>
        <v>0</v>
      </c>
      <c r="AO226" s="47">
        <f t="shared" si="92"/>
        <v>0</v>
      </c>
      <c r="AP226" s="47" t="e">
        <f t="shared" si="93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22">
        <f t="shared" si="75"/>
        <v>0</v>
      </c>
      <c r="AB227" s="51">
        <f t="shared" si="83"/>
        <v>0</v>
      </c>
      <c r="AC227" s="44">
        <f t="shared" si="84"/>
        <v>0</v>
      </c>
      <c r="AD227" s="44">
        <f t="shared" si="85"/>
        <v>0</v>
      </c>
      <c r="AE227" s="44">
        <f t="shared" si="86"/>
        <v>0</v>
      </c>
      <c r="AF227" s="52" t="e">
        <f>HLOOKUP(I227,ElecAvoidedCostsWOCC!$A$5:$Q$50,G227+1,FALSE)</f>
        <v>#N/A</v>
      </c>
      <c r="AG227" s="44" t="e">
        <f t="shared" si="87"/>
        <v>#N/A</v>
      </c>
      <c r="AH227" s="52" t="e">
        <f>HLOOKUP(I227,ElecAvoidedCostsWOCC!$A$5:$Q$50,T227+1,FALSE)</f>
        <v>#N/A</v>
      </c>
      <c r="AI227" s="44" t="e">
        <f t="shared" si="88"/>
        <v>#N/A</v>
      </c>
      <c r="AJ227" s="44" t="e">
        <f t="shared" si="89"/>
        <v>#N/A</v>
      </c>
      <c r="AK227" s="44" t="e">
        <f>HLOOKUP(I227,ElecAvoidedCostsWOCC!$A$5:$Q$50,G227+1,FALSE)*J227*L227</f>
        <v>#N/A</v>
      </c>
      <c r="AL227" s="44" t="e">
        <f t="shared" si="9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1"/>
        <v>0</v>
      </c>
      <c r="AO227" s="47">
        <f t="shared" si="92"/>
        <v>0</v>
      </c>
      <c r="AP227" s="47" t="e">
        <f t="shared" si="93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22">
        <f t="shared" si="75"/>
        <v>0</v>
      </c>
      <c r="AB228" s="51">
        <f t="shared" si="83"/>
        <v>0</v>
      </c>
      <c r="AC228" s="44">
        <f t="shared" si="84"/>
        <v>0</v>
      </c>
      <c r="AD228" s="44">
        <f t="shared" si="85"/>
        <v>0</v>
      </c>
      <c r="AE228" s="44">
        <f t="shared" si="86"/>
        <v>0</v>
      </c>
      <c r="AF228" s="52" t="e">
        <f>HLOOKUP(I228,ElecAvoidedCostsWOCC!$A$5:$Q$50,G228+1,FALSE)</f>
        <v>#N/A</v>
      </c>
      <c r="AG228" s="44" t="e">
        <f t="shared" si="87"/>
        <v>#N/A</v>
      </c>
      <c r="AH228" s="52" t="e">
        <f>HLOOKUP(I228,ElecAvoidedCostsWOCC!$A$5:$Q$50,T228+1,FALSE)</f>
        <v>#N/A</v>
      </c>
      <c r="AI228" s="44" t="e">
        <f t="shared" si="88"/>
        <v>#N/A</v>
      </c>
      <c r="AJ228" s="44" t="e">
        <f t="shared" si="89"/>
        <v>#N/A</v>
      </c>
      <c r="AK228" s="44" t="e">
        <f>HLOOKUP(I228,ElecAvoidedCostsWOCC!$A$5:$Q$50,G228+1,FALSE)*J228*L228</f>
        <v>#N/A</v>
      </c>
      <c r="AL228" s="44" t="e">
        <f t="shared" si="9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1"/>
        <v>0</v>
      </c>
      <c r="AO228" s="47">
        <f t="shared" si="92"/>
        <v>0</v>
      </c>
      <c r="AP228" s="47" t="e">
        <f t="shared" si="93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22">
        <f t="shared" si="75"/>
        <v>0</v>
      </c>
      <c r="AB229" s="51">
        <f t="shared" si="83"/>
        <v>0</v>
      </c>
      <c r="AC229" s="44">
        <f t="shared" si="84"/>
        <v>0</v>
      </c>
      <c r="AD229" s="44">
        <f t="shared" si="85"/>
        <v>0</v>
      </c>
      <c r="AE229" s="44">
        <f t="shared" si="86"/>
        <v>0</v>
      </c>
      <c r="AF229" s="52" t="e">
        <f>HLOOKUP(I229,ElecAvoidedCostsWOCC!$A$5:$Q$50,G229+1,FALSE)</f>
        <v>#N/A</v>
      </c>
      <c r="AG229" s="44" t="e">
        <f t="shared" si="87"/>
        <v>#N/A</v>
      </c>
      <c r="AH229" s="52" t="e">
        <f>HLOOKUP(I229,ElecAvoidedCostsWOCC!$A$5:$Q$50,T229+1,FALSE)</f>
        <v>#N/A</v>
      </c>
      <c r="AI229" s="44" t="e">
        <f t="shared" si="88"/>
        <v>#N/A</v>
      </c>
      <c r="AJ229" s="44" t="e">
        <f t="shared" si="89"/>
        <v>#N/A</v>
      </c>
      <c r="AK229" s="44" t="e">
        <f>HLOOKUP(I229,ElecAvoidedCostsWOCC!$A$5:$Q$50,G229+1,FALSE)*J229*L229</f>
        <v>#N/A</v>
      </c>
      <c r="AL229" s="44" t="e">
        <f t="shared" si="9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1"/>
        <v>0</v>
      </c>
      <c r="AO229" s="47">
        <f t="shared" si="92"/>
        <v>0</v>
      </c>
      <c r="AP229" s="47" t="e">
        <f t="shared" si="93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22">
        <f t="shared" si="75"/>
        <v>0</v>
      </c>
      <c r="AB230" s="51">
        <f t="shared" si="83"/>
        <v>0</v>
      </c>
      <c r="AC230" s="44">
        <f t="shared" si="84"/>
        <v>0</v>
      </c>
      <c r="AD230" s="44">
        <f t="shared" si="85"/>
        <v>0</v>
      </c>
      <c r="AE230" s="44">
        <f t="shared" si="86"/>
        <v>0</v>
      </c>
      <c r="AF230" s="52" t="e">
        <f>HLOOKUP(I230,ElecAvoidedCostsWOCC!$A$5:$Q$50,G230+1,FALSE)</f>
        <v>#N/A</v>
      </c>
      <c r="AG230" s="44" t="e">
        <f t="shared" si="87"/>
        <v>#N/A</v>
      </c>
      <c r="AH230" s="52" t="e">
        <f>HLOOKUP(I230,ElecAvoidedCostsWOCC!$A$5:$Q$50,T230+1,FALSE)</f>
        <v>#N/A</v>
      </c>
      <c r="AI230" s="44" t="e">
        <f t="shared" si="88"/>
        <v>#N/A</v>
      </c>
      <c r="AJ230" s="44" t="e">
        <f t="shared" si="89"/>
        <v>#N/A</v>
      </c>
      <c r="AK230" s="44" t="e">
        <f>HLOOKUP(I230,ElecAvoidedCostsWOCC!$A$5:$Q$50,G230+1,FALSE)*J230*L230</f>
        <v>#N/A</v>
      </c>
      <c r="AL230" s="44" t="e">
        <f t="shared" si="9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1"/>
        <v>0</v>
      </c>
      <c r="AO230" s="47">
        <f t="shared" si="92"/>
        <v>0</v>
      </c>
      <c r="AP230" s="47" t="e">
        <f t="shared" si="93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22">
        <f t="shared" si="75"/>
        <v>0</v>
      </c>
      <c r="AB231" s="51">
        <f t="shared" si="83"/>
        <v>0</v>
      </c>
      <c r="AC231" s="44">
        <f t="shared" si="84"/>
        <v>0</v>
      </c>
      <c r="AD231" s="44">
        <f t="shared" si="85"/>
        <v>0</v>
      </c>
      <c r="AE231" s="44">
        <f t="shared" si="86"/>
        <v>0</v>
      </c>
      <c r="AF231" s="52" t="e">
        <f>HLOOKUP(I231,ElecAvoidedCostsWOCC!$A$5:$Q$50,G231+1,FALSE)</f>
        <v>#N/A</v>
      </c>
      <c r="AG231" s="44" t="e">
        <f t="shared" si="87"/>
        <v>#N/A</v>
      </c>
      <c r="AH231" s="52" t="e">
        <f>HLOOKUP(I231,ElecAvoidedCostsWOCC!$A$5:$Q$50,T231+1,FALSE)</f>
        <v>#N/A</v>
      </c>
      <c r="AI231" s="44" t="e">
        <f t="shared" si="88"/>
        <v>#N/A</v>
      </c>
      <c r="AJ231" s="44" t="e">
        <f t="shared" si="89"/>
        <v>#N/A</v>
      </c>
      <c r="AK231" s="44" t="e">
        <f>HLOOKUP(I231,ElecAvoidedCostsWOCC!$A$5:$Q$50,G231+1,FALSE)*J231*L231</f>
        <v>#N/A</v>
      </c>
      <c r="AL231" s="44" t="e">
        <f t="shared" si="90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1"/>
        <v>0</v>
      </c>
      <c r="AO231" s="47">
        <f t="shared" si="92"/>
        <v>0</v>
      </c>
      <c r="AP231" s="47" t="e">
        <f t="shared" si="93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22">
        <f t="shared" si="75"/>
        <v>0</v>
      </c>
      <c r="AB232" s="51">
        <f t="shared" si="83"/>
        <v>0</v>
      </c>
      <c r="AC232" s="44">
        <f t="shared" si="84"/>
        <v>0</v>
      </c>
      <c r="AD232" s="44">
        <f t="shared" si="85"/>
        <v>0</v>
      </c>
      <c r="AE232" s="44">
        <f t="shared" si="86"/>
        <v>0</v>
      </c>
      <c r="AF232" s="52" t="e">
        <f>HLOOKUP(I232,ElecAvoidedCostsWOCC!$A$5:$Q$50,G232+1,FALSE)</f>
        <v>#N/A</v>
      </c>
      <c r="AG232" s="44" t="e">
        <f t="shared" si="87"/>
        <v>#N/A</v>
      </c>
      <c r="AH232" s="52" t="e">
        <f>HLOOKUP(I232,ElecAvoidedCostsWOCC!$A$5:$Q$50,T232+1,FALSE)</f>
        <v>#N/A</v>
      </c>
      <c r="AI232" s="44" t="e">
        <f t="shared" si="88"/>
        <v>#N/A</v>
      </c>
      <c r="AJ232" s="44" t="e">
        <f t="shared" si="89"/>
        <v>#N/A</v>
      </c>
      <c r="AK232" s="44" t="e">
        <f>HLOOKUP(I232,ElecAvoidedCostsWOCC!$A$5:$Q$50,G232+1,FALSE)*J232*L232</f>
        <v>#N/A</v>
      </c>
      <c r="AL232" s="44" t="e">
        <f t="shared" si="90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1"/>
        <v>0</v>
      </c>
      <c r="AO232" s="47">
        <f t="shared" si="92"/>
        <v>0</v>
      </c>
      <c r="AP232" s="47" t="e">
        <f t="shared" si="93"/>
        <v>#DIV/0!</v>
      </c>
    </row>
  </sheetData>
  <autoFilter ref="B4:AQ232"/>
  <conditionalFormatting sqref="R5:S232">
    <cfRule type="expression" dxfId="324" priority="1">
      <formula>"istext($AB17)"</formula>
    </cfRule>
  </conditionalFormatting>
  <conditionalFormatting sqref="J5:L232">
    <cfRule type="expression" dxfId="323" priority="4">
      <formula>ISTEXT(J5)</formula>
    </cfRule>
    <cfRule type="notContainsBlanks" dxfId="322" priority="5">
      <formula>LEN(TRIM(J5))&gt;0</formula>
    </cfRule>
  </conditionalFormatting>
  <conditionalFormatting sqref="M5:N232 R5:S232">
    <cfRule type="expression" dxfId="321" priority="2">
      <formula>ISTEXT(M5)</formula>
    </cfRule>
  </conditionalFormatting>
  <conditionalFormatting sqref="M5:N232 R5:S232">
    <cfRule type="notContainsBlanks" dxfId="32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9" sqref="B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288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287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286</v>
      </c>
      <c r="B4" s="70" t="s">
        <v>285</v>
      </c>
      <c r="C4" s="70" t="s">
        <v>284</v>
      </c>
      <c r="D4" s="70" t="s">
        <v>283</v>
      </c>
      <c r="E4" s="70" t="s">
        <v>282</v>
      </c>
      <c r="F4" s="70" t="s">
        <v>281</v>
      </c>
      <c r="G4" s="70" t="s">
        <v>280</v>
      </c>
      <c r="H4" s="70" t="s">
        <v>279</v>
      </c>
      <c r="I4" s="70" t="s">
        <v>278</v>
      </c>
      <c r="J4" s="70" t="s">
        <v>277</v>
      </c>
      <c r="K4" s="70" t="s">
        <v>276</v>
      </c>
      <c r="L4" s="70" t="s">
        <v>275</v>
      </c>
      <c r="M4" s="70" t="s">
        <v>274</v>
      </c>
      <c r="N4" s="70" t="s">
        <v>273</v>
      </c>
      <c r="O4" s="70" t="s">
        <v>272</v>
      </c>
      <c r="P4" s="70" t="s">
        <v>271</v>
      </c>
      <c r="Q4" s="70" t="s">
        <v>270</v>
      </c>
    </row>
    <row r="5" spans="1:17">
      <c r="A5" s="69"/>
      <c r="B5" s="68" t="s">
        <v>269</v>
      </c>
      <c r="C5" s="67" t="s">
        <v>268</v>
      </c>
      <c r="D5" s="67" t="s">
        <v>267</v>
      </c>
      <c r="E5" s="67" t="s">
        <v>266</v>
      </c>
      <c r="F5" s="67" t="s">
        <v>265</v>
      </c>
      <c r="G5" s="67" t="s">
        <v>264</v>
      </c>
      <c r="H5" s="67" t="s">
        <v>263</v>
      </c>
      <c r="I5" s="67" t="s">
        <v>248</v>
      </c>
      <c r="J5" s="67" t="s">
        <v>262</v>
      </c>
      <c r="K5" s="67" t="s">
        <v>261</v>
      </c>
      <c r="L5" s="67" t="s">
        <v>260</v>
      </c>
      <c r="M5" s="67" t="s">
        <v>259</v>
      </c>
      <c r="N5" s="67" t="s">
        <v>258</v>
      </c>
      <c r="O5" s="67" t="s">
        <v>257</v>
      </c>
      <c r="P5" s="67" t="s">
        <v>256</v>
      </c>
      <c r="Q5" s="66" t="s">
        <v>255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296</v>
      </c>
      <c r="B1" s="91"/>
      <c r="C1" s="91"/>
      <c r="D1" s="91"/>
      <c r="E1" s="91"/>
      <c r="F1" s="92"/>
      <c r="G1" s="92"/>
    </row>
    <row r="2" spans="1:7">
      <c r="A2" s="95"/>
      <c r="B2" s="94" t="s">
        <v>295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294</v>
      </c>
      <c r="E3" s="91"/>
      <c r="F3" s="91" t="s">
        <v>294</v>
      </c>
      <c r="G3" s="91" t="s">
        <v>294</v>
      </c>
    </row>
    <row r="4" spans="1:7" ht="25.5">
      <c r="A4" s="90" t="s">
        <v>286</v>
      </c>
      <c r="B4" s="90" t="s">
        <v>285</v>
      </c>
      <c r="C4" s="90" t="s">
        <v>293</v>
      </c>
      <c r="D4" s="89" t="s">
        <v>292</v>
      </c>
      <c r="E4" s="89" t="s">
        <v>291</v>
      </c>
      <c r="F4" s="89" t="s">
        <v>290</v>
      </c>
      <c r="G4" s="89" t="s">
        <v>289</v>
      </c>
    </row>
    <row r="5" spans="1:7">
      <c r="A5" s="88"/>
      <c r="B5" s="87" t="s">
        <v>269</v>
      </c>
      <c r="C5" s="87" t="s">
        <v>265</v>
      </c>
      <c r="D5" s="87" t="s">
        <v>261</v>
      </c>
      <c r="E5" s="87" t="s">
        <v>258</v>
      </c>
      <c r="F5" s="87" t="s">
        <v>255</v>
      </c>
      <c r="G5" s="87" t="s">
        <v>256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99"/>
  </sheetPr>
  <dimension ref="A1:AQ351"/>
  <sheetViews>
    <sheetView zoomScale="85" zoomScaleNormal="85" workbookViewId="0">
      <selection activeCell="A24" sqref="A2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528</v>
      </c>
      <c r="F5" s="39" t="s">
        <v>529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3" si="0">G5+H5</f>
        <v>15</v>
      </c>
      <c r="U5" s="47">
        <f t="shared" ref="U5:U23" si="1">(O5/$A$10)*T5</f>
        <v>1.4785220987568791E-2</v>
      </c>
      <c r="V5" s="48">
        <f t="shared" ref="V5:V23" si="2">N5-M5</f>
        <v>-2.71</v>
      </c>
      <c r="W5" s="49">
        <f t="shared" ref="W5:W23" si="3">(O5/A$10)</f>
        <v>9.8568139917125266E-4</v>
      </c>
      <c r="X5" s="44">
        <f t="shared" ref="X5:X23" si="4">W5*A$8</f>
        <v>1288.0736770728192</v>
      </c>
      <c r="Y5" s="44">
        <f t="shared" ref="Y5:Y23" si="5">Q5-P5</f>
        <v>-11842.700000000041</v>
      </c>
      <c r="Z5" s="44">
        <f t="shared" ref="Z5:Z23" si="6">X5+(A$6*W5)</f>
        <v>4861.5159159142122</v>
      </c>
      <c r="AA5" s="50">
        <f t="shared" ref="AA5:AA23" si="7">Q5+X5</f>
        <v>6925.3736770727792</v>
      </c>
      <c r="AB5" s="51">
        <f t="shared" ref="AB5:AC20" si="8">Z5/(1+ElecDiscountRate)^1</f>
        <v>4544.747046755363</v>
      </c>
      <c r="AC5" s="44">
        <f t="shared" si="8"/>
        <v>6474.1270235325592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3" si="10">AF5*J5*K5</f>
        <v>28074.498185132838</v>
      </c>
      <c r="AH5" s="52">
        <f>HLOOKUP(I5,ElecAvoidedCostsWOCC!$A$5:$Q$50,T5+1,FALSE)</f>
        <v>1.107650050703576</v>
      </c>
      <c r="AI5" s="44">
        <f t="shared" ref="AI5:AI23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6.1773511036606754</v>
      </c>
      <c r="AP5" s="47">
        <f>AN5/AC5</f>
        <v>4.770055930536194</v>
      </c>
      <c r="AQ5">
        <v>2021</v>
      </c>
    </row>
    <row r="6" spans="1:43" ht="13.5" customHeight="1">
      <c r="A6" s="53">
        <f>SUMIF('Program Costs'!D:D,C2,'Program Costs'!L:L)</f>
        <v>3625352.21</v>
      </c>
      <c r="B6" s="97" t="s">
        <v>15</v>
      </c>
      <c r="C6" s="100">
        <v>18230440</v>
      </c>
      <c r="D6" s="100" t="s">
        <v>53</v>
      </c>
      <c r="E6" s="38" t="s">
        <v>530</v>
      </c>
      <c r="F6" s="39" t="s">
        <v>529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0.15921365995099543</v>
      </c>
      <c r="V6" s="48">
        <f t="shared" si="2"/>
        <v>-3.71</v>
      </c>
      <c r="W6" s="49">
        <f t="shared" si="3"/>
        <v>1.0614243996733028E-2</v>
      </c>
      <c r="X6" s="44">
        <f t="shared" si="4"/>
        <v>13870.534947413207</v>
      </c>
      <c r="Y6" s="44">
        <f t="shared" si="5"/>
        <v>-197981.0699999955</v>
      </c>
      <c r="Z6" s="44">
        <f t="shared" si="6"/>
        <v>52350.907878448525</v>
      </c>
      <c r="AA6" s="50">
        <f t="shared" si="7"/>
        <v>82907.464947417713</v>
      </c>
      <c r="AB6" s="51">
        <f t="shared" si="8"/>
        <v>48939.803569644311</v>
      </c>
      <c r="AC6" s="44">
        <f t="shared" si="8"/>
        <v>77505.342570269888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3" si="12">AG6+AI6</f>
        <v>302318.34959386667</v>
      </c>
      <c r="AK6" s="44">
        <f>HLOOKUP(I6,ElecAvoidedCostsWOCC!$A$5:$Q$50,G6+1,FALSE)*J6*L6</f>
        <v>0</v>
      </c>
      <c r="AL6" s="44">
        <f t="shared" ref="AL6:AL23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3" si="14">AM6*1.1+AD6+AE6</f>
        <v>332550.18455325335</v>
      </c>
      <c r="AO6" s="47">
        <f t="shared" ref="AO6:AO23" si="15">IFERROR(AM6/AB6,0)</f>
        <v>6.1773511036604249</v>
      </c>
      <c r="AP6" s="47">
        <f t="shared" ref="AP6:AP23" si="16">AN6/AC6</f>
        <v>4.2906743396656575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18230440</v>
      </c>
      <c r="D7" s="100" t="s">
        <v>53</v>
      </c>
      <c r="E7" s="38" t="s">
        <v>531</v>
      </c>
      <c r="F7" s="39" t="s">
        <v>532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2.7486475985313275E-2</v>
      </c>
      <c r="V7" s="48">
        <f t="shared" si="2"/>
        <v>-2.81</v>
      </c>
      <c r="W7" s="49">
        <f t="shared" si="3"/>
        <v>1.8324317323542183E-3</v>
      </c>
      <c r="X7" s="44">
        <f t="shared" si="4"/>
        <v>2394.5943196888243</v>
      </c>
      <c r="Y7" s="44">
        <f t="shared" si="5"/>
        <v>-7157.0700000000097</v>
      </c>
      <c r="Z7" s="44">
        <f t="shared" si="6"/>
        <v>9037.8047502533173</v>
      </c>
      <c r="AA7" s="50">
        <f t="shared" si="7"/>
        <v>7972.524319688815</v>
      </c>
      <c r="AB7" s="51">
        <f t="shared" si="8"/>
        <v>8448.9153503349698</v>
      </c>
      <c r="AC7" s="44">
        <f t="shared" si="8"/>
        <v>7453.0469474514484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6.1773511036606523</v>
      </c>
      <c r="AP7" s="47">
        <f t="shared" si="16"/>
        <v>7.7030385861411297</v>
      </c>
      <c r="AQ7">
        <v>2021</v>
      </c>
    </row>
    <row r="8" spans="1:43" ht="13.5" customHeight="1">
      <c r="A8" s="53">
        <f>SUMIF('Program Costs'!D:D,C2,'Program Costs'!O:O)</f>
        <v>1306785.0099999998</v>
      </c>
      <c r="B8" s="97" t="s">
        <v>15</v>
      </c>
      <c r="C8" s="100">
        <v>18230440</v>
      </c>
      <c r="D8" s="100" t="s">
        <v>53</v>
      </c>
      <c r="E8" s="38" t="s">
        <v>533</v>
      </c>
      <c r="F8" s="39" t="s">
        <v>532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0.2829718396385475</v>
      </c>
      <c r="V8" s="48">
        <f t="shared" si="2"/>
        <v>-7.8100000000000005</v>
      </c>
      <c r="W8" s="49">
        <f t="shared" si="3"/>
        <v>1.8864789309236501E-2</v>
      </c>
      <c r="X8" s="44">
        <f t="shared" si="4"/>
        <v>24652.223886118511</v>
      </c>
      <c r="Y8" s="44">
        <f t="shared" si="5"/>
        <v>-235892.64</v>
      </c>
      <c r="Z8" s="44">
        <f t="shared" si="6"/>
        <v>93043.729499543435</v>
      </c>
      <c r="AA8" s="50">
        <f t="shared" si="7"/>
        <v>90229.583886118518</v>
      </c>
      <c r="AB8" s="51">
        <f t="shared" si="8"/>
        <v>86981.143778202691</v>
      </c>
      <c r="AC8" s="44">
        <f t="shared" si="8"/>
        <v>84350.363546899607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6.1773511036605768</v>
      </c>
      <c r="AP8" s="47">
        <f t="shared" si="16"/>
        <v>7.0070162843922699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18230440</v>
      </c>
      <c r="D9" s="100" t="s">
        <v>53</v>
      </c>
      <c r="E9" s="38" t="s">
        <v>534</v>
      </c>
      <c r="F9" s="39" t="s">
        <v>535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1.2423645644474325E-3</v>
      </c>
      <c r="V9" s="48">
        <f t="shared" si="2"/>
        <v>1.62</v>
      </c>
      <c r="W9" s="49">
        <f t="shared" si="3"/>
        <v>1.0353038037061937E-4</v>
      </c>
      <c r="X9" s="44">
        <f t="shared" si="4"/>
        <v>135.29194914792362</v>
      </c>
      <c r="Y9" s="44">
        <f t="shared" si="5"/>
        <v>422.81999999999994</v>
      </c>
      <c r="Z9" s="44">
        <f t="shared" si="6"/>
        <v>510.62604242668914</v>
      </c>
      <c r="AA9" s="50">
        <f t="shared" si="7"/>
        <v>1210.6119491479235</v>
      </c>
      <c r="AB9" s="51">
        <f t="shared" si="8"/>
        <v>477.35443809169777</v>
      </c>
      <c r="AC9" s="44">
        <f t="shared" si="8"/>
        <v>1131.7303441599734</v>
      </c>
      <c r="AD9" s="44">
        <f t="shared" si="9"/>
        <v>0</v>
      </c>
      <c r="AE9" s="44">
        <f t="shared" ref="AE9:AE23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5.0815133831208055</v>
      </c>
      <c r="AP9" s="47">
        <f t="shared" si="16"/>
        <v>2.3576740484069032</v>
      </c>
      <c r="AQ9">
        <v>2021</v>
      </c>
    </row>
    <row r="10" spans="1:43" ht="13.5" customHeight="1">
      <c r="A10" s="54">
        <f>SUM(O5:O999)</f>
        <v>25714191.239999529</v>
      </c>
      <c r="B10" s="97" t="s">
        <v>15</v>
      </c>
      <c r="C10" s="100">
        <v>18230440</v>
      </c>
      <c r="D10" s="100" t="s">
        <v>53</v>
      </c>
      <c r="E10" s="38" t="s">
        <v>536</v>
      </c>
      <c r="F10" s="39" t="s">
        <v>535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9.5844352132151492E-3</v>
      </c>
      <c r="V10" s="48">
        <f t="shared" si="2"/>
        <v>2.12</v>
      </c>
      <c r="W10" s="49">
        <f t="shared" si="3"/>
        <v>7.9870293443459577E-4</v>
      </c>
      <c r="X10" s="44">
        <f t="shared" si="4"/>
        <v>1043.7330221621423</v>
      </c>
      <c r="Y10" s="44">
        <f t="shared" si="5"/>
        <v>4800.8399999999892</v>
      </c>
      <c r="Z10" s="44">
        <f t="shared" si="6"/>
        <v>3939.3124706480889</v>
      </c>
      <c r="AA10" s="50">
        <f t="shared" si="7"/>
        <v>10445.573022162131</v>
      </c>
      <c r="AB10" s="51">
        <f t="shared" si="8"/>
        <v>3682.6329537702986</v>
      </c>
      <c r="AC10" s="44">
        <f t="shared" si="8"/>
        <v>9764.9556157447223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5.0815133831208064</v>
      </c>
      <c r="AP10" s="47">
        <f t="shared" si="16"/>
        <v>2.1080160846287823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18230440</v>
      </c>
      <c r="D11" s="100" t="s">
        <v>53</v>
      </c>
      <c r="E11" s="38" t="s">
        <v>537</v>
      </c>
      <c r="F11" s="39" t="s">
        <v>538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7.6125279684278947E-4</v>
      </c>
      <c r="V11" s="48">
        <f t="shared" si="2"/>
        <v>-0.39999999999999991</v>
      </c>
      <c r="W11" s="49">
        <f t="shared" si="3"/>
        <v>5.0750186456185968E-5</v>
      </c>
      <c r="X11" s="44">
        <f t="shared" si="4"/>
        <v>66.319582915648837</v>
      </c>
      <c r="Y11" s="44">
        <f t="shared" si="5"/>
        <v>-208.79999999999995</v>
      </c>
      <c r="Z11" s="44">
        <f t="shared" si="6"/>
        <v>250.30688354249469</v>
      </c>
      <c r="AA11" s="50">
        <f t="shared" si="7"/>
        <v>640.51958291564893</v>
      </c>
      <c r="AB11" s="51">
        <f t="shared" si="8"/>
        <v>233.99727357436166</v>
      </c>
      <c r="AC11" s="44">
        <f t="shared" si="8"/>
        <v>598.78431608455537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6.1773511036606532</v>
      </c>
      <c r="AP11" s="47">
        <f t="shared" si="16"/>
        <v>2.6554330250033678</v>
      </c>
      <c r="AQ11">
        <v>2021</v>
      </c>
    </row>
    <row r="12" spans="1:43" ht="13.5" customHeight="1">
      <c r="A12" s="55">
        <f>SUM(P5:P1000)</f>
        <v>3323248.1599999974</v>
      </c>
      <c r="B12" s="97" t="s">
        <v>15</v>
      </c>
      <c r="C12" s="100">
        <v>18230440</v>
      </c>
      <c r="D12" s="100" t="s">
        <v>53</v>
      </c>
      <c r="E12" s="38" t="s">
        <v>539</v>
      </c>
      <c r="F12" s="39" t="s">
        <v>538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2.2946084303914153E-2</v>
      </c>
      <c r="V12" s="48">
        <f t="shared" si="2"/>
        <v>-1.4</v>
      </c>
      <c r="W12" s="49">
        <f t="shared" si="3"/>
        <v>1.5297389535942768E-3</v>
      </c>
      <c r="X12" s="44">
        <f t="shared" si="4"/>
        <v>1999.0399337700862</v>
      </c>
      <c r="Y12" s="44">
        <f t="shared" si="5"/>
        <v>-16092</v>
      </c>
      <c r="Z12" s="44">
        <f t="shared" si="6"/>
        <v>7544.8824299061853</v>
      </c>
      <c r="AA12" s="50">
        <f t="shared" si="7"/>
        <v>21667.039933770087</v>
      </c>
      <c r="AB12" s="51">
        <f t="shared" si="8"/>
        <v>7053.2695427747822</v>
      </c>
      <c r="AC12" s="44">
        <f t="shared" si="8"/>
        <v>20255.249073357096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6.1773511036606532</v>
      </c>
      <c r="AP12" s="47">
        <f t="shared" si="16"/>
        <v>2.3661804631652434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18230440</v>
      </c>
      <c r="D13" s="100" t="s">
        <v>53</v>
      </c>
      <c r="E13" s="38" t="s">
        <v>540</v>
      </c>
      <c r="F13" s="39" t="s">
        <v>541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9.7112756792270237E-3</v>
      </c>
      <c r="V13" s="48">
        <f t="shared" si="2"/>
        <v>-0.12999999999999989</v>
      </c>
      <c r="W13" s="49">
        <f t="shared" si="3"/>
        <v>8.0927297326891857E-4</v>
      </c>
      <c r="X13" s="44">
        <f t="shared" si="4"/>
        <v>1057.5457904659534</v>
      </c>
      <c r="Y13" s="44">
        <f t="shared" si="5"/>
        <v>-409.88999999999942</v>
      </c>
      <c r="Z13" s="44">
        <f t="shared" si="6"/>
        <v>3991.4453525996983</v>
      </c>
      <c r="AA13" s="50">
        <f t="shared" si="7"/>
        <v>10106.655790465953</v>
      </c>
      <c r="AB13" s="51">
        <f t="shared" si="8"/>
        <v>3731.3689376457864</v>
      </c>
      <c r="AC13" s="44">
        <f t="shared" si="8"/>
        <v>9448.1217074562519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5.0815133831208055</v>
      </c>
      <c r="AP13" s="47">
        <f t="shared" si="16"/>
        <v>2.2075394410879774</v>
      </c>
      <c r="AQ13">
        <v>2021</v>
      </c>
    </row>
    <row r="14" spans="1:43" ht="13.5" customHeight="1">
      <c r="A14" s="55">
        <f>SUM(Y5:Y1000)</f>
        <v>2806821.7099999543</v>
      </c>
      <c r="B14" s="97" t="s">
        <v>15</v>
      </c>
      <c r="C14" s="100">
        <v>18230440</v>
      </c>
      <c r="D14" s="100" t="s">
        <v>53</v>
      </c>
      <c r="E14" s="38" t="s">
        <v>542</v>
      </c>
      <c r="F14" s="39" t="s">
        <v>541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0.11555343787666622</v>
      </c>
      <c r="V14" s="48">
        <f t="shared" si="2"/>
        <v>-2.13</v>
      </c>
      <c r="W14" s="49">
        <f t="shared" si="3"/>
        <v>9.6294531563888511E-3</v>
      </c>
      <c r="X14" s="44">
        <f t="shared" si="4"/>
        <v>12583.625039266135</v>
      </c>
      <c r="Y14" s="44">
        <f t="shared" si="5"/>
        <v>-90933.96</v>
      </c>
      <c r="Z14" s="44">
        <f t="shared" si="6"/>
        <v>47493.784320871928</v>
      </c>
      <c r="AA14" s="50">
        <f t="shared" si="7"/>
        <v>135109.66503926614</v>
      </c>
      <c r="AB14" s="51">
        <f t="shared" si="8"/>
        <v>44399.162681940659</v>
      </c>
      <c r="AC14" s="44">
        <f t="shared" si="8"/>
        <v>126306.12792303087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5.0815133831208055</v>
      </c>
      <c r="AP14" s="47">
        <f t="shared" si="16"/>
        <v>1.9648803853415442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18230440</v>
      </c>
      <c r="D15" s="100" t="s">
        <v>53</v>
      </c>
      <c r="E15" s="38" t="s">
        <v>1836</v>
      </c>
      <c r="F15" s="39" t="s">
        <v>529</v>
      </c>
      <c r="G15" s="39">
        <v>12</v>
      </c>
      <c r="H15" s="39"/>
      <c r="I15" s="40" t="s">
        <v>248</v>
      </c>
      <c r="J15" s="41">
        <v>13079</v>
      </c>
      <c r="K15" s="41">
        <v>18.23</v>
      </c>
      <c r="L15" s="41"/>
      <c r="M15" s="42">
        <v>5</v>
      </c>
      <c r="N15" s="42">
        <v>0</v>
      </c>
      <c r="O15" s="43">
        <v>238430.170000001</v>
      </c>
      <c r="P15" s="44">
        <v>65382.5</v>
      </c>
      <c r="Q15" s="44">
        <v>0</v>
      </c>
      <c r="R15" s="45">
        <v>0</v>
      </c>
      <c r="S15" s="46">
        <v>0</v>
      </c>
      <c r="T15" s="39">
        <f t="shared" si="0"/>
        <v>12</v>
      </c>
      <c r="U15" s="47">
        <f t="shared" si="1"/>
        <v>0.11126782146464523</v>
      </c>
      <c r="V15" s="48">
        <f t="shared" si="2"/>
        <v>-5</v>
      </c>
      <c r="W15" s="49">
        <f t="shared" si="3"/>
        <v>9.2723184553871029E-3</v>
      </c>
      <c r="X15" s="44">
        <f t="shared" si="4"/>
        <v>12116.926765446218</v>
      </c>
      <c r="Y15" s="44">
        <f t="shared" si="5"/>
        <v>-65382.5</v>
      </c>
      <c r="Z15" s="44">
        <f t="shared" si="6"/>
        <v>45732.346969507635</v>
      </c>
      <c r="AA15" s="50">
        <f t="shared" si="7"/>
        <v>12116.926765446218</v>
      </c>
      <c r="AB15" s="51">
        <f t="shared" si="8"/>
        <v>42752.497868100989</v>
      </c>
      <c r="AC15" s="44">
        <f t="shared" si="8"/>
        <v>11327.406530285331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0.91115730059915656</v>
      </c>
      <c r="AG15" s="44">
        <f t="shared" si="10"/>
        <v>217247.39007859802</v>
      </c>
      <c r="AH15" s="52">
        <f>HLOOKUP(I15,ElecAvoidedCostsWOCC!$A$5:$Q$50,T15+1,FALSE)</f>
        <v>0.91115730059915656</v>
      </c>
      <c r="AI15" s="44">
        <f t="shared" si="11"/>
        <v>0</v>
      </c>
      <c r="AJ15" s="44">
        <f t="shared" si="12"/>
        <v>217247.39007859802</v>
      </c>
      <c r="AK15" s="44">
        <f>HLOOKUP(I15,ElecAvoidedCostsWOCC!$A$5:$Q$50,G15+1,FALSE)*J15*L15</f>
        <v>0</v>
      </c>
      <c r="AL15" s="44">
        <f t="shared" si="13"/>
        <v>217247.39007859802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217247.39007859799</v>
      </c>
      <c r="AN15" s="48">
        <f t="shared" si="14"/>
        <v>238972.1290864578</v>
      </c>
      <c r="AO15" s="47">
        <f t="shared" si="15"/>
        <v>5.081513383120785</v>
      </c>
      <c r="AP15" s="47">
        <f t="shared" si="16"/>
        <v>21.096808739717602</v>
      </c>
      <c r="AQ15">
        <v>2020</v>
      </c>
    </row>
    <row r="16" spans="1:43" ht="13.5" customHeight="1">
      <c r="A16" s="54">
        <f>SUM(U5:U999)</f>
        <v>11.290984535743851</v>
      </c>
      <c r="B16" s="97" t="s">
        <v>15</v>
      </c>
      <c r="C16" s="100">
        <v>18230440</v>
      </c>
      <c r="D16" s="100" t="s">
        <v>53</v>
      </c>
      <c r="E16" s="38" t="s">
        <v>528</v>
      </c>
      <c r="F16" s="39" t="s">
        <v>529</v>
      </c>
      <c r="G16" s="39">
        <v>15</v>
      </c>
      <c r="H16" s="39"/>
      <c r="I16" s="40" t="s">
        <v>248</v>
      </c>
      <c r="J16" s="41">
        <v>36281</v>
      </c>
      <c r="K16" s="41">
        <v>5.8</v>
      </c>
      <c r="L16" s="41"/>
      <c r="M16" s="42">
        <v>4</v>
      </c>
      <c r="N16" s="42">
        <v>1.29</v>
      </c>
      <c r="O16" s="43">
        <v>210429.799999999</v>
      </c>
      <c r="P16" s="44">
        <v>142932</v>
      </c>
      <c r="Q16" s="44">
        <v>46802.490000002697</v>
      </c>
      <c r="R16" s="45">
        <v>0</v>
      </c>
      <c r="S16" s="46">
        <v>0</v>
      </c>
      <c r="T16" s="39">
        <f t="shared" si="0"/>
        <v>15</v>
      </c>
      <c r="U16" s="47">
        <f t="shared" si="1"/>
        <v>0.12275116765445829</v>
      </c>
      <c r="V16" s="48">
        <f t="shared" si="2"/>
        <v>-2.71</v>
      </c>
      <c r="W16" s="49">
        <f t="shared" si="3"/>
        <v>8.1834111769638861E-3</v>
      </c>
      <c r="X16" s="44">
        <f t="shared" si="4"/>
        <v>10693.959056722862</v>
      </c>
      <c r="Y16" s="44">
        <f t="shared" si="5"/>
        <v>-96129.509999997303</v>
      </c>
      <c r="Z16" s="44">
        <f t="shared" si="6"/>
        <v>40361.706852467585</v>
      </c>
      <c r="AA16" s="50">
        <f t="shared" si="7"/>
        <v>57496.449056725556</v>
      </c>
      <c r="AB16" s="51">
        <f t="shared" si="8"/>
        <v>37731.800366894997</v>
      </c>
      <c r="AC16" s="44">
        <f t="shared" si="8"/>
        <v>53750.069231303685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1.107650050703576</v>
      </c>
      <c r="AG16" s="44">
        <f t="shared" si="10"/>
        <v>233082.57863954335</v>
      </c>
      <c r="AH16" s="52">
        <f>HLOOKUP(I16,ElecAvoidedCostsWOCC!$A$5:$Q$50,T16+1,FALSE)</f>
        <v>1.107650050703576</v>
      </c>
      <c r="AI16" s="44">
        <f t="shared" si="11"/>
        <v>0</v>
      </c>
      <c r="AJ16" s="44">
        <f t="shared" si="12"/>
        <v>233082.57863954335</v>
      </c>
      <c r="AK16" s="44">
        <f>HLOOKUP(I16,ElecAvoidedCostsWOCC!$A$5:$Q$50,G16+1,FALSE)*J16*L16</f>
        <v>0</v>
      </c>
      <c r="AL16" s="44">
        <f t="shared" si="13"/>
        <v>233082.57863954335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233082.57863954335</v>
      </c>
      <c r="AN16" s="48">
        <f t="shared" si="14"/>
        <v>256390.8365034977</v>
      </c>
      <c r="AO16" s="47">
        <f t="shared" si="15"/>
        <v>6.1773511036606825</v>
      </c>
      <c r="AP16" s="47">
        <f t="shared" si="16"/>
        <v>4.7700559305359436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18230440</v>
      </c>
      <c r="D17" s="100" t="s">
        <v>53</v>
      </c>
      <c r="E17" s="38" t="s">
        <v>531</v>
      </c>
      <c r="F17" s="39" t="s">
        <v>532</v>
      </c>
      <c r="G17" s="39">
        <v>15</v>
      </c>
      <c r="H17" s="39"/>
      <c r="I17" s="40" t="s">
        <v>248</v>
      </c>
      <c r="J17" s="41">
        <v>16074</v>
      </c>
      <c r="K17" s="41">
        <v>18.5</v>
      </c>
      <c r="L17" s="41"/>
      <c r="M17" s="42">
        <v>5</v>
      </c>
      <c r="N17" s="42">
        <v>2.19</v>
      </c>
      <c r="O17" s="43">
        <v>297369</v>
      </c>
      <c r="P17" s="44">
        <v>80370</v>
      </c>
      <c r="Q17" s="44">
        <v>35202.059999999903</v>
      </c>
      <c r="R17" s="45">
        <v>0</v>
      </c>
      <c r="S17" s="46">
        <v>0</v>
      </c>
      <c r="T17" s="39">
        <f t="shared" si="0"/>
        <v>15</v>
      </c>
      <c r="U17" s="47">
        <f t="shared" si="1"/>
        <v>0.17346588731367318</v>
      </c>
      <c r="V17" s="48">
        <f t="shared" si="2"/>
        <v>-2.81</v>
      </c>
      <c r="W17" s="49">
        <f t="shared" si="3"/>
        <v>1.1564392487578212E-2</v>
      </c>
      <c r="X17" s="44">
        <f t="shared" si="4"/>
        <v>15112.174752523815</v>
      </c>
      <c r="Y17" s="44">
        <f t="shared" si="5"/>
        <v>-45167.940000000097</v>
      </c>
      <c r="Z17" s="44">
        <f t="shared" si="6"/>
        <v>57037.170614672883</v>
      </c>
      <c r="AA17" s="50">
        <f t="shared" si="7"/>
        <v>50314.23475252372</v>
      </c>
      <c r="AB17" s="51">
        <f t="shared" si="8"/>
        <v>53320.716663244719</v>
      </c>
      <c r="AC17" s="44">
        <f t="shared" si="8"/>
        <v>47035.836919251858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1.107650050703576</v>
      </c>
      <c r="AG17" s="44">
        <f t="shared" si="10"/>
        <v>329380.78792767174</v>
      </c>
      <c r="AH17" s="52">
        <f>HLOOKUP(I17,ElecAvoidedCostsWOCC!$A$5:$Q$50,T17+1,FALSE)</f>
        <v>1.107650050703576</v>
      </c>
      <c r="AI17" s="44">
        <f t="shared" si="11"/>
        <v>0</v>
      </c>
      <c r="AJ17" s="44">
        <f t="shared" si="12"/>
        <v>329380.78792767174</v>
      </c>
      <c r="AK17" s="44">
        <f>HLOOKUP(I17,ElecAvoidedCostsWOCC!$A$5:$Q$50,G17+1,FALSE)*J17*L17</f>
        <v>0</v>
      </c>
      <c r="AL17" s="44">
        <f t="shared" si="13"/>
        <v>329380.78792767174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329380.78792767168</v>
      </c>
      <c r="AN17" s="48">
        <f t="shared" si="14"/>
        <v>362318.86672043888</v>
      </c>
      <c r="AO17" s="47">
        <f t="shared" si="15"/>
        <v>6.1773511036606523</v>
      </c>
      <c r="AP17" s="47">
        <f t="shared" si="16"/>
        <v>7.7030385861411359</v>
      </c>
      <c r="AQ17">
        <v>2020</v>
      </c>
    </row>
    <row r="18" spans="1:43" ht="13.5" customHeight="1">
      <c r="A18" s="59">
        <f>A6+A8</f>
        <v>4932137.22</v>
      </c>
      <c r="B18" s="97" t="s">
        <v>15</v>
      </c>
      <c r="C18" s="100">
        <v>18230440</v>
      </c>
      <c r="D18" s="100" t="s">
        <v>53</v>
      </c>
      <c r="E18" s="38" t="s">
        <v>1837</v>
      </c>
      <c r="F18" s="39" t="s">
        <v>1838</v>
      </c>
      <c r="G18" s="39">
        <v>12</v>
      </c>
      <c r="H18" s="39"/>
      <c r="I18" s="40" t="s">
        <v>248</v>
      </c>
      <c r="J18" s="41">
        <v>112155</v>
      </c>
      <c r="K18" s="41">
        <v>25.61</v>
      </c>
      <c r="L18" s="41"/>
      <c r="M18" s="42">
        <v>5.25</v>
      </c>
      <c r="N18" s="42">
        <v>2.08</v>
      </c>
      <c r="O18" s="43">
        <v>2872289.55</v>
      </c>
      <c r="P18" s="44">
        <v>366320</v>
      </c>
      <c r="Q18" s="44">
        <v>233282.4</v>
      </c>
      <c r="R18" s="45">
        <v>0</v>
      </c>
      <c r="S18" s="46">
        <v>0</v>
      </c>
      <c r="T18" s="39">
        <f t="shared" si="0"/>
        <v>12</v>
      </c>
      <c r="U18" s="47">
        <f t="shared" si="1"/>
        <v>1.3404067146542942</v>
      </c>
      <c r="V18" s="48">
        <f t="shared" si="2"/>
        <v>-3.17</v>
      </c>
      <c r="W18" s="49">
        <f t="shared" si="3"/>
        <v>0.11170055955452451</v>
      </c>
      <c r="X18" s="44">
        <f t="shared" si="4"/>
        <v>145968.61683446489</v>
      </c>
      <c r="Y18" s="44">
        <f t="shared" si="5"/>
        <v>-133037.6</v>
      </c>
      <c r="Z18" s="44">
        <f t="shared" si="6"/>
        <v>550922.48727369693</v>
      </c>
      <c r="AA18" s="50">
        <f t="shared" si="7"/>
        <v>379251.01683446486</v>
      </c>
      <c r="AB18" s="51">
        <f t="shared" si="8"/>
        <v>515025.22882462083</v>
      </c>
      <c r="AC18" s="44">
        <f t="shared" si="8"/>
        <v>354539.60627696064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2617107.5929171662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2617107.5929171662</v>
      </c>
      <c r="AK18" s="44">
        <f>HLOOKUP(I18,ElecAvoidedCostsWOCC!$A$5:$Q$50,G18+1,FALSE)*J18*L18</f>
        <v>0</v>
      </c>
      <c r="AL18" s="44">
        <f t="shared" si="13"/>
        <v>2617107.5929171662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2617107.5929171657</v>
      </c>
      <c r="AN18" s="48">
        <f t="shared" si="14"/>
        <v>2878818.3522088826</v>
      </c>
      <c r="AO18" s="47">
        <f t="shared" si="15"/>
        <v>5.0815133831208046</v>
      </c>
      <c r="AP18" s="47">
        <f t="shared" si="16"/>
        <v>8.1198780086645552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18230440</v>
      </c>
      <c r="D19" s="100" t="s">
        <v>53</v>
      </c>
      <c r="E19" s="38" t="s">
        <v>1839</v>
      </c>
      <c r="F19" s="39" t="s">
        <v>1840</v>
      </c>
      <c r="G19" s="39">
        <v>12</v>
      </c>
      <c r="H19" s="39"/>
      <c r="I19" s="40" t="s">
        <v>248</v>
      </c>
      <c r="J19" s="41">
        <v>550825.06000000006</v>
      </c>
      <c r="K19" s="41">
        <v>11.32</v>
      </c>
      <c r="L19" s="41"/>
      <c r="M19" s="42">
        <v>1.75</v>
      </c>
      <c r="N19" s="42">
        <v>1.59</v>
      </c>
      <c r="O19" s="43">
        <v>6235339.6699996702</v>
      </c>
      <c r="P19" s="44">
        <v>585190.21</v>
      </c>
      <c r="Q19" s="44">
        <v>875811.72999996401</v>
      </c>
      <c r="R19" s="45">
        <v>0</v>
      </c>
      <c r="S19" s="46">
        <v>0</v>
      </c>
      <c r="T19" s="39">
        <f t="shared" si="0"/>
        <v>12</v>
      </c>
      <c r="U19" s="47">
        <f t="shared" si="1"/>
        <v>2.9098358700702196</v>
      </c>
      <c r="V19" s="48">
        <f t="shared" si="2"/>
        <v>-0.15999999999999992</v>
      </c>
      <c r="W19" s="49">
        <f t="shared" si="3"/>
        <v>0.24248632250585161</v>
      </c>
      <c r="X19" s="44">
        <f t="shared" si="4"/>
        <v>316877.49138067249</v>
      </c>
      <c r="Y19" s="44">
        <f t="shared" si="5"/>
        <v>290621.51999996405</v>
      </c>
      <c r="Z19" s="44">
        <f t="shared" si="6"/>
        <v>1195975.8165720343</v>
      </c>
      <c r="AA19" s="50">
        <f t="shared" si="7"/>
        <v>1192689.2213806366</v>
      </c>
      <c r="AB19" s="51">
        <f t="shared" si="8"/>
        <v>1118047.8793792971</v>
      </c>
      <c r="AC19" s="44">
        <f t="shared" si="8"/>
        <v>1114975.4336548906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5681375.2704186831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5681375.2704186831</v>
      </c>
      <c r="AK19" s="44">
        <f>HLOOKUP(I19,ElecAvoidedCostsWOCC!$A$5:$Q$50,G19+1,FALSE)*J19*L19</f>
        <v>0</v>
      </c>
      <c r="AL19" s="44">
        <f t="shared" si="13"/>
        <v>5681375.2704186831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5681375.2704186831</v>
      </c>
      <c r="AN19" s="48">
        <f t="shared" si="14"/>
        <v>6249512.7974605523</v>
      </c>
      <c r="AO19" s="47">
        <f t="shared" si="15"/>
        <v>5.0815133906186496</v>
      </c>
      <c r="AP19" s="47">
        <f t="shared" si="16"/>
        <v>5.605067707164312</v>
      </c>
      <c r="AQ19">
        <v>2020</v>
      </c>
    </row>
    <row r="20" spans="1:43" ht="13.5" customHeight="1">
      <c r="A20" s="59">
        <f>A8+SUM(Q5:Q906)</f>
        <v>7436854.8799999496</v>
      </c>
      <c r="B20" s="97" t="s">
        <v>15</v>
      </c>
      <c r="C20" s="100">
        <v>18230440</v>
      </c>
      <c r="D20" s="100" t="s">
        <v>53</v>
      </c>
      <c r="E20" s="38" t="s">
        <v>1841</v>
      </c>
      <c r="F20" s="39" t="s">
        <v>1842</v>
      </c>
      <c r="G20" s="39">
        <v>11</v>
      </c>
      <c r="H20" s="39"/>
      <c r="I20" s="40" t="s">
        <v>248</v>
      </c>
      <c r="J20" s="41">
        <v>76723.03</v>
      </c>
      <c r="K20" s="41">
        <v>22.49</v>
      </c>
      <c r="L20" s="41"/>
      <c r="M20" s="42">
        <v>2</v>
      </c>
      <c r="N20" s="42">
        <v>2.92</v>
      </c>
      <c r="O20" s="43">
        <v>1725500.9399999301</v>
      </c>
      <c r="P20" s="44">
        <v>102904.45</v>
      </c>
      <c r="Q20" s="44">
        <v>224031.25999999599</v>
      </c>
      <c r="R20" s="45">
        <v>0</v>
      </c>
      <c r="S20" s="46">
        <v>0</v>
      </c>
      <c r="T20" s="39">
        <f t="shared" si="0"/>
        <v>11</v>
      </c>
      <c r="U20" s="47">
        <f t="shared" si="1"/>
        <v>0.73813366956975235</v>
      </c>
      <c r="V20" s="48">
        <f t="shared" si="2"/>
        <v>0.91999999999999993</v>
      </c>
      <c r="W20" s="49">
        <f t="shared" si="3"/>
        <v>6.7103060869977485E-2</v>
      </c>
      <c r="X20" s="44">
        <f t="shared" si="4"/>
        <v>87689.274070004118</v>
      </c>
      <c r="Y20" s="44">
        <f t="shared" si="5"/>
        <v>121126.809999996</v>
      </c>
      <c r="Z20" s="44">
        <f t="shared" si="6"/>
        <v>330961.50409274152</v>
      </c>
      <c r="AA20" s="50">
        <f t="shared" si="7"/>
        <v>311720.53407000011</v>
      </c>
      <c r="AB20" s="51">
        <f t="shared" si="8"/>
        <v>309396.56360918155</v>
      </c>
      <c r="AC20" s="44">
        <f t="shared" si="8"/>
        <v>291409.3054781715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0.84047616627897226</v>
      </c>
      <c r="AG20" s="44">
        <f t="shared" si="10"/>
        <v>1450242.4189122007</v>
      </c>
      <c r="AH20" s="52">
        <f>HLOOKUP(I20,ElecAvoidedCostsWOCC!$A$5:$Q$50,T20+1,FALSE)</f>
        <v>0.84047616627897226</v>
      </c>
      <c r="AI20" s="44">
        <f t="shared" si="11"/>
        <v>0</v>
      </c>
      <c r="AJ20" s="44">
        <f t="shared" si="12"/>
        <v>1450242.4189122007</v>
      </c>
      <c r="AK20" s="44">
        <f>HLOOKUP(I20,ElecAvoidedCostsWOCC!$A$5:$Q$50,G20+1,FALSE)*J20*L20</f>
        <v>0</v>
      </c>
      <c r="AL20" s="44">
        <f t="shared" si="13"/>
        <v>1450242.4189122007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1450242.4189122007</v>
      </c>
      <c r="AN20" s="48">
        <f t="shared" si="14"/>
        <v>1595266.6608034209</v>
      </c>
      <c r="AO20" s="47">
        <f t="shared" si="15"/>
        <v>4.6873255539582983</v>
      </c>
      <c r="AP20" s="47">
        <f t="shared" si="16"/>
        <v>5.474316127914169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18230440</v>
      </c>
      <c r="D21" s="100" t="s">
        <v>53</v>
      </c>
      <c r="E21" s="38" t="s">
        <v>1843</v>
      </c>
      <c r="F21" s="39" t="s">
        <v>1844</v>
      </c>
      <c r="G21" s="39">
        <v>12</v>
      </c>
      <c r="H21" s="39"/>
      <c r="I21" s="40" t="s">
        <v>248</v>
      </c>
      <c r="J21" s="41">
        <v>51574.52</v>
      </c>
      <c r="K21" s="41">
        <v>12.93</v>
      </c>
      <c r="L21" s="41"/>
      <c r="M21" s="42">
        <v>2.5</v>
      </c>
      <c r="N21" s="42">
        <v>3.68</v>
      </c>
      <c r="O21" s="43">
        <v>666858.54999998095</v>
      </c>
      <c r="P21" s="44">
        <v>75033.819999999701</v>
      </c>
      <c r="Q21" s="44">
        <v>189794.21999999401</v>
      </c>
      <c r="R21" s="45">
        <v>0</v>
      </c>
      <c r="S21" s="46">
        <v>0</v>
      </c>
      <c r="T21" s="39">
        <f t="shared" si="0"/>
        <v>12</v>
      </c>
      <c r="U21" s="47">
        <f t="shared" si="1"/>
        <v>0.31120180002207676</v>
      </c>
      <c r="V21" s="48">
        <f t="shared" si="2"/>
        <v>1.1800000000000002</v>
      </c>
      <c r="W21" s="49">
        <f t="shared" si="3"/>
        <v>2.5933483335173063E-2</v>
      </c>
      <c r="X21" s="44">
        <f t="shared" si="4"/>
        <v>33889.48727948896</v>
      </c>
      <c r="Y21" s="44">
        <f t="shared" si="5"/>
        <v>114760.3999999943</v>
      </c>
      <c r="Z21" s="44">
        <f t="shared" si="6"/>
        <v>127907.49840165681</v>
      </c>
      <c r="AA21" s="50">
        <f t="shared" si="7"/>
        <v>223683.70727948297</v>
      </c>
      <c r="AB21" s="51">
        <f t="shared" ref="AB21:AC23" si="18">Z21/(1+ElecDiscountRate)^1</f>
        <v>119573.24334080283</v>
      </c>
      <c r="AC21" s="44">
        <f t="shared" si="18"/>
        <v>209108.8223609264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0.91115730059915656</v>
      </c>
      <c r="AG21" s="44">
        <f t="shared" si="10"/>
        <v>607613.03046806087</v>
      </c>
      <c r="AH21" s="52">
        <f>HLOOKUP(I21,ElecAvoidedCostsWOCC!$A$5:$Q$50,T21+1,FALSE)</f>
        <v>0.91115730059915656</v>
      </c>
      <c r="AI21" s="44">
        <f t="shared" si="11"/>
        <v>0</v>
      </c>
      <c r="AJ21" s="44">
        <f t="shared" si="12"/>
        <v>607613.03046806087</v>
      </c>
      <c r="AK21" s="44">
        <f>HLOOKUP(I21,ElecAvoidedCostsWOCC!$A$5:$Q$50,G21+1,FALSE)*J21*L21</f>
        <v>0</v>
      </c>
      <c r="AL21" s="44">
        <f t="shared" si="13"/>
        <v>607613.03046806087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607613.03046806087</v>
      </c>
      <c r="AN21" s="48">
        <f t="shared" si="14"/>
        <v>668374.333514867</v>
      </c>
      <c r="AO21" s="47">
        <f t="shared" si="15"/>
        <v>5.0815133343524579</v>
      </c>
      <c r="AP21" s="47">
        <f t="shared" si="16"/>
        <v>3.1962990655709316</v>
      </c>
      <c r="AQ21">
        <v>2020</v>
      </c>
    </row>
    <row r="22" spans="1:43" ht="13.5" customHeight="1">
      <c r="A22" s="60">
        <f>(SUM(AM5:AM1000)/(SUM(AB5:AB1000)))</f>
        <v>4.7836238375662141</v>
      </c>
      <c r="B22" s="97" t="s">
        <v>15</v>
      </c>
      <c r="C22" s="100">
        <v>18230440</v>
      </c>
      <c r="D22" s="100" t="s">
        <v>53</v>
      </c>
      <c r="E22" s="38" t="s">
        <v>1845</v>
      </c>
      <c r="F22" s="39" t="s">
        <v>1846</v>
      </c>
      <c r="G22" s="39">
        <v>12</v>
      </c>
      <c r="H22" s="39"/>
      <c r="I22" s="40" t="s">
        <v>248</v>
      </c>
      <c r="J22" s="41">
        <v>4813</v>
      </c>
      <c r="K22" s="41">
        <v>20.190000000000001</v>
      </c>
      <c r="L22" s="41"/>
      <c r="M22" s="42">
        <v>2</v>
      </c>
      <c r="N22" s="42">
        <v>1.75</v>
      </c>
      <c r="O22" s="43">
        <v>97174.470000000394</v>
      </c>
      <c r="P22" s="44">
        <v>9650.5</v>
      </c>
      <c r="Q22" s="44">
        <v>8422.75</v>
      </c>
      <c r="R22" s="45">
        <v>0</v>
      </c>
      <c r="S22" s="46">
        <v>0</v>
      </c>
      <c r="T22" s="39">
        <f t="shared" si="0"/>
        <v>12</v>
      </c>
      <c r="U22" s="47">
        <f t="shared" si="1"/>
        <v>4.5348252609481103E-2</v>
      </c>
      <c r="V22" s="48">
        <f t="shared" si="2"/>
        <v>-0.25</v>
      </c>
      <c r="W22" s="49">
        <f t="shared" si="3"/>
        <v>3.7790210507900918E-3</v>
      </c>
      <c r="X22" s="44">
        <f t="shared" si="4"/>
        <v>4938.3680616469401</v>
      </c>
      <c r="Y22" s="44">
        <f t="shared" si="5"/>
        <v>-1227.75</v>
      </c>
      <c r="Z22" s="44">
        <f t="shared" si="6"/>
        <v>18638.65037976532</v>
      </c>
      <c r="AA22" s="50">
        <f t="shared" si="7"/>
        <v>13361.118061646939</v>
      </c>
      <c r="AB22" s="51">
        <f t="shared" si="18"/>
        <v>17424.184705772943</v>
      </c>
      <c r="AC22" s="44">
        <f t="shared" si="18"/>
        <v>12490.528243102681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0.91115730059915656</v>
      </c>
      <c r="AG22" s="44">
        <f t="shared" si="10"/>
        <v>88541.227772353726</v>
      </c>
      <c r="AH22" s="52">
        <f>HLOOKUP(I22,ElecAvoidedCostsWOCC!$A$5:$Q$50,T22+1,FALSE)</f>
        <v>0.91115730059915656</v>
      </c>
      <c r="AI22" s="44">
        <f t="shared" si="11"/>
        <v>0</v>
      </c>
      <c r="AJ22" s="44">
        <f t="shared" si="12"/>
        <v>88541.227772353726</v>
      </c>
      <c r="AK22" s="44">
        <f>HLOOKUP(I22,ElecAvoidedCostsWOCC!$A$5:$Q$50,G22+1,FALSE)*J22*L22</f>
        <v>0</v>
      </c>
      <c r="AL22" s="44">
        <f t="shared" si="13"/>
        <v>88541.227772353726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88541.227772353726</v>
      </c>
      <c r="AN22" s="48">
        <f t="shared" si="14"/>
        <v>97395.3505495891</v>
      </c>
      <c r="AO22" s="47">
        <f t="shared" si="15"/>
        <v>5.0815133831207859</v>
      </c>
      <c r="AP22" s="47">
        <f t="shared" si="16"/>
        <v>7.7975365536178343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18230440</v>
      </c>
      <c r="D23" s="100" t="s">
        <v>53</v>
      </c>
      <c r="E23" s="38" t="s">
        <v>1847</v>
      </c>
      <c r="F23" s="39" t="s">
        <v>1848</v>
      </c>
      <c r="G23" s="39">
        <v>9</v>
      </c>
      <c r="H23" s="39"/>
      <c r="I23" s="40" t="s">
        <v>248</v>
      </c>
      <c r="J23" s="41">
        <v>249581.85</v>
      </c>
      <c r="K23" s="41">
        <v>28.05</v>
      </c>
      <c r="L23" s="41"/>
      <c r="M23" s="42">
        <v>3.25</v>
      </c>
      <c r="N23" s="42">
        <v>2.08</v>
      </c>
      <c r="O23" s="43">
        <v>7000770.8999999296</v>
      </c>
      <c r="P23" s="44">
        <v>511087.76999999699</v>
      </c>
      <c r="Q23" s="44">
        <v>519130.22999999003</v>
      </c>
      <c r="R23" s="45">
        <v>0</v>
      </c>
      <c r="S23" s="46">
        <v>0</v>
      </c>
      <c r="T23" s="39">
        <f t="shared" si="0"/>
        <v>9</v>
      </c>
      <c r="U23" s="47">
        <f t="shared" si="1"/>
        <v>2.4502788173243952</v>
      </c>
      <c r="V23" s="48">
        <f t="shared" si="2"/>
        <v>-1.17</v>
      </c>
      <c r="W23" s="49">
        <f t="shared" si="3"/>
        <v>0.2722532019249328</v>
      </c>
      <c r="X23" s="44">
        <f t="shared" si="4"/>
        <v>355776.40320000524</v>
      </c>
      <c r="Y23" s="44">
        <f t="shared" si="5"/>
        <v>8042.459999993036</v>
      </c>
      <c r="Z23" s="44">
        <f t="shared" si="6"/>
        <v>1342790.1504781365</v>
      </c>
      <c r="AA23" s="50">
        <f t="shared" si="7"/>
        <v>874906.63319999527</v>
      </c>
      <c r="AB23" s="51">
        <f t="shared" si="18"/>
        <v>1255296.0180220029</v>
      </c>
      <c r="AC23" s="44">
        <f t="shared" si="18"/>
        <v>817899.06814994407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0.69032168448332065</v>
      </c>
      <c r="AG23" s="44">
        <f t="shared" si="10"/>
        <v>4832783.9551924001</v>
      </c>
      <c r="AH23" s="52">
        <f>HLOOKUP(I23,ElecAvoidedCostsWOCC!$A$5:$Q$50,T23+1,FALSE)</f>
        <v>0.69032168448332065</v>
      </c>
      <c r="AI23" s="44">
        <f t="shared" si="11"/>
        <v>0</v>
      </c>
      <c r="AJ23" s="44">
        <f t="shared" si="12"/>
        <v>4832783.9551924001</v>
      </c>
      <c r="AK23" s="44">
        <f>HLOOKUP(I23,ElecAvoidedCostsWOCC!$A$5:$Q$50,G23+1,FALSE)*J23*L23</f>
        <v>0</v>
      </c>
      <c r="AL23" s="44">
        <f t="shared" si="13"/>
        <v>4832783.9551924001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4832783.9551924001</v>
      </c>
      <c r="AN23" s="48">
        <f t="shared" si="14"/>
        <v>5316062.3507116409</v>
      </c>
      <c r="AO23" s="47">
        <f t="shared" si="15"/>
        <v>3.849915785447581</v>
      </c>
      <c r="AP23" s="47">
        <f t="shared" si="16"/>
        <v>6.4996557126985941</v>
      </c>
      <c r="AQ23">
        <v>2020</v>
      </c>
    </row>
    <row r="24" spans="1:43" ht="13.5" customHeight="1">
      <c r="A24" s="60">
        <f>(SUM(AN5:AN1000)/SUM(AC5:AC1000))</f>
        <v>3.489759920300298</v>
      </c>
      <c r="B24" s="97" t="s">
        <v>15</v>
      </c>
      <c r="C24" s="100">
        <v>18230440</v>
      </c>
      <c r="D24" s="100" t="s">
        <v>53</v>
      </c>
      <c r="E24" s="38" t="s">
        <v>1849</v>
      </c>
      <c r="F24" s="39" t="s">
        <v>1850</v>
      </c>
      <c r="G24" s="39">
        <v>12</v>
      </c>
      <c r="H24" s="39"/>
      <c r="I24" s="40" t="s">
        <v>248</v>
      </c>
      <c r="J24" s="41">
        <v>2479</v>
      </c>
      <c r="K24" s="41">
        <v>0</v>
      </c>
      <c r="L24" s="41"/>
      <c r="M24" s="42">
        <v>1.75</v>
      </c>
      <c r="N24" s="42">
        <v>1.59</v>
      </c>
      <c r="O24" s="43">
        <v>0</v>
      </c>
      <c r="P24" s="44">
        <v>8501</v>
      </c>
      <c r="Q24" s="44">
        <v>3941.61</v>
      </c>
      <c r="R24" s="45">
        <v>0</v>
      </c>
      <c r="S24" s="46">
        <v>0</v>
      </c>
      <c r="T24" s="39">
        <f t="shared" ref="T24:T34" si="19">G24+H24</f>
        <v>12</v>
      </c>
      <c r="U24" s="47">
        <f t="shared" ref="U24:U34" si="20">(O24/$A$10)*T24</f>
        <v>0</v>
      </c>
      <c r="V24" s="48">
        <f t="shared" ref="V24:V34" si="21">N24-M24</f>
        <v>-0.15999999999999992</v>
      </c>
      <c r="W24" s="49">
        <f t="shared" ref="W24:W34" si="22">(O24/A$10)</f>
        <v>0</v>
      </c>
      <c r="X24" s="44">
        <f t="shared" ref="X24:X34" si="23">W24*A$8</f>
        <v>0</v>
      </c>
      <c r="Y24" s="44">
        <f t="shared" ref="Y24:Y34" si="24">Q24-P24</f>
        <v>-4559.3899999999994</v>
      </c>
      <c r="Z24" s="44">
        <f t="shared" ref="Z24:Z34" si="25">X24+(A$6*W24)</f>
        <v>0</v>
      </c>
      <c r="AA24" s="50">
        <f t="shared" ref="AA24:AA34" si="26">Q24+X24</f>
        <v>3941.61</v>
      </c>
      <c r="AB24" s="51">
        <f t="shared" ref="AB24:AB34" si="27">Z24/(1+ElecDiscountRate)^1</f>
        <v>0</v>
      </c>
      <c r="AC24" s="44">
        <f t="shared" ref="AC24:AC34" si="28">AA24/(1+ElecDiscountRate)^1</f>
        <v>3684.7807796578477</v>
      </c>
      <c r="AD24" s="44">
        <f t="shared" ref="AD24:AD34" si="29">-PV(ElecDiscountRate,T24,R24)*J24</f>
        <v>0</v>
      </c>
      <c r="AE24" s="44">
        <f t="shared" ref="AE24:AE34" si="30">-PV(ElecDiscountRate,T24,S24)*J24</f>
        <v>0</v>
      </c>
      <c r="AF24" s="52">
        <f>HLOOKUP(I24,ElecAvoidedCostsWOCC!$A$5:$Q$50,G24+1,FALSE)</f>
        <v>0.91115730059915656</v>
      </c>
      <c r="AG24" s="44">
        <f t="shared" ref="AG24:AG34" si="31">AF24*J24*K24</f>
        <v>0</v>
      </c>
      <c r="AH24" s="52">
        <f>HLOOKUP(I24,ElecAvoidedCostsWOCC!$A$5:$Q$50,T24+1,FALSE)</f>
        <v>0.91115730059915656</v>
      </c>
      <c r="AI24" s="44">
        <f t="shared" ref="AI24:AI34" si="32">AH24*J24*L24</f>
        <v>0</v>
      </c>
      <c r="AJ24" s="44">
        <f t="shared" ref="AJ24:AJ34" si="33">AG24+AI24</f>
        <v>0</v>
      </c>
      <c r="AK24" s="44">
        <f>HLOOKUP(I24,ElecAvoidedCostsWOCC!$A$5:$Q$50,G24+1,FALSE)*J24*L24</f>
        <v>0</v>
      </c>
      <c r="AL24" s="44">
        <f t="shared" ref="AL24:AL34" si="34">AG24+AI24-AK24</f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ref="AN24:AN34" si="35">AM24*1.1+AD24+AE24</f>
        <v>0</v>
      </c>
      <c r="AO24" s="47">
        <f t="shared" ref="AO24:AO34" si="36">IFERROR(AM24/AB24,0)</f>
        <v>0</v>
      </c>
      <c r="AP24" s="47">
        <f t="shared" ref="AP24:AP34" si="37">AN24/AC24</f>
        <v>0</v>
      </c>
      <c r="AQ24">
        <v>2020</v>
      </c>
    </row>
    <row r="25" spans="1:43" ht="13.5" customHeight="1">
      <c r="B25" s="97" t="s">
        <v>15</v>
      </c>
      <c r="C25" s="100">
        <v>18230440</v>
      </c>
      <c r="D25" s="100" t="s">
        <v>53</v>
      </c>
      <c r="E25" s="38" t="s">
        <v>1851</v>
      </c>
      <c r="F25" s="39" t="s">
        <v>1852</v>
      </c>
      <c r="G25" s="39">
        <v>11</v>
      </c>
      <c r="H25" s="39"/>
      <c r="I25" s="40" t="s">
        <v>248</v>
      </c>
      <c r="J25" s="41">
        <v>78</v>
      </c>
      <c r="K25" s="41">
        <v>0</v>
      </c>
      <c r="L25" s="41"/>
      <c r="M25" s="42">
        <v>2</v>
      </c>
      <c r="N25" s="42">
        <v>2.92</v>
      </c>
      <c r="O25" s="43">
        <v>0</v>
      </c>
      <c r="P25" s="44">
        <v>234</v>
      </c>
      <c r="Q25" s="44">
        <v>227.76</v>
      </c>
      <c r="R25" s="45">
        <v>0</v>
      </c>
      <c r="S25" s="46">
        <v>0</v>
      </c>
      <c r="T25" s="39">
        <f t="shared" si="19"/>
        <v>11</v>
      </c>
      <c r="U25" s="47">
        <f t="shared" si="20"/>
        <v>0</v>
      </c>
      <c r="V25" s="48">
        <f t="shared" si="21"/>
        <v>0.91999999999999993</v>
      </c>
      <c r="W25" s="49">
        <f t="shared" si="22"/>
        <v>0</v>
      </c>
      <c r="X25" s="44">
        <f t="shared" si="23"/>
        <v>0</v>
      </c>
      <c r="Y25" s="44">
        <f t="shared" si="24"/>
        <v>-6.2400000000000091</v>
      </c>
      <c r="Z25" s="44">
        <f t="shared" si="25"/>
        <v>0</v>
      </c>
      <c r="AA25" s="50">
        <f t="shared" si="26"/>
        <v>227.76</v>
      </c>
      <c r="AB25" s="51">
        <f t="shared" si="27"/>
        <v>0</v>
      </c>
      <c r="AC25" s="44">
        <f t="shared" si="28"/>
        <v>212.91951014303072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0.84047616627897226</v>
      </c>
      <c r="AG25" s="44">
        <f t="shared" si="31"/>
        <v>0</v>
      </c>
      <c r="AH25" s="52">
        <f>HLOOKUP(I25,ElecAvoidedCostsWOCC!$A$5:$Q$50,T25+1,FALSE)</f>
        <v>0.84047616627897226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  <c r="AQ25">
        <v>2020</v>
      </c>
    </row>
    <row r="26" spans="1:43" ht="13.5" customHeight="1">
      <c r="B26" s="97" t="s">
        <v>15</v>
      </c>
      <c r="C26" s="100">
        <v>18230440</v>
      </c>
      <c r="D26" s="100" t="s">
        <v>53</v>
      </c>
      <c r="E26" s="38" t="s">
        <v>1853</v>
      </c>
      <c r="F26" s="39" t="s">
        <v>1854</v>
      </c>
      <c r="G26" s="39">
        <v>12</v>
      </c>
      <c r="H26" s="39"/>
      <c r="I26" s="40" t="s">
        <v>248</v>
      </c>
      <c r="J26" s="41">
        <v>78</v>
      </c>
      <c r="K26" s="41">
        <v>0</v>
      </c>
      <c r="L26" s="41"/>
      <c r="M26" s="42">
        <v>2.5</v>
      </c>
      <c r="N26" s="42">
        <v>3.68</v>
      </c>
      <c r="O26" s="43">
        <v>0</v>
      </c>
      <c r="P26" s="44">
        <v>234</v>
      </c>
      <c r="Q26" s="44">
        <v>287.04000000000002</v>
      </c>
      <c r="R26" s="45">
        <v>0</v>
      </c>
      <c r="S26" s="46">
        <v>0</v>
      </c>
      <c r="T26" s="39">
        <f t="shared" si="19"/>
        <v>12</v>
      </c>
      <c r="U26" s="47">
        <f t="shared" si="20"/>
        <v>0</v>
      </c>
      <c r="V26" s="48">
        <f t="shared" si="21"/>
        <v>1.1800000000000002</v>
      </c>
      <c r="W26" s="49">
        <f t="shared" si="22"/>
        <v>0</v>
      </c>
      <c r="X26" s="44">
        <f t="shared" si="23"/>
        <v>0</v>
      </c>
      <c r="Y26" s="44">
        <f t="shared" si="24"/>
        <v>53.04000000000002</v>
      </c>
      <c r="Z26" s="44">
        <f t="shared" si="25"/>
        <v>0</v>
      </c>
      <c r="AA26" s="50">
        <f t="shared" si="26"/>
        <v>287.04000000000002</v>
      </c>
      <c r="AB26" s="51">
        <f t="shared" si="27"/>
        <v>0</v>
      </c>
      <c r="AC26" s="44">
        <f t="shared" si="28"/>
        <v>268.33691689258671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0.91115730059915656</v>
      </c>
      <c r="AG26" s="44">
        <f t="shared" si="31"/>
        <v>0</v>
      </c>
      <c r="AH26" s="52">
        <f>HLOOKUP(I26,ElecAvoidedCostsWOCC!$A$5:$Q$50,T26+1,FALSE)</f>
        <v>0.91115730059915656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2020</v>
      </c>
    </row>
    <row r="27" spans="1:43" ht="13.5" customHeight="1">
      <c r="B27" s="97" t="s">
        <v>15</v>
      </c>
      <c r="C27" s="100">
        <v>18230440</v>
      </c>
      <c r="D27" s="100" t="s">
        <v>53</v>
      </c>
      <c r="E27" s="38" t="s">
        <v>1855</v>
      </c>
      <c r="F27" s="39" t="s">
        <v>1856</v>
      </c>
      <c r="G27" s="39">
        <v>9</v>
      </c>
      <c r="H27" s="39"/>
      <c r="I27" s="40" t="s">
        <v>248</v>
      </c>
      <c r="J27" s="41">
        <v>244</v>
      </c>
      <c r="K27" s="41">
        <v>0</v>
      </c>
      <c r="L27" s="41"/>
      <c r="M27" s="42">
        <v>3.25</v>
      </c>
      <c r="N27" s="42">
        <v>2.08</v>
      </c>
      <c r="O27" s="43">
        <v>0</v>
      </c>
      <c r="P27" s="44">
        <v>966.25</v>
      </c>
      <c r="Q27" s="44">
        <v>507.52</v>
      </c>
      <c r="R27" s="45">
        <v>0</v>
      </c>
      <c r="S27" s="46">
        <v>0</v>
      </c>
      <c r="T27" s="39">
        <f t="shared" si="19"/>
        <v>9</v>
      </c>
      <c r="U27" s="47">
        <f t="shared" si="20"/>
        <v>0</v>
      </c>
      <c r="V27" s="48">
        <f t="shared" si="21"/>
        <v>-1.17</v>
      </c>
      <c r="W27" s="49">
        <f t="shared" si="22"/>
        <v>0</v>
      </c>
      <c r="X27" s="44">
        <f t="shared" si="23"/>
        <v>0</v>
      </c>
      <c r="Y27" s="44">
        <f t="shared" si="24"/>
        <v>-458.73</v>
      </c>
      <c r="Z27" s="44">
        <f t="shared" si="25"/>
        <v>0</v>
      </c>
      <c r="AA27" s="50">
        <f t="shared" si="26"/>
        <v>507.52</v>
      </c>
      <c r="AB27" s="51">
        <f t="shared" si="27"/>
        <v>0</v>
      </c>
      <c r="AC27" s="44">
        <f t="shared" si="28"/>
        <v>474.45078059268945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0.69032168448332065</v>
      </c>
      <c r="AG27" s="44">
        <f t="shared" si="31"/>
        <v>0</v>
      </c>
      <c r="AH27" s="52">
        <f>HLOOKUP(I27,ElecAvoidedCostsWOCC!$A$5:$Q$50,T27+1,FALSE)</f>
        <v>0.69032168448332065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2020</v>
      </c>
    </row>
    <row r="28" spans="1:43" ht="13.5" customHeight="1">
      <c r="B28" s="97" t="s">
        <v>15</v>
      </c>
      <c r="C28" s="100">
        <v>18230440</v>
      </c>
      <c r="D28" s="100" t="s">
        <v>53</v>
      </c>
      <c r="E28" s="38" t="s">
        <v>1857</v>
      </c>
      <c r="F28" s="39" t="s">
        <v>535</v>
      </c>
      <c r="G28" s="39">
        <v>12</v>
      </c>
      <c r="H28" s="39"/>
      <c r="I28" s="40" t="s">
        <v>248</v>
      </c>
      <c r="J28" s="41">
        <v>14691</v>
      </c>
      <c r="K28" s="41">
        <v>7.98</v>
      </c>
      <c r="L28" s="41"/>
      <c r="M28" s="42">
        <v>2.5</v>
      </c>
      <c r="N28" s="42">
        <v>2.56</v>
      </c>
      <c r="O28" s="43">
        <v>117234.18</v>
      </c>
      <c r="P28" s="44">
        <v>18262</v>
      </c>
      <c r="Q28" s="44">
        <v>37608.959999999999</v>
      </c>
      <c r="R28" s="45">
        <v>0</v>
      </c>
      <c r="S28" s="46">
        <v>0</v>
      </c>
      <c r="T28" s="39">
        <f t="shared" si="19"/>
        <v>12</v>
      </c>
      <c r="U28" s="47">
        <f t="shared" si="20"/>
        <v>5.4709485002648897E-2</v>
      </c>
      <c r="V28" s="48">
        <f t="shared" si="21"/>
        <v>6.0000000000000053E-2</v>
      </c>
      <c r="W28" s="49">
        <f t="shared" si="22"/>
        <v>4.5591237502207414E-3</v>
      </c>
      <c r="X28" s="44">
        <f t="shared" si="23"/>
        <v>5957.7945755234477</v>
      </c>
      <c r="Y28" s="44">
        <f t="shared" si="24"/>
        <v>19346.96</v>
      </c>
      <c r="Z28" s="44">
        <f t="shared" si="25"/>
        <v>22486.223939049698</v>
      </c>
      <c r="AA28" s="50">
        <f t="shared" si="26"/>
        <v>43566.754575523446</v>
      </c>
      <c r="AB28" s="51">
        <f t="shared" si="27"/>
        <v>21021.056313966248</v>
      </c>
      <c r="AC28" s="44">
        <f t="shared" si="28"/>
        <v>40728.012130058371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0.91115730059915656</v>
      </c>
      <c r="AG28" s="44">
        <f t="shared" si="31"/>
        <v>106818.77898675563</v>
      </c>
      <c r="AH28" s="52">
        <f>HLOOKUP(I28,ElecAvoidedCostsWOCC!$A$5:$Q$50,T28+1,FALSE)</f>
        <v>0.91115730059915656</v>
      </c>
      <c r="AI28" s="44">
        <f t="shared" si="32"/>
        <v>0</v>
      </c>
      <c r="AJ28" s="44">
        <f t="shared" si="33"/>
        <v>106818.77898675563</v>
      </c>
      <c r="AK28" s="44">
        <f>HLOOKUP(I28,ElecAvoidedCostsWOCC!$A$5:$Q$50,G28+1,FALSE)*J28*L28</f>
        <v>0</v>
      </c>
      <c r="AL28" s="44">
        <f t="shared" si="34"/>
        <v>106818.77898675563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106818.77898675563</v>
      </c>
      <c r="AN28" s="48">
        <f t="shared" si="35"/>
        <v>117500.65688543121</v>
      </c>
      <c r="AO28" s="47">
        <f t="shared" si="36"/>
        <v>5.0815133831208072</v>
      </c>
      <c r="AP28" s="47">
        <f t="shared" si="37"/>
        <v>2.8850083944733593</v>
      </c>
      <c r="AQ28">
        <v>2020</v>
      </c>
    </row>
    <row r="29" spans="1:43">
      <c r="B29" s="97" t="s">
        <v>15</v>
      </c>
      <c r="C29" s="100">
        <v>18230440</v>
      </c>
      <c r="D29" s="100" t="s">
        <v>53</v>
      </c>
      <c r="E29" s="38" t="s">
        <v>534</v>
      </c>
      <c r="F29" s="39" t="s">
        <v>535</v>
      </c>
      <c r="G29" s="39">
        <v>12</v>
      </c>
      <c r="H29" s="39"/>
      <c r="I29" s="40" t="s">
        <v>248</v>
      </c>
      <c r="J29" s="41">
        <v>46824</v>
      </c>
      <c r="K29" s="41">
        <v>10.199999999999999</v>
      </c>
      <c r="L29" s="41"/>
      <c r="M29" s="42">
        <v>2.5</v>
      </c>
      <c r="N29" s="42">
        <v>4.12</v>
      </c>
      <c r="O29" s="43">
        <v>477604.8</v>
      </c>
      <c r="P29" s="44">
        <v>117059.5</v>
      </c>
      <c r="Q29" s="44">
        <v>192914.88</v>
      </c>
      <c r="R29" s="45">
        <v>0</v>
      </c>
      <c r="S29" s="46">
        <v>0</v>
      </c>
      <c r="T29" s="39">
        <f t="shared" si="19"/>
        <v>12</v>
      </c>
      <c r="U29" s="47">
        <f t="shared" si="20"/>
        <v>0.22288305887236237</v>
      </c>
      <c r="V29" s="48">
        <f t="shared" si="21"/>
        <v>1.62</v>
      </c>
      <c r="W29" s="49">
        <f t="shared" si="22"/>
        <v>1.8573588239363531E-2</v>
      </c>
      <c r="X29" s="44">
        <f t="shared" si="23"/>
        <v>24271.686693112551</v>
      </c>
      <c r="Y29" s="44">
        <f t="shared" si="24"/>
        <v>75855.38</v>
      </c>
      <c r="Z29" s="44">
        <f t="shared" si="25"/>
        <v>91607.48586431914</v>
      </c>
      <c r="AA29" s="50">
        <f t="shared" si="26"/>
        <v>217186.56669311255</v>
      </c>
      <c r="AB29" s="51">
        <f t="shared" si="27"/>
        <v>85638.483560174936</v>
      </c>
      <c r="AC29" s="44">
        <f t="shared" si="28"/>
        <v>203035.02542125131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0.91115730059915656</v>
      </c>
      <c r="AG29" s="44">
        <f t="shared" si="31"/>
        <v>435173.10032119998</v>
      </c>
      <c r="AH29" s="52">
        <f>HLOOKUP(I29,ElecAvoidedCostsWOCC!$A$5:$Q$50,T29+1,FALSE)</f>
        <v>0.91115730059915656</v>
      </c>
      <c r="AI29" s="44">
        <f t="shared" si="32"/>
        <v>0</v>
      </c>
      <c r="AJ29" s="44">
        <f t="shared" si="33"/>
        <v>435173.10032119998</v>
      </c>
      <c r="AK29" s="44">
        <f>HLOOKUP(I29,ElecAvoidedCostsWOCC!$A$5:$Q$50,G29+1,FALSE)*J29*L29</f>
        <v>0</v>
      </c>
      <c r="AL29" s="44">
        <f t="shared" si="34"/>
        <v>435173.10032119998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435173.10032120004</v>
      </c>
      <c r="AN29" s="48">
        <f t="shared" si="35"/>
        <v>478690.41035332007</v>
      </c>
      <c r="AO29" s="47">
        <f t="shared" si="36"/>
        <v>5.0815133831208055</v>
      </c>
      <c r="AP29" s="47">
        <f t="shared" si="37"/>
        <v>2.3576740484069032</v>
      </c>
      <c r="AQ29">
        <v>2020</v>
      </c>
    </row>
    <row r="30" spans="1:43">
      <c r="B30" s="97" t="s">
        <v>15</v>
      </c>
      <c r="C30" s="100">
        <v>18230440</v>
      </c>
      <c r="D30" s="100" t="s">
        <v>53</v>
      </c>
      <c r="E30" s="38" t="s">
        <v>1858</v>
      </c>
      <c r="F30" s="39" t="s">
        <v>538</v>
      </c>
      <c r="G30" s="39">
        <v>12</v>
      </c>
      <c r="H30" s="39"/>
      <c r="I30" s="40" t="s">
        <v>248</v>
      </c>
      <c r="J30" s="41">
        <v>109891</v>
      </c>
      <c r="K30" s="41">
        <v>28.63</v>
      </c>
      <c r="L30" s="41"/>
      <c r="M30" s="42">
        <v>5</v>
      </c>
      <c r="N30" s="42">
        <v>24.19</v>
      </c>
      <c r="O30" s="43">
        <v>3146179.33</v>
      </c>
      <c r="P30" s="44">
        <v>142695</v>
      </c>
      <c r="Q30" s="44">
        <v>2658263.29</v>
      </c>
      <c r="R30" s="45">
        <v>0</v>
      </c>
      <c r="S30" s="46">
        <v>0</v>
      </c>
      <c r="T30" s="39">
        <f t="shared" si="19"/>
        <v>12</v>
      </c>
      <c r="U30" s="47">
        <f t="shared" si="20"/>
        <v>1.468222414915846</v>
      </c>
      <c r="V30" s="48">
        <f t="shared" si="21"/>
        <v>19.190000000000001</v>
      </c>
      <c r="W30" s="49">
        <f t="shared" si="22"/>
        <v>0.12235186790965383</v>
      </c>
      <c r="X30" s="44">
        <f t="shared" si="23"/>
        <v>159887.58692983564</v>
      </c>
      <c r="Y30" s="44">
        <f t="shared" si="24"/>
        <v>2515568.29</v>
      </c>
      <c r="Z30" s="44">
        <f t="shared" si="25"/>
        <v>603456.20165372721</v>
      </c>
      <c r="AA30" s="50">
        <f t="shared" si="26"/>
        <v>2818150.8769298359</v>
      </c>
      <c r="AB30" s="51">
        <f t="shared" si="27"/>
        <v>564135.92750652251</v>
      </c>
      <c r="AC30" s="44">
        <f t="shared" si="28"/>
        <v>2634524.5180235915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2866664.2655236633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2866664.2655236633</v>
      </c>
      <c r="AK30" s="44">
        <f>HLOOKUP(I30,ElecAvoidedCostsWOCC!$A$5:$Q$50,G30+1,FALSE)*J30*L30</f>
        <v>0</v>
      </c>
      <c r="AL30" s="44">
        <f t="shared" si="34"/>
        <v>2866664.2655236633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2866664.2655236628</v>
      </c>
      <c r="AN30" s="48">
        <f t="shared" si="35"/>
        <v>3153330.6920760293</v>
      </c>
      <c r="AO30" s="47">
        <f t="shared" si="36"/>
        <v>5.0815133831208055</v>
      </c>
      <c r="AP30" s="47">
        <f t="shared" si="37"/>
        <v>1.1969259236356031</v>
      </c>
      <c r="AQ30">
        <v>2020</v>
      </c>
    </row>
    <row r="31" spans="1:43">
      <c r="B31" s="97" t="s">
        <v>15</v>
      </c>
      <c r="C31" s="100">
        <v>18230440</v>
      </c>
      <c r="D31" s="100" t="s">
        <v>53</v>
      </c>
      <c r="E31" s="38" t="s">
        <v>537</v>
      </c>
      <c r="F31" s="39" t="s">
        <v>538</v>
      </c>
      <c r="G31" s="39">
        <v>15</v>
      </c>
      <c r="H31" s="39"/>
      <c r="I31" s="40" t="s">
        <v>248</v>
      </c>
      <c r="J31" s="41">
        <v>47900</v>
      </c>
      <c r="K31" s="41">
        <v>2.5</v>
      </c>
      <c r="L31" s="41"/>
      <c r="M31" s="42">
        <v>1.5</v>
      </c>
      <c r="N31" s="42">
        <v>1.1000000000000001</v>
      </c>
      <c r="O31" s="43">
        <v>119750</v>
      </c>
      <c r="P31" s="44">
        <v>71551.5</v>
      </c>
      <c r="Q31" s="44">
        <v>52690</v>
      </c>
      <c r="R31" s="45">
        <v>0</v>
      </c>
      <c r="S31" s="46">
        <v>0</v>
      </c>
      <c r="T31" s="39">
        <f t="shared" si="19"/>
        <v>15</v>
      </c>
      <c r="U31" s="47">
        <f t="shared" si="20"/>
        <v>6.9854423311819194E-2</v>
      </c>
      <c r="V31" s="48">
        <f t="shared" si="21"/>
        <v>-0.39999999999999991</v>
      </c>
      <c r="W31" s="49">
        <f t="shared" si="22"/>
        <v>4.6569615541212795E-3</v>
      </c>
      <c r="X31" s="44">
        <f t="shared" si="23"/>
        <v>6085.6475510719911</v>
      </c>
      <c r="Y31" s="44">
        <f t="shared" si="24"/>
        <v>-18861.5</v>
      </c>
      <c r="Z31" s="44">
        <f t="shared" si="25"/>
        <v>22968.773413190604</v>
      </c>
      <c r="AA31" s="50">
        <f t="shared" si="26"/>
        <v>58775.64755107199</v>
      </c>
      <c r="AB31" s="51">
        <f t="shared" si="27"/>
        <v>21472.163609601386</v>
      </c>
      <c r="AC31" s="44">
        <f t="shared" si="28"/>
        <v>54945.917127299232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1.107650050703576</v>
      </c>
      <c r="AG31" s="44">
        <f t="shared" si="31"/>
        <v>132641.09357175324</v>
      </c>
      <c r="AH31" s="52">
        <f>HLOOKUP(I31,ElecAvoidedCostsWOCC!$A$5:$Q$50,T31+1,FALSE)</f>
        <v>1.107650050703576</v>
      </c>
      <c r="AI31" s="44">
        <f t="shared" si="32"/>
        <v>0</v>
      </c>
      <c r="AJ31" s="44">
        <f t="shared" si="33"/>
        <v>132641.09357175324</v>
      </c>
      <c r="AK31" s="44">
        <f>HLOOKUP(I31,ElecAvoidedCostsWOCC!$A$5:$Q$50,G31+1,FALSE)*J31*L31</f>
        <v>0</v>
      </c>
      <c r="AL31" s="44">
        <f t="shared" si="34"/>
        <v>132641.09357175324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132641.09357175324</v>
      </c>
      <c r="AN31" s="48">
        <f t="shared" si="35"/>
        <v>145905.20292892857</v>
      </c>
      <c r="AO31" s="47">
        <f t="shared" si="36"/>
        <v>6.1773511036606532</v>
      </c>
      <c r="AP31" s="47">
        <f t="shared" si="37"/>
        <v>2.6554330250033682</v>
      </c>
      <c r="AQ31">
        <v>2020</v>
      </c>
    </row>
    <row r="32" spans="1:43">
      <c r="B32" s="97" t="s">
        <v>15</v>
      </c>
      <c r="C32" s="100">
        <v>18230440</v>
      </c>
      <c r="D32" s="100" t="s">
        <v>53</v>
      </c>
      <c r="E32" s="38" t="s">
        <v>1859</v>
      </c>
      <c r="F32" s="39" t="s">
        <v>541</v>
      </c>
      <c r="G32" s="39">
        <v>12</v>
      </c>
      <c r="H32" s="39"/>
      <c r="I32" s="40" t="s">
        <v>248</v>
      </c>
      <c r="J32" s="41">
        <v>31876</v>
      </c>
      <c r="K32" s="41">
        <v>34.270000000000003</v>
      </c>
      <c r="L32" s="41"/>
      <c r="M32" s="42">
        <v>10</v>
      </c>
      <c r="N32" s="42">
        <v>20</v>
      </c>
      <c r="O32" s="43">
        <v>1092390.52</v>
      </c>
      <c r="P32" s="44">
        <v>48300</v>
      </c>
      <c r="Q32" s="44">
        <v>637520</v>
      </c>
      <c r="R32" s="45">
        <v>0</v>
      </c>
      <c r="S32" s="46">
        <v>0</v>
      </c>
      <c r="T32" s="39">
        <f t="shared" si="19"/>
        <v>12</v>
      </c>
      <c r="U32" s="47">
        <f t="shared" si="20"/>
        <v>0.50978411561351678</v>
      </c>
      <c r="V32" s="48">
        <f t="shared" si="21"/>
        <v>10</v>
      </c>
      <c r="W32" s="49">
        <f t="shared" si="22"/>
        <v>4.2482009634459729E-2</v>
      </c>
      <c r="X32" s="44">
        <f t="shared" si="23"/>
        <v>55514.853384987546</v>
      </c>
      <c r="Y32" s="44">
        <f t="shared" si="24"/>
        <v>589220</v>
      </c>
      <c r="Z32" s="44">
        <f t="shared" si="25"/>
        <v>209527.10089851741</v>
      </c>
      <c r="AA32" s="50">
        <f t="shared" si="26"/>
        <v>693034.85338498757</v>
      </c>
      <c r="AB32" s="51">
        <f t="shared" si="27"/>
        <v>195874.63858887294</v>
      </c>
      <c r="AC32" s="44">
        <f t="shared" si="28"/>
        <v>647877.77263250214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0.91115730059915656</v>
      </c>
      <c r="AG32" s="44">
        <f t="shared" si="31"/>
        <v>995339.59740330896</v>
      </c>
      <c r="AH32" s="52">
        <f>HLOOKUP(I32,ElecAvoidedCostsWOCC!$A$5:$Q$50,T32+1,FALSE)</f>
        <v>0.91115730059915656</v>
      </c>
      <c r="AI32" s="44">
        <f t="shared" si="32"/>
        <v>0</v>
      </c>
      <c r="AJ32" s="44">
        <f t="shared" si="33"/>
        <v>995339.59740330896</v>
      </c>
      <c r="AK32" s="44">
        <f>HLOOKUP(I32,ElecAvoidedCostsWOCC!$A$5:$Q$50,G32+1,FALSE)*J32*L32</f>
        <v>0</v>
      </c>
      <c r="AL32" s="44">
        <f t="shared" si="34"/>
        <v>995339.59740330896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995339.59740330908</v>
      </c>
      <c r="AN32" s="48">
        <f t="shared" si="35"/>
        <v>1094873.55714364</v>
      </c>
      <c r="AO32" s="47">
        <f t="shared" si="36"/>
        <v>5.0815133831208064</v>
      </c>
      <c r="AP32" s="47">
        <f t="shared" si="37"/>
        <v>1.689938447332239</v>
      </c>
      <c r="AQ32">
        <v>2020</v>
      </c>
    </row>
    <row r="33" spans="2:43">
      <c r="B33" s="97" t="s">
        <v>15</v>
      </c>
      <c r="C33" s="100">
        <v>18230440</v>
      </c>
      <c r="D33" s="100" t="s">
        <v>53</v>
      </c>
      <c r="E33" s="38" t="s">
        <v>540</v>
      </c>
      <c r="F33" s="39" t="s">
        <v>541</v>
      </c>
      <c r="G33" s="39">
        <v>12</v>
      </c>
      <c r="H33" s="39"/>
      <c r="I33" s="40" t="s">
        <v>248</v>
      </c>
      <c r="J33" s="41">
        <v>35572</v>
      </c>
      <c r="K33" s="41">
        <v>6.6</v>
      </c>
      <c r="L33" s="41"/>
      <c r="M33" s="42">
        <v>3</v>
      </c>
      <c r="N33" s="42">
        <v>2.87</v>
      </c>
      <c r="O33" s="43">
        <v>234775.2</v>
      </c>
      <c r="P33" s="44">
        <v>106716</v>
      </c>
      <c r="Q33" s="44">
        <v>102091.64</v>
      </c>
      <c r="R33" s="45">
        <v>0</v>
      </c>
      <c r="S33" s="46">
        <v>0</v>
      </c>
      <c r="T33" s="39">
        <f t="shared" si="19"/>
        <v>12</v>
      </c>
      <c r="U33" s="47">
        <f t="shared" si="20"/>
        <v>0.10956216253138716</v>
      </c>
      <c r="V33" s="48">
        <f t="shared" si="21"/>
        <v>-0.12999999999999989</v>
      </c>
      <c r="W33" s="49">
        <f t="shared" si="22"/>
        <v>9.1301802109489301E-3</v>
      </c>
      <c r="X33" s="44">
        <f t="shared" si="23"/>
        <v>11931.182638266697</v>
      </c>
      <c r="Y33" s="44">
        <f t="shared" si="24"/>
        <v>-4624.3600000000006</v>
      </c>
      <c r="Z33" s="44">
        <f t="shared" si="25"/>
        <v>45031.301643728671</v>
      </c>
      <c r="AA33" s="50">
        <f t="shared" si="26"/>
        <v>114022.82263826669</v>
      </c>
      <c r="AB33" s="51">
        <f t="shared" si="27"/>
        <v>42097.131573084669</v>
      </c>
      <c r="AC33" s="44">
        <f t="shared" si="28"/>
        <v>106593.27160724191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0.91115730059915656</v>
      </c>
      <c r="AG33" s="44">
        <f t="shared" si="31"/>
        <v>213917.1374796271</v>
      </c>
      <c r="AH33" s="52">
        <f>HLOOKUP(I33,ElecAvoidedCostsWOCC!$A$5:$Q$50,T33+1,FALSE)</f>
        <v>0.91115730059915656</v>
      </c>
      <c r="AI33" s="44">
        <f t="shared" si="32"/>
        <v>0</v>
      </c>
      <c r="AJ33" s="44">
        <f t="shared" si="33"/>
        <v>213917.1374796271</v>
      </c>
      <c r="AK33" s="44">
        <f>HLOOKUP(I33,ElecAvoidedCostsWOCC!$A$5:$Q$50,G33+1,FALSE)*J33*L33</f>
        <v>0</v>
      </c>
      <c r="AL33" s="44">
        <f t="shared" si="34"/>
        <v>213917.1374796271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213917.1374796271</v>
      </c>
      <c r="AN33" s="48">
        <f t="shared" si="35"/>
        <v>235308.85122758982</v>
      </c>
      <c r="AO33" s="47">
        <f t="shared" si="36"/>
        <v>5.0815133831208046</v>
      </c>
      <c r="AP33" s="47">
        <f t="shared" si="37"/>
        <v>2.2075394410879778</v>
      </c>
      <c r="AQ33">
        <v>2020</v>
      </c>
    </row>
    <row r="34" spans="2:43">
      <c r="B34" s="97" t="s">
        <v>15</v>
      </c>
      <c r="C34" s="100">
        <v>18230440</v>
      </c>
      <c r="D34" s="100" t="s">
        <v>53</v>
      </c>
      <c r="E34" s="38" t="s">
        <v>1860</v>
      </c>
      <c r="F34" s="39" t="s">
        <v>1861</v>
      </c>
      <c r="G34" s="39">
        <v>12</v>
      </c>
      <c r="H34" s="39"/>
      <c r="I34" s="40" t="s">
        <v>248</v>
      </c>
      <c r="J34" s="41">
        <v>1708</v>
      </c>
      <c r="K34" s="41">
        <v>11.32</v>
      </c>
      <c r="L34" s="41"/>
      <c r="M34" s="42">
        <v>2</v>
      </c>
      <c r="N34" s="42">
        <v>2</v>
      </c>
      <c r="O34" s="43">
        <v>19334.559999999801</v>
      </c>
      <c r="P34" s="44">
        <v>6439.1599999999698</v>
      </c>
      <c r="Q34" s="44">
        <v>3416</v>
      </c>
      <c r="R34" s="45">
        <v>0</v>
      </c>
      <c r="S34" s="46">
        <v>0</v>
      </c>
      <c r="T34" s="39">
        <f t="shared" si="19"/>
        <v>12</v>
      </c>
      <c r="U34" s="47">
        <f t="shared" si="20"/>
        <v>9.0228278165361379E-3</v>
      </c>
      <c r="V34" s="48">
        <f t="shared" si="21"/>
        <v>0</v>
      </c>
      <c r="W34" s="49">
        <f t="shared" si="22"/>
        <v>7.5190231804467809E-4</v>
      </c>
      <c r="X34" s="44">
        <f t="shared" si="23"/>
        <v>982.57467820503769</v>
      </c>
      <c r="Y34" s="44">
        <f t="shared" si="24"/>
        <v>-3023.1599999999698</v>
      </c>
      <c r="Z34" s="44">
        <f t="shared" si="25"/>
        <v>3708.4854086324344</v>
      </c>
      <c r="AA34" s="50">
        <f t="shared" si="26"/>
        <v>4398.5746782050373</v>
      </c>
      <c r="AB34" s="51">
        <f t="shared" si="27"/>
        <v>3466.8462266359111</v>
      </c>
      <c r="AC34" s="44">
        <f t="shared" si="28"/>
        <v>4111.9703451482073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0.91115730059915656</v>
      </c>
      <c r="AG34" s="44">
        <f t="shared" si="31"/>
        <v>17616.825497872429</v>
      </c>
      <c r="AH34" s="52">
        <f>HLOOKUP(I34,ElecAvoidedCostsWOCC!$A$5:$Q$50,T34+1,FALSE)</f>
        <v>0.91115730059915656</v>
      </c>
      <c r="AI34" s="44">
        <f t="shared" si="32"/>
        <v>0</v>
      </c>
      <c r="AJ34" s="44">
        <f t="shared" si="33"/>
        <v>17616.825497872429</v>
      </c>
      <c r="AK34" s="44">
        <f>HLOOKUP(I34,ElecAvoidedCostsWOCC!$A$5:$Q$50,G34+1,FALSE)*J34*L34</f>
        <v>0</v>
      </c>
      <c r="AL34" s="44">
        <f t="shared" si="34"/>
        <v>17616.825497872429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17616.825497872429</v>
      </c>
      <c r="AN34" s="48">
        <f t="shared" si="35"/>
        <v>19378.508047659674</v>
      </c>
      <c r="AO34" s="47">
        <f t="shared" si="36"/>
        <v>5.0815133831208579</v>
      </c>
      <c r="AP34" s="47">
        <f t="shared" si="37"/>
        <v>4.7127061775931205</v>
      </c>
      <c r="AQ34">
        <v>2020</v>
      </c>
    </row>
    <row r="35" spans="2:43">
      <c r="B35" s="97" t="s">
        <v>15</v>
      </c>
      <c r="C35" s="100"/>
      <c r="D35" s="100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ref="T35:T38" si="38">G35+H35</f>
        <v>0</v>
      </c>
      <c r="U35" s="47">
        <f t="shared" ref="U35:U38" si="39">(O35/$A$10)*T35</f>
        <v>0</v>
      </c>
      <c r="V35" s="48">
        <f t="shared" ref="V35:V38" si="40">N35-M35</f>
        <v>0</v>
      </c>
      <c r="W35" s="49">
        <f t="shared" ref="W35:W38" si="41">(O35/A$10)</f>
        <v>0</v>
      </c>
      <c r="X35" s="44">
        <f t="shared" ref="X35:X38" si="42">W35*A$8</f>
        <v>0</v>
      </c>
      <c r="Y35" s="44">
        <f t="shared" ref="Y35:Y38" si="43">Q35-P35</f>
        <v>0</v>
      </c>
      <c r="Z35" s="44">
        <f t="shared" ref="Z35:Z38" si="44">X35+(A$6*W35)</f>
        <v>0</v>
      </c>
      <c r="AA35" s="50">
        <f t="shared" ref="AA35:AA38" si="45">Q35+X35</f>
        <v>0</v>
      </c>
      <c r="AB35" s="51">
        <f t="shared" ref="AB35:AB38" si="46">Z35/(1+ElecDiscountRate)^1</f>
        <v>0</v>
      </c>
      <c r="AC35" s="44">
        <f t="shared" ref="AC35:AC38" si="47">AA35/(1+ElecDiscountRate)^1</f>
        <v>0</v>
      </c>
      <c r="AD35" s="44">
        <f t="shared" ref="AD35:AD38" si="48">-PV(ElecDiscountRate,T35,R35)*J35</f>
        <v>0</v>
      </c>
      <c r="AE35" s="44">
        <f t="shared" ref="AE35:AE38" si="49">-PV(ElecDiscountRate,T35,S35)*J35</f>
        <v>0</v>
      </c>
      <c r="AF35" s="52" t="e">
        <f>HLOOKUP(I35,ElecAvoidedCostsWOCC!$A$5:$Q$50,G35+1,FALSE)</f>
        <v>#N/A</v>
      </c>
      <c r="AG35" s="44" t="e">
        <f t="shared" ref="AG35:AG38" si="50">AF35*J35*K35</f>
        <v>#N/A</v>
      </c>
      <c r="AH35" s="52" t="e">
        <f>HLOOKUP(I35,ElecAvoidedCostsWOCC!$A$5:$Q$50,T35+1,FALSE)</f>
        <v>#N/A</v>
      </c>
      <c r="AI35" s="44" t="e">
        <f t="shared" ref="AI35:AI38" si="51">AH35*J35*L35</f>
        <v>#N/A</v>
      </c>
      <c r="AJ35" s="44" t="e">
        <f t="shared" ref="AJ35:AJ38" si="52">AG35+AI35</f>
        <v>#N/A</v>
      </c>
      <c r="AK35" s="44" t="e">
        <f>HLOOKUP(I35,ElecAvoidedCostsWOCC!$A$5:$Q$50,G35+1,FALSE)*J35*L35</f>
        <v>#N/A</v>
      </c>
      <c r="AL35" s="44" t="e">
        <f t="shared" ref="AL35:AL38" si="53">AG35+AI35-AK35</f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ref="AN35:AN38" si="54">AM35*1.1+AD35+AE35</f>
        <v>0</v>
      </c>
      <c r="AO35" s="47">
        <f t="shared" ref="AO35:AO38" si="55">IFERROR(AM35/AB35,0)</f>
        <v>0</v>
      </c>
      <c r="AP35" s="47" t="e">
        <f t="shared" ref="AP35:AP38" si="56">AN35/AC35</f>
        <v>#DIV/0!</v>
      </c>
    </row>
    <row r="36" spans="2:43">
      <c r="B36" s="97" t="s">
        <v>15</v>
      </c>
      <c r="C36" s="100"/>
      <c r="D36" s="100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38"/>
        <v>0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 t="e">
        <f>HLOOKUP(I36,ElecAvoidedCostsWOCC!$A$5:$Q$50,G36+1,FALSE)</f>
        <v>#N/A</v>
      </c>
      <c r="AG36" s="44" t="e">
        <f t="shared" si="50"/>
        <v>#N/A</v>
      </c>
      <c r="AH36" s="52" t="e">
        <f>HLOOKUP(I36,ElecAvoidedCostsWOCC!$A$5:$Q$50,T36+1,FALSE)</f>
        <v>#N/A</v>
      </c>
      <c r="AI36" s="44" t="e">
        <f t="shared" si="51"/>
        <v>#N/A</v>
      </c>
      <c r="AJ36" s="44" t="e">
        <f t="shared" si="52"/>
        <v>#N/A</v>
      </c>
      <c r="AK36" s="44" t="e">
        <f>HLOOKUP(I36,ElecAvoidedCostsWOCC!$A$5:$Q$50,G36+1,FALSE)*J36*L36</f>
        <v>#N/A</v>
      </c>
      <c r="AL36" s="44" t="e">
        <f t="shared" si="5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3">
      <c r="B37" s="97" t="s">
        <v>15</v>
      </c>
      <c r="C37" s="100"/>
      <c r="D37" s="100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38"/>
        <v>0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0</v>
      </c>
      <c r="AB37" s="51">
        <f t="shared" si="46"/>
        <v>0</v>
      </c>
      <c r="AC37" s="44">
        <f t="shared" si="47"/>
        <v>0</v>
      </c>
      <c r="AD37" s="44">
        <f t="shared" si="48"/>
        <v>0</v>
      </c>
      <c r="AE37" s="44">
        <f t="shared" si="49"/>
        <v>0</v>
      </c>
      <c r="AF37" s="52" t="e">
        <f>HLOOKUP(I37,ElecAvoidedCostsWOCC!$A$5:$Q$50,G37+1,FALSE)</f>
        <v>#N/A</v>
      </c>
      <c r="AG37" s="44" t="e">
        <f t="shared" si="50"/>
        <v>#N/A</v>
      </c>
      <c r="AH37" s="52" t="e">
        <f>HLOOKUP(I37,ElecAvoidedCostsWOCC!$A$5:$Q$50,T37+1,FALSE)</f>
        <v>#N/A</v>
      </c>
      <c r="AI37" s="44" t="e">
        <f t="shared" si="51"/>
        <v>#N/A</v>
      </c>
      <c r="AJ37" s="44" t="e">
        <f t="shared" si="52"/>
        <v>#N/A</v>
      </c>
      <c r="AK37" s="44" t="e">
        <f>HLOOKUP(I37,ElecAvoidedCostsWOCC!$A$5:$Q$50,G37+1,FALSE)*J37*L37</f>
        <v>#N/A</v>
      </c>
      <c r="AL37" s="44" t="e">
        <f t="shared" si="5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 t="e">
        <f t="shared" si="56"/>
        <v>#DIV/0!</v>
      </c>
    </row>
    <row r="38" spans="2:43">
      <c r="B38" s="97" t="s">
        <v>15</v>
      </c>
      <c r="C38" s="100"/>
      <c r="D38" s="100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38"/>
        <v>0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0</v>
      </c>
      <c r="AB38" s="51">
        <f t="shared" si="46"/>
        <v>0</v>
      </c>
      <c r="AC38" s="44">
        <f t="shared" si="47"/>
        <v>0</v>
      </c>
      <c r="AD38" s="44">
        <f t="shared" si="48"/>
        <v>0</v>
      </c>
      <c r="AE38" s="44">
        <f t="shared" si="49"/>
        <v>0</v>
      </c>
      <c r="AF38" s="52" t="e">
        <f>HLOOKUP(I38,ElecAvoidedCostsWOCC!$A$5:$Q$50,G38+1,FALSE)</f>
        <v>#N/A</v>
      </c>
      <c r="AG38" s="44" t="e">
        <f t="shared" si="50"/>
        <v>#N/A</v>
      </c>
      <c r="AH38" s="52" t="e">
        <f>HLOOKUP(I38,ElecAvoidedCostsWOCC!$A$5:$Q$50,T38+1,FALSE)</f>
        <v>#N/A</v>
      </c>
      <c r="AI38" s="44" t="e">
        <f t="shared" si="51"/>
        <v>#N/A</v>
      </c>
      <c r="AJ38" s="44" t="e">
        <f t="shared" si="52"/>
        <v>#N/A</v>
      </c>
      <c r="AK38" s="44" t="e">
        <f>HLOOKUP(I38,ElecAvoidedCostsWOCC!$A$5:$Q$50,G38+1,FALSE)*J38*L38</f>
        <v>#N/A</v>
      </c>
      <c r="AL38" s="44" t="e">
        <f t="shared" si="5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 t="e">
        <f t="shared" si="56"/>
        <v>#DIV/0!</v>
      </c>
    </row>
    <row r="39" spans="2:43">
      <c r="B39" s="97" t="s">
        <v>15</v>
      </c>
      <c r="C39" s="100"/>
      <c r="D39" s="100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ref="T39:T102" si="57">G39+H39</f>
        <v>0</v>
      </c>
      <c r="U39" s="47">
        <f t="shared" ref="U39:U102" si="58">(O39/$A$10)*T39</f>
        <v>0</v>
      </c>
      <c r="V39" s="48">
        <f t="shared" ref="V39:V102" si="59">N39-M39</f>
        <v>0</v>
      </c>
      <c r="W39" s="49">
        <f t="shared" ref="W39:W102" si="60">(O39/A$10)</f>
        <v>0</v>
      </c>
      <c r="X39" s="44">
        <f t="shared" ref="X39:X102" si="61">W39*A$8</f>
        <v>0</v>
      </c>
      <c r="Y39" s="44">
        <f t="shared" ref="Y39:Y102" si="62">Q39-P39</f>
        <v>0</v>
      </c>
      <c r="Z39" s="44">
        <f t="shared" ref="Z39:Z102" si="63">X39+(A$6*W39)</f>
        <v>0</v>
      </c>
      <c r="AA39" s="50">
        <f t="shared" ref="AA39:AA102" si="64">Q39+X39</f>
        <v>0</v>
      </c>
      <c r="AB39" s="51">
        <f t="shared" ref="AB39:AB102" si="65">Z39/(1+ElecDiscountRate)^1</f>
        <v>0</v>
      </c>
      <c r="AC39" s="44">
        <f t="shared" ref="AC39:AC102" si="66">AA39/(1+ElecDiscountRate)^1</f>
        <v>0</v>
      </c>
      <c r="AD39" s="44">
        <f t="shared" ref="AD39:AD102" si="67">-PV(ElecDiscountRate,T39,R39)*J39</f>
        <v>0</v>
      </c>
      <c r="AE39" s="44">
        <f t="shared" ref="AE39:AE102" si="68">-PV(ElecDiscountRate,T39,S39)*J39</f>
        <v>0</v>
      </c>
      <c r="AF39" s="52" t="e">
        <f>HLOOKUP(I39,ElecAvoidedCostsWOCC!$A$5:$Q$50,G39+1,FALSE)</f>
        <v>#N/A</v>
      </c>
      <c r="AG39" s="44" t="e">
        <f t="shared" ref="AG39:AG102" si="69">AF39*J39*K39</f>
        <v>#N/A</v>
      </c>
      <c r="AH39" s="52" t="e">
        <f>HLOOKUP(I39,ElecAvoidedCostsWOCC!$A$5:$Q$50,T39+1,FALSE)</f>
        <v>#N/A</v>
      </c>
      <c r="AI39" s="44" t="e">
        <f t="shared" ref="AI39:AI102" si="70">AH39*J39*L39</f>
        <v>#N/A</v>
      </c>
      <c r="AJ39" s="44" t="e">
        <f t="shared" ref="AJ39:AJ102" si="71">AG39+AI39</f>
        <v>#N/A</v>
      </c>
      <c r="AK39" s="44" t="e">
        <f>HLOOKUP(I39,ElecAvoidedCostsWOCC!$A$5:$Q$50,G39+1,FALSE)*J39*L39</f>
        <v>#N/A</v>
      </c>
      <c r="AL39" s="44" t="e">
        <f t="shared" ref="AL39:AL102" si="72">AG39+AI39-AK39</f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ref="AN39:AN102" si="73">AM39*1.1+AD39+AE39</f>
        <v>0</v>
      </c>
      <c r="AO39" s="47">
        <f t="shared" ref="AO39:AO102" si="74">IFERROR(AM39/AB39,0)</f>
        <v>0</v>
      </c>
      <c r="AP39" s="47" t="e">
        <f t="shared" ref="AP39:AP102" si="75">AN39/AC39</f>
        <v>#DIV/0!</v>
      </c>
    </row>
    <row r="40" spans="2:43">
      <c r="B40" s="97" t="s">
        <v>15</v>
      </c>
      <c r="C40" s="100"/>
      <c r="D40" s="100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57"/>
        <v>0</v>
      </c>
      <c r="U40" s="47">
        <f t="shared" si="58"/>
        <v>0</v>
      </c>
      <c r="V40" s="48">
        <f t="shared" si="59"/>
        <v>0</v>
      </c>
      <c r="W40" s="49">
        <f t="shared" si="60"/>
        <v>0</v>
      </c>
      <c r="X40" s="44">
        <f t="shared" si="61"/>
        <v>0</v>
      </c>
      <c r="Y40" s="44">
        <f t="shared" si="62"/>
        <v>0</v>
      </c>
      <c r="Z40" s="44">
        <f t="shared" si="63"/>
        <v>0</v>
      </c>
      <c r="AA40" s="50">
        <f t="shared" si="64"/>
        <v>0</v>
      </c>
      <c r="AB40" s="51">
        <f t="shared" si="65"/>
        <v>0</v>
      </c>
      <c r="AC40" s="44">
        <f t="shared" si="66"/>
        <v>0</v>
      </c>
      <c r="AD40" s="44">
        <f t="shared" si="67"/>
        <v>0</v>
      </c>
      <c r="AE40" s="44">
        <f t="shared" si="68"/>
        <v>0</v>
      </c>
      <c r="AF40" s="52" t="e">
        <f>HLOOKUP(I40,ElecAvoidedCostsWOCC!$A$5:$Q$50,G40+1,FALSE)</f>
        <v>#N/A</v>
      </c>
      <c r="AG40" s="44" t="e">
        <f t="shared" si="69"/>
        <v>#N/A</v>
      </c>
      <c r="AH40" s="52" t="e">
        <f>HLOOKUP(I40,ElecAvoidedCostsWOCC!$A$5:$Q$50,T40+1,FALSE)</f>
        <v>#N/A</v>
      </c>
      <c r="AI40" s="44" t="e">
        <f t="shared" si="70"/>
        <v>#N/A</v>
      </c>
      <c r="AJ40" s="44" t="e">
        <f t="shared" si="71"/>
        <v>#N/A</v>
      </c>
      <c r="AK40" s="44" t="e">
        <f>HLOOKUP(I40,ElecAvoidedCostsWOCC!$A$5:$Q$50,G40+1,FALSE)*J40*L40</f>
        <v>#N/A</v>
      </c>
      <c r="AL40" s="44" t="e">
        <f t="shared" si="72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73"/>
        <v>0</v>
      </c>
      <c r="AO40" s="47">
        <f t="shared" si="74"/>
        <v>0</v>
      </c>
      <c r="AP40" s="47" t="e">
        <f t="shared" si="75"/>
        <v>#DIV/0!</v>
      </c>
    </row>
    <row r="41" spans="2:43">
      <c r="B41" s="97" t="s">
        <v>15</v>
      </c>
      <c r="C41" s="100"/>
      <c r="D41" s="100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57"/>
        <v>0</v>
      </c>
      <c r="U41" s="47">
        <f t="shared" si="58"/>
        <v>0</v>
      </c>
      <c r="V41" s="48">
        <f t="shared" si="59"/>
        <v>0</v>
      </c>
      <c r="W41" s="49">
        <f t="shared" si="60"/>
        <v>0</v>
      </c>
      <c r="X41" s="44">
        <f t="shared" si="61"/>
        <v>0</v>
      </c>
      <c r="Y41" s="44">
        <f t="shared" si="62"/>
        <v>0</v>
      </c>
      <c r="Z41" s="44">
        <f t="shared" si="63"/>
        <v>0</v>
      </c>
      <c r="AA41" s="50">
        <f t="shared" si="64"/>
        <v>0</v>
      </c>
      <c r="AB41" s="51">
        <f t="shared" si="65"/>
        <v>0</v>
      </c>
      <c r="AC41" s="44">
        <f t="shared" si="66"/>
        <v>0</v>
      </c>
      <c r="AD41" s="44">
        <f t="shared" si="67"/>
        <v>0</v>
      </c>
      <c r="AE41" s="44">
        <f t="shared" si="68"/>
        <v>0</v>
      </c>
      <c r="AF41" s="52" t="e">
        <f>HLOOKUP(I41,ElecAvoidedCostsWOCC!$A$5:$Q$50,G41+1,FALSE)</f>
        <v>#N/A</v>
      </c>
      <c r="AG41" s="44" t="e">
        <f t="shared" si="69"/>
        <v>#N/A</v>
      </c>
      <c r="AH41" s="52" t="e">
        <f>HLOOKUP(I41,ElecAvoidedCostsWOCC!$A$5:$Q$50,T41+1,FALSE)</f>
        <v>#N/A</v>
      </c>
      <c r="AI41" s="44" t="e">
        <f t="shared" si="70"/>
        <v>#N/A</v>
      </c>
      <c r="AJ41" s="44" t="e">
        <f t="shared" si="71"/>
        <v>#N/A</v>
      </c>
      <c r="AK41" s="44" t="e">
        <f>HLOOKUP(I41,ElecAvoidedCostsWOCC!$A$5:$Q$50,G41+1,FALSE)*J41*L41</f>
        <v>#N/A</v>
      </c>
      <c r="AL41" s="44" t="e">
        <f t="shared" si="72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73"/>
        <v>0</v>
      </c>
      <c r="AO41" s="47">
        <f t="shared" si="74"/>
        <v>0</v>
      </c>
      <c r="AP41" s="47" t="e">
        <f t="shared" si="75"/>
        <v>#DIV/0!</v>
      </c>
    </row>
    <row r="42" spans="2:43">
      <c r="B42" s="97" t="s">
        <v>15</v>
      </c>
      <c r="C42" s="100"/>
      <c r="D42" s="100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57"/>
        <v>0</v>
      </c>
      <c r="U42" s="47">
        <f t="shared" si="58"/>
        <v>0</v>
      </c>
      <c r="V42" s="48">
        <f t="shared" si="59"/>
        <v>0</v>
      </c>
      <c r="W42" s="49">
        <f t="shared" si="60"/>
        <v>0</v>
      </c>
      <c r="X42" s="44">
        <f t="shared" si="61"/>
        <v>0</v>
      </c>
      <c r="Y42" s="44">
        <f t="shared" si="62"/>
        <v>0</v>
      </c>
      <c r="Z42" s="44">
        <f t="shared" si="63"/>
        <v>0</v>
      </c>
      <c r="AA42" s="50">
        <f t="shared" si="64"/>
        <v>0</v>
      </c>
      <c r="AB42" s="51">
        <f t="shared" si="65"/>
        <v>0</v>
      </c>
      <c r="AC42" s="44">
        <f t="shared" si="66"/>
        <v>0</v>
      </c>
      <c r="AD42" s="44">
        <f t="shared" si="67"/>
        <v>0</v>
      </c>
      <c r="AE42" s="44">
        <f t="shared" si="68"/>
        <v>0</v>
      </c>
      <c r="AF42" s="52" t="e">
        <f>HLOOKUP(I42,ElecAvoidedCostsWOCC!$A$5:$Q$50,G42+1,FALSE)</f>
        <v>#N/A</v>
      </c>
      <c r="AG42" s="44" t="e">
        <f t="shared" si="69"/>
        <v>#N/A</v>
      </c>
      <c r="AH42" s="52" t="e">
        <f>HLOOKUP(I42,ElecAvoidedCostsWOCC!$A$5:$Q$50,T42+1,FALSE)</f>
        <v>#N/A</v>
      </c>
      <c r="AI42" s="44" t="e">
        <f t="shared" si="70"/>
        <v>#N/A</v>
      </c>
      <c r="AJ42" s="44" t="e">
        <f t="shared" si="71"/>
        <v>#N/A</v>
      </c>
      <c r="AK42" s="44" t="e">
        <f>HLOOKUP(I42,ElecAvoidedCostsWOCC!$A$5:$Q$50,G42+1,FALSE)*J42*L42</f>
        <v>#N/A</v>
      </c>
      <c r="AL42" s="44" t="e">
        <f t="shared" si="72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73"/>
        <v>0</v>
      </c>
      <c r="AO42" s="47">
        <f t="shared" si="74"/>
        <v>0</v>
      </c>
      <c r="AP42" s="47" t="e">
        <f t="shared" si="75"/>
        <v>#DIV/0!</v>
      </c>
    </row>
    <row r="43" spans="2:43">
      <c r="B43" s="97" t="s">
        <v>15</v>
      </c>
      <c r="C43" s="100"/>
      <c r="D43" s="100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57"/>
        <v>0</v>
      </c>
      <c r="U43" s="47">
        <f t="shared" si="58"/>
        <v>0</v>
      </c>
      <c r="V43" s="48">
        <f t="shared" si="59"/>
        <v>0</v>
      </c>
      <c r="W43" s="49">
        <f t="shared" si="60"/>
        <v>0</v>
      </c>
      <c r="X43" s="44">
        <f t="shared" si="61"/>
        <v>0</v>
      </c>
      <c r="Y43" s="44">
        <f t="shared" si="62"/>
        <v>0</v>
      </c>
      <c r="Z43" s="44">
        <f t="shared" si="63"/>
        <v>0</v>
      </c>
      <c r="AA43" s="50">
        <f t="shared" si="64"/>
        <v>0</v>
      </c>
      <c r="AB43" s="51">
        <f t="shared" si="65"/>
        <v>0</v>
      </c>
      <c r="AC43" s="44">
        <f t="shared" si="66"/>
        <v>0</v>
      </c>
      <c r="AD43" s="44">
        <f t="shared" si="67"/>
        <v>0</v>
      </c>
      <c r="AE43" s="44">
        <f t="shared" si="68"/>
        <v>0</v>
      </c>
      <c r="AF43" s="52" t="e">
        <f>HLOOKUP(I43,ElecAvoidedCostsWOCC!$A$5:$Q$50,G43+1,FALSE)</f>
        <v>#N/A</v>
      </c>
      <c r="AG43" s="44" t="e">
        <f t="shared" si="69"/>
        <v>#N/A</v>
      </c>
      <c r="AH43" s="52" t="e">
        <f>HLOOKUP(I43,ElecAvoidedCostsWOCC!$A$5:$Q$50,T43+1,FALSE)</f>
        <v>#N/A</v>
      </c>
      <c r="AI43" s="44" t="e">
        <f t="shared" si="70"/>
        <v>#N/A</v>
      </c>
      <c r="AJ43" s="44" t="e">
        <f t="shared" si="71"/>
        <v>#N/A</v>
      </c>
      <c r="AK43" s="44" t="e">
        <f>HLOOKUP(I43,ElecAvoidedCostsWOCC!$A$5:$Q$50,G43+1,FALSE)*J43*L43</f>
        <v>#N/A</v>
      </c>
      <c r="AL43" s="44" t="e">
        <f t="shared" si="72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73"/>
        <v>0</v>
      </c>
      <c r="AO43" s="47">
        <f t="shared" si="74"/>
        <v>0</v>
      </c>
      <c r="AP43" s="47" t="e">
        <f t="shared" si="75"/>
        <v>#DIV/0!</v>
      </c>
    </row>
    <row r="44" spans="2:43">
      <c r="B44" s="97" t="s">
        <v>15</v>
      </c>
      <c r="C44" s="100"/>
      <c r="D44" s="100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57"/>
        <v>0</v>
      </c>
      <c r="U44" s="47">
        <f t="shared" si="58"/>
        <v>0</v>
      </c>
      <c r="V44" s="48">
        <f t="shared" si="59"/>
        <v>0</v>
      </c>
      <c r="W44" s="49">
        <f t="shared" si="60"/>
        <v>0</v>
      </c>
      <c r="X44" s="44">
        <f t="shared" si="61"/>
        <v>0</v>
      </c>
      <c r="Y44" s="44">
        <f t="shared" si="62"/>
        <v>0</v>
      </c>
      <c r="Z44" s="44">
        <f t="shared" si="63"/>
        <v>0</v>
      </c>
      <c r="AA44" s="50">
        <f t="shared" si="64"/>
        <v>0</v>
      </c>
      <c r="AB44" s="51">
        <f t="shared" si="65"/>
        <v>0</v>
      </c>
      <c r="AC44" s="44">
        <f t="shared" si="66"/>
        <v>0</v>
      </c>
      <c r="AD44" s="44">
        <f t="shared" si="67"/>
        <v>0</v>
      </c>
      <c r="AE44" s="44">
        <f t="shared" si="68"/>
        <v>0</v>
      </c>
      <c r="AF44" s="52" t="e">
        <f>HLOOKUP(I44,ElecAvoidedCostsWOCC!$A$5:$Q$50,G44+1,FALSE)</f>
        <v>#N/A</v>
      </c>
      <c r="AG44" s="44" t="e">
        <f t="shared" si="69"/>
        <v>#N/A</v>
      </c>
      <c r="AH44" s="52" t="e">
        <f>HLOOKUP(I44,ElecAvoidedCostsWOCC!$A$5:$Q$50,T44+1,FALSE)</f>
        <v>#N/A</v>
      </c>
      <c r="AI44" s="44" t="e">
        <f t="shared" si="70"/>
        <v>#N/A</v>
      </c>
      <c r="AJ44" s="44" t="e">
        <f t="shared" si="71"/>
        <v>#N/A</v>
      </c>
      <c r="AK44" s="44" t="e">
        <f>HLOOKUP(I44,ElecAvoidedCostsWOCC!$A$5:$Q$50,G44+1,FALSE)*J44*L44</f>
        <v>#N/A</v>
      </c>
      <c r="AL44" s="44" t="e">
        <f t="shared" si="72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73"/>
        <v>0</v>
      </c>
      <c r="AO44" s="47">
        <f t="shared" si="74"/>
        <v>0</v>
      </c>
      <c r="AP44" s="47" t="e">
        <f t="shared" si="75"/>
        <v>#DIV/0!</v>
      </c>
    </row>
    <row r="45" spans="2:43">
      <c r="B45" s="97" t="s">
        <v>15</v>
      </c>
      <c r="C45" s="100"/>
      <c r="D45" s="100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57"/>
        <v>0</v>
      </c>
      <c r="U45" s="47">
        <f t="shared" si="58"/>
        <v>0</v>
      </c>
      <c r="V45" s="48">
        <f t="shared" si="59"/>
        <v>0</v>
      </c>
      <c r="W45" s="49">
        <f t="shared" si="60"/>
        <v>0</v>
      </c>
      <c r="X45" s="44">
        <f t="shared" si="61"/>
        <v>0</v>
      </c>
      <c r="Y45" s="44">
        <f t="shared" si="62"/>
        <v>0</v>
      </c>
      <c r="Z45" s="44">
        <f t="shared" si="63"/>
        <v>0</v>
      </c>
      <c r="AA45" s="50">
        <f t="shared" si="64"/>
        <v>0</v>
      </c>
      <c r="AB45" s="51">
        <f t="shared" si="65"/>
        <v>0</v>
      </c>
      <c r="AC45" s="44">
        <f t="shared" si="66"/>
        <v>0</v>
      </c>
      <c r="AD45" s="44">
        <f t="shared" si="67"/>
        <v>0</v>
      </c>
      <c r="AE45" s="44">
        <f t="shared" si="68"/>
        <v>0</v>
      </c>
      <c r="AF45" s="52" t="e">
        <f>HLOOKUP(I45,ElecAvoidedCostsWOCC!$A$5:$Q$50,G45+1,FALSE)</f>
        <v>#N/A</v>
      </c>
      <c r="AG45" s="44" t="e">
        <f t="shared" si="69"/>
        <v>#N/A</v>
      </c>
      <c r="AH45" s="52" t="e">
        <f>HLOOKUP(I45,ElecAvoidedCostsWOCC!$A$5:$Q$50,T45+1,FALSE)</f>
        <v>#N/A</v>
      </c>
      <c r="AI45" s="44" t="e">
        <f t="shared" si="70"/>
        <v>#N/A</v>
      </c>
      <c r="AJ45" s="44" t="e">
        <f t="shared" si="71"/>
        <v>#N/A</v>
      </c>
      <c r="AK45" s="44" t="e">
        <f>HLOOKUP(I45,ElecAvoidedCostsWOCC!$A$5:$Q$50,G45+1,FALSE)*J45*L45</f>
        <v>#N/A</v>
      </c>
      <c r="AL45" s="44" t="e">
        <f t="shared" si="72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73"/>
        <v>0</v>
      </c>
      <c r="AO45" s="47">
        <f t="shared" si="74"/>
        <v>0</v>
      </c>
      <c r="AP45" s="47" t="e">
        <f t="shared" si="75"/>
        <v>#DIV/0!</v>
      </c>
    </row>
    <row r="46" spans="2:43">
      <c r="B46" s="97" t="s">
        <v>15</v>
      </c>
      <c r="C46" s="100"/>
      <c r="D46" s="100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57"/>
        <v>0</v>
      </c>
      <c r="U46" s="47">
        <f t="shared" si="58"/>
        <v>0</v>
      </c>
      <c r="V46" s="48">
        <f t="shared" si="59"/>
        <v>0</v>
      </c>
      <c r="W46" s="49">
        <f t="shared" si="60"/>
        <v>0</v>
      </c>
      <c r="X46" s="44">
        <f t="shared" si="61"/>
        <v>0</v>
      </c>
      <c r="Y46" s="44">
        <f t="shared" si="62"/>
        <v>0</v>
      </c>
      <c r="Z46" s="44">
        <f t="shared" si="63"/>
        <v>0</v>
      </c>
      <c r="AA46" s="50">
        <f t="shared" si="64"/>
        <v>0</v>
      </c>
      <c r="AB46" s="51">
        <f t="shared" si="65"/>
        <v>0</v>
      </c>
      <c r="AC46" s="44">
        <f t="shared" si="66"/>
        <v>0</v>
      </c>
      <c r="AD46" s="44">
        <f t="shared" si="67"/>
        <v>0</v>
      </c>
      <c r="AE46" s="44">
        <f t="shared" si="68"/>
        <v>0</v>
      </c>
      <c r="AF46" s="52" t="e">
        <f>HLOOKUP(I46,ElecAvoidedCostsWOCC!$A$5:$Q$50,G46+1,FALSE)</f>
        <v>#N/A</v>
      </c>
      <c r="AG46" s="44" t="e">
        <f t="shared" si="69"/>
        <v>#N/A</v>
      </c>
      <c r="AH46" s="52" t="e">
        <f>HLOOKUP(I46,ElecAvoidedCostsWOCC!$A$5:$Q$50,T46+1,FALSE)</f>
        <v>#N/A</v>
      </c>
      <c r="AI46" s="44" t="e">
        <f t="shared" si="70"/>
        <v>#N/A</v>
      </c>
      <c r="AJ46" s="44" t="e">
        <f t="shared" si="71"/>
        <v>#N/A</v>
      </c>
      <c r="AK46" s="44" t="e">
        <f>HLOOKUP(I46,ElecAvoidedCostsWOCC!$A$5:$Q$50,G46+1,FALSE)*J46*L46</f>
        <v>#N/A</v>
      </c>
      <c r="AL46" s="44" t="e">
        <f t="shared" si="72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73"/>
        <v>0</v>
      </c>
      <c r="AO46" s="47">
        <f t="shared" si="74"/>
        <v>0</v>
      </c>
      <c r="AP46" s="47" t="e">
        <f t="shared" si="75"/>
        <v>#DIV/0!</v>
      </c>
    </row>
    <row r="47" spans="2:43">
      <c r="B47" s="97" t="s">
        <v>15</v>
      </c>
      <c r="C47" s="100"/>
      <c r="D47" s="100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57"/>
        <v>0</v>
      </c>
      <c r="U47" s="47">
        <f t="shared" si="58"/>
        <v>0</v>
      </c>
      <c r="V47" s="48">
        <f t="shared" si="59"/>
        <v>0</v>
      </c>
      <c r="W47" s="49">
        <f t="shared" si="60"/>
        <v>0</v>
      </c>
      <c r="X47" s="44">
        <f t="shared" si="61"/>
        <v>0</v>
      </c>
      <c r="Y47" s="44">
        <f t="shared" si="62"/>
        <v>0</v>
      </c>
      <c r="Z47" s="44">
        <f t="shared" si="63"/>
        <v>0</v>
      </c>
      <c r="AA47" s="50">
        <f t="shared" si="64"/>
        <v>0</v>
      </c>
      <c r="AB47" s="51">
        <f t="shared" si="65"/>
        <v>0</v>
      </c>
      <c r="AC47" s="44">
        <f t="shared" si="66"/>
        <v>0</v>
      </c>
      <c r="AD47" s="44">
        <f t="shared" si="67"/>
        <v>0</v>
      </c>
      <c r="AE47" s="44">
        <f t="shared" si="68"/>
        <v>0</v>
      </c>
      <c r="AF47" s="52" t="e">
        <f>HLOOKUP(I47,ElecAvoidedCostsWOCC!$A$5:$Q$50,G47+1,FALSE)</f>
        <v>#N/A</v>
      </c>
      <c r="AG47" s="44" t="e">
        <f t="shared" si="69"/>
        <v>#N/A</v>
      </c>
      <c r="AH47" s="52" t="e">
        <f>HLOOKUP(I47,ElecAvoidedCostsWOCC!$A$5:$Q$50,T47+1,FALSE)</f>
        <v>#N/A</v>
      </c>
      <c r="AI47" s="44" t="e">
        <f t="shared" si="70"/>
        <v>#N/A</v>
      </c>
      <c r="AJ47" s="44" t="e">
        <f t="shared" si="71"/>
        <v>#N/A</v>
      </c>
      <c r="AK47" s="44" t="e">
        <f>HLOOKUP(I47,ElecAvoidedCostsWOCC!$A$5:$Q$50,G47+1,FALSE)*J47*L47</f>
        <v>#N/A</v>
      </c>
      <c r="AL47" s="44" t="e">
        <f t="shared" si="72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73"/>
        <v>0</v>
      </c>
      <c r="AO47" s="47">
        <f t="shared" si="74"/>
        <v>0</v>
      </c>
      <c r="AP47" s="47" t="e">
        <f t="shared" si="75"/>
        <v>#DIV/0!</v>
      </c>
    </row>
    <row r="48" spans="2:43">
      <c r="B48" s="97" t="s">
        <v>15</v>
      </c>
      <c r="C48" s="100"/>
      <c r="D48" s="100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57"/>
        <v>0</v>
      </c>
      <c r="U48" s="47">
        <f t="shared" si="58"/>
        <v>0</v>
      </c>
      <c r="V48" s="48">
        <f t="shared" si="59"/>
        <v>0</v>
      </c>
      <c r="W48" s="49">
        <f t="shared" si="60"/>
        <v>0</v>
      </c>
      <c r="X48" s="44">
        <f t="shared" si="61"/>
        <v>0</v>
      </c>
      <c r="Y48" s="44">
        <f t="shared" si="62"/>
        <v>0</v>
      </c>
      <c r="Z48" s="44">
        <f t="shared" si="63"/>
        <v>0</v>
      </c>
      <c r="AA48" s="50">
        <f t="shared" si="64"/>
        <v>0</v>
      </c>
      <c r="AB48" s="51">
        <f t="shared" si="65"/>
        <v>0</v>
      </c>
      <c r="AC48" s="44">
        <f t="shared" si="66"/>
        <v>0</v>
      </c>
      <c r="AD48" s="44">
        <f t="shared" si="67"/>
        <v>0</v>
      </c>
      <c r="AE48" s="44">
        <f t="shared" si="68"/>
        <v>0</v>
      </c>
      <c r="AF48" s="52" t="e">
        <f>HLOOKUP(I48,ElecAvoidedCostsWOCC!$A$5:$Q$50,G48+1,FALSE)</f>
        <v>#N/A</v>
      </c>
      <c r="AG48" s="44" t="e">
        <f t="shared" si="69"/>
        <v>#N/A</v>
      </c>
      <c r="AH48" s="52" t="e">
        <f>HLOOKUP(I48,ElecAvoidedCostsWOCC!$A$5:$Q$50,T48+1,FALSE)</f>
        <v>#N/A</v>
      </c>
      <c r="AI48" s="44" t="e">
        <f t="shared" si="70"/>
        <v>#N/A</v>
      </c>
      <c r="AJ48" s="44" t="e">
        <f t="shared" si="71"/>
        <v>#N/A</v>
      </c>
      <c r="AK48" s="44" t="e">
        <f>HLOOKUP(I48,ElecAvoidedCostsWOCC!$A$5:$Q$50,G48+1,FALSE)*J48*L48</f>
        <v>#N/A</v>
      </c>
      <c r="AL48" s="44" t="e">
        <f t="shared" si="72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73"/>
        <v>0</v>
      </c>
      <c r="AO48" s="47">
        <f t="shared" si="74"/>
        <v>0</v>
      </c>
      <c r="AP48" s="47" t="e">
        <f t="shared" si="75"/>
        <v>#DIV/0!</v>
      </c>
    </row>
    <row r="49" spans="2:42">
      <c r="B49" s="97" t="s">
        <v>15</v>
      </c>
      <c r="C49" s="100"/>
      <c r="D49" s="100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57"/>
        <v>0</v>
      </c>
      <c r="U49" s="47">
        <f t="shared" si="58"/>
        <v>0</v>
      </c>
      <c r="V49" s="48">
        <f t="shared" si="59"/>
        <v>0</v>
      </c>
      <c r="W49" s="49">
        <f t="shared" si="60"/>
        <v>0</v>
      </c>
      <c r="X49" s="44">
        <f t="shared" si="61"/>
        <v>0</v>
      </c>
      <c r="Y49" s="44">
        <f t="shared" si="62"/>
        <v>0</v>
      </c>
      <c r="Z49" s="44">
        <f t="shared" si="63"/>
        <v>0</v>
      </c>
      <c r="AA49" s="50">
        <f t="shared" si="64"/>
        <v>0</v>
      </c>
      <c r="AB49" s="51">
        <f t="shared" si="65"/>
        <v>0</v>
      </c>
      <c r="AC49" s="44">
        <f t="shared" si="66"/>
        <v>0</v>
      </c>
      <c r="AD49" s="44">
        <f t="shared" si="67"/>
        <v>0</v>
      </c>
      <c r="AE49" s="44">
        <f t="shared" si="68"/>
        <v>0</v>
      </c>
      <c r="AF49" s="52" t="e">
        <f>HLOOKUP(I49,ElecAvoidedCostsWOCC!$A$5:$Q$50,G49+1,FALSE)</f>
        <v>#N/A</v>
      </c>
      <c r="AG49" s="44" t="e">
        <f t="shared" si="69"/>
        <v>#N/A</v>
      </c>
      <c r="AH49" s="52" t="e">
        <f>HLOOKUP(I49,ElecAvoidedCostsWOCC!$A$5:$Q$50,T49+1,FALSE)</f>
        <v>#N/A</v>
      </c>
      <c r="AI49" s="44" t="e">
        <f t="shared" si="70"/>
        <v>#N/A</v>
      </c>
      <c r="AJ49" s="44" t="e">
        <f t="shared" si="71"/>
        <v>#N/A</v>
      </c>
      <c r="AK49" s="44" t="e">
        <f>HLOOKUP(I49,ElecAvoidedCostsWOCC!$A$5:$Q$50,G49+1,FALSE)*J49*L49</f>
        <v>#N/A</v>
      </c>
      <c r="AL49" s="44" t="e">
        <f t="shared" si="72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73"/>
        <v>0</v>
      </c>
      <c r="AO49" s="47">
        <f t="shared" si="74"/>
        <v>0</v>
      </c>
      <c r="AP49" s="47" t="e">
        <f t="shared" si="75"/>
        <v>#DIV/0!</v>
      </c>
    </row>
    <row r="50" spans="2:42">
      <c r="B50" s="97" t="s">
        <v>15</v>
      </c>
      <c r="C50" s="100"/>
      <c r="D50" s="100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57"/>
        <v>0</v>
      </c>
      <c r="U50" s="47">
        <f t="shared" si="58"/>
        <v>0</v>
      </c>
      <c r="V50" s="48">
        <f t="shared" si="59"/>
        <v>0</v>
      </c>
      <c r="W50" s="49">
        <f t="shared" si="60"/>
        <v>0</v>
      </c>
      <c r="X50" s="44">
        <f t="shared" si="61"/>
        <v>0</v>
      </c>
      <c r="Y50" s="44">
        <f t="shared" si="62"/>
        <v>0</v>
      </c>
      <c r="Z50" s="44">
        <f t="shared" si="63"/>
        <v>0</v>
      </c>
      <c r="AA50" s="50">
        <f t="shared" si="64"/>
        <v>0</v>
      </c>
      <c r="AB50" s="51">
        <f t="shared" si="65"/>
        <v>0</v>
      </c>
      <c r="AC50" s="44">
        <f t="shared" si="66"/>
        <v>0</v>
      </c>
      <c r="AD50" s="44">
        <f t="shared" si="67"/>
        <v>0</v>
      </c>
      <c r="AE50" s="44">
        <f t="shared" si="68"/>
        <v>0</v>
      </c>
      <c r="AF50" s="52" t="e">
        <f>HLOOKUP(I50,ElecAvoidedCostsWOCC!$A$5:$Q$50,G50+1,FALSE)</f>
        <v>#N/A</v>
      </c>
      <c r="AG50" s="44" t="e">
        <f t="shared" si="69"/>
        <v>#N/A</v>
      </c>
      <c r="AH50" s="52" t="e">
        <f>HLOOKUP(I50,ElecAvoidedCostsWOCC!$A$5:$Q$50,T50+1,FALSE)</f>
        <v>#N/A</v>
      </c>
      <c r="AI50" s="44" t="e">
        <f t="shared" si="70"/>
        <v>#N/A</v>
      </c>
      <c r="AJ50" s="44" t="e">
        <f t="shared" si="71"/>
        <v>#N/A</v>
      </c>
      <c r="AK50" s="44" t="e">
        <f>HLOOKUP(I50,ElecAvoidedCostsWOCC!$A$5:$Q$50,G50+1,FALSE)*J50*L50</f>
        <v>#N/A</v>
      </c>
      <c r="AL50" s="44" t="e">
        <f t="shared" si="72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73"/>
        <v>0</v>
      </c>
      <c r="AO50" s="47">
        <f t="shared" si="74"/>
        <v>0</v>
      </c>
      <c r="AP50" s="47" t="e">
        <f t="shared" si="75"/>
        <v>#DIV/0!</v>
      </c>
    </row>
    <row r="51" spans="2:42">
      <c r="B51" s="97" t="s">
        <v>15</v>
      </c>
      <c r="C51" s="100"/>
      <c r="D51" s="100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57"/>
        <v>0</v>
      </c>
      <c r="U51" s="47">
        <f t="shared" si="58"/>
        <v>0</v>
      </c>
      <c r="V51" s="48">
        <f t="shared" si="59"/>
        <v>0</v>
      </c>
      <c r="W51" s="49">
        <f t="shared" si="60"/>
        <v>0</v>
      </c>
      <c r="X51" s="44">
        <f t="shared" si="61"/>
        <v>0</v>
      </c>
      <c r="Y51" s="44">
        <f t="shared" si="62"/>
        <v>0</v>
      </c>
      <c r="Z51" s="44">
        <f t="shared" si="63"/>
        <v>0</v>
      </c>
      <c r="AA51" s="50">
        <f t="shared" si="64"/>
        <v>0</v>
      </c>
      <c r="AB51" s="51">
        <f t="shared" si="65"/>
        <v>0</v>
      </c>
      <c r="AC51" s="44">
        <f t="shared" si="66"/>
        <v>0</v>
      </c>
      <c r="AD51" s="44">
        <f t="shared" si="67"/>
        <v>0</v>
      </c>
      <c r="AE51" s="44">
        <f t="shared" si="68"/>
        <v>0</v>
      </c>
      <c r="AF51" s="52" t="e">
        <f>HLOOKUP(I51,ElecAvoidedCostsWOCC!$A$5:$Q$50,G51+1,FALSE)</f>
        <v>#N/A</v>
      </c>
      <c r="AG51" s="44" t="e">
        <f t="shared" si="69"/>
        <v>#N/A</v>
      </c>
      <c r="AH51" s="52" t="e">
        <f>HLOOKUP(I51,ElecAvoidedCostsWOCC!$A$5:$Q$50,T51+1,FALSE)</f>
        <v>#N/A</v>
      </c>
      <c r="AI51" s="44" t="e">
        <f t="shared" si="70"/>
        <v>#N/A</v>
      </c>
      <c r="AJ51" s="44" t="e">
        <f t="shared" si="71"/>
        <v>#N/A</v>
      </c>
      <c r="AK51" s="44" t="e">
        <f>HLOOKUP(I51,ElecAvoidedCostsWOCC!$A$5:$Q$50,G51+1,FALSE)*J51*L51</f>
        <v>#N/A</v>
      </c>
      <c r="AL51" s="44" t="e">
        <f t="shared" si="72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73"/>
        <v>0</v>
      </c>
      <c r="AO51" s="47">
        <f t="shared" si="74"/>
        <v>0</v>
      </c>
      <c r="AP51" s="47" t="e">
        <f t="shared" si="75"/>
        <v>#DIV/0!</v>
      </c>
    </row>
    <row r="52" spans="2:42">
      <c r="B52" s="97" t="s">
        <v>15</v>
      </c>
      <c r="C52" s="100"/>
      <c r="D52" s="100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57"/>
        <v>0</v>
      </c>
      <c r="U52" s="47">
        <f t="shared" si="58"/>
        <v>0</v>
      </c>
      <c r="V52" s="48">
        <f t="shared" si="59"/>
        <v>0</v>
      </c>
      <c r="W52" s="49">
        <f t="shared" si="60"/>
        <v>0</v>
      </c>
      <c r="X52" s="44">
        <f t="shared" si="61"/>
        <v>0</v>
      </c>
      <c r="Y52" s="44">
        <f t="shared" si="62"/>
        <v>0</v>
      </c>
      <c r="Z52" s="44">
        <f t="shared" si="63"/>
        <v>0</v>
      </c>
      <c r="AA52" s="50">
        <f t="shared" si="64"/>
        <v>0</v>
      </c>
      <c r="AB52" s="51">
        <f t="shared" si="65"/>
        <v>0</v>
      </c>
      <c r="AC52" s="44">
        <f t="shared" si="66"/>
        <v>0</v>
      </c>
      <c r="AD52" s="44">
        <f t="shared" si="67"/>
        <v>0</v>
      </c>
      <c r="AE52" s="44">
        <f t="shared" si="68"/>
        <v>0</v>
      </c>
      <c r="AF52" s="52" t="e">
        <f>HLOOKUP(I52,ElecAvoidedCostsWOCC!$A$5:$Q$50,G52+1,FALSE)</f>
        <v>#N/A</v>
      </c>
      <c r="AG52" s="44" t="e">
        <f t="shared" si="69"/>
        <v>#N/A</v>
      </c>
      <c r="AH52" s="52" t="e">
        <f>HLOOKUP(I52,ElecAvoidedCostsWOCC!$A$5:$Q$50,T52+1,FALSE)</f>
        <v>#N/A</v>
      </c>
      <c r="AI52" s="44" t="e">
        <f t="shared" si="70"/>
        <v>#N/A</v>
      </c>
      <c r="AJ52" s="44" t="e">
        <f t="shared" si="71"/>
        <v>#N/A</v>
      </c>
      <c r="AK52" s="44" t="e">
        <f>HLOOKUP(I52,ElecAvoidedCostsWOCC!$A$5:$Q$50,G52+1,FALSE)*J52*L52</f>
        <v>#N/A</v>
      </c>
      <c r="AL52" s="44" t="e">
        <f t="shared" si="72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73"/>
        <v>0</v>
      </c>
      <c r="AO52" s="47">
        <f t="shared" si="74"/>
        <v>0</v>
      </c>
      <c r="AP52" s="47" t="e">
        <f t="shared" si="75"/>
        <v>#DIV/0!</v>
      </c>
    </row>
    <row r="53" spans="2:42">
      <c r="B53" s="97" t="s">
        <v>15</v>
      </c>
      <c r="C53" s="100"/>
      <c r="D53" s="100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57"/>
        <v>0</v>
      </c>
      <c r="U53" s="47">
        <f t="shared" si="58"/>
        <v>0</v>
      </c>
      <c r="V53" s="48">
        <f t="shared" si="59"/>
        <v>0</v>
      </c>
      <c r="W53" s="49">
        <f t="shared" si="60"/>
        <v>0</v>
      </c>
      <c r="X53" s="44">
        <f t="shared" si="61"/>
        <v>0</v>
      </c>
      <c r="Y53" s="44">
        <f t="shared" si="62"/>
        <v>0</v>
      </c>
      <c r="Z53" s="44">
        <f t="shared" si="63"/>
        <v>0</v>
      </c>
      <c r="AA53" s="50">
        <f t="shared" si="64"/>
        <v>0</v>
      </c>
      <c r="AB53" s="51">
        <f t="shared" si="65"/>
        <v>0</v>
      </c>
      <c r="AC53" s="44">
        <f t="shared" si="66"/>
        <v>0</v>
      </c>
      <c r="AD53" s="44">
        <f t="shared" si="67"/>
        <v>0</v>
      </c>
      <c r="AE53" s="44">
        <f t="shared" si="68"/>
        <v>0</v>
      </c>
      <c r="AF53" s="52" t="e">
        <f>HLOOKUP(I53,ElecAvoidedCostsWOCC!$A$5:$Q$50,G53+1,FALSE)</f>
        <v>#N/A</v>
      </c>
      <c r="AG53" s="44" t="e">
        <f t="shared" si="69"/>
        <v>#N/A</v>
      </c>
      <c r="AH53" s="52" t="e">
        <f>HLOOKUP(I53,ElecAvoidedCostsWOCC!$A$5:$Q$50,T53+1,FALSE)</f>
        <v>#N/A</v>
      </c>
      <c r="AI53" s="44" t="e">
        <f t="shared" si="70"/>
        <v>#N/A</v>
      </c>
      <c r="AJ53" s="44" t="e">
        <f t="shared" si="71"/>
        <v>#N/A</v>
      </c>
      <c r="AK53" s="44" t="e">
        <f>HLOOKUP(I53,ElecAvoidedCostsWOCC!$A$5:$Q$50,G53+1,FALSE)*J53*L53</f>
        <v>#N/A</v>
      </c>
      <c r="AL53" s="44" t="e">
        <f t="shared" si="72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73"/>
        <v>0</v>
      </c>
      <c r="AO53" s="47">
        <f t="shared" si="74"/>
        <v>0</v>
      </c>
      <c r="AP53" s="47" t="e">
        <f t="shared" si="75"/>
        <v>#DIV/0!</v>
      </c>
    </row>
    <row r="54" spans="2:42">
      <c r="B54" s="97" t="s">
        <v>15</v>
      </c>
      <c r="C54" s="100"/>
      <c r="D54" s="100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57"/>
        <v>0</v>
      </c>
      <c r="U54" s="47">
        <f t="shared" si="58"/>
        <v>0</v>
      </c>
      <c r="V54" s="48">
        <f t="shared" si="59"/>
        <v>0</v>
      </c>
      <c r="W54" s="49">
        <f t="shared" si="60"/>
        <v>0</v>
      </c>
      <c r="X54" s="44">
        <f t="shared" si="61"/>
        <v>0</v>
      </c>
      <c r="Y54" s="44">
        <f t="shared" si="62"/>
        <v>0</v>
      </c>
      <c r="Z54" s="44">
        <f t="shared" si="63"/>
        <v>0</v>
      </c>
      <c r="AA54" s="50">
        <f t="shared" si="64"/>
        <v>0</v>
      </c>
      <c r="AB54" s="51">
        <f t="shared" si="65"/>
        <v>0</v>
      </c>
      <c r="AC54" s="44">
        <f t="shared" si="66"/>
        <v>0</v>
      </c>
      <c r="AD54" s="44">
        <f t="shared" si="67"/>
        <v>0</v>
      </c>
      <c r="AE54" s="44">
        <f t="shared" si="68"/>
        <v>0</v>
      </c>
      <c r="AF54" s="52" t="e">
        <f>HLOOKUP(I54,ElecAvoidedCostsWOCC!$A$5:$Q$50,G54+1,FALSE)</f>
        <v>#N/A</v>
      </c>
      <c r="AG54" s="44" t="e">
        <f t="shared" si="69"/>
        <v>#N/A</v>
      </c>
      <c r="AH54" s="52" t="e">
        <f>HLOOKUP(I54,ElecAvoidedCostsWOCC!$A$5:$Q$50,T54+1,FALSE)</f>
        <v>#N/A</v>
      </c>
      <c r="AI54" s="44" t="e">
        <f t="shared" si="70"/>
        <v>#N/A</v>
      </c>
      <c r="AJ54" s="44" t="e">
        <f t="shared" si="71"/>
        <v>#N/A</v>
      </c>
      <c r="AK54" s="44" t="e">
        <f>HLOOKUP(I54,ElecAvoidedCostsWOCC!$A$5:$Q$50,G54+1,FALSE)*J54*L54</f>
        <v>#N/A</v>
      </c>
      <c r="AL54" s="44" t="e">
        <f t="shared" si="72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73"/>
        <v>0</v>
      </c>
      <c r="AO54" s="47">
        <f t="shared" si="74"/>
        <v>0</v>
      </c>
      <c r="AP54" s="47" t="e">
        <f t="shared" si="75"/>
        <v>#DIV/0!</v>
      </c>
    </row>
    <row r="55" spans="2:42">
      <c r="B55" s="97" t="s">
        <v>15</v>
      </c>
      <c r="C55" s="100"/>
      <c r="D55" s="100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57"/>
        <v>0</v>
      </c>
      <c r="U55" s="47">
        <f t="shared" si="58"/>
        <v>0</v>
      </c>
      <c r="V55" s="48">
        <f t="shared" si="59"/>
        <v>0</v>
      </c>
      <c r="W55" s="49">
        <f t="shared" si="60"/>
        <v>0</v>
      </c>
      <c r="X55" s="44">
        <f t="shared" si="61"/>
        <v>0</v>
      </c>
      <c r="Y55" s="44">
        <f t="shared" si="62"/>
        <v>0</v>
      </c>
      <c r="Z55" s="44">
        <f t="shared" si="63"/>
        <v>0</v>
      </c>
      <c r="AA55" s="50">
        <f t="shared" si="64"/>
        <v>0</v>
      </c>
      <c r="AB55" s="51">
        <f t="shared" si="65"/>
        <v>0</v>
      </c>
      <c r="AC55" s="44">
        <f t="shared" si="66"/>
        <v>0</v>
      </c>
      <c r="AD55" s="44">
        <f t="shared" si="67"/>
        <v>0</v>
      </c>
      <c r="AE55" s="44">
        <f t="shared" si="68"/>
        <v>0</v>
      </c>
      <c r="AF55" s="52" t="e">
        <f>HLOOKUP(I55,ElecAvoidedCostsWOCC!$A$5:$Q$50,G55+1,FALSE)</f>
        <v>#N/A</v>
      </c>
      <c r="AG55" s="44" t="e">
        <f t="shared" si="69"/>
        <v>#N/A</v>
      </c>
      <c r="AH55" s="52" t="e">
        <f>HLOOKUP(I55,ElecAvoidedCostsWOCC!$A$5:$Q$50,T55+1,FALSE)</f>
        <v>#N/A</v>
      </c>
      <c r="AI55" s="44" t="e">
        <f t="shared" si="70"/>
        <v>#N/A</v>
      </c>
      <c r="AJ55" s="44" t="e">
        <f t="shared" si="71"/>
        <v>#N/A</v>
      </c>
      <c r="AK55" s="44" t="e">
        <f>HLOOKUP(I55,ElecAvoidedCostsWOCC!$A$5:$Q$50,G55+1,FALSE)*J55*L55</f>
        <v>#N/A</v>
      </c>
      <c r="AL55" s="44" t="e">
        <f t="shared" si="72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73"/>
        <v>0</v>
      </c>
      <c r="AO55" s="47">
        <f t="shared" si="74"/>
        <v>0</v>
      </c>
      <c r="AP55" s="47" t="e">
        <f t="shared" si="75"/>
        <v>#DIV/0!</v>
      </c>
    </row>
    <row r="56" spans="2:42">
      <c r="B56" s="97" t="s">
        <v>15</v>
      </c>
      <c r="C56" s="100"/>
      <c r="D56" s="100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57"/>
        <v>0</v>
      </c>
      <c r="U56" s="47">
        <f t="shared" si="58"/>
        <v>0</v>
      </c>
      <c r="V56" s="48">
        <f t="shared" si="59"/>
        <v>0</v>
      </c>
      <c r="W56" s="49">
        <f t="shared" si="60"/>
        <v>0</v>
      </c>
      <c r="X56" s="44">
        <f t="shared" si="61"/>
        <v>0</v>
      </c>
      <c r="Y56" s="44">
        <f t="shared" si="62"/>
        <v>0</v>
      </c>
      <c r="Z56" s="44">
        <f t="shared" si="63"/>
        <v>0</v>
      </c>
      <c r="AA56" s="50">
        <f t="shared" si="64"/>
        <v>0</v>
      </c>
      <c r="AB56" s="51">
        <f t="shared" si="65"/>
        <v>0</v>
      </c>
      <c r="AC56" s="44">
        <f t="shared" si="66"/>
        <v>0</v>
      </c>
      <c r="AD56" s="44">
        <f t="shared" si="67"/>
        <v>0</v>
      </c>
      <c r="AE56" s="44">
        <f t="shared" si="68"/>
        <v>0</v>
      </c>
      <c r="AF56" s="52" t="e">
        <f>HLOOKUP(I56,ElecAvoidedCostsWOCC!$A$5:$Q$50,G56+1,FALSE)</f>
        <v>#N/A</v>
      </c>
      <c r="AG56" s="44" t="e">
        <f t="shared" si="69"/>
        <v>#N/A</v>
      </c>
      <c r="AH56" s="52" t="e">
        <f>HLOOKUP(I56,ElecAvoidedCostsWOCC!$A$5:$Q$50,T56+1,FALSE)</f>
        <v>#N/A</v>
      </c>
      <c r="AI56" s="44" t="e">
        <f t="shared" si="70"/>
        <v>#N/A</v>
      </c>
      <c r="AJ56" s="44" t="e">
        <f t="shared" si="71"/>
        <v>#N/A</v>
      </c>
      <c r="AK56" s="44" t="e">
        <f>HLOOKUP(I56,ElecAvoidedCostsWOCC!$A$5:$Q$50,G56+1,FALSE)*J56*L56</f>
        <v>#N/A</v>
      </c>
      <c r="AL56" s="44" t="e">
        <f t="shared" si="72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73"/>
        <v>0</v>
      </c>
      <c r="AO56" s="47">
        <f t="shared" si="74"/>
        <v>0</v>
      </c>
      <c r="AP56" s="47" t="e">
        <f t="shared" si="75"/>
        <v>#DIV/0!</v>
      </c>
    </row>
    <row r="57" spans="2:42">
      <c r="B57" s="97" t="s">
        <v>15</v>
      </c>
      <c r="C57" s="100"/>
      <c r="D57" s="100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57"/>
        <v>0</v>
      </c>
      <c r="U57" s="47">
        <f t="shared" si="58"/>
        <v>0</v>
      </c>
      <c r="V57" s="48">
        <f t="shared" si="59"/>
        <v>0</v>
      </c>
      <c r="W57" s="49">
        <f t="shared" si="60"/>
        <v>0</v>
      </c>
      <c r="X57" s="44">
        <f t="shared" si="61"/>
        <v>0</v>
      </c>
      <c r="Y57" s="44">
        <f t="shared" si="62"/>
        <v>0</v>
      </c>
      <c r="Z57" s="44">
        <f t="shared" si="63"/>
        <v>0</v>
      </c>
      <c r="AA57" s="50">
        <f t="shared" si="64"/>
        <v>0</v>
      </c>
      <c r="AB57" s="51">
        <f t="shared" si="65"/>
        <v>0</v>
      </c>
      <c r="AC57" s="44">
        <f t="shared" si="66"/>
        <v>0</v>
      </c>
      <c r="AD57" s="44">
        <f t="shared" si="67"/>
        <v>0</v>
      </c>
      <c r="AE57" s="44">
        <f t="shared" si="68"/>
        <v>0</v>
      </c>
      <c r="AF57" s="52" t="e">
        <f>HLOOKUP(I57,ElecAvoidedCostsWOCC!$A$5:$Q$50,G57+1,FALSE)</f>
        <v>#N/A</v>
      </c>
      <c r="AG57" s="44" t="e">
        <f t="shared" si="69"/>
        <v>#N/A</v>
      </c>
      <c r="AH57" s="52" t="e">
        <f>HLOOKUP(I57,ElecAvoidedCostsWOCC!$A$5:$Q$50,T57+1,FALSE)</f>
        <v>#N/A</v>
      </c>
      <c r="AI57" s="44" t="e">
        <f t="shared" si="70"/>
        <v>#N/A</v>
      </c>
      <c r="AJ57" s="44" t="e">
        <f t="shared" si="71"/>
        <v>#N/A</v>
      </c>
      <c r="AK57" s="44" t="e">
        <f>HLOOKUP(I57,ElecAvoidedCostsWOCC!$A$5:$Q$50,G57+1,FALSE)*J57*L57</f>
        <v>#N/A</v>
      </c>
      <c r="AL57" s="44" t="e">
        <f t="shared" si="72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73"/>
        <v>0</v>
      </c>
      <c r="AO57" s="47">
        <f t="shared" si="74"/>
        <v>0</v>
      </c>
      <c r="AP57" s="47" t="e">
        <f t="shared" si="75"/>
        <v>#DIV/0!</v>
      </c>
    </row>
    <row r="58" spans="2:42">
      <c r="B58" s="97" t="s">
        <v>15</v>
      </c>
      <c r="C58" s="100"/>
      <c r="D58" s="100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57"/>
        <v>0</v>
      </c>
      <c r="U58" s="47">
        <f t="shared" si="58"/>
        <v>0</v>
      </c>
      <c r="V58" s="48">
        <f t="shared" si="59"/>
        <v>0</v>
      </c>
      <c r="W58" s="49">
        <f t="shared" si="60"/>
        <v>0</v>
      </c>
      <c r="X58" s="44">
        <f t="shared" si="61"/>
        <v>0</v>
      </c>
      <c r="Y58" s="44">
        <f t="shared" si="62"/>
        <v>0</v>
      </c>
      <c r="Z58" s="44">
        <f t="shared" si="63"/>
        <v>0</v>
      </c>
      <c r="AA58" s="50">
        <f t="shared" si="64"/>
        <v>0</v>
      </c>
      <c r="AB58" s="51">
        <f t="shared" si="65"/>
        <v>0</v>
      </c>
      <c r="AC58" s="44">
        <f t="shared" si="66"/>
        <v>0</v>
      </c>
      <c r="AD58" s="44">
        <f t="shared" si="67"/>
        <v>0</v>
      </c>
      <c r="AE58" s="44">
        <f t="shared" si="68"/>
        <v>0</v>
      </c>
      <c r="AF58" s="52" t="e">
        <f>HLOOKUP(I58,ElecAvoidedCostsWOCC!$A$5:$Q$50,G58+1,FALSE)</f>
        <v>#N/A</v>
      </c>
      <c r="AG58" s="44" t="e">
        <f t="shared" si="69"/>
        <v>#N/A</v>
      </c>
      <c r="AH58" s="52" t="e">
        <f>HLOOKUP(I58,ElecAvoidedCostsWOCC!$A$5:$Q$50,T58+1,FALSE)</f>
        <v>#N/A</v>
      </c>
      <c r="AI58" s="44" t="e">
        <f t="shared" si="70"/>
        <v>#N/A</v>
      </c>
      <c r="AJ58" s="44" t="e">
        <f t="shared" si="71"/>
        <v>#N/A</v>
      </c>
      <c r="AK58" s="44" t="e">
        <f>HLOOKUP(I58,ElecAvoidedCostsWOCC!$A$5:$Q$50,G58+1,FALSE)*J58*L58</f>
        <v>#N/A</v>
      </c>
      <c r="AL58" s="44" t="e">
        <f t="shared" si="72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73"/>
        <v>0</v>
      </c>
      <c r="AO58" s="47">
        <f t="shared" si="74"/>
        <v>0</v>
      </c>
      <c r="AP58" s="47" t="e">
        <f t="shared" si="75"/>
        <v>#DIV/0!</v>
      </c>
    </row>
    <row r="59" spans="2:42">
      <c r="B59" s="97" t="s">
        <v>15</v>
      </c>
      <c r="C59" s="100"/>
      <c r="D59" s="100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2">
      <c r="B60" s="97" t="s">
        <v>15</v>
      </c>
      <c r="C60" s="100"/>
      <c r="D60" s="100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2">
      <c r="B61" s="97" t="s">
        <v>15</v>
      </c>
      <c r="C61" s="100"/>
      <c r="D61" s="100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2">
      <c r="B62" s="97" t="s">
        <v>15</v>
      </c>
      <c r="C62" s="100"/>
      <c r="D62" s="100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  <row r="63" spans="2:42">
      <c r="B63" s="97" t="s">
        <v>15</v>
      </c>
      <c r="C63" s="100"/>
      <c r="D63" s="100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57"/>
        <v>0</v>
      </c>
      <c r="U63" s="47">
        <f t="shared" si="58"/>
        <v>0</v>
      </c>
      <c r="V63" s="48">
        <f t="shared" si="59"/>
        <v>0</v>
      </c>
      <c r="W63" s="49">
        <f t="shared" si="60"/>
        <v>0</v>
      </c>
      <c r="X63" s="44">
        <f t="shared" si="61"/>
        <v>0</v>
      </c>
      <c r="Y63" s="44">
        <f t="shared" si="62"/>
        <v>0</v>
      </c>
      <c r="Z63" s="44">
        <f t="shared" si="63"/>
        <v>0</v>
      </c>
      <c r="AA63" s="50">
        <f t="shared" si="64"/>
        <v>0</v>
      </c>
      <c r="AB63" s="51">
        <f t="shared" si="65"/>
        <v>0</v>
      </c>
      <c r="AC63" s="44">
        <f t="shared" si="66"/>
        <v>0</v>
      </c>
      <c r="AD63" s="44">
        <f t="shared" si="67"/>
        <v>0</v>
      </c>
      <c r="AE63" s="44">
        <f t="shared" si="68"/>
        <v>0</v>
      </c>
      <c r="AF63" s="52" t="e">
        <f>HLOOKUP(I63,ElecAvoidedCostsWOCC!$A$5:$Q$50,G63+1,FALSE)</f>
        <v>#N/A</v>
      </c>
      <c r="AG63" s="44" t="e">
        <f t="shared" si="69"/>
        <v>#N/A</v>
      </c>
      <c r="AH63" s="52" t="e">
        <f>HLOOKUP(I63,ElecAvoidedCostsWOCC!$A$5:$Q$50,T63+1,FALSE)</f>
        <v>#N/A</v>
      </c>
      <c r="AI63" s="44" t="e">
        <f t="shared" si="70"/>
        <v>#N/A</v>
      </c>
      <c r="AJ63" s="44" t="e">
        <f t="shared" si="71"/>
        <v>#N/A</v>
      </c>
      <c r="AK63" s="44" t="e">
        <f>HLOOKUP(I63,ElecAvoidedCostsWOCC!$A$5:$Q$50,G63+1,FALSE)*J63*L63</f>
        <v>#N/A</v>
      </c>
      <c r="AL63" s="44" t="e">
        <f t="shared" si="7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73"/>
        <v>0</v>
      </c>
      <c r="AO63" s="47">
        <f t="shared" si="74"/>
        <v>0</v>
      </c>
      <c r="AP63" s="47" t="e">
        <f t="shared" si="75"/>
        <v>#DIV/0!</v>
      </c>
    </row>
    <row r="64" spans="2:42">
      <c r="B64" s="97" t="s">
        <v>15</v>
      </c>
      <c r="C64" s="100"/>
      <c r="D64" s="100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57"/>
        <v>0</v>
      </c>
      <c r="U64" s="47">
        <f t="shared" si="58"/>
        <v>0</v>
      </c>
      <c r="V64" s="48">
        <f t="shared" si="59"/>
        <v>0</v>
      </c>
      <c r="W64" s="49">
        <f t="shared" si="60"/>
        <v>0</v>
      </c>
      <c r="X64" s="44">
        <f t="shared" si="61"/>
        <v>0</v>
      </c>
      <c r="Y64" s="44">
        <f t="shared" si="62"/>
        <v>0</v>
      </c>
      <c r="Z64" s="44">
        <f t="shared" si="63"/>
        <v>0</v>
      </c>
      <c r="AA64" s="50">
        <f t="shared" si="64"/>
        <v>0</v>
      </c>
      <c r="AB64" s="51">
        <f t="shared" si="65"/>
        <v>0</v>
      </c>
      <c r="AC64" s="44">
        <f t="shared" si="66"/>
        <v>0</v>
      </c>
      <c r="AD64" s="44">
        <f t="shared" si="67"/>
        <v>0</v>
      </c>
      <c r="AE64" s="44">
        <f t="shared" si="68"/>
        <v>0</v>
      </c>
      <c r="AF64" s="52" t="e">
        <f>HLOOKUP(I64,ElecAvoidedCostsWOCC!$A$5:$Q$50,G64+1,FALSE)</f>
        <v>#N/A</v>
      </c>
      <c r="AG64" s="44" t="e">
        <f t="shared" si="69"/>
        <v>#N/A</v>
      </c>
      <c r="AH64" s="52" t="e">
        <f>HLOOKUP(I64,ElecAvoidedCostsWOCC!$A$5:$Q$50,T64+1,FALSE)</f>
        <v>#N/A</v>
      </c>
      <c r="AI64" s="44" t="e">
        <f t="shared" si="70"/>
        <v>#N/A</v>
      </c>
      <c r="AJ64" s="44" t="e">
        <f t="shared" si="71"/>
        <v>#N/A</v>
      </c>
      <c r="AK64" s="44" t="e">
        <f>HLOOKUP(I64,ElecAvoidedCostsWOCC!$A$5:$Q$50,G64+1,FALSE)*J64*L64</f>
        <v>#N/A</v>
      </c>
      <c r="AL64" s="44" t="e">
        <f t="shared" si="7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73"/>
        <v>0</v>
      </c>
      <c r="AO64" s="47">
        <f t="shared" si="74"/>
        <v>0</v>
      </c>
      <c r="AP64" s="47" t="e">
        <f t="shared" si="75"/>
        <v>#DIV/0!</v>
      </c>
    </row>
    <row r="65" spans="2:42">
      <c r="B65" s="97" t="s">
        <v>15</v>
      </c>
      <c r="C65" s="100"/>
      <c r="D65" s="100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57"/>
        <v>0</v>
      </c>
      <c r="U65" s="47">
        <f t="shared" si="58"/>
        <v>0</v>
      </c>
      <c r="V65" s="48">
        <f t="shared" si="59"/>
        <v>0</v>
      </c>
      <c r="W65" s="49">
        <f t="shared" si="60"/>
        <v>0</v>
      </c>
      <c r="X65" s="44">
        <f t="shared" si="61"/>
        <v>0</v>
      </c>
      <c r="Y65" s="44">
        <f t="shared" si="62"/>
        <v>0</v>
      </c>
      <c r="Z65" s="44">
        <f t="shared" si="63"/>
        <v>0</v>
      </c>
      <c r="AA65" s="50">
        <f t="shared" si="64"/>
        <v>0</v>
      </c>
      <c r="AB65" s="51">
        <f t="shared" si="65"/>
        <v>0</v>
      </c>
      <c r="AC65" s="44">
        <f t="shared" si="66"/>
        <v>0</v>
      </c>
      <c r="AD65" s="44">
        <f t="shared" si="67"/>
        <v>0</v>
      </c>
      <c r="AE65" s="44">
        <f t="shared" si="68"/>
        <v>0</v>
      </c>
      <c r="AF65" s="52" t="e">
        <f>HLOOKUP(I65,ElecAvoidedCostsWOCC!$A$5:$Q$50,G65+1,FALSE)</f>
        <v>#N/A</v>
      </c>
      <c r="AG65" s="44" t="e">
        <f t="shared" si="69"/>
        <v>#N/A</v>
      </c>
      <c r="AH65" s="52" t="e">
        <f>HLOOKUP(I65,ElecAvoidedCostsWOCC!$A$5:$Q$50,T65+1,FALSE)</f>
        <v>#N/A</v>
      </c>
      <c r="AI65" s="44" t="e">
        <f t="shared" si="70"/>
        <v>#N/A</v>
      </c>
      <c r="AJ65" s="44" t="e">
        <f t="shared" si="71"/>
        <v>#N/A</v>
      </c>
      <c r="AK65" s="44" t="e">
        <f>HLOOKUP(I65,ElecAvoidedCostsWOCC!$A$5:$Q$50,G65+1,FALSE)*J65*L65</f>
        <v>#N/A</v>
      </c>
      <c r="AL65" s="44" t="e">
        <f t="shared" si="7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73"/>
        <v>0</v>
      </c>
      <c r="AO65" s="47">
        <f t="shared" si="74"/>
        <v>0</v>
      </c>
      <c r="AP65" s="47" t="e">
        <f t="shared" si="75"/>
        <v>#DIV/0!</v>
      </c>
    </row>
    <row r="66" spans="2:42">
      <c r="B66" s="97" t="s">
        <v>15</v>
      </c>
      <c r="C66" s="100"/>
      <c r="D66" s="100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57"/>
        <v>0</v>
      </c>
      <c r="U66" s="47">
        <f t="shared" si="58"/>
        <v>0</v>
      </c>
      <c r="V66" s="48">
        <f t="shared" si="59"/>
        <v>0</v>
      </c>
      <c r="W66" s="49">
        <f t="shared" si="60"/>
        <v>0</v>
      </c>
      <c r="X66" s="44">
        <f t="shared" si="61"/>
        <v>0</v>
      </c>
      <c r="Y66" s="44">
        <f t="shared" si="62"/>
        <v>0</v>
      </c>
      <c r="Z66" s="44">
        <f t="shared" si="63"/>
        <v>0</v>
      </c>
      <c r="AA66" s="50">
        <f t="shared" si="64"/>
        <v>0</v>
      </c>
      <c r="AB66" s="51">
        <f t="shared" si="65"/>
        <v>0</v>
      </c>
      <c r="AC66" s="44">
        <f t="shared" si="66"/>
        <v>0</v>
      </c>
      <c r="AD66" s="44">
        <f t="shared" si="67"/>
        <v>0</v>
      </c>
      <c r="AE66" s="44">
        <f t="shared" si="68"/>
        <v>0</v>
      </c>
      <c r="AF66" s="52" t="e">
        <f>HLOOKUP(I66,ElecAvoidedCostsWOCC!$A$5:$Q$50,G66+1,FALSE)</f>
        <v>#N/A</v>
      </c>
      <c r="AG66" s="44" t="e">
        <f t="shared" si="69"/>
        <v>#N/A</v>
      </c>
      <c r="AH66" s="52" t="e">
        <f>HLOOKUP(I66,ElecAvoidedCostsWOCC!$A$5:$Q$50,T66+1,FALSE)</f>
        <v>#N/A</v>
      </c>
      <c r="AI66" s="44" t="e">
        <f t="shared" si="70"/>
        <v>#N/A</v>
      </c>
      <c r="AJ66" s="44" t="e">
        <f t="shared" si="71"/>
        <v>#N/A</v>
      </c>
      <c r="AK66" s="44" t="e">
        <f>HLOOKUP(I66,ElecAvoidedCostsWOCC!$A$5:$Q$50,G66+1,FALSE)*J66*L66</f>
        <v>#N/A</v>
      </c>
      <c r="AL66" s="44" t="e">
        <f t="shared" si="7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73"/>
        <v>0</v>
      </c>
      <c r="AO66" s="47">
        <f t="shared" si="74"/>
        <v>0</v>
      </c>
      <c r="AP66" s="47" t="e">
        <f t="shared" si="75"/>
        <v>#DIV/0!</v>
      </c>
    </row>
    <row r="67" spans="2:42">
      <c r="B67" s="97" t="s">
        <v>15</v>
      </c>
      <c r="C67" s="100"/>
      <c r="D67" s="100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57"/>
        <v>0</v>
      </c>
      <c r="U67" s="47">
        <f t="shared" si="58"/>
        <v>0</v>
      </c>
      <c r="V67" s="48">
        <f t="shared" si="59"/>
        <v>0</v>
      </c>
      <c r="W67" s="49">
        <f t="shared" si="60"/>
        <v>0</v>
      </c>
      <c r="X67" s="44">
        <f t="shared" si="61"/>
        <v>0</v>
      </c>
      <c r="Y67" s="44">
        <f t="shared" si="62"/>
        <v>0</v>
      </c>
      <c r="Z67" s="44">
        <f t="shared" si="63"/>
        <v>0</v>
      </c>
      <c r="AA67" s="50">
        <f t="shared" si="64"/>
        <v>0</v>
      </c>
      <c r="AB67" s="51">
        <f t="shared" si="65"/>
        <v>0</v>
      </c>
      <c r="AC67" s="44">
        <f t="shared" si="66"/>
        <v>0</v>
      </c>
      <c r="AD67" s="44">
        <f t="shared" si="67"/>
        <v>0</v>
      </c>
      <c r="AE67" s="44">
        <f t="shared" si="68"/>
        <v>0</v>
      </c>
      <c r="AF67" s="52" t="e">
        <f>HLOOKUP(I67,ElecAvoidedCostsWOCC!$A$5:$Q$50,G67+1,FALSE)</f>
        <v>#N/A</v>
      </c>
      <c r="AG67" s="44" t="e">
        <f t="shared" si="69"/>
        <v>#N/A</v>
      </c>
      <c r="AH67" s="52" t="e">
        <f>HLOOKUP(I67,ElecAvoidedCostsWOCC!$A$5:$Q$50,T67+1,FALSE)</f>
        <v>#N/A</v>
      </c>
      <c r="AI67" s="44" t="e">
        <f t="shared" si="70"/>
        <v>#N/A</v>
      </c>
      <c r="AJ67" s="44" t="e">
        <f t="shared" si="71"/>
        <v>#N/A</v>
      </c>
      <c r="AK67" s="44" t="e">
        <f>HLOOKUP(I67,ElecAvoidedCostsWOCC!$A$5:$Q$50,G67+1,FALSE)*J67*L67</f>
        <v>#N/A</v>
      </c>
      <c r="AL67" s="44" t="e">
        <f t="shared" si="7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73"/>
        <v>0</v>
      </c>
      <c r="AO67" s="47">
        <f t="shared" si="74"/>
        <v>0</v>
      </c>
      <c r="AP67" s="47" t="e">
        <f t="shared" si="75"/>
        <v>#DIV/0!</v>
      </c>
    </row>
    <row r="68" spans="2:42">
      <c r="B68" s="97" t="s">
        <v>15</v>
      </c>
      <c r="C68" s="100"/>
      <c r="D68" s="100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57"/>
        <v>0</v>
      </c>
      <c r="U68" s="47">
        <f t="shared" si="58"/>
        <v>0</v>
      </c>
      <c r="V68" s="48">
        <f t="shared" si="59"/>
        <v>0</v>
      </c>
      <c r="W68" s="49">
        <f t="shared" si="60"/>
        <v>0</v>
      </c>
      <c r="X68" s="44">
        <f t="shared" si="61"/>
        <v>0</v>
      </c>
      <c r="Y68" s="44">
        <f t="shared" si="62"/>
        <v>0</v>
      </c>
      <c r="Z68" s="44">
        <f t="shared" si="63"/>
        <v>0</v>
      </c>
      <c r="AA68" s="50">
        <f t="shared" si="64"/>
        <v>0</v>
      </c>
      <c r="AB68" s="51">
        <f t="shared" si="65"/>
        <v>0</v>
      </c>
      <c r="AC68" s="44">
        <f t="shared" si="66"/>
        <v>0</v>
      </c>
      <c r="AD68" s="44">
        <f t="shared" si="67"/>
        <v>0</v>
      </c>
      <c r="AE68" s="44">
        <f t="shared" si="68"/>
        <v>0</v>
      </c>
      <c r="AF68" s="52" t="e">
        <f>HLOOKUP(I68,ElecAvoidedCostsWOCC!$A$5:$Q$50,G68+1,FALSE)</f>
        <v>#N/A</v>
      </c>
      <c r="AG68" s="44" t="e">
        <f t="shared" si="69"/>
        <v>#N/A</v>
      </c>
      <c r="AH68" s="52" t="e">
        <f>HLOOKUP(I68,ElecAvoidedCostsWOCC!$A$5:$Q$50,T68+1,FALSE)</f>
        <v>#N/A</v>
      </c>
      <c r="AI68" s="44" t="e">
        <f t="shared" si="70"/>
        <v>#N/A</v>
      </c>
      <c r="AJ68" s="44" t="e">
        <f t="shared" si="71"/>
        <v>#N/A</v>
      </c>
      <c r="AK68" s="44" t="e">
        <f>HLOOKUP(I68,ElecAvoidedCostsWOCC!$A$5:$Q$50,G68+1,FALSE)*J68*L68</f>
        <v>#N/A</v>
      </c>
      <c r="AL68" s="44" t="e">
        <f t="shared" si="7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73"/>
        <v>0</v>
      </c>
      <c r="AO68" s="47">
        <f t="shared" si="74"/>
        <v>0</v>
      </c>
      <c r="AP68" s="47" t="e">
        <f t="shared" si="75"/>
        <v>#DIV/0!</v>
      </c>
    </row>
    <row r="69" spans="2:42">
      <c r="B69" s="97" t="s">
        <v>15</v>
      </c>
      <c r="C69" s="100"/>
      <c r="D69" s="100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57"/>
        <v>0</v>
      </c>
      <c r="U69" s="47">
        <f t="shared" si="58"/>
        <v>0</v>
      </c>
      <c r="V69" s="48">
        <f t="shared" si="59"/>
        <v>0</v>
      </c>
      <c r="W69" s="49">
        <f t="shared" si="60"/>
        <v>0</v>
      </c>
      <c r="X69" s="44">
        <f t="shared" si="61"/>
        <v>0</v>
      </c>
      <c r="Y69" s="44">
        <f t="shared" si="62"/>
        <v>0</v>
      </c>
      <c r="Z69" s="44">
        <f t="shared" si="63"/>
        <v>0</v>
      </c>
      <c r="AA69" s="50">
        <f t="shared" si="64"/>
        <v>0</v>
      </c>
      <c r="AB69" s="51">
        <f t="shared" si="65"/>
        <v>0</v>
      </c>
      <c r="AC69" s="44">
        <f t="shared" si="66"/>
        <v>0</v>
      </c>
      <c r="AD69" s="44">
        <f t="shared" si="67"/>
        <v>0</v>
      </c>
      <c r="AE69" s="44">
        <f t="shared" si="68"/>
        <v>0</v>
      </c>
      <c r="AF69" s="52" t="e">
        <f>HLOOKUP(I69,ElecAvoidedCostsWOCC!$A$5:$Q$50,G69+1,FALSE)</f>
        <v>#N/A</v>
      </c>
      <c r="AG69" s="44" t="e">
        <f t="shared" si="69"/>
        <v>#N/A</v>
      </c>
      <c r="AH69" s="52" t="e">
        <f>HLOOKUP(I69,ElecAvoidedCostsWOCC!$A$5:$Q$50,T69+1,FALSE)</f>
        <v>#N/A</v>
      </c>
      <c r="AI69" s="44" t="e">
        <f t="shared" si="70"/>
        <v>#N/A</v>
      </c>
      <c r="AJ69" s="44" t="e">
        <f t="shared" si="71"/>
        <v>#N/A</v>
      </c>
      <c r="AK69" s="44" t="e">
        <f>HLOOKUP(I69,ElecAvoidedCostsWOCC!$A$5:$Q$50,G69+1,FALSE)*J69*L69</f>
        <v>#N/A</v>
      </c>
      <c r="AL69" s="44" t="e">
        <f t="shared" si="7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73"/>
        <v>0</v>
      </c>
      <c r="AO69" s="47">
        <f t="shared" si="74"/>
        <v>0</v>
      </c>
      <c r="AP69" s="47" t="e">
        <f t="shared" si="75"/>
        <v>#DIV/0!</v>
      </c>
    </row>
    <row r="70" spans="2:42">
      <c r="B70" s="97" t="s">
        <v>15</v>
      </c>
      <c r="C70" s="100"/>
      <c r="D70" s="100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57"/>
        <v>0</v>
      </c>
      <c r="U70" s="47">
        <f t="shared" si="58"/>
        <v>0</v>
      </c>
      <c r="V70" s="48">
        <f t="shared" si="59"/>
        <v>0</v>
      </c>
      <c r="W70" s="49">
        <f t="shared" si="60"/>
        <v>0</v>
      </c>
      <c r="X70" s="44">
        <f t="shared" si="61"/>
        <v>0</v>
      </c>
      <c r="Y70" s="44">
        <f t="shared" si="62"/>
        <v>0</v>
      </c>
      <c r="Z70" s="44">
        <f t="shared" si="63"/>
        <v>0</v>
      </c>
      <c r="AA70" s="50">
        <f t="shared" si="64"/>
        <v>0</v>
      </c>
      <c r="AB70" s="51">
        <f t="shared" si="65"/>
        <v>0</v>
      </c>
      <c r="AC70" s="44">
        <f t="shared" si="66"/>
        <v>0</v>
      </c>
      <c r="AD70" s="44">
        <f t="shared" si="67"/>
        <v>0</v>
      </c>
      <c r="AE70" s="44">
        <f t="shared" si="68"/>
        <v>0</v>
      </c>
      <c r="AF70" s="52" t="e">
        <f>HLOOKUP(I70,ElecAvoidedCostsWOCC!$A$5:$Q$50,G70+1,FALSE)</f>
        <v>#N/A</v>
      </c>
      <c r="AG70" s="44" t="e">
        <f t="shared" si="69"/>
        <v>#N/A</v>
      </c>
      <c r="AH70" s="52" t="e">
        <f>HLOOKUP(I70,ElecAvoidedCostsWOCC!$A$5:$Q$50,T70+1,FALSE)</f>
        <v>#N/A</v>
      </c>
      <c r="AI70" s="44" t="e">
        <f t="shared" si="70"/>
        <v>#N/A</v>
      </c>
      <c r="AJ70" s="44" t="e">
        <f t="shared" si="71"/>
        <v>#N/A</v>
      </c>
      <c r="AK70" s="44" t="e">
        <f>HLOOKUP(I70,ElecAvoidedCostsWOCC!$A$5:$Q$50,G70+1,FALSE)*J70*L70</f>
        <v>#N/A</v>
      </c>
      <c r="AL70" s="44" t="e">
        <f t="shared" si="7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73"/>
        <v>0</v>
      </c>
      <c r="AO70" s="47">
        <f t="shared" si="74"/>
        <v>0</v>
      </c>
      <c r="AP70" s="47" t="e">
        <f t="shared" si="75"/>
        <v>#DIV/0!</v>
      </c>
    </row>
    <row r="71" spans="2:42">
      <c r="B71" s="97" t="s">
        <v>15</v>
      </c>
      <c r="C71" s="100"/>
      <c r="D71" s="100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57"/>
        <v>0</v>
      </c>
      <c r="U71" s="47">
        <f t="shared" si="58"/>
        <v>0</v>
      </c>
      <c r="V71" s="48">
        <f t="shared" si="59"/>
        <v>0</v>
      </c>
      <c r="W71" s="49">
        <f t="shared" si="60"/>
        <v>0</v>
      </c>
      <c r="X71" s="44">
        <f t="shared" si="61"/>
        <v>0</v>
      </c>
      <c r="Y71" s="44">
        <f t="shared" si="62"/>
        <v>0</v>
      </c>
      <c r="Z71" s="44">
        <f t="shared" si="63"/>
        <v>0</v>
      </c>
      <c r="AA71" s="50">
        <f t="shared" si="64"/>
        <v>0</v>
      </c>
      <c r="AB71" s="51">
        <f t="shared" si="65"/>
        <v>0</v>
      </c>
      <c r="AC71" s="44">
        <f t="shared" si="66"/>
        <v>0</v>
      </c>
      <c r="AD71" s="44">
        <f t="shared" si="67"/>
        <v>0</v>
      </c>
      <c r="AE71" s="44">
        <f t="shared" si="68"/>
        <v>0</v>
      </c>
      <c r="AF71" s="52" t="e">
        <f>HLOOKUP(I71,ElecAvoidedCostsWOCC!$A$5:$Q$50,G71+1,FALSE)</f>
        <v>#N/A</v>
      </c>
      <c r="AG71" s="44" t="e">
        <f t="shared" si="69"/>
        <v>#N/A</v>
      </c>
      <c r="AH71" s="52" t="e">
        <f>HLOOKUP(I71,ElecAvoidedCostsWOCC!$A$5:$Q$50,T71+1,FALSE)</f>
        <v>#N/A</v>
      </c>
      <c r="AI71" s="44" t="e">
        <f t="shared" si="70"/>
        <v>#N/A</v>
      </c>
      <c r="AJ71" s="44" t="e">
        <f t="shared" si="71"/>
        <v>#N/A</v>
      </c>
      <c r="AK71" s="44" t="e">
        <f>HLOOKUP(I71,ElecAvoidedCostsWOCC!$A$5:$Q$50,G71+1,FALSE)*J71*L71</f>
        <v>#N/A</v>
      </c>
      <c r="AL71" s="44" t="e">
        <f t="shared" si="7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73"/>
        <v>0</v>
      </c>
      <c r="AO71" s="47">
        <f t="shared" si="74"/>
        <v>0</v>
      </c>
      <c r="AP71" s="47" t="e">
        <f t="shared" si="75"/>
        <v>#DIV/0!</v>
      </c>
    </row>
    <row r="72" spans="2:42">
      <c r="B72" s="97" t="s">
        <v>15</v>
      </c>
      <c r="C72" s="100"/>
      <c r="D72" s="100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57"/>
        <v>0</v>
      </c>
      <c r="U72" s="47">
        <f t="shared" si="58"/>
        <v>0</v>
      </c>
      <c r="V72" s="48">
        <f t="shared" si="59"/>
        <v>0</v>
      </c>
      <c r="W72" s="49">
        <f t="shared" si="60"/>
        <v>0</v>
      </c>
      <c r="X72" s="44">
        <f t="shared" si="61"/>
        <v>0</v>
      </c>
      <c r="Y72" s="44">
        <f t="shared" si="62"/>
        <v>0</v>
      </c>
      <c r="Z72" s="44">
        <f t="shared" si="63"/>
        <v>0</v>
      </c>
      <c r="AA72" s="50">
        <f t="shared" si="64"/>
        <v>0</v>
      </c>
      <c r="AB72" s="51">
        <f t="shared" si="65"/>
        <v>0</v>
      </c>
      <c r="AC72" s="44">
        <f t="shared" si="66"/>
        <v>0</v>
      </c>
      <c r="AD72" s="44">
        <f t="shared" si="67"/>
        <v>0</v>
      </c>
      <c r="AE72" s="44">
        <f t="shared" si="68"/>
        <v>0</v>
      </c>
      <c r="AF72" s="52" t="e">
        <f>HLOOKUP(I72,ElecAvoidedCostsWOCC!$A$5:$Q$50,G72+1,FALSE)</f>
        <v>#N/A</v>
      </c>
      <c r="AG72" s="44" t="e">
        <f t="shared" si="69"/>
        <v>#N/A</v>
      </c>
      <c r="AH72" s="52" t="e">
        <f>HLOOKUP(I72,ElecAvoidedCostsWOCC!$A$5:$Q$50,T72+1,FALSE)</f>
        <v>#N/A</v>
      </c>
      <c r="AI72" s="44" t="e">
        <f t="shared" si="70"/>
        <v>#N/A</v>
      </c>
      <c r="AJ72" s="44" t="e">
        <f t="shared" si="71"/>
        <v>#N/A</v>
      </c>
      <c r="AK72" s="44" t="e">
        <f>HLOOKUP(I72,ElecAvoidedCostsWOCC!$A$5:$Q$50,G72+1,FALSE)*J72*L72</f>
        <v>#N/A</v>
      </c>
      <c r="AL72" s="44" t="e">
        <f t="shared" si="7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73"/>
        <v>0</v>
      </c>
      <c r="AO72" s="47">
        <f t="shared" si="74"/>
        <v>0</v>
      </c>
      <c r="AP72" s="47" t="e">
        <f t="shared" si="75"/>
        <v>#DIV/0!</v>
      </c>
    </row>
    <row r="73" spans="2:42">
      <c r="B73" s="97" t="s">
        <v>15</v>
      </c>
      <c r="C73" s="100"/>
      <c r="D73" s="100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57"/>
        <v>0</v>
      </c>
      <c r="U73" s="47">
        <f t="shared" si="58"/>
        <v>0</v>
      </c>
      <c r="V73" s="48">
        <f t="shared" si="59"/>
        <v>0</v>
      </c>
      <c r="W73" s="49">
        <f t="shared" si="60"/>
        <v>0</v>
      </c>
      <c r="X73" s="44">
        <f t="shared" si="61"/>
        <v>0</v>
      </c>
      <c r="Y73" s="44">
        <f t="shared" si="62"/>
        <v>0</v>
      </c>
      <c r="Z73" s="44">
        <f t="shared" si="63"/>
        <v>0</v>
      </c>
      <c r="AA73" s="50">
        <f t="shared" si="64"/>
        <v>0</v>
      </c>
      <c r="AB73" s="51">
        <f t="shared" si="65"/>
        <v>0</v>
      </c>
      <c r="AC73" s="44">
        <f t="shared" si="66"/>
        <v>0</v>
      </c>
      <c r="AD73" s="44">
        <f t="shared" si="67"/>
        <v>0</v>
      </c>
      <c r="AE73" s="44">
        <f t="shared" si="68"/>
        <v>0</v>
      </c>
      <c r="AF73" s="52" t="e">
        <f>HLOOKUP(I73,ElecAvoidedCostsWOCC!$A$5:$Q$50,G73+1,FALSE)</f>
        <v>#N/A</v>
      </c>
      <c r="AG73" s="44" t="e">
        <f t="shared" si="69"/>
        <v>#N/A</v>
      </c>
      <c r="AH73" s="52" t="e">
        <f>HLOOKUP(I73,ElecAvoidedCostsWOCC!$A$5:$Q$50,T73+1,FALSE)</f>
        <v>#N/A</v>
      </c>
      <c r="AI73" s="44" t="e">
        <f t="shared" si="70"/>
        <v>#N/A</v>
      </c>
      <c r="AJ73" s="44" t="e">
        <f t="shared" si="71"/>
        <v>#N/A</v>
      </c>
      <c r="AK73" s="44" t="e">
        <f>HLOOKUP(I73,ElecAvoidedCostsWOCC!$A$5:$Q$50,G73+1,FALSE)*J73*L73</f>
        <v>#N/A</v>
      </c>
      <c r="AL73" s="44" t="e">
        <f t="shared" si="7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73"/>
        <v>0</v>
      </c>
      <c r="AO73" s="47">
        <f t="shared" si="74"/>
        <v>0</v>
      </c>
      <c r="AP73" s="47" t="e">
        <f t="shared" si="75"/>
        <v>#DIV/0!</v>
      </c>
    </row>
    <row r="74" spans="2:42">
      <c r="B74" s="97" t="s">
        <v>15</v>
      </c>
      <c r="C74" s="100"/>
      <c r="D74" s="100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57"/>
        <v>0</v>
      </c>
      <c r="U74" s="47">
        <f t="shared" si="58"/>
        <v>0</v>
      </c>
      <c r="V74" s="48">
        <f t="shared" si="59"/>
        <v>0</v>
      </c>
      <c r="W74" s="49">
        <f t="shared" si="60"/>
        <v>0</v>
      </c>
      <c r="X74" s="44">
        <f t="shared" si="61"/>
        <v>0</v>
      </c>
      <c r="Y74" s="44">
        <f t="shared" si="62"/>
        <v>0</v>
      </c>
      <c r="Z74" s="44">
        <f t="shared" si="63"/>
        <v>0</v>
      </c>
      <c r="AA74" s="50">
        <f t="shared" si="64"/>
        <v>0</v>
      </c>
      <c r="AB74" s="51">
        <f t="shared" si="65"/>
        <v>0</v>
      </c>
      <c r="AC74" s="44">
        <f t="shared" si="66"/>
        <v>0</v>
      </c>
      <c r="AD74" s="44">
        <f t="shared" si="67"/>
        <v>0</v>
      </c>
      <c r="AE74" s="44">
        <f t="shared" si="68"/>
        <v>0</v>
      </c>
      <c r="AF74" s="52" t="e">
        <f>HLOOKUP(I74,ElecAvoidedCostsWOCC!$A$5:$Q$50,G74+1,FALSE)</f>
        <v>#N/A</v>
      </c>
      <c r="AG74" s="44" t="e">
        <f t="shared" si="69"/>
        <v>#N/A</v>
      </c>
      <c r="AH74" s="52" t="e">
        <f>HLOOKUP(I74,ElecAvoidedCostsWOCC!$A$5:$Q$50,T74+1,FALSE)</f>
        <v>#N/A</v>
      </c>
      <c r="AI74" s="44" t="e">
        <f t="shared" si="70"/>
        <v>#N/A</v>
      </c>
      <c r="AJ74" s="44" t="e">
        <f t="shared" si="71"/>
        <v>#N/A</v>
      </c>
      <c r="AK74" s="44" t="e">
        <f>HLOOKUP(I74,ElecAvoidedCostsWOCC!$A$5:$Q$50,G74+1,FALSE)*J74*L74</f>
        <v>#N/A</v>
      </c>
      <c r="AL74" s="44" t="e">
        <f t="shared" si="7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73"/>
        <v>0</v>
      </c>
      <c r="AO74" s="47">
        <f t="shared" si="74"/>
        <v>0</v>
      </c>
      <c r="AP74" s="47" t="e">
        <f t="shared" si="75"/>
        <v>#DIV/0!</v>
      </c>
    </row>
    <row r="75" spans="2:42">
      <c r="B75" s="97" t="s">
        <v>15</v>
      </c>
      <c r="C75" s="100"/>
      <c r="D75" s="100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57"/>
        <v>0</v>
      </c>
      <c r="U75" s="47">
        <f t="shared" si="58"/>
        <v>0</v>
      </c>
      <c r="V75" s="48">
        <f t="shared" si="59"/>
        <v>0</v>
      </c>
      <c r="W75" s="49">
        <f t="shared" si="60"/>
        <v>0</v>
      </c>
      <c r="X75" s="44">
        <f t="shared" si="61"/>
        <v>0</v>
      </c>
      <c r="Y75" s="44">
        <f t="shared" si="62"/>
        <v>0</v>
      </c>
      <c r="Z75" s="44">
        <f t="shared" si="63"/>
        <v>0</v>
      </c>
      <c r="AA75" s="50">
        <f t="shared" si="64"/>
        <v>0</v>
      </c>
      <c r="AB75" s="51">
        <f t="shared" si="65"/>
        <v>0</v>
      </c>
      <c r="AC75" s="44">
        <f t="shared" si="66"/>
        <v>0</v>
      </c>
      <c r="AD75" s="44">
        <f t="shared" si="67"/>
        <v>0</v>
      </c>
      <c r="AE75" s="44">
        <f t="shared" si="68"/>
        <v>0</v>
      </c>
      <c r="AF75" s="52" t="e">
        <f>HLOOKUP(I75,ElecAvoidedCostsWOCC!$A$5:$Q$50,G75+1,FALSE)</f>
        <v>#N/A</v>
      </c>
      <c r="AG75" s="44" t="e">
        <f t="shared" si="69"/>
        <v>#N/A</v>
      </c>
      <c r="AH75" s="52" t="e">
        <f>HLOOKUP(I75,ElecAvoidedCostsWOCC!$A$5:$Q$50,T75+1,FALSE)</f>
        <v>#N/A</v>
      </c>
      <c r="AI75" s="44" t="e">
        <f t="shared" si="70"/>
        <v>#N/A</v>
      </c>
      <c r="AJ75" s="44" t="e">
        <f t="shared" si="71"/>
        <v>#N/A</v>
      </c>
      <c r="AK75" s="44" t="e">
        <f>HLOOKUP(I75,ElecAvoidedCostsWOCC!$A$5:$Q$50,G75+1,FALSE)*J75*L75</f>
        <v>#N/A</v>
      </c>
      <c r="AL75" s="44" t="e">
        <f t="shared" si="7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73"/>
        <v>0</v>
      </c>
      <c r="AO75" s="47">
        <f t="shared" si="74"/>
        <v>0</v>
      </c>
      <c r="AP75" s="47" t="e">
        <f t="shared" si="75"/>
        <v>#DIV/0!</v>
      </c>
    </row>
    <row r="76" spans="2:42">
      <c r="B76" s="97" t="s">
        <v>15</v>
      </c>
      <c r="C76" s="100"/>
      <c r="D76" s="100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57"/>
        <v>0</v>
      </c>
      <c r="U76" s="47">
        <f t="shared" si="58"/>
        <v>0</v>
      </c>
      <c r="V76" s="48">
        <f t="shared" si="59"/>
        <v>0</v>
      </c>
      <c r="W76" s="49">
        <f t="shared" si="60"/>
        <v>0</v>
      </c>
      <c r="X76" s="44">
        <f t="shared" si="61"/>
        <v>0</v>
      </c>
      <c r="Y76" s="44">
        <f t="shared" si="62"/>
        <v>0</v>
      </c>
      <c r="Z76" s="44">
        <f t="shared" si="63"/>
        <v>0</v>
      </c>
      <c r="AA76" s="50">
        <f t="shared" si="64"/>
        <v>0</v>
      </c>
      <c r="AB76" s="51">
        <f t="shared" si="65"/>
        <v>0</v>
      </c>
      <c r="AC76" s="44">
        <f t="shared" si="66"/>
        <v>0</v>
      </c>
      <c r="AD76" s="44">
        <f t="shared" si="67"/>
        <v>0</v>
      </c>
      <c r="AE76" s="44">
        <f t="shared" si="68"/>
        <v>0</v>
      </c>
      <c r="AF76" s="52" t="e">
        <f>HLOOKUP(I76,ElecAvoidedCostsWOCC!$A$5:$Q$50,G76+1,FALSE)</f>
        <v>#N/A</v>
      </c>
      <c r="AG76" s="44" t="e">
        <f t="shared" si="69"/>
        <v>#N/A</v>
      </c>
      <c r="AH76" s="52" t="e">
        <f>HLOOKUP(I76,ElecAvoidedCostsWOCC!$A$5:$Q$50,T76+1,FALSE)</f>
        <v>#N/A</v>
      </c>
      <c r="AI76" s="44" t="e">
        <f t="shared" si="70"/>
        <v>#N/A</v>
      </c>
      <c r="AJ76" s="44" t="e">
        <f t="shared" si="71"/>
        <v>#N/A</v>
      </c>
      <c r="AK76" s="44" t="e">
        <f>HLOOKUP(I76,ElecAvoidedCostsWOCC!$A$5:$Q$50,G76+1,FALSE)*J76*L76</f>
        <v>#N/A</v>
      </c>
      <c r="AL76" s="44" t="e">
        <f t="shared" si="7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73"/>
        <v>0</v>
      </c>
      <c r="AO76" s="47">
        <f t="shared" si="74"/>
        <v>0</v>
      </c>
      <c r="AP76" s="47" t="e">
        <f t="shared" si="75"/>
        <v>#DIV/0!</v>
      </c>
    </row>
    <row r="77" spans="2:42">
      <c r="B77" s="97" t="s">
        <v>15</v>
      </c>
      <c r="C77" s="100"/>
      <c r="D77" s="100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57"/>
        <v>0</v>
      </c>
      <c r="U77" s="47">
        <f t="shared" si="58"/>
        <v>0</v>
      </c>
      <c r="V77" s="48">
        <f t="shared" si="59"/>
        <v>0</v>
      </c>
      <c r="W77" s="49">
        <f t="shared" si="60"/>
        <v>0</v>
      </c>
      <c r="X77" s="44">
        <f t="shared" si="61"/>
        <v>0</v>
      </c>
      <c r="Y77" s="44">
        <f t="shared" si="62"/>
        <v>0</v>
      </c>
      <c r="Z77" s="44">
        <f t="shared" si="63"/>
        <v>0</v>
      </c>
      <c r="AA77" s="50">
        <f t="shared" si="64"/>
        <v>0</v>
      </c>
      <c r="AB77" s="51">
        <f t="shared" si="65"/>
        <v>0</v>
      </c>
      <c r="AC77" s="44">
        <f t="shared" si="66"/>
        <v>0</v>
      </c>
      <c r="AD77" s="44">
        <f t="shared" si="67"/>
        <v>0</v>
      </c>
      <c r="AE77" s="44">
        <f t="shared" si="68"/>
        <v>0</v>
      </c>
      <c r="AF77" s="52" t="e">
        <f>HLOOKUP(I77,ElecAvoidedCostsWOCC!$A$5:$Q$50,G77+1,FALSE)</f>
        <v>#N/A</v>
      </c>
      <c r="AG77" s="44" t="e">
        <f t="shared" si="69"/>
        <v>#N/A</v>
      </c>
      <c r="AH77" s="52" t="e">
        <f>HLOOKUP(I77,ElecAvoidedCostsWOCC!$A$5:$Q$50,T77+1,FALSE)</f>
        <v>#N/A</v>
      </c>
      <c r="AI77" s="44" t="e">
        <f t="shared" si="70"/>
        <v>#N/A</v>
      </c>
      <c r="AJ77" s="44" t="e">
        <f t="shared" si="71"/>
        <v>#N/A</v>
      </c>
      <c r="AK77" s="44" t="e">
        <f>HLOOKUP(I77,ElecAvoidedCostsWOCC!$A$5:$Q$50,G77+1,FALSE)*J77*L77</f>
        <v>#N/A</v>
      </c>
      <c r="AL77" s="44" t="e">
        <f t="shared" si="7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73"/>
        <v>0</v>
      </c>
      <c r="AO77" s="47">
        <f t="shared" si="74"/>
        <v>0</v>
      </c>
      <c r="AP77" s="47" t="e">
        <f t="shared" si="75"/>
        <v>#DIV/0!</v>
      </c>
    </row>
    <row r="78" spans="2:42">
      <c r="B78" s="97" t="s">
        <v>15</v>
      </c>
      <c r="C78" s="100"/>
      <c r="D78" s="100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57"/>
        <v>0</v>
      </c>
      <c r="U78" s="47">
        <f t="shared" si="58"/>
        <v>0</v>
      </c>
      <c r="V78" s="48">
        <f t="shared" si="59"/>
        <v>0</v>
      </c>
      <c r="W78" s="49">
        <f t="shared" si="60"/>
        <v>0</v>
      </c>
      <c r="X78" s="44">
        <f t="shared" si="61"/>
        <v>0</v>
      </c>
      <c r="Y78" s="44">
        <f t="shared" si="62"/>
        <v>0</v>
      </c>
      <c r="Z78" s="44">
        <f t="shared" si="63"/>
        <v>0</v>
      </c>
      <c r="AA78" s="50">
        <f t="shared" si="64"/>
        <v>0</v>
      </c>
      <c r="AB78" s="51">
        <f t="shared" si="65"/>
        <v>0</v>
      </c>
      <c r="AC78" s="44">
        <f t="shared" si="66"/>
        <v>0</v>
      </c>
      <c r="AD78" s="44">
        <f t="shared" si="67"/>
        <v>0</v>
      </c>
      <c r="AE78" s="44">
        <f t="shared" si="68"/>
        <v>0</v>
      </c>
      <c r="AF78" s="52" t="e">
        <f>HLOOKUP(I78,ElecAvoidedCostsWOCC!$A$5:$Q$50,G78+1,FALSE)</f>
        <v>#N/A</v>
      </c>
      <c r="AG78" s="44" t="e">
        <f t="shared" si="69"/>
        <v>#N/A</v>
      </c>
      <c r="AH78" s="52" t="e">
        <f>HLOOKUP(I78,ElecAvoidedCostsWOCC!$A$5:$Q$50,T78+1,FALSE)</f>
        <v>#N/A</v>
      </c>
      <c r="AI78" s="44" t="e">
        <f t="shared" si="70"/>
        <v>#N/A</v>
      </c>
      <c r="AJ78" s="44" t="e">
        <f t="shared" si="71"/>
        <v>#N/A</v>
      </c>
      <c r="AK78" s="44" t="e">
        <f>HLOOKUP(I78,ElecAvoidedCostsWOCC!$A$5:$Q$50,G78+1,FALSE)*J78*L78</f>
        <v>#N/A</v>
      </c>
      <c r="AL78" s="44" t="e">
        <f t="shared" si="7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73"/>
        <v>0</v>
      </c>
      <c r="AO78" s="47">
        <f t="shared" si="74"/>
        <v>0</v>
      </c>
      <c r="AP78" s="47" t="e">
        <f t="shared" si="75"/>
        <v>#DIV/0!</v>
      </c>
    </row>
    <row r="79" spans="2:42">
      <c r="B79" s="97" t="s">
        <v>15</v>
      </c>
      <c r="C79" s="100"/>
      <c r="D79" s="100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57"/>
        <v>0</v>
      </c>
      <c r="U79" s="47">
        <f t="shared" si="58"/>
        <v>0</v>
      </c>
      <c r="V79" s="48">
        <f t="shared" si="59"/>
        <v>0</v>
      </c>
      <c r="W79" s="49">
        <f t="shared" si="60"/>
        <v>0</v>
      </c>
      <c r="X79" s="44">
        <f t="shared" si="61"/>
        <v>0</v>
      </c>
      <c r="Y79" s="44">
        <f t="shared" si="62"/>
        <v>0</v>
      </c>
      <c r="Z79" s="44">
        <f t="shared" si="63"/>
        <v>0</v>
      </c>
      <c r="AA79" s="50">
        <f t="shared" si="64"/>
        <v>0</v>
      </c>
      <c r="AB79" s="51">
        <f t="shared" si="65"/>
        <v>0</v>
      </c>
      <c r="AC79" s="44">
        <f t="shared" si="66"/>
        <v>0</v>
      </c>
      <c r="AD79" s="44">
        <f t="shared" si="67"/>
        <v>0</v>
      </c>
      <c r="AE79" s="44">
        <f t="shared" si="68"/>
        <v>0</v>
      </c>
      <c r="AF79" s="52" t="e">
        <f>HLOOKUP(I79,ElecAvoidedCostsWOCC!$A$5:$Q$50,G79+1,FALSE)</f>
        <v>#N/A</v>
      </c>
      <c r="AG79" s="44" t="e">
        <f t="shared" si="69"/>
        <v>#N/A</v>
      </c>
      <c r="AH79" s="52" t="e">
        <f>HLOOKUP(I79,ElecAvoidedCostsWOCC!$A$5:$Q$50,T79+1,FALSE)</f>
        <v>#N/A</v>
      </c>
      <c r="AI79" s="44" t="e">
        <f t="shared" si="70"/>
        <v>#N/A</v>
      </c>
      <c r="AJ79" s="44" t="e">
        <f t="shared" si="71"/>
        <v>#N/A</v>
      </c>
      <c r="AK79" s="44" t="e">
        <f>HLOOKUP(I79,ElecAvoidedCostsWOCC!$A$5:$Q$50,G79+1,FALSE)*J79*L79</f>
        <v>#N/A</v>
      </c>
      <c r="AL79" s="44" t="e">
        <f t="shared" si="7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73"/>
        <v>0</v>
      </c>
      <c r="AO79" s="47">
        <f t="shared" si="74"/>
        <v>0</v>
      </c>
      <c r="AP79" s="47" t="e">
        <f t="shared" si="75"/>
        <v>#DIV/0!</v>
      </c>
    </row>
    <row r="80" spans="2:42">
      <c r="B80" s="97" t="s">
        <v>15</v>
      </c>
      <c r="C80" s="100"/>
      <c r="D80" s="100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57"/>
        <v>0</v>
      </c>
      <c r="U80" s="47">
        <f t="shared" si="58"/>
        <v>0</v>
      </c>
      <c r="V80" s="48">
        <f t="shared" si="59"/>
        <v>0</v>
      </c>
      <c r="W80" s="49">
        <f t="shared" si="60"/>
        <v>0</v>
      </c>
      <c r="X80" s="44">
        <f t="shared" si="61"/>
        <v>0</v>
      </c>
      <c r="Y80" s="44">
        <f t="shared" si="62"/>
        <v>0</v>
      </c>
      <c r="Z80" s="44">
        <f t="shared" si="63"/>
        <v>0</v>
      </c>
      <c r="AA80" s="50">
        <f t="shared" si="64"/>
        <v>0</v>
      </c>
      <c r="AB80" s="51">
        <f t="shared" si="65"/>
        <v>0</v>
      </c>
      <c r="AC80" s="44">
        <f t="shared" si="66"/>
        <v>0</v>
      </c>
      <c r="AD80" s="44">
        <f t="shared" si="67"/>
        <v>0</v>
      </c>
      <c r="AE80" s="44">
        <f t="shared" si="68"/>
        <v>0</v>
      </c>
      <c r="AF80" s="52" t="e">
        <f>HLOOKUP(I80,ElecAvoidedCostsWOCC!$A$5:$Q$50,G80+1,FALSE)</f>
        <v>#N/A</v>
      </c>
      <c r="AG80" s="44" t="e">
        <f t="shared" si="69"/>
        <v>#N/A</v>
      </c>
      <c r="AH80" s="52" t="e">
        <f>HLOOKUP(I80,ElecAvoidedCostsWOCC!$A$5:$Q$50,T80+1,FALSE)</f>
        <v>#N/A</v>
      </c>
      <c r="AI80" s="44" t="e">
        <f t="shared" si="70"/>
        <v>#N/A</v>
      </c>
      <c r="AJ80" s="44" t="e">
        <f t="shared" si="71"/>
        <v>#N/A</v>
      </c>
      <c r="AK80" s="44" t="e">
        <f>HLOOKUP(I80,ElecAvoidedCostsWOCC!$A$5:$Q$50,G80+1,FALSE)*J80*L80</f>
        <v>#N/A</v>
      </c>
      <c r="AL80" s="44" t="e">
        <f t="shared" si="7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73"/>
        <v>0</v>
      </c>
      <c r="AO80" s="47">
        <f t="shared" si="74"/>
        <v>0</v>
      </c>
      <c r="AP80" s="47" t="e">
        <f t="shared" si="75"/>
        <v>#DIV/0!</v>
      </c>
    </row>
    <row r="81" spans="2:42">
      <c r="B81" s="97" t="s">
        <v>15</v>
      </c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57"/>
        <v>0</v>
      </c>
      <c r="U81" s="47">
        <f t="shared" si="58"/>
        <v>0</v>
      </c>
      <c r="V81" s="48">
        <f t="shared" si="59"/>
        <v>0</v>
      </c>
      <c r="W81" s="49">
        <f t="shared" si="60"/>
        <v>0</v>
      </c>
      <c r="X81" s="44">
        <f t="shared" si="61"/>
        <v>0</v>
      </c>
      <c r="Y81" s="44">
        <f t="shared" si="62"/>
        <v>0</v>
      </c>
      <c r="Z81" s="44">
        <f t="shared" si="63"/>
        <v>0</v>
      </c>
      <c r="AA81" s="50">
        <f t="shared" si="64"/>
        <v>0</v>
      </c>
      <c r="AB81" s="51">
        <f t="shared" si="65"/>
        <v>0</v>
      </c>
      <c r="AC81" s="44">
        <f t="shared" si="66"/>
        <v>0</v>
      </c>
      <c r="AD81" s="44">
        <f t="shared" si="67"/>
        <v>0</v>
      </c>
      <c r="AE81" s="44">
        <f t="shared" si="68"/>
        <v>0</v>
      </c>
      <c r="AF81" s="52" t="e">
        <f>HLOOKUP(I81,ElecAvoidedCostsWOCC!$A$5:$Q$50,G81+1,FALSE)</f>
        <v>#N/A</v>
      </c>
      <c r="AG81" s="44" t="e">
        <f t="shared" si="69"/>
        <v>#N/A</v>
      </c>
      <c r="AH81" s="52" t="e">
        <f>HLOOKUP(I81,ElecAvoidedCostsWOCC!$A$5:$Q$50,T81+1,FALSE)</f>
        <v>#N/A</v>
      </c>
      <c r="AI81" s="44" t="e">
        <f t="shared" si="70"/>
        <v>#N/A</v>
      </c>
      <c r="AJ81" s="44" t="e">
        <f t="shared" si="71"/>
        <v>#N/A</v>
      </c>
      <c r="AK81" s="44" t="e">
        <f>HLOOKUP(I81,ElecAvoidedCostsWOCC!$A$5:$Q$50,G81+1,FALSE)*J81*L81</f>
        <v>#N/A</v>
      </c>
      <c r="AL81" s="44" t="e">
        <f t="shared" si="7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73"/>
        <v>0</v>
      </c>
      <c r="AO81" s="47">
        <f t="shared" si="74"/>
        <v>0</v>
      </c>
      <c r="AP81" s="47" t="e">
        <f t="shared" si="75"/>
        <v>#DIV/0!</v>
      </c>
    </row>
    <row r="82" spans="2:42">
      <c r="B82" s="97" t="s">
        <v>15</v>
      </c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57"/>
        <v>0</v>
      </c>
      <c r="U82" s="47">
        <f t="shared" si="58"/>
        <v>0</v>
      </c>
      <c r="V82" s="48">
        <f t="shared" si="59"/>
        <v>0</v>
      </c>
      <c r="W82" s="49">
        <f t="shared" si="60"/>
        <v>0</v>
      </c>
      <c r="X82" s="44">
        <f t="shared" si="61"/>
        <v>0</v>
      </c>
      <c r="Y82" s="44">
        <f t="shared" si="62"/>
        <v>0</v>
      </c>
      <c r="Z82" s="44">
        <f t="shared" si="63"/>
        <v>0</v>
      </c>
      <c r="AA82" s="50">
        <f t="shared" si="64"/>
        <v>0</v>
      </c>
      <c r="AB82" s="51">
        <f t="shared" si="65"/>
        <v>0</v>
      </c>
      <c r="AC82" s="44">
        <f t="shared" si="66"/>
        <v>0</v>
      </c>
      <c r="AD82" s="44">
        <f t="shared" si="67"/>
        <v>0</v>
      </c>
      <c r="AE82" s="44">
        <f t="shared" si="68"/>
        <v>0</v>
      </c>
      <c r="AF82" s="52" t="e">
        <f>HLOOKUP(I82,ElecAvoidedCostsWOCC!$A$5:$Q$50,G82+1,FALSE)</f>
        <v>#N/A</v>
      </c>
      <c r="AG82" s="44" t="e">
        <f t="shared" si="69"/>
        <v>#N/A</v>
      </c>
      <c r="AH82" s="52" t="e">
        <f>HLOOKUP(I82,ElecAvoidedCostsWOCC!$A$5:$Q$50,T82+1,FALSE)</f>
        <v>#N/A</v>
      </c>
      <c r="AI82" s="44" t="e">
        <f t="shared" si="70"/>
        <v>#N/A</v>
      </c>
      <c r="AJ82" s="44" t="e">
        <f t="shared" si="71"/>
        <v>#N/A</v>
      </c>
      <c r="AK82" s="44" t="e">
        <f>HLOOKUP(I82,ElecAvoidedCostsWOCC!$A$5:$Q$50,G82+1,FALSE)*J82*L82</f>
        <v>#N/A</v>
      </c>
      <c r="AL82" s="44" t="e">
        <f t="shared" si="7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73"/>
        <v>0</v>
      </c>
      <c r="AO82" s="47">
        <f t="shared" si="74"/>
        <v>0</v>
      </c>
      <c r="AP82" s="47" t="e">
        <f t="shared" si="75"/>
        <v>#DIV/0!</v>
      </c>
    </row>
    <row r="83" spans="2:42">
      <c r="B83" s="97" t="s">
        <v>15</v>
      </c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57"/>
        <v>0</v>
      </c>
      <c r="U83" s="47">
        <f t="shared" si="58"/>
        <v>0</v>
      </c>
      <c r="V83" s="48">
        <f t="shared" si="59"/>
        <v>0</v>
      </c>
      <c r="W83" s="49">
        <f t="shared" si="60"/>
        <v>0</v>
      </c>
      <c r="X83" s="44">
        <f t="shared" si="61"/>
        <v>0</v>
      </c>
      <c r="Y83" s="44">
        <f t="shared" si="62"/>
        <v>0</v>
      </c>
      <c r="Z83" s="44">
        <f t="shared" si="63"/>
        <v>0</v>
      </c>
      <c r="AA83" s="50">
        <f t="shared" si="64"/>
        <v>0</v>
      </c>
      <c r="AB83" s="51">
        <f t="shared" si="65"/>
        <v>0</v>
      </c>
      <c r="AC83" s="44">
        <f t="shared" si="66"/>
        <v>0</v>
      </c>
      <c r="AD83" s="44">
        <f t="shared" si="67"/>
        <v>0</v>
      </c>
      <c r="AE83" s="44">
        <f t="shared" si="68"/>
        <v>0</v>
      </c>
      <c r="AF83" s="52" t="e">
        <f>HLOOKUP(I83,ElecAvoidedCostsWOCC!$A$5:$Q$50,G83+1,FALSE)</f>
        <v>#N/A</v>
      </c>
      <c r="AG83" s="44" t="e">
        <f t="shared" si="69"/>
        <v>#N/A</v>
      </c>
      <c r="AH83" s="52" t="e">
        <f>HLOOKUP(I83,ElecAvoidedCostsWOCC!$A$5:$Q$50,T83+1,FALSE)</f>
        <v>#N/A</v>
      </c>
      <c r="AI83" s="44" t="e">
        <f t="shared" si="70"/>
        <v>#N/A</v>
      </c>
      <c r="AJ83" s="44" t="e">
        <f t="shared" si="71"/>
        <v>#N/A</v>
      </c>
      <c r="AK83" s="44" t="e">
        <f>HLOOKUP(I83,ElecAvoidedCostsWOCC!$A$5:$Q$50,G83+1,FALSE)*J83*L83</f>
        <v>#N/A</v>
      </c>
      <c r="AL83" s="44" t="e">
        <f t="shared" si="7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73"/>
        <v>0</v>
      </c>
      <c r="AO83" s="47">
        <f t="shared" si="74"/>
        <v>0</v>
      </c>
      <c r="AP83" s="47" t="e">
        <f t="shared" si="75"/>
        <v>#DIV/0!</v>
      </c>
    </row>
    <row r="84" spans="2:42">
      <c r="B84" s="97" t="s">
        <v>15</v>
      </c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57"/>
        <v>0</v>
      </c>
      <c r="U84" s="47">
        <f t="shared" si="58"/>
        <v>0</v>
      </c>
      <c r="V84" s="48">
        <f t="shared" si="59"/>
        <v>0</v>
      </c>
      <c r="W84" s="49">
        <f t="shared" si="60"/>
        <v>0</v>
      </c>
      <c r="X84" s="44">
        <f t="shared" si="61"/>
        <v>0</v>
      </c>
      <c r="Y84" s="44">
        <f t="shared" si="62"/>
        <v>0</v>
      </c>
      <c r="Z84" s="44">
        <f t="shared" si="63"/>
        <v>0</v>
      </c>
      <c r="AA84" s="50">
        <f t="shared" si="64"/>
        <v>0</v>
      </c>
      <c r="AB84" s="51">
        <f t="shared" si="65"/>
        <v>0</v>
      </c>
      <c r="AC84" s="44">
        <f t="shared" si="66"/>
        <v>0</v>
      </c>
      <c r="AD84" s="44">
        <f t="shared" si="67"/>
        <v>0</v>
      </c>
      <c r="AE84" s="44">
        <f t="shared" si="68"/>
        <v>0</v>
      </c>
      <c r="AF84" s="52" t="e">
        <f>HLOOKUP(I84,ElecAvoidedCostsWOCC!$A$5:$Q$50,G84+1,FALSE)</f>
        <v>#N/A</v>
      </c>
      <c r="AG84" s="44" t="e">
        <f t="shared" si="69"/>
        <v>#N/A</v>
      </c>
      <c r="AH84" s="52" t="e">
        <f>HLOOKUP(I84,ElecAvoidedCostsWOCC!$A$5:$Q$50,T84+1,FALSE)</f>
        <v>#N/A</v>
      </c>
      <c r="AI84" s="44" t="e">
        <f t="shared" si="70"/>
        <v>#N/A</v>
      </c>
      <c r="AJ84" s="44" t="e">
        <f t="shared" si="71"/>
        <v>#N/A</v>
      </c>
      <c r="AK84" s="44" t="e">
        <f>HLOOKUP(I84,ElecAvoidedCostsWOCC!$A$5:$Q$50,G84+1,FALSE)*J84*L84</f>
        <v>#N/A</v>
      </c>
      <c r="AL84" s="44" t="e">
        <f t="shared" si="7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73"/>
        <v>0</v>
      </c>
      <c r="AO84" s="47">
        <f t="shared" si="74"/>
        <v>0</v>
      </c>
      <c r="AP84" s="47" t="e">
        <f t="shared" si="75"/>
        <v>#DIV/0!</v>
      </c>
    </row>
    <row r="85" spans="2:42">
      <c r="B85" s="97" t="s">
        <v>15</v>
      </c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7"/>
        <v>0</v>
      </c>
      <c r="U85" s="47">
        <f t="shared" si="58"/>
        <v>0</v>
      </c>
      <c r="V85" s="48">
        <f t="shared" si="59"/>
        <v>0</v>
      </c>
      <c r="W85" s="49">
        <f t="shared" si="60"/>
        <v>0</v>
      </c>
      <c r="X85" s="44">
        <f t="shared" si="61"/>
        <v>0</v>
      </c>
      <c r="Y85" s="44">
        <f t="shared" si="62"/>
        <v>0</v>
      </c>
      <c r="Z85" s="44">
        <f t="shared" si="63"/>
        <v>0</v>
      </c>
      <c r="AA85" s="50">
        <f t="shared" si="64"/>
        <v>0</v>
      </c>
      <c r="AB85" s="51">
        <f t="shared" si="65"/>
        <v>0</v>
      </c>
      <c r="AC85" s="44">
        <f t="shared" si="66"/>
        <v>0</v>
      </c>
      <c r="AD85" s="44">
        <f t="shared" si="67"/>
        <v>0</v>
      </c>
      <c r="AE85" s="44">
        <f t="shared" si="68"/>
        <v>0</v>
      </c>
      <c r="AF85" s="52" t="e">
        <f>HLOOKUP(I85,ElecAvoidedCostsWOCC!$A$5:$Q$50,G85+1,FALSE)</f>
        <v>#N/A</v>
      </c>
      <c r="AG85" s="44" t="e">
        <f t="shared" si="69"/>
        <v>#N/A</v>
      </c>
      <c r="AH85" s="52" t="e">
        <f>HLOOKUP(I85,ElecAvoidedCostsWOCC!$A$5:$Q$50,T85+1,FALSE)</f>
        <v>#N/A</v>
      </c>
      <c r="AI85" s="44" t="e">
        <f t="shared" si="70"/>
        <v>#N/A</v>
      </c>
      <c r="AJ85" s="44" t="e">
        <f t="shared" si="71"/>
        <v>#N/A</v>
      </c>
      <c r="AK85" s="44" t="e">
        <f>HLOOKUP(I85,ElecAvoidedCostsWOCC!$A$5:$Q$50,G85+1,FALSE)*J85*L85</f>
        <v>#N/A</v>
      </c>
      <c r="AL85" s="44" t="e">
        <f t="shared" si="7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3"/>
        <v>0</v>
      </c>
      <c r="AO85" s="47">
        <f t="shared" si="74"/>
        <v>0</v>
      </c>
      <c r="AP85" s="47" t="e">
        <f t="shared" si="75"/>
        <v>#DIV/0!</v>
      </c>
    </row>
    <row r="86" spans="2:42">
      <c r="B86" s="97" t="s">
        <v>15</v>
      </c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7"/>
        <v>0</v>
      </c>
      <c r="U86" s="47">
        <f t="shared" si="58"/>
        <v>0</v>
      </c>
      <c r="V86" s="48">
        <f t="shared" si="59"/>
        <v>0</v>
      </c>
      <c r="W86" s="49">
        <f t="shared" si="60"/>
        <v>0</v>
      </c>
      <c r="X86" s="44">
        <f t="shared" si="61"/>
        <v>0</v>
      </c>
      <c r="Y86" s="44">
        <f t="shared" si="62"/>
        <v>0</v>
      </c>
      <c r="Z86" s="44">
        <f t="shared" si="63"/>
        <v>0</v>
      </c>
      <c r="AA86" s="50">
        <f t="shared" si="64"/>
        <v>0</v>
      </c>
      <c r="AB86" s="51">
        <f t="shared" si="65"/>
        <v>0</v>
      </c>
      <c r="AC86" s="44">
        <f t="shared" si="66"/>
        <v>0</v>
      </c>
      <c r="AD86" s="44">
        <f t="shared" si="67"/>
        <v>0</v>
      </c>
      <c r="AE86" s="44">
        <f t="shared" si="68"/>
        <v>0</v>
      </c>
      <c r="AF86" s="52" t="e">
        <f>HLOOKUP(I86,ElecAvoidedCostsWOCC!$A$5:$Q$50,G86+1,FALSE)</f>
        <v>#N/A</v>
      </c>
      <c r="AG86" s="44" t="e">
        <f t="shared" si="69"/>
        <v>#N/A</v>
      </c>
      <c r="AH86" s="52" t="e">
        <f>HLOOKUP(I86,ElecAvoidedCostsWOCC!$A$5:$Q$50,T86+1,FALSE)</f>
        <v>#N/A</v>
      </c>
      <c r="AI86" s="44" t="e">
        <f t="shared" si="70"/>
        <v>#N/A</v>
      </c>
      <c r="AJ86" s="44" t="e">
        <f t="shared" si="71"/>
        <v>#N/A</v>
      </c>
      <c r="AK86" s="44" t="e">
        <f>HLOOKUP(I86,ElecAvoidedCostsWOCC!$A$5:$Q$50,G86+1,FALSE)*J86*L86</f>
        <v>#N/A</v>
      </c>
      <c r="AL86" s="44" t="e">
        <f t="shared" si="7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3"/>
        <v>0</v>
      </c>
      <c r="AO86" s="47">
        <f t="shared" si="74"/>
        <v>0</v>
      </c>
      <c r="AP86" s="47" t="e">
        <f t="shared" si="75"/>
        <v>#DIV/0!</v>
      </c>
    </row>
    <row r="87" spans="2:42">
      <c r="B87" s="97" t="s">
        <v>15</v>
      </c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7"/>
        <v>0</v>
      </c>
      <c r="U87" s="47">
        <f t="shared" si="58"/>
        <v>0</v>
      </c>
      <c r="V87" s="48">
        <f t="shared" si="59"/>
        <v>0</v>
      </c>
      <c r="W87" s="49">
        <f t="shared" si="60"/>
        <v>0</v>
      </c>
      <c r="X87" s="44">
        <f t="shared" si="61"/>
        <v>0</v>
      </c>
      <c r="Y87" s="44">
        <f t="shared" si="62"/>
        <v>0</v>
      </c>
      <c r="Z87" s="44">
        <f t="shared" si="63"/>
        <v>0</v>
      </c>
      <c r="AA87" s="50">
        <f t="shared" si="64"/>
        <v>0</v>
      </c>
      <c r="AB87" s="51">
        <f t="shared" si="65"/>
        <v>0</v>
      </c>
      <c r="AC87" s="44">
        <f t="shared" si="66"/>
        <v>0</v>
      </c>
      <c r="AD87" s="44">
        <f t="shared" si="67"/>
        <v>0</v>
      </c>
      <c r="AE87" s="44">
        <f t="shared" si="68"/>
        <v>0</v>
      </c>
      <c r="AF87" s="52" t="e">
        <f>HLOOKUP(I87,ElecAvoidedCostsWOCC!$A$5:$Q$50,G87+1,FALSE)</f>
        <v>#N/A</v>
      </c>
      <c r="AG87" s="44" t="e">
        <f t="shared" si="69"/>
        <v>#N/A</v>
      </c>
      <c r="AH87" s="52" t="e">
        <f>HLOOKUP(I87,ElecAvoidedCostsWOCC!$A$5:$Q$50,T87+1,FALSE)</f>
        <v>#N/A</v>
      </c>
      <c r="AI87" s="44" t="e">
        <f t="shared" si="70"/>
        <v>#N/A</v>
      </c>
      <c r="AJ87" s="44" t="e">
        <f t="shared" si="71"/>
        <v>#N/A</v>
      </c>
      <c r="AK87" s="44" t="e">
        <f>HLOOKUP(I87,ElecAvoidedCostsWOCC!$A$5:$Q$50,G87+1,FALSE)*J87*L87</f>
        <v>#N/A</v>
      </c>
      <c r="AL87" s="44" t="e">
        <f t="shared" si="7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3"/>
        <v>0</v>
      </c>
      <c r="AO87" s="47">
        <f t="shared" si="74"/>
        <v>0</v>
      </c>
      <c r="AP87" s="47" t="e">
        <f t="shared" si="75"/>
        <v>#DIV/0!</v>
      </c>
    </row>
    <row r="88" spans="2:42">
      <c r="B88" s="97" t="s">
        <v>15</v>
      </c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7"/>
        <v>0</v>
      </c>
      <c r="U88" s="47">
        <f t="shared" si="58"/>
        <v>0</v>
      </c>
      <c r="V88" s="48">
        <f t="shared" si="59"/>
        <v>0</v>
      </c>
      <c r="W88" s="49">
        <f t="shared" si="60"/>
        <v>0</v>
      </c>
      <c r="X88" s="44">
        <f t="shared" si="61"/>
        <v>0</v>
      </c>
      <c r="Y88" s="44">
        <f t="shared" si="62"/>
        <v>0</v>
      </c>
      <c r="Z88" s="44">
        <f t="shared" si="63"/>
        <v>0</v>
      </c>
      <c r="AA88" s="50">
        <f t="shared" si="64"/>
        <v>0</v>
      </c>
      <c r="AB88" s="51">
        <f t="shared" si="65"/>
        <v>0</v>
      </c>
      <c r="AC88" s="44">
        <f t="shared" si="66"/>
        <v>0</v>
      </c>
      <c r="AD88" s="44">
        <f t="shared" si="67"/>
        <v>0</v>
      </c>
      <c r="AE88" s="44">
        <f t="shared" si="68"/>
        <v>0</v>
      </c>
      <c r="AF88" s="52" t="e">
        <f>HLOOKUP(I88,ElecAvoidedCostsWOCC!$A$5:$Q$50,G88+1,FALSE)</f>
        <v>#N/A</v>
      </c>
      <c r="AG88" s="44" t="e">
        <f t="shared" si="69"/>
        <v>#N/A</v>
      </c>
      <c r="AH88" s="52" t="e">
        <f>HLOOKUP(I88,ElecAvoidedCostsWOCC!$A$5:$Q$50,T88+1,FALSE)</f>
        <v>#N/A</v>
      </c>
      <c r="AI88" s="44" t="e">
        <f t="shared" si="70"/>
        <v>#N/A</v>
      </c>
      <c r="AJ88" s="44" t="e">
        <f t="shared" si="71"/>
        <v>#N/A</v>
      </c>
      <c r="AK88" s="44" t="e">
        <f>HLOOKUP(I88,ElecAvoidedCostsWOCC!$A$5:$Q$50,G88+1,FALSE)*J88*L88</f>
        <v>#N/A</v>
      </c>
      <c r="AL88" s="44" t="e">
        <f t="shared" si="7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3"/>
        <v>0</v>
      </c>
      <c r="AO88" s="47">
        <f t="shared" si="74"/>
        <v>0</v>
      </c>
      <c r="AP88" s="47" t="e">
        <f t="shared" si="75"/>
        <v>#DIV/0!</v>
      </c>
    </row>
    <row r="89" spans="2:42">
      <c r="B89" s="97" t="s">
        <v>15</v>
      </c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7"/>
        <v>0</v>
      </c>
      <c r="U89" s="47">
        <f t="shared" si="58"/>
        <v>0</v>
      </c>
      <c r="V89" s="48">
        <f t="shared" si="59"/>
        <v>0</v>
      </c>
      <c r="W89" s="49">
        <f t="shared" si="60"/>
        <v>0</v>
      </c>
      <c r="X89" s="44">
        <f t="shared" si="61"/>
        <v>0</v>
      </c>
      <c r="Y89" s="44">
        <f t="shared" si="62"/>
        <v>0</v>
      </c>
      <c r="Z89" s="44">
        <f t="shared" si="63"/>
        <v>0</v>
      </c>
      <c r="AA89" s="50">
        <f t="shared" si="64"/>
        <v>0</v>
      </c>
      <c r="AB89" s="51">
        <f t="shared" si="65"/>
        <v>0</v>
      </c>
      <c r="AC89" s="44">
        <f t="shared" si="66"/>
        <v>0</v>
      </c>
      <c r="AD89" s="44">
        <f t="shared" si="67"/>
        <v>0</v>
      </c>
      <c r="AE89" s="44">
        <f t="shared" si="68"/>
        <v>0</v>
      </c>
      <c r="AF89" s="52" t="e">
        <f>HLOOKUP(I89,ElecAvoidedCostsWOCC!$A$5:$Q$50,G89+1,FALSE)</f>
        <v>#N/A</v>
      </c>
      <c r="AG89" s="44" t="e">
        <f t="shared" si="69"/>
        <v>#N/A</v>
      </c>
      <c r="AH89" s="52" t="e">
        <f>HLOOKUP(I89,ElecAvoidedCostsWOCC!$A$5:$Q$50,T89+1,FALSE)</f>
        <v>#N/A</v>
      </c>
      <c r="AI89" s="44" t="e">
        <f t="shared" si="70"/>
        <v>#N/A</v>
      </c>
      <c r="AJ89" s="44" t="e">
        <f t="shared" si="71"/>
        <v>#N/A</v>
      </c>
      <c r="AK89" s="44" t="e">
        <f>HLOOKUP(I89,ElecAvoidedCostsWOCC!$A$5:$Q$50,G89+1,FALSE)*J89*L89</f>
        <v>#N/A</v>
      </c>
      <c r="AL89" s="44" t="e">
        <f t="shared" si="72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3"/>
        <v>0</v>
      </c>
      <c r="AO89" s="47">
        <f t="shared" si="74"/>
        <v>0</v>
      </c>
      <c r="AP89" s="47" t="e">
        <f t="shared" si="75"/>
        <v>#DIV/0!</v>
      </c>
    </row>
    <row r="90" spans="2:42">
      <c r="B90" s="97" t="s">
        <v>15</v>
      </c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7"/>
        <v>0</v>
      </c>
      <c r="U90" s="47">
        <f t="shared" si="58"/>
        <v>0</v>
      </c>
      <c r="V90" s="48">
        <f t="shared" si="59"/>
        <v>0</v>
      </c>
      <c r="W90" s="49">
        <f t="shared" si="60"/>
        <v>0</v>
      </c>
      <c r="X90" s="44">
        <f t="shared" si="61"/>
        <v>0</v>
      </c>
      <c r="Y90" s="44">
        <f t="shared" si="62"/>
        <v>0</v>
      </c>
      <c r="Z90" s="44">
        <f t="shared" si="63"/>
        <v>0</v>
      </c>
      <c r="AA90" s="50">
        <f t="shared" si="64"/>
        <v>0</v>
      </c>
      <c r="AB90" s="51">
        <f t="shared" si="65"/>
        <v>0</v>
      </c>
      <c r="AC90" s="44">
        <f t="shared" si="66"/>
        <v>0</v>
      </c>
      <c r="AD90" s="44">
        <f t="shared" si="67"/>
        <v>0</v>
      </c>
      <c r="AE90" s="44">
        <f t="shared" si="68"/>
        <v>0</v>
      </c>
      <c r="AF90" s="52" t="e">
        <f>HLOOKUP(I90,ElecAvoidedCostsWOCC!$A$5:$Q$50,G90+1,FALSE)</f>
        <v>#N/A</v>
      </c>
      <c r="AG90" s="44" t="e">
        <f t="shared" si="69"/>
        <v>#N/A</v>
      </c>
      <c r="AH90" s="52" t="e">
        <f>HLOOKUP(I90,ElecAvoidedCostsWOCC!$A$5:$Q$50,T90+1,FALSE)</f>
        <v>#N/A</v>
      </c>
      <c r="AI90" s="44" t="e">
        <f t="shared" si="70"/>
        <v>#N/A</v>
      </c>
      <c r="AJ90" s="44" t="e">
        <f t="shared" si="71"/>
        <v>#N/A</v>
      </c>
      <c r="AK90" s="44" t="e">
        <f>HLOOKUP(I90,ElecAvoidedCostsWOCC!$A$5:$Q$50,G90+1,FALSE)*J90*L90</f>
        <v>#N/A</v>
      </c>
      <c r="AL90" s="44" t="e">
        <f t="shared" si="72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3"/>
        <v>0</v>
      </c>
      <c r="AO90" s="47">
        <f t="shared" si="74"/>
        <v>0</v>
      </c>
      <c r="AP90" s="47" t="e">
        <f t="shared" si="75"/>
        <v>#DIV/0!</v>
      </c>
    </row>
    <row r="91" spans="2:42">
      <c r="B91" s="97" t="s">
        <v>15</v>
      </c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7"/>
        <v>0</v>
      </c>
      <c r="U91" s="47">
        <f t="shared" si="58"/>
        <v>0</v>
      </c>
      <c r="V91" s="48">
        <f t="shared" si="59"/>
        <v>0</v>
      </c>
      <c r="W91" s="49">
        <f t="shared" si="60"/>
        <v>0</v>
      </c>
      <c r="X91" s="44">
        <f t="shared" si="61"/>
        <v>0</v>
      </c>
      <c r="Y91" s="44">
        <f t="shared" si="62"/>
        <v>0</v>
      </c>
      <c r="Z91" s="44">
        <f t="shared" si="63"/>
        <v>0</v>
      </c>
      <c r="AA91" s="50">
        <f t="shared" si="64"/>
        <v>0</v>
      </c>
      <c r="AB91" s="51">
        <f t="shared" si="65"/>
        <v>0</v>
      </c>
      <c r="AC91" s="44">
        <f t="shared" si="66"/>
        <v>0</v>
      </c>
      <c r="AD91" s="44">
        <f t="shared" si="67"/>
        <v>0</v>
      </c>
      <c r="AE91" s="44">
        <f t="shared" si="68"/>
        <v>0</v>
      </c>
      <c r="AF91" s="52" t="e">
        <f>HLOOKUP(I91,ElecAvoidedCostsWOCC!$A$5:$Q$50,G91+1,FALSE)</f>
        <v>#N/A</v>
      </c>
      <c r="AG91" s="44" t="e">
        <f t="shared" si="69"/>
        <v>#N/A</v>
      </c>
      <c r="AH91" s="52" t="e">
        <f>HLOOKUP(I91,ElecAvoidedCostsWOCC!$A$5:$Q$50,T91+1,FALSE)</f>
        <v>#N/A</v>
      </c>
      <c r="AI91" s="44" t="e">
        <f t="shared" si="70"/>
        <v>#N/A</v>
      </c>
      <c r="AJ91" s="44" t="e">
        <f t="shared" si="71"/>
        <v>#N/A</v>
      </c>
      <c r="AK91" s="44" t="e">
        <f>HLOOKUP(I91,ElecAvoidedCostsWOCC!$A$5:$Q$50,G91+1,FALSE)*J91*L91</f>
        <v>#N/A</v>
      </c>
      <c r="AL91" s="44" t="e">
        <f t="shared" si="72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3"/>
        <v>0</v>
      </c>
      <c r="AO91" s="47">
        <f t="shared" si="74"/>
        <v>0</v>
      </c>
      <c r="AP91" s="47" t="e">
        <f t="shared" si="75"/>
        <v>#DIV/0!</v>
      </c>
    </row>
    <row r="92" spans="2:42">
      <c r="B92" s="97" t="s">
        <v>15</v>
      </c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7"/>
        <v>0</v>
      </c>
      <c r="U92" s="47">
        <f t="shared" si="58"/>
        <v>0</v>
      </c>
      <c r="V92" s="48">
        <f t="shared" si="59"/>
        <v>0</v>
      </c>
      <c r="W92" s="49">
        <f t="shared" si="60"/>
        <v>0</v>
      </c>
      <c r="X92" s="44">
        <f t="shared" si="61"/>
        <v>0</v>
      </c>
      <c r="Y92" s="44">
        <f t="shared" si="62"/>
        <v>0</v>
      </c>
      <c r="Z92" s="44">
        <f t="shared" si="63"/>
        <v>0</v>
      </c>
      <c r="AA92" s="50">
        <f t="shared" si="64"/>
        <v>0</v>
      </c>
      <c r="AB92" s="51">
        <f t="shared" si="65"/>
        <v>0</v>
      </c>
      <c r="AC92" s="44">
        <f t="shared" si="66"/>
        <v>0</v>
      </c>
      <c r="AD92" s="44">
        <f t="shared" si="67"/>
        <v>0</v>
      </c>
      <c r="AE92" s="44">
        <f t="shared" si="68"/>
        <v>0</v>
      </c>
      <c r="AF92" s="52" t="e">
        <f>HLOOKUP(I92,ElecAvoidedCostsWOCC!$A$5:$Q$50,G92+1,FALSE)</f>
        <v>#N/A</v>
      </c>
      <c r="AG92" s="44" t="e">
        <f t="shared" si="69"/>
        <v>#N/A</v>
      </c>
      <c r="AH92" s="52" t="e">
        <f>HLOOKUP(I92,ElecAvoidedCostsWOCC!$A$5:$Q$50,T92+1,FALSE)</f>
        <v>#N/A</v>
      </c>
      <c r="AI92" s="44" t="e">
        <f t="shared" si="70"/>
        <v>#N/A</v>
      </c>
      <c r="AJ92" s="44" t="e">
        <f t="shared" si="71"/>
        <v>#N/A</v>
      </c>
      <c r="AK92" s="44" t="e">
        <f>HLOOKUP(I92,ElecAvoidedCostsWOCC!$A$5:$Q$50,G92+1,FALSE)*J92*L92</f>
        <v>#N/A</v>
      </c>
      <c r="AL92" s="44" t="e">
        <f t="shared" si="72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3"/>
        <v>0</v>
      </c>
      <c r="AO92" s="47">
        <f t="shared" si="74"/>
        <v>0</v>
      </c>
      <c r="AP92" s="47" t="e">
        <f t="shared" si="75"/>
        <v>#DIV/0!</v>
      </c>
    </row>
    <row r="93" spans="2:42">
      <c r="B93" s="97" t="s">
        <v>15</v>
      </c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7"/>
        <v>0</v>
      </c>
      <c r="U93" s="47">
        <f t="shared" si="58"/>
        <v>0</v>
      </c>
      <c r="V93" s="48">
        <f t="shared" si="59"/>
        <v>0</v>
      </c>
      <c r="W93" s="49">
        <f t="shared" si="60"/>
        <v>0</v>
      </c>
      <c r="X93" s="44">
        <f t="shared" si="61"/>
        <v>0</v>
      </c>
      <c r="Y93" s="44">
        <f t="shared" si="62"/>
        <v>0</v>
      </c>
      <c r="Z93" s="44">
        <f t="shared" si="63"/>
        <v>0</v>
      </c>
      <c r="AA93" s="50">
        <f t="shared" si="64"/>
        <v>0</v>
      </c>
      <c r="AB93" s="51">
        <f t="shared" si="65"/>
        <v>0</v>
      </c>
      <c r="AC93" s="44">
        <f t="shared" si="66"/>
        <v>0</v>
      </c>
      <c r="AD93" s="44">
        <f t="shared" si="67"/>
        <v>0</v>
      </c>
      <c r="AE93" s="44">
        <f t="shared" si="68"/>
        <v>0</v>
      </c>
      <c r="AF93" s="52" t="e">
        <f>HLOOKUP(I93,ElecAvoidedCostsWOCC!$A$5:$Q$50,G93+1,FALSE)</f>
        <v>#N/A</v>
      </c>
      <c r="AG93" s="44" t="e">
        <f t="shared" si="69"/>
        <v>#N/A</v>
      </c>
      <c r="AH93" s="52" t="e">
        <f>HLOOKUP(I93,ElecAvoidedCostsWOCC!$A$5:$Q$50,T93+1,FALSE)</f>
        <v>#N/A</v>
      </c>
      <c r="AI93" s="44" t="e">
        <f t="shared" si="70"/>
        <v>#N/A</v>
      </c>
      <c r="AJ93" s="44" t="e">
        <f t="shared" si="71"/>
        <v>#N/A</v>
      </c>
      <c r="AK93" s="44" t="e">
        <f>HLOOKUP(I93,ElecAvoidedCostsWOCC!$A$5:$Q$50,G93+1,FALSE)*J93*L93</f>
        <v>#N/A</v>
      </c>
      <c r="AL93" s="44" t="e">
        <f t="shared" si="7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3"/>
        <v>0</v>
      </c>
      <c r="AO93" s="47">
        <f t="shared" si="74"/>
        <v>0</v>
      </c>
      <c r="AP93" s="47" t="e">
        <f t="shared" si="75"/>
        <v>#DIV/0!</v>
      </c>
    </row>
    <row r="94" spans="2:42">
      <c r="B94" s="97" t="s">
        <v>15</v>
      </c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7"/>
        <v>0</v>
      </c>
      <c r="U94" s="47">
        <f t="shared" si="58"/>
        <v>0</v>
      </c>
      <c r="V94" s="48">
        <f t="shared" si="59"/>
        <v>0</v>
      </c>
      <c r="W94" s="49">
        <f t="shared" si="60"/>
        <v>0</v>
      </c>
      <c r="X94" s="44">
        <f t="shared" si="61"/>
        <v>0</v>
      </c>
      <c r="Y94" s="44">
        <f t="shared" si="62"/>
        <v>0</v>
      </c>
      <c r="Z94" s="44">
        <f t="shared" si="63"/>
        <v>0</v>
      </c>
      <c r="AA94" s="50">
        <f t="shared" si="64"/>
        <v>0</v>
      </c>
      <c r="AB94" s="51">
        <f t="shared" si="65"/>
        <v>0</v>
      </c>
      <c r="AC94" s="44">
        <f t="shared" si="66"/>
        <v>0</v>
      </c>
      <c r="AD94" s="44">
        <f t="shared" si="67"/>
        <v>0</v>
      </c>
      <c r="AE94" s="44">
        <f t="shared" si="68"/>
        <v>0</v>
      </c>
      <c r="AF94" s="52" t="e">
        <f>HLOOKUP(I94,ElecAvoidedCostsWOCC!$A$5:$Q$50,G94+1,FALSE)</f>
        <v>#N/A</v>
      </c>
      <c r="AG94" s="44" t="e">
        <f t="shared" si="69"/>
        <v>#N/A</v>
      </c>
      <c r="AH94" s="52" t="e">
        <f>HLOOKUP(I94,ElecAvoidedCostsWOCC!$A$5:$Q$50,T94+1,FALSE)</f>
        <v>#N/A</v>
      </c>
      <c r="AI94" s="44" t="e">
        <f t="shared" si="70"/>
        <v>#N/A</v>
      </c>
      <c r="AJ94" s="44" t="e">
        <f t="shared" si="71"/>
        <v>#N/A</v>
      </c>
      <c r="AK94" s="44" t="e">
        <f>HLOOKUP(I94,ElecAvoidedCostsWOCC!$A$5:$Q$50,G94+1,FALSE)*J94*L94</f>
        <v>#N/A</v>
      </c>
      <c r="AL94" s="44" t="e">
        <f t="shared" si="72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3"/>
        <v>0</v>
      </c>
      <c r="AO94" s="47">
        <f t="shared" si="74"/>
        <v>0</v>
      </c>
      <c r="AP94" s="47" t="e">
        <f t="shared" si="75"/>
        <v>#DIV/0!</v>
      </c>
    </row>
    <row r="95" spans="2:42">
      <c r="B95" s="97" t="s">
        <v>15</v>
      </c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7"/>
        <v>0</v>
      </c>
      <c r="U95" s="47">
        <f t="shared" si="58"/>
        <v>0</v>
      </c>
      <c r="V95" s="48">
        <f t="shared" si="59"/>
        <v>0</v>
      </c>
      <c r="W95" s="49">
        <f t="shared" si="60"/>
        <v>0</v>
      </c>
      <c r="X95" s="44">
        <f t="shared" si="61"/>
        <v>0</v>
      </c>
      <c r="Y95" s="44">
        <f t="shared" si="62"/>
        <v>0</v>
      </c>
      <c r="Z95" s="44">
        <f t="shared" si="63"/>
        <v>0</v>
      </c>
      <c r="AA95" s="50">
        <f t="shared" si="64"/>
        <v>0</v>
      </c>
      <c r="AB95" s="51">
        <f t="shared" si="65"/>
        <v>0</v>
      </c>
      <c r="AC95" s="44">
        <f t="shared" si="66"/>
        <v>0</v>
      </c>
      <c r="AD95" s="44">
        <f t="shared" si="67"/>
        <v>0</v>
      </c>
      <c r="AE95" s="44">
        <f t="shared" si="68"/>
        <v>0</v>
      </c>
      <c r="AF95" s="52" t="e">
        <f>HLOOKUP(I95,ElecAvoidedCostsWOCC!$A$5:$Q$50,G95+1,FALSE)</f>
        <v>#N/A</v>
      </c>
      <c r="AG95" s="44" t="e">
        <f t="shared" si="69"/>
        <v>#N/A</v>
      </c>
      <c r="AH95" s="52" t="e">
        <f>HLOOKUP(I95,ElecAvoidedCostsWOCC!$A$5:$Q$50,T95+1,FALSE)</f>
        <v>#N/A</v>
      </c>
      <c r="AI95" s="44" t="e">
        <f t="shared" si="70"/>
        <v>#N/A</v>
      </c>
      <c r="AJ95" s="44" t="e">
        <f t="shared" si="71"/>
        <v>#N/A</v>
      </c>
      <c r="AK95" s="44" t="e">
        <f>HLOOKUP(I95,ElecAvoidedCostsWOCC!$A$5:$Q$50,G95+1,FALSE)*J95*L95</f>
        <v>#N/A</v>
      </c>
      <c r="AL95" s="44" t="e">
        <f t="shared" si="72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3"/>
        <v>0</v>
      </c>
      <c r="AO95" s="47">
        <f t="shared" si="74"/>
        <v>0</v>
      </c>
      <c r="AP95" s="47" t="e">
        <f t="shared" si="75"/>
        <v>#DIV/0!</v>
      </c>
    </row>
    <row r="96" spans="2:42">
      <c r="B96" s="97" t="s">
        <v>15</v>
      </c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7"/>
        <v>0</v>
      </c>
      <c r="U96" s="47">
        <f t="shared" si="58"/>
        <v>0</v>
      </c>
      <c r="V96" s="48">
        <f t="shared" si="59"/>
        <v>0</v>
      </c>
      <c r="W96" s="49">
        <f t="shared" si="60"/>
        <v>0</v>
      </c>
      <c r="X96" s="44">
        <f t="shared" si="61"/>
        <v>0</v>
      </c>
      <c r="Y96" s="44">
        <f t="shared" si="62"/>
        <v>0</v>
      </c>
      <c r="Z96" s="44">
        <f t="shared" si="63"/>
        <v>0</v>
      </c>
      <c r="AA96" s="50">
        <f t="shared" si="64"/>
        <v>0</v>
      </c>
      <c r="AB96" s="51">
        <f t="shared" si="65"/>
        <v>0</v>
      </c>
      <c r="AC96" s="44">
        <f t="shared" si="66"/>
        <v>0</v>
      </c>
      <c r="AD96" s="44">
        <f t="shared" si="67"/>
        <v>0</v>
      </c>
      <c r="AE96" s="44">
        <f t="shared" si="68"/>
        <v>0</v>
      </c>
      <c r="AF96" s="52" t="e">
        <f>HLOOKUP(I96,ElecAvoidedCostsWOCC!$A$5:$Q$50,G96+1,FALSE)</f>
        <v>#N/A</v>
      </c>
      <c r="AG96" s="44" t="e">
        <f t="shared" si="69"/>
        <v>#N/A</v>
      </c>
      <c r="AH96" s="52" t="e">
        <f>HLOOKUP(I96,ElecAvoidedCostsWOCC!$A$5:$Q$50,T96+1,FALSE)</f>
        <v>#N/A</v>
      </c>
      <c r="AI96" s="44" t="e">
        <f t="shared" si="70"/>
        <v>#N/A</v>
      </c>
      <c r="AJ96" s="44" t="e">
        <f t="shared" si="71"/>
        <v>#N/A</v>
      </c>
      <c r="AK96" s="44" t="e">
        <f>HLOOKUP(I96,ElecAvoidedCostsWOCC!$A$5:$Q$50,G96+1,FALSE)*J96*L96</f>
        <v>#N/A</v>
      </c>
      <c r="AL96" s="44" t="e">
        <f t="shared" si="72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3"/>
        <v>0</v>
      </c>
      <c r="AO96" s="47">
        <f t="shared" si="74"/>
        <v>0</v>
      </c>
      <c r="AP96" s="47" t="e">
        <f t="shared" si="75"/>
        <v>#DIV/0!</v>
      </c>
    </row>
    <row r="97" spans="2:42">
      <c r="B97" s="97" t="s">
        <v>15</v>
      </c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7"/>
        <v>0</v>
      </c>
      <c r="U97" s="47">
        <f t="shared" si="58"/>
        <v>0</v>
      </c>
      <c r="V97" s="48">
        <f t="shared" si="59"/>
        <v>0</v>
      </c>
      <c r="W97" s="49">
        <f t="shared" si="60"/>
        <v>0</v>
      </c>
      <c r="X97" s="44">
        <f t="shared" si="61"/>
        <v>0</v>
      </c>
      <c r="Y97" s="44">
        <f t="shared" si="62"/>
        <v>0</v>
      </c>
      <c r="Z97" s="44">
        <f t="shared" si="63"/>
        <v>0</v>
      </c>
      <c r="AA97" s="50">
        <f t="shared" si="64"/>
        <v>0</v>
      </c>
      <c r="AB97" s="51">
        <f t="shared" si="65"/>
        <v>0</v>
      </c>
      <c r="AC97" s="44">
        <f t="shared" si="66"/>
        <v>0</v>
      </c>
      <c r="AD97" s="44">
        <f t="shared" si="67"/>
        <v>0</v>
      </c>
      <c r="AE97" s="44">
        <f t="shared" si="68"/>
        <v>0</v>
      </c>
      <c r="AF97" s="52" t="e">
        <f>HLOOKUP(I97,ElecAvoidedCostsWOCC!$A$5:$Q$50,G97+1,FALSE)</f>
        <v>#N/A</v>
      </c>
      <c r="AG97" s="44" t="e">
        <f t="shared" si="69"/>
        <v>#N/A</v>
      </c>
      <c r="AH97" s="52" t="e">
        <f>HLOOKUP(I97,ElecAvoidedCostsWOCC!$A$5:$Q$50,T97+1,FALSE)</f>
        <v>#N/A</v>
      </c>
      <c r="AI97" s="44" t="e">
        <f t="shared" si="70"/>
        <v>#N/A</v>
      </c>
      <c r="AJ97" s="44" t="e">
        <f t="shared" si="71"/>
        <v>#N/A</v>
      </c>
      <c r="AK97" s="44" t="e">
        <f>HLOOKUP(I97,ElecAvoidedCostsWOCC!$A$5:$Q$50,G97+1,FALSE)*J97*L97</f>
        <v>#N/A</v>
      </c>
      <c r="AL97" s="44" t="e">
        <f t="shared" si="7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3"/>
        <v>0</v>
      </c>
      <c r="AO97" s="47">
        <f t="shared" si="74"/>
        <v>0</v>
      </c>
      <c r="AP97" s="47" t="e">
        <f t="shared" si="75"/>
        <v>#DIV/0!</v>
      </c>
    </row>
    <row r="98" spans="2:42">
      <c r="B98" s="97" t="s">
        <v>15</v>
      </c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7"/>
        <v>0</v>
      </c>
      <c r="U98" s="47">
        <f t="shared" si="58"/>
        <v>0</v>
      </c>
      <c r="V98" s="48">
        <f t="shared" si="59"/>
        <v>0</v>
      </c>
      <c r="W98" s="49">
        <f t="shared" si="60"/>
        <v>0</v>
      </c>
      <c r="X98" s="44">
        <f t="shared" si="61"/>
        <v>0</v>
      </c>
      <c r="Y98" s="44">
        <f t="shared" si="62"/>
        <v>0</v>
      </c>
      <c r="Z98" s="44">
        <f t="shared" si="63"/>
        <v>0</v>
      </c>
      <c r="AA98" s="50">
        <f t="shared" si="64"/>
        <v>0</v>
      </c>
      <c r="AB98" s="51">
        <f t="shared" si="65"/>
        <v>0</v>
      </c>
      <c r="AC98" s="44">
        <f t="shared" si="66"/>
        <v>0</v>
      </c>
      <c r="AD98" s="44">
        <f t="shared" si="67"/>
        <v>0</v>
      </c>
      <c r="AE98" s="44">
        <f t="shared" si="68"/>
        <v>0</v>
      </c>
      <c r="AF98" s="52" t="e">
        <f>HLOOKUP(I98,ElecAvoidedCostsWOCC!$A$5:$Q$50,G98+1,FALSE)</f>
        <v>#N/A</v>
      </c>
      <c r="AG98" s="44" t="e">
        <f t="shared" si="69"/>
        <v>#N/A</v>
      </c>
      <c r="AH98" s="52" t="e">
        <f>HLOOKUP(I98,ElecAvoidedCostsWOCC!$A$5:$Q$50,T98+1,FALSE)</f>
        <v>#N/A</v>
      </c>
      <c r="AI98" s="44" t="e">
        <f t="shared" si="70"/>
        <v>#N/A</v>
      </c>
      <c r="AJ98" s="44" t="e">
        <f t="shared" si="71"/>
        <v>#N/A</v>
      </c>
      <c r="AK98" s="44" t="e">
        <f>HLOOKUP(I98,ElecAvoidedCostsWOCC!$A$5:$Q$50,G98+1,FALSE)*J98*L98</f>
        <v>#N/A</v>
      </c>
      <c r="AL98" s="44" t="e">
        <f t="shared" si="7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3"/>
        <v>0</v>
      </c>
      <c r="AO98" s="47">
        <f t="shared" si="74"/>
        <v>0</v>
      </c>
      <c r="AP98" s="47" t="e">
        <f t="shared" si="75"/>
        <v>#DIV/0!</v>
      </c>
    </row>
    <row r="99" spans="2:42">
      <c r="B99" s="97" t="s">
        <v>15</v>
      </c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7"/>
        <v>0</v>
      </c>
      <c r="U99" s="47">
        <f t="shared" si="58"/>
        <v>0</v>
      </c>
      <c r="V99" s="48">
        <f t="shared" si="59"/>
        <v>0</v>
      </c>
      <c r="W99" s="49">
        <f t="shared" si="60"/>
        <v>0</v>
      </c>
      <c r="X99" s="44">
        <f t="shared" si="61"/>
        <v>0</v>
      </c>
      <c r="Y99" s="44">
        <f t="shared" si="62"/>
        <v>0</v>
      </c>
      <c r="Z99" s="44">
        <f t="shared" si="63"/>
        <v>0</v>
      </c>
      <c r="AA99" s="50">
        <f t="shared" si="64"/>
        <v>0</v>
      </c>
      <c r="AB99" s="51">
        <f t="shared" si="65"/>
        <v>0</v>
      </c>
      <c r="AC99" s="44">
        <f t="shared" si="66"/>
        <v>0</v>
      </c>
      <c r="AD99" s="44">
        <f t="shared" si="67"/>
        <v>0</v>
      </c>
      <c r="AE99" s="44">
        <f t="shared" si="68"/>
        <v>0</v>
      </c>
      <c r="AF99" s="52" t="e">
        <f>HLOOKUP(I99,ElecAvoidedCostsWOCC!$A$5:$Q$50,G99+1,FALSE)</f>
        <v>#N/A</v>
      </c>
      <c r="AG99" s="44" t="e">
        <f t="shared" si="69"/>
        <v>#N/A</v>
      </c>
      <c r="AH99" s="52" t="e">
        <f>HLOOKUP(I99,ElecAvoidedCostsWOCC!$A$5:$Q$50,T99+1,FALSE)</f>
        <v>#N/A</v>
      </c>
      <c r="AI99" s="44" t="e">
        <f t="shared" si="70"/>
        <v>#N/A</v>
      </c>
      <c r="AJ99" s="44" t="e">
        <f t="shared" si="71"/>
        <v>#N/A</v>
      </c>
      <c r="AK99" s="44" t="e">
        <f>HLOOKUP(I99,ElecAvoidedCostsWOCC!$A$5:$Q$50,G99+1,FALSE)*J99*L99</f>
        <v>#N/A</v>
      </c>
      <c r="AL99" s="44" t="e">
        <f t="shared" si="72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3"/>
        <v>0</v>
      </c>
      <c r="AO99" s="47">
        <f t="shared" si="74"/>
        <v>0</v>
      </c>
      <c r="AP99" s="47" t="e">
        <f t="shared" si="75"/>
        <v>#DIV/0!</v>
      </c>
    </row>
    <row r="100" spans="2:42">
      <c r="B100" s="97" t="s">
        <v>15</v>
      </c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7"/>
        <v>0</v>
      </c>
      <c r="U100" s="47">
        <f t="shared" si="58"/>
        <v>0</v>
      </c>
      <c r="V100" s="48">
        <f t="shared" si="59"/>
        <v>0</v>
      </c>
      <c r="W100" s="49">
        <f t="shared" si="60"/>
        <v>0</v>
      </c>
      <c r="X100" s="44">
        <f t="shared" si="61"/>
        <v>0</v>
      </c>
      <c r="Y100" s="44">
        <f t="shared" si="62"/>
        <v>0</v>
      </c>
      <c r="Z100" s="44">
        <f t="shared" si="63"/>
        <v>0</v>
      </c>
      <c r="AA100" s="50">
        <f t="shared" si="64"/>
        <v>0</v>
      </c>
      <c r="AB100" s="51">
        <f t="shared" si="65"/>
        <v>0</v>
      </c>
      <c r="AC100" s="44">
        <f t="shared" si="66"/>
        <v>0</v>
      </c>
      <c r="AD100" s="44">
        <f t="shared" si="67"/>
        <v>0</v>
      </c>
      <c r="AE100" s="44">
        <f t="shared" si="68"/>
        <v>0</v>
      </c>
      <c r="AF100" s="52" t="e">
        <f>HLOOKUP(I100,ElecAvoidedCostsWOCC!$A$5:$Q$50,G100+1,FALSE)</f>
        <v>#N/A</v>
      </c>
      <c r="AG100" s="44" t="e">
        <f t="shared" si="69"/>
        <v>#N/A</v>
      </c>
      <c r="AH100" s="52" t="e">
        <f>HLOOKUP(I100,ElecAvoidedCostsWOCC!$A$5:$Q$50,T100+1,FALSE)</f>
        <v>#N/A</v>
      </c>
      <c r="AI100" s="44" t="e">
        <f t="shared" si="70"/>
        <v>#N/A</v>
      </c>
      <c r="AJ100" s="44" t="e">
        <f t="shared" si="71"/>
        <v>#N/A</v>
      </c>
      <c r="AK100" s="44" t="e">
        <f>HLOOKUP(I100,ElecAvoidedCostsWOCC!$A$5:$Q$50,G100+1,FALSE)*J100*L100</f>
        <v>#N/A</v>
      </c>
      <c r="AL100" s="44" t="e">
        <f t="shared" si="7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3"/>
        <v>0</v>
      </c>
      <c r="AO100" s="47">
        <f t="shared" si="74"/>
        <v>0</v>
      </c>
      <c r="AP100" s="47" t="e">
        <f t="shared" si="75"/>
        <v>#DIV/0!</v>
      </c>
    </row>
    <row r="101" spans="2:42">
      <c r="B101" s="97" t="s">
        <v>15</v>
      </c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7"/>
        <v>0</v>
      </c>
      <c r="U101" s="47">
        <f t="shared" si="58"/>
        <v>0</v>
      </c>
      <c r="V101" s="48">
        <f t="shared" si="59"/>
        <v>0</v>
      </c>
      <c r="W101" s="49">
        <f t="shared" si="60"/>
        <v>0</v>
      </c>
      <c r="X101" s="44">
        <f t="shared" si="61"/>
        <v>0</v>
      </c>
      <c r="Y101" s="44">
        <f t="shared" si="62"/>
        <v>0</v>
      </c>
      <c r="Z101" s="44">
        <f t="shared" si="63"/>
        <v>0</v>
      </c>
      <c r="AA101" s="50">
        <f t="shared" si="64"/>
        <v>0</v>
      </c>
      <c r="AB101" s="51">
        <f t="shared" si="65"/>
        <v>0</v>
      </c>
      <c r="AC101" s="44">
        <f t="shared" si="66"/>
        <v>0</v>
      </c>
      <c r="AD101" s="44">
        <f t="shared" si="67"/>
        <v>0</v>
      </c>
      <c r="AE101" s="44">
        <f t="shared" si="68"/>
        <v>0</v>
      </c>
      <c r="AF101" s="52" t="e">
        <f>HLOOKUP(I101,ElecAvoidedCostsWOCC!$A$5:$Q$50,G101+1,FALSE)</f>
        <v>#N/A</v>
      </c>
      <c r="AG101" s="44" t="e">
        <f t="shared" si="69"/>
        <v>#N/A</v>
      </c>
      <c r="AH101" s="52" t="e">
        <f>HLOOKUP(I101,ElecAvoidedCostsWOCC!$A$5:$Q$50,T101+1,FALSE)</f>
        <v>#N/A</v>
      </c>
      <c r="AI101" s="44" t="e">
        <f t="shared" si="70"/>
        <v>#N/A</v>
      </c>
      <c r="AJ101" s="44" t="e">
        <f t="shared" si="71"/>
        <v>#N/A</v>
      </c>
      <c r="AK101" s="44" t="e">
        <f>HLOOKUP(I101,ElecAvoidedCostsWOCC!$A$5:$Q$50,G101+1,FALSE)*J101*L101</f>
        <v>#N/A</v>
      </c>
      <c r="AL101" s="44" t="e">
        <f t="shared" si="7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3"/>
        <v>0</v>
      </c>
      <c r="AO101" s="47">
        <f t="shared" si="74"/>
        <v>0</v>
      </c>
      <c r="AP101" s="47" t="e">
        <f t="shared" si="75"/>
        <v>#DIV/0!</v>
      </c>
    </row>
    <row r="102" spans="2:42">
      <c r="B102" s="97" t="s">
        <v>15</v>
      </c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57"/>
        <v>0</v>
      </c>
      <c r="U102" s="47">
        <f t="shared" si="58"/>
        <v>0</v>
      </c>
      <c r="V102" s="48">
        <f t="shared" si="59"/>
        <v>0</v>
      </c>
      <c r="W102" s="49">
        <f t="shared" si="60"/>
        <v>0</v>
      </c>
      <c r="X102" s="44">
        <f t="shared" si="61"/>
        <v>0</v>
      </c>
      <c r="Y102" s="44">
        <f t="shared" si="62"/>
        <v>0</v>
      </c>
      <c r="Z102" s="44">
        <f t="shared" si="63"/>
        <v>0</v>
      </c>
      <c r="AA102" s="50">
        <f t="shared" si="64"/>
        <v>0</v>
      </c>
      <c r="AB102" s="51">
        <f t="shared" si="65"/>
        <v>0</v>
      </c>
      <c r="AC102" s="44">
        <f t="shared" si="66"/>
        <v>0</v>
      </c>
      <c r="AD102" s="44">
        <f t="shared" si="67"/>
        <v>0</v>
      </c>
      <c r="AE102" s="44">
        <f t="shared" si="68"/>
        <v>0</v>
      </c>
      <c r="AF102" s="52" t="e">
        <f>HLOOKUP(I102,ElecAvoidedCostsWOCC!$A$5:$Q$50,G102+1,FALSE)</f>
        <v>#N/A</v>
      </c>
      <c r="AG102" s="44" t="e">
        <f t="shared" si="69"/>
        <v>#N/A</v>
      </c>
      <c r="AH102" s="52" t="e">
        <f>HLOOKUP(I102,ElecAvoidedCostsWOCC!$A$5:$Q$50,T102+1,FALSE)</f>
        <v>#N/A</v>
      </c>
      <c r="AI102" s="44" t="e">
        <f t="shared" si="70"/>
        <v>#N/A</v>
      </c>
      <c r="AJ102" s="44" t="e">
        <f t="shared" si="71"/>
        <v>#N/A</v>
      </c>
      <c r="AK102" s="44" t="e">
        <f>HLOOKUP(I102,ElecAvoidedCostsWOCC!$A$5:$Q$50,G102+1,FALSE)*J102*L102</f>
        <v>#N/A</v>
      </c>
      <c r="AL102" s="44" t="e">
        <f t="shared" si="7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73"/>
        <v>0</v>
      </c>
      <c r="AO102" s="47">
        <f t="shared" si="74"/>
        <v>0</v>
      </c>
      <c r="AP102" s="47" t="e">
        <f t="shared" si="75"/>
        <v>#DIV/0!</v>
      </c>
    </row>
    <row r="103" spans="2:42">
      <c r="B103" s="97" t="s">
        <v>15</v>
      </c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ref="T103:T166" si="76">G103+H103</f>
        <v>0</v>
      </c>
      <c r="U103" s="47">
        <f t="shared" ref="U103:U166" si="77">(O103/$A$10)*T103</f>
        <v>0</v>
      </c>
      <c r="V103" s="48">
        <f t="shared" ref="V103:V166" si="78">N103-M103</f>
        <v>0</v>
      </c>
      <c r="W103" s="49">
        <f t="shared" ref="W103:W166" si="79">(O103/A$10)</f>
        <v>0</v>
      </c>
      <c r="X103" s="44">
        <f t="shared" ref="X103:X166" si="80">W103*A$8</f>
        <v>0</v>
      </c>
      <c r="Y103" s="44">
        <f t="shared" ref="Y103:Y166" si="81">Q103-P103</f>
        <v>0</v>
      </c>
      <c r="Z103" s="44">
        <f t="shared" ref="Z103:Z166" si="82">X103+(A$6*W103)</f>
        <v>0</v>
      </c>
      <c r="AA103" s="50">
        <f t="shared" ref="AA103:AA166" si="83">Q103+X103</f>
        <v>0</v>
      </c>
      <c r="AB103" s="51">
        <f t="shared" ref="AB103:AB166" si="84">Z103/(1+ElecDiscountRate)^1</f>
        <v>0</v>
      </c>
      <c r="AC103" s="44">
        <f t="shared" ref="AC103:AC166" si="85">AA103/(1+ElecDiscountRate)^1</f>
        <v>0</v>
      </c>
      <c r="AD103" s="44">
        <f t="shared" ref="AD103:AD166" si="86">-PV(ElecDiscountRate,T103,R103)*J103</f>
        <v>0</v>
      </c>
      <c r="AE103" s="44">
        <f t="shared" ref="AE103:AE166" si="87">-PV(ElecDiscountRate,T103,S103)*J103</f>
        <v>0</v>
      </c>
      <c r="AF103" s="52" t="e">
        <f>HLOOKUP(I103,ElecAvoidedCostsWOCC!$A$5:$Q$50,G103+1,FALSE)</f>
        <v>#N/A</v>
      </c>
      <c r="AG103" s="44" t="e">
        <f t="shared" ref="AG103:AG166" si="88">AF103*J103*K103</f>
        <v>#N/A</v>
      </c>
      <c r="AH103" s="52" t="e">
        <f>HLOOKUP(I103,ElecAvoidedCostsWOCC!$A$5:$Q$50,T103+1,FALSE)</f>
        <v>#N/A</v>
      </c>
      <c r="AI103" s="44" t="e">
        <f t="shared" ref="AI103:AI166" si="89">AH103*J103*L103</f>
        <v>#N/A</v>
      </c>
      <c r="AJ103" s="44" t="e">
        <f t="shared" ref="AJ103:AJ166" si="90">AG103+AI103</f>
        <v>#N/A</v>
      </c>
      <c r="AK103" s="44" t="e">
        <f>HLOOKUP(I103,ElecAvoidedCostsWOCC!$A$5:$Q$50,G103+1,FALSE)*J103*L103</f>
        <v>#N/A</v>
      </c>
      <c r="AL103" s="44" t="e">
        <f t="shared" ref="AL103:AL166" si="91">AG103+AI103-AK103</f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ref="AN103:AN166" si="92">AM103*1.1+AD103+AE103</f>
        <v>0</v>
      </c>
      <c r="AO103" s="47">
        <f t="shared" ref="AO103:AO166" si="93">IFERROR(AM103/AB103,0)</f>
        <v>0</v>
      </c>
      <c r="AP103" s="47" t="e">
        <f t="shared" ref="AP103:AP166" si="94">AN103/AC103</f>
        <v>#DIV/0!</v>
      </c>
    </row>
    <row r="104" spans="2:42">
      <c r="B104" s="97" t="s">
        <v>15</v>
      </c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76"/>
        <v>0</v>
      </c>
      <c r="U104" s="47">
        <f t="shared" si="77"/>
        <v>0</v>
      </c>
      <c r="V104" s="48">
        <f t="shared" si="78"/>
        <v>0</v>
      </c>
      <c r="W104" s="49">
        <f t="shared" si="79"/>
        <v>0</v>
      </c>
      <c r="X104" s="44">
        <f t="shared" si="80"/>
        <v>0</v>
      </c>
      <c r="Y104" s="44">
        <f t="shared" si="81"/>
        <v>0</v>
      </c>
      <c r="Z104" s="44">
        <f t="shared" si="82"/>
        <v>0</v>
      </c>
      <c r="AA104" s="50">
        <f t="shared" si="83"/>
        <v>0</v>
      </c>
      <c r="AB104" s="51">
        <f t="shared" si="84"/>
        <v>0</v>
      </c>
      <c r="AC104" s="44">
        <f t="shared" si="85"/>
        <v>0</v>
      </c>
      <c r="AD104" s="44">
        <f t="shared" si="86"/>
        <v>0</v>
      </c>
      <c r="AE104" s="44">
        <f t="shared" si="87"/>
        <v>0</v>
      </c>
      <c r="AF104" s="52" t="e">
        <f>HLOOKUP(I104,ElecAvoidedCostsWOCC!$A$5:$Q$50,G104+1,FALSE)</f>
        <v>#N/A</v>
      </c>
      <c r="AG104" s="44" t="e">
        <f t="shared" si="88"/>
        <v>#N/A</v>
      </c>
      <c r="AH104" s="52" t="e">
        <f>HLOOKUP(I104,ElecAvoidedCostsWOCC!$A$5:$Q$50,T104+1,FALSE)</f>
        <v>#N/A</v>
      </c>
      <c r="AI104" s="44" t="e">
        <f t="shared" si="89"/>
        <v>#N/A</v>
      </c>
      <c r="AJ104" s="44" t="e">
        <f t="shared" si="90"/>
        <v>#N/A</v>
      </c>
      <c r="AK104" s="44" t="e">
        <f>HLOOKUP(I104,ElecAvoidedCostsWOCC!$A$5:$Q$50,G104+1,FALSE)*J104*L104</f>
        <v>#N/A</v>
      </c>
      <c r="AL104" s="44" t="e">
        <f t="shared" si="91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92"/>
        <v>0</v>
      </c>
      <c r="AO104" s="47">
        <f t="shared" si="93"/>
        <v>0</v>
      </c>
      <c r="AP104" s="47" t="e">
        <f t="shared" si="94"/>
        <v>#DIV/0!</v>
      </c>
    </row>
    <row r="105" spans="2:42">
      <c r="B105" s="97" t="s">
        <v>15</v>
      </c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76"/>
        <v>0</v>
      </c>
      <c r="U105" s="47">
        <f t="shared" si="77"/>
        <v>0</v>
      </c>
      <c r="V105" s="48">
        <f t="shared" si="78"/>
        <v>0</v>
      </c>
      <c r="W105" s="49">
        <f t="shared" si="79"/>
        <v>0</v>
      </c>
      <c r="X105" s="44">
        <f t="shared" si="80"/>
        <v>0</v>
      </c>
      <c r="Y105" s="44">
        <f t="shared" si="81"/>
        <v>0</v>
      </c>
      <c r="Z105" s="44">
        <f t="shared" si="82"/>
        <v>0</v>
      </c>
      <c r="AA105" s="50">
        <f t="shared" si="83"/>
        <v>0</v>
      </c>
      <c r="AB105" s="51">
        <f t="shared" si="84"/>
        <v>0</v>
      </c>
      <c r="AC105" s="44">
        <f t="shared" si="85"/>
        <v>0</v>
      </c>
      <c r="AD105" s="44">
        <f t="shared" si="86"/>
        <v>0</v>
      </c>
      <c r="AE105" s="44">
        <f t="shared" si="87"/>
        <v>0</v>
      </c>
      <c r="AF105" s="52" t="e">
        <f>HLOOKUP(I105,ElecAvoidedCostsWOCC!$A$5:$Q$50,G105+1,FALSE)</f>
        <v>#N/A</v>
      </c>
      <c r="AG105" s="44" t="e">
        <f t="shared" si="88"/>
        <v>#N/A</v>
      </c>
      <c r="AH105" s="52" t="e">
        <f>HLOOKUP(I105,ElecAvoidedCostsWOCC!$A$5:$Q$50,T105+1,FALSE)</f>
        <v>#N/A</v>
      </c>
      <c r="AI105" s="44" t="e">
        <f t="shared" si="89"/>
        <v>#N/A</v>
      </c>
      <c r="AJ105" s="44" t="e">
        <f t="shared" si="90"/>
        <v>#N/A</v>
      </c>
      <c r="AK105" s="44" t="e">
        <f>HLOOKUP(I105,ElecAvoidedCostsWOCC!$A$5:$Q$50,G105+1,FALSE)*J105*L105</f>
        <v>#N/A</v>
      </c>
      <c r="AL105" s="44" t="e">
        <f t="shared" si="91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92"/>
        <v>0</v>
      </c>
      <c r="AO105" s="47">
        <f t="shared" si="93"/>
        <v>0</v>
      </c>
      <c r="AP105" s="47" t="e">
        <f t="shared" si="94"/>
        <v>#DIV/0!</v>
      </c>
    </row>
    <row r="106" spans="2:42">
      <c r="B106" s="97" t="s">
        <v>15</v>
      </c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76"/>
        <v>0</v>
      </c>
      <c r="U106" s="47">
        <f t="shared" si="77"/>
        <v>0</v>
      </c>
      <c r="V106" s="48">
        <f t="shared" si="78"/>
        <v>0</v>
      </c>
      <c r="W106" s="49">
        <f t="shared" si="79"/>
        <v>0</v>
      </c>
      <c r="X106" s="44">
        <f t="shared" si="80"/>
        <v>0</v>
      </c>
      <c r="Y106" s="44">
        <f t="shared" si="81"/>
        <v>0</v>
      </c>
      <c r="Z106" s="44">
        <f t="shared" si="82"/>
        <v>0</v>
      </c>
      <c r="AA106" s="50">
        <f t="shared" si="83"/>
        <v>0</v>
      </c>
      <c r="AB106" s="51">
        <f t="shared" si="84"/>
        <v>0</v>
      </c>
      <c r="AC106" s="44">
        <f t="shared" si="85"/>
        <v>0</v>
      </c>
      <c r="AD106" s="44">
        <f t="shared" si="86"/>
        <v>0</v>
      </c>
      <c r="AE106" s="44">
        <f t="shared" si="87"/>
        <v>0</v>
      </c>
      <c r="AF106" s="52" t="e">
        <f>HLOOKUP(I106,ElecAvoidedCostsWOCC!$A$5:$Q$50,G106+1,FALSE)</f>
        <v>#N/A</v>
      </c>
      <c r="AG106" s="44" t="e">
        <f t="shared" si="88"/>
        <v>#N/A</v>
      </c>
      <c r="AH106" s="52" t="e">
        <f>HLOOKUP(I106,ElecAvoidedCostsWOCC!$A$5:$Q$50,T106+1,FALSE)</f>
        <v>#N/A</v>
      </c>
      <c r="AI106" s="44" t="e">
        <f t="shared" si="89"/>
        <v>#N/A</v>
      </c>
      <c r="AJ106" s="44" t="e">
        <f t="shared" si="90"/>
        <v>#N/A</v>
      </c>
      <c r="AK106" s="44" t="e">
        <f>HLOOKUP(I106,ElecAvoidedCostsWOCC!$A$5:$Q$50,G106+1,FALSE)*J106*L106</f>
        <v>#N/A</v>
      </c>
      <c r="AL106" s="44" t="e">
        <f t="shared" si="91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92"/>
        <v>0</v>
      </c>
      <c r="AO106" s="47">
        <f t="shared" si="93"/>
        <v>0</v>
      </c>
      <c r="AP106" s="47" t="e">
        <f t="shared" si="94"/>
        <v>#DIV/0!</v>
      </c>
    </row>
    <row r="107" spans="2:42">
      <c r="B107" s="97" t="s">
        <v>15</v>
      </c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76"/>
        <v>0</v>
      </c>
      <c r="U107" s="47">
        <f t="shared" si="77"/>
        <v>0</v>
      </c>
      <c r="V107" s="48">
        <f t="shared" si="78"/>
        <v>0</v>
      </c>
      <c r="W107" s="49">
        <f t="shared" si="79"/>
        <v>0</v>
      </c>
      <c r="X107" s="44">
        <f t="shared" si="80"/>
        <v>0</v>
      </c>
      <c r="Y107" s="44">
        <f t="shared" si="81"/>
        <v>0</v>
      </c>
      <c r="Z107" s="44">
        <f t="shared" si="82"/>
        <v>0</v>
      </c>
      <c r="AA107" s="50">
        <f t="shared" si="83"/>
        <v>0</v>
      </c>
      <c r="AB107" s="51">
        <f t="shared" si="84"/>
        <v>0</v>
      </c>
      <c r="AC107" s="44">
        <f t="shared" si="85"/>
        <v>0</v>
      </c>
      <c r="AD107" s="44">
        <f t="shared" si="86"/>
        <v>0</v>
      </c>
      <c r="AE107" s="44">
        <f t="shared" si="87"/>
        <v>0</v>
      </c>
      <c r="AF107" s="52" t="e">
        <f>HLOOKUP(I107,ElecAvoidedCostsWOCC!$A$5:$Q$50,G107+1,FALSE)</f>
        <v>#N/A</v>
      </c>
      <c r="AG107" s="44" t="e">
        <f t="shared" si="88"/>
        <v>#N/A</v>
      </c>
      <c r="AH107" s="52" t="e">
        <f>HLOOKUP(I107,ElecAvoidedCostsWOCC!$A$5:$Q$50,T107+1,FALSE)</f>
        <v>#N/A</v>
      </c>
      <c r="AI107" s="44" t="e">
        <f t="shared" si="89"/>
        <v>#N/A</v>
      </c>
      <c r="AJ107" s="44" t="e">
        <f t="shared" si="90"/>
        <v>#N/A</v>
      </c>
      <c r="AK107" s="44" t="e">
        <f>HLOOKUP(I107,ElecAvoidedCostsWOCC!$A$5:$Q$50,G107+1,FALSE)*J107*L107</f>
        <v>#N/A</v>
      </c>
      <c r="AL107" s="44" t="e">
        <f t="shared" si="91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92"/>
        <v>0</v>
      </c>
      <c r="AO107" s="47">
        <f t="shared" si="93"/>
        <v>0</v>
      </c>
      <c r="AP107" s="47" t="e">
        <f t="shared" si="94"/>
        <v>#DIV/0!</v>
      </c>
    </row>
    <row r="108" spans="2:42">
      <c r="B108" s="97" t="s">
        <v>15</v>
      </c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76"/>
        <v>0</v>
      </c>
      <c r="U108" s="47">
        <f t="shared" si="77"/>
        <v>0</v>
      </c>
      <c r="V108" s="48">
        <f t="shared" si="78"/>
        <v>0</v>
      </c>
      <c r="W108" s="49">
        <f t="shared" si="79"/>
        <v>0</v>
      </c>
      <c r="X108" s="44">
        <f t="shared" si="80"/>
        <v>0</v>
      </c>
      <c r="Y108" s="44">
        <f t="shared" si="81"/>
        <v>0</v>
      </c>
      <c r="Z108" s="44">
        <f t="shared" si="82"/>
        <v>0</v>
      </c>
      <c r="AA108" s="50">
        <f t="shared" si="83"/>
        <v>0</v>
      </c>
      <c r="AB108" s="51">
        <f t="shared" si="84"/>
        <v>0</v>
      </c>
      <c r="AC108" s="44">
        <f t="shared" si="85"/>
        <v>0</v>
      </c>
      <c r="AD108" s="44">
        <f t="shared" si="86"/>
        <v>0</v>
      </c>
      <c r="AE108" s="44">
        <f t="shared" si="87"/>
        <v>0</v>
      </c>
      <c r="AF108" s="52" t="e">
        <f>HLOOKUP(I108,ElecAvoidedCostsWOCC!$A$5:$Q$50,G108+1,FALSE)</f>
        <v>#N/A</v>
      </c>
      <c r="AG108" s="44" t="e">
        <f t="shared" si="88"/>
        <v>#N/A</v>
      </c>
      <c r="AH108" s="52" t="e">
        <f>HLOOKUP(I108,ElecAvoidedCostsWOCC!$A$5:$Q$50,T108+1,FALSE)</f>
        <v>#N/A</v>
      </c>
      <c r="AI108" s="44" t="e">
        <f t="shared" si="89"/>
        <v>#N/A</v>
      </c>
      <c r="AJ108" s="44" t="e">
        <f t="shared" si="90"/>
        <v>#N/A</v>
      </c>
      <c r="AK108" s="44" t="e">
        <f>HLOOKUP(I108,ElecAvoidedCostsWOCC!$A$5:$Q$50,G108+1,FALSE)*J108*L108</f>
        <v>#N/A</v>
      </c>
      <c r="AL108" s="44" t="e">
        <f t="shared" si="91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92"/>
        <v>0</v>
      </c>
      <c r="AO108" s="47">
        <f t="shared" si="93"/>
        <v>0</v>
      </c>
      <c r="AP108" s="47" t="e">
        <f t="shared" si="94"/>
        <v>#DIV/0!</v>
      </c>
    </row>
    <row r="109" spans="2:42">
      <c r="B109" s="97" t="s">
        <v>15</v>
      </c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76"/>
        <v>0</v>
      </c>
      <c r="U109" s="47">
        <f t="shared" si="77"/>
        <v>0</v>
      </c>
      <c r="V109" s="48">
        <f t="shared" si="78"/>
        <v>0</v>
      </c>
      <c r="W109" s="49">
        <f t="shared" si="79"/>
        <v>0</v>
      </c>
      <c r="X109" s="44">
        <f t="shared" si="80"/>
        <v>0</v>
      </c>
      <c r="Y109" s="44">
        <f t="shared" si="81"/>
        <v>0</v>
      </c>
      <c r="Z109" s="44">
        <f t="shared" si="82"/>
        <v>0</v>
      </c>
      <c r="AA109" s="50">
        <f t="shared" si="83"/>
        <v>0</v>
      </c>
      <c r="AB109" s="51">
        <f t="shared" si="84"/>
        <v>0</v>
      </c>
      <c r="AC109" s="44">
        <f t="shared" si="85"/>
        <v>0</v>
      </c>
      <c r="AD109" s="44">
        <f t="shared" si="86"/>
        <v>0</v>
      </c>
      <c r="AE109" s="44">
        <f t="shared" si="87"/>
        <v>0</v>
      </c>
      <c r="AF109" s="52" t="e">
        <f>HLOOKUP(I109,ElecAvoidedCostsWOCC!$A$5:$Q$50,G109+1,FALSE)</f>
        <v>#N/A</v>
      </c>
      <c r="AG109" s="44" t="e">
        <f t="shared" si="88"/>
        <v>#N/A</v>
      </c>
      <c r="AH109" s="52" t="e">
        <f>HLOOKUP(I109,ElecAvoidedCostsWOCC!$A$5:$Q$50,T109+1,FALSE)</f>
        <v>#N/A</v>
      </c>
      <c r="AI109" s="44" t="e">
        <f t="shared" si="89"/>
        <v>#N/A</v>
      </c>
      <c r="AJ109" s="44" t="e">
        <f t="shared" si="90"/>
        <v>#N/A</v>
      </c>
      <c r="AK109" s="44" t="e">
        <f>HLOOKUP(I109,ElecAvoidedCostsWOCC!$A$5:$Q$50,G109+1,FALSE)*J109*L109</f>
        <v>#N/A</v>
      </c>
      <c r="AL109" s="44" t="e">
        <f t="shared" si="91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92"/>
        <v>0</v>
      </c>
      <c r="AO109" s="47">
        <f t="shared" si="93"/>
        <v>0</v>
      </c>
      <c r="AP109" s="47" t="e">
        <f t="shared" si="94"/>
        <v>#DIV/0!</v>
      </c>
    </row>
    <row r="110" spans="2:42">
      <c r="B110" s="97" t="s">
        <v>15</v>
      </c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76"/>
        <v>0</v>
      </c>
      <c r="U110" s="47">
        <f t="shared" si="77"/>
        <v>0</v>
      </c>
      <c r="V110" s="48">
        <f t="shared" si="78"/>
        <v>0</v>
      </c>
      <c r="W110" s="49">
        <f t="shared" si="79"/>
        <v>0</v>
      </c>
      <c r="X110" s="44">
        <f t="shared" si="80"/>
        <v>0</v>
      </c>
      <c r="Y110" s="44">
        <f t="shared" si="81"/>
        <v>0</v>
      </c>
      <c r="Z110" s="44">
        <f t="shared" si="82"/>
        <v>0</v>
      </c>
      <c r="AA110" s="50">
        <f t="shared" si="83"/>
        <v>0</v>
      </c>
      <c r="AB110" s="51">
        <f t="shared" si="84"/>
        <v>0</v>
      </c>
      <c r="AC110" s="44">
        <f t="shared" si="85"/>
        <v>0</v>
      </c>
      <c r="AD110" s="44">
        <f t="shared" si="86"/>
        <v>0</v>
      </c>
      <c r="AE110" s="44">
        <f t="shared" si="87"/>
        <v>0</v>
      </c>
      <c r="AF110" s="52" t="e">
        <f>HLOOKUP(I110,ElecAvoidedCostsWOCC!$A$5:$Q$50,G110+1,FALSE)</f>
        <v>#N/A</v>
      </c>
      <c r="AG110" s="44" t="e">
        <f t="shared" si="88"/>
        <v>#N/A</v>
      </c>
      <c r="AH110" s="52" t="e">
        <f>HLOOKUP(I110,ElecAvoidedCostsWOCC!$A$5:$Q$50,T110+1,FALSE)</f>
        <v>#N/A</v>
      </c>
      <c r="AI110" s="44" t="e">
        <f t="shared" si="89"/>
        <v>#N/A</v>
      </c>
      <c r="AJ110" s="44" t="e">
        <f t="shared" si="90"/>
        <v>#N/A</v>
      </c>
      <c r="AK110" s="44" t="e">
        <f>HLOOKUP(I110,ElecAvoidedCostsWOCC!$A$5:$Q$50,G110+1,FALSE)*J110*L110</f>
        <v>#N/A</v>
      </c>
      <c r="AL110" s="44" t="e">
        <f t="shared" si="91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92"/>
        <v>0</v>
      </c>
      <c r="AO110" s="47">
        <f t="shared" si="93"/>
        <v>0</v>
      </c>
      <c r="AP110" s="47" t="e">
        <f t="shared" si="94"/>
        <v>#DIV/0!</v>
      </c>
    </row>
    <row r="111" spans="2:42">
      <c r="B111" s="97" t="s">
        <v>15</v>
      </c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76"/>
        <v>0</v>
      </c>
      <c r="U111" s="47">
        <f t="shared" si="77"/>
        <v>0</v>
      </c>
      <c r="V111" s="48">
        <f t="shared" si="78"/>
        <v>0</v>
      </c>
      <c r="W111" s="49">
        <f t="shared" si="79"/>
        <v>0</v>
      </c>
      <c r="X111" s="44">
        <f t="shared" si="80"/>
        <v>0</v>
      </c>
      <c r="Y111" s="44">
        <f t="shared" si="81"/>
        <v>0</v>
      </c>
      <c r="Z111" s="44">
        <f t="shared" si="82"/>
        <v>0</v>
      </c>
      <c r="AA111" s="50">
        <f t="shared" si="83"/>
        <v>0</v>
      </c>
      <c r="AB111" s="51">
        <f t="shared" si="84"/>
        <v>0</v>
      </c>
      <c r="AC111" s="44">
        <f t="shared" si="85"/>
        <v>0</v>
      </c>
      <c r="AD111" s="44">
        <f t="shared" si="86"/>
        <v>0</v>
      </c>
      <c r="AE111" s="44">
        <f t="shared" si="87"/>
        <v>0</v>
      </c>
      <c r="AF111" s="52" t="e">
        <f>HLOOKUP(I111,ElecAvoidedCostsWOCC!$A$5:$Q$50,G111+1,FALSE)</f>
        <v>#N/A</v>
      </c>
      <c r="AG111" s="44" t="e">
        <f t="shared" si="88"/>
        <v>#N/A</v>
      </c>
      <c r="AH111" s="52" t="e">
        <f>HLOOKUP(I111,ElecAvoidedCostsWOCC!$A$5:$Q$50,T111+1,FALSE)</f>
        <v>#N/A</v>
      </c>
      <c r="AI111" s="44" t="e">
        <f t="shared" si="89"/>
        <v>#N/A</v>
      </c>
      <c r="AJ111" s="44" t="e">
        <f t="shared" si="90"/>
        <v>#N/A</v>
      </c>
      <c r="AK111" s="44" t="e">
        <f>HLOOKUP(I111,ElecAvoidedCostsWOCC!$A$5:$Q$50,G111+1,FALSE)*J111*L111</f>
        <v>#N/A</v>
      </c>
      <c r="AL111" s="44" t="e">
        <f t="shared" si="91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92"/>
        <v>0</v>
      </c>
      <c r="AO111" s="47">
        <f t="shared" si="93"/>
        <v>0</v>
      </c>
      <c r="AP111" s="47" t="e">
        <f t="shared" si="94"/>
        <v>#DIV/0!</v>
      </c>
    </row>
    <row r="112" spans="2:42">
      <c r="B112" s="97" t="s">
        <v>15</v>
      </c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76"/>
        <v>0</v>
      </c>
      <c r="U112" s="47">
        <f t="shared" si="77"/>
        <v>0</v>
      </c>
      <c r="V112" s="48">
        <f t="shared" si="78"/>
        <v>0</v>
      </c>
      <c r="W112" s="49">
        <f t="shared" si="79"/>
        <v>0</v>
      </c>
      <c r="X112" s="44">
        <f t="shared" si="80"/>
        <v>0</v>
      </c>
      <c r="Y112" s="44">
        <f t="shared" si="81"/>
        <v>0</v>
      </c>
      <c r="Z112" s="44">
        <f t="shared" si="82"/>
        <v>0</v>
      </c>
      <c r="AA112" s="50">
        <f t="shared" si="83"/>
        <v>0</v>
      </c>
      <c r="AB112" s="51">
        <f t="shared" si="84"/>
        <v>0</v>
      </c>
      <c r="AC112" s="44">
        <f t="shared" si="85"/>
        <v>0</v>
      </c>
      <c r="AD112" s="44">
        <f t="shared" si="86"/>
        <v>0</v>
      </c>
      <c r="AE112" s="44">
        <f t="shared" si="87"/>
        <v>0</v>
      </c>
      <c r="AF112" s="52" t="e">
        <f>HLOOKUP(I112,ElecAvoidedCostsWOCC!$A$5:$Q$50,G112+1,FALSE)</f>
        <v>#N/A</v>
      </c>
      <c r="AG112" s="44" t="e">
        <f t="shared" si="88"/>
        <v>#N/A</v>
      </c>
      <c r="AH112" s="52" t="e">
        <f>HLOOKUP(I112,ElecAvoidedCostsWOCC!$A$5:$Q$50,T112+1,FALSE)</f>
        <v>#N/A</v>
      </c>
      <c r="AI112" s="44" t="e">
        <f t="shared" si="89"/>
        <v>#N/A</v>
      </c>
      <c r="AJ112" s="44" t="e">
        <f t="shared" si="90"/>
        <v>#N/A</v>
      </c>
      <c r="AK112" s="44" t="e">
        <f>HLOOKUP(I112,ElecAvoidedCostsWOCC!$A$5:$Q$50,G112+1,FALSE)*J112*L112</f>
        <v>#N/A</v>
      </c>
      <c r="AL112" s="44" t="e">
        <f t="shared" si="91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92"/>
        <v>0</v>
      </c>
      <c r="AO112" s="47">
        <f t="shared" si="93"/>
        <v>0</v>
      </c>
      <c r="AP112" s="47" t="e">
        <f t="shared" si="94"/>
        <v>#DIV/0!</v>
      </c>
    </row>
    <row r="113" spans="2:42">
      <c r="B113" s="97" t="s">
        <v>15</v>
      </c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76"/>
        <v>0</v>
      </c>
      <c r="U113" s="47">
        <f t="shared" si="77"/>
        <v>0</v>
      </c>
      <c r="V113" s="48">
        <f t="shared" si="78"/>
        <v>0</v>
      </c>
      <c r="W113" s="49">
        <f t="shared" si="79"/>
        <v>0</v>
      </c>
      <c r="X113" s="44">
        <f t="shared" si="80"/>
        <v>0</v>
      </c>
      <c r="Y113" s="44">
        <f t="shared" si="81"/>
        <v>0</v>
      </c>
      <c r="Z113" s="44">
        <f t="shared" si="82"/>
        <v>0</v>
      </c>
      <c r="AA113" s="50">
        <f t="shared" si="83"/>
        <v>0</v>
      </c>
      <c r="AB113" s="51">
        <f t="shared" si="84"/>
        <v>0</v>
      </c>
      <c r="AC113" s="44">
        <f t="shared" si="85"/>
        <v>0</v>
      </c>
      <c r="AD113" s="44">
        <f t="shared" si="86"/>
        <v>0</v>
      </c>
      <c r="AE113" s="44">
        <f t="shared" si="87"/>
        <v>0</v>
      </c>
      <c r="AF113" s="52" t="e">
        <f>HLOOKUP(I113,ElecAvoidedCostsWOCC!$A$5:$Q$50,G113+1,FALSE)</f>
        <v>#N/A</v>
      </c>
      <c r="AG113" s="44" t="e">
        <f t="shared" si="88"/>
        <v>#N/A</v>
      </c>
      <c r="AH113" s="52" t="e">
        <f>HLOOKUP(I113,ElecAvoidedCostsWOCC!$A$5:$Q$50,T113+1,FALSE)</f>
        <v>#N/A</v>
      </c>
      <c r="AI113" s="44" t="e">
        <f t="shared" si="89"/>
        <v>#N/A</v>
      </c>
      <c r="AJ113" s="44" t="e">
        <f t="shared" si="90"/>
        <v>#N/A</v>
      </c>
      <c r="AK113" s="44" t="e">
        <f>HLOOKUP(I113,ElecAvoidedCostsWOCC!$A$5:$Q$50,G113+1,FALSE)*J113*L113</f>
        <v>#N/A</v>
      </c>
      <c r="AL113" s="44" t="e">
        <f t="shared" si="91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92"/>
        <v>0</v>
      </c>
      <c r="AO113" s="47">
        <f t="shared" si="93"/>
        <v>0</v>
      </c>
      <c r="AP113" s="47" t="e">
        <f t="shared" si="94"/>
        <v>#DIV/0!</v>
      </c>
    </row>
    <row r="114" spans="2:42">
      <c r="B114" s="97" t="s">
        <v>15</v>
      </c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76"/>
        <v>0</v>
      </c>
      <c r="U114" s="47">
        <f t="shared" si="77"/>
        <v>0</v>
      </c>
      <c r="V114" s="48">
        <f t="shared" si="78"/>
        <v>0</v>
      </c>
      <c r="W114" s="49">
        <f t="shared" si="79"/>
        <v>0</v>
      </c>
      <c r="X114" s="44">
        <f t="shared" si="80"/>
        <v>0</v>
      </c>
      <c r="Y114" s="44">
        <f t="shared" si="81"/>
        <v>0</v>
      </c>
      <c r="Z114" s="44">
        <f t="shared" si="82"/>
        <v>0</v>
      </c>
      <c r="AA114" s="50">
        <f t="shared" si="83"/>
        <v>0</v>
      </c>
      <c r="AB114" s="51">
        <f t="shared" si="84"/>
        <v>0</v>
      </c>
      <c r="AC114" s="44">
        <f t="shared" si="85"/>
        <v>0</v>
      </c>
      <c r="AD114" s="44">
        <f t="shared" si="86"/>
        <v>0</v>
      </c>
      <c r="AE114" s="44">
        <f t="shared" si="87"/>
        <v>0</v>
      </c>
      <c r="AF114" s="52" t="e">
        <f>HLOOKUP(I114,ElecAvoidedCostsWOCC!$A$5:$Q$50,G114+1,FALSE)</f>
        <v>#N/A</v>
      </c>
      <c r="AG114" s="44" t="e">
        <f t="shared" si="88"/>
        <v>#N/A</v>
      </c>
      <c r="AH114" s="52" t="e">
        <f>HLOOKUP(I114,ElecAvoidedCostsWOCC!$A$5:$Q$50,T114+1,FALSE)</f>
        <v>#N/A</v>
      </c>
      <c r="AI114" s="44" t="e">
        <f t="shared" si="89"/>
        <v>#N/A</v>
      </c>
      <c r="AJ114" s="44" t="e">
        <f t="shared" si="90"/>
        <v>#N/A</v>
      </c>
      <c r="AK114" s="44" t="e">
        <f>HLOOKUP(I114,ElecAvoidedCostsWOCC!$A$5:$Q$50,G114+1,FALSE)*J114*L114</f>
        <v>#N/A</v>
      </c>
      <c r="AL114" s="44" t="e">
        <f t="shared" si="91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92"/>
        <v>0</v>
      </c>
      <c r="AO114" s="47">
        <f t="shared" si="93"/>
        <v>0</v>
      </c>
      <c r="AP114" s="47" t="e">
        <f t="shared" si="94"/>
        <v>#DIV/0!</v>
      </c>
    </row>
    <row r="115" spans="2:42">
      <c r="B115" s="97" t="s">
        <v>15</v>
      </c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76"/>
        <v>0</v>
      </c>
      <c r="U115" s="47">
        <f t="shared" si="77"/>
        <v>0</v>
      </c>
      <c r="V115" s="48">
        <f t="shared" si="78"/>
        <v>0</v>
      </c>
      <c r="W115" s="49">
        <f t="shared" si="79"/>
        <v>0</v>
      </c>
      <c r="X115" s="44">
        <f t="shared" si="80"/>
        <v>0</v>
      </c>
      <c r="Y115" s="44">
        <f t="shared" si="81"/>
        <v>0</v>
      </c>
      <c r="Z115" s="44">
        <f t="shared" si="82"/>
        <v>0</v>
      </c>
      <c r="AA115" s="50">
        <f t="shared" si="83"/>
        <v>0</v>
      </c>
      <c r="AB115" s="51">
        <f t="shared" si="84"/>
        <v>0</v>
      </c>
      <c r="AC115" s="44">
        <f t="shared" si="85"/>
        <v>0</v>
      </c>
      <c r="AD115" s="44">
        <f t="shared" si="86"/>
        <v>0</v>
      </c>
      <c r="AE115" s="44">
        <f t="shared" si="87"/>
        <v>0</v>
      </c>
      <c r="AF115" s="52" t="e">
        <f>HLOOKUP(I115,ElecAvoidedCostsWOCC!$A$5:$Q$50,G115+1,FALSE)</f>
        <v>#N/A</v>
      </c>
      <c r="AG115" s="44" t="e">
        <f t="shared" si="88"/>
        <v>#N/A</v>
      </c>
      <c r="AH115" s="52" t="e">
        <f>HLOOKUP(I115,ElecAvoidedCostsWOCC!$A$5:$Q$50,T115+1,FALSE)</f>
        <v>#N/A</v>
      </c>
      <c r="AI115" s="44" t="e">
        <f t="shared" si="89"/>
        <v>#N/A</v>
      </c>
      <c r="AJ115" s="44" t="e">
        <f t="shared" si="90"/>
        <v>#N/A</v>
      </c>
      <c r="AK115" s="44" t="e">
        <f>HLOOKUP(I115,ElecAvoidedCostsWOCC!$A$5:$Q$50,G115+1,FALSE)*J115*L115</f>
        <v>#N/A</v>
      </c>
      <c r="AL115" s="44" t="e">
        <f t="shared" si="91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92"/>
        <v>0</v>
      </c>
      <c r="AO115" s="47">
        <f t="shared" si="93"/>
        <v>0</v>
      </c>
      <c r="AP115" s="47" t="e">
        <f t="shared" si="94"/>
        <v>#DIV/0!</v>
      </c>
    </row>
    <row r="116" spans="2:42">
      <c r="B116" s="97" t="s">
        <v>15</v>
      </c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76"/>
        <v>0</v>
      </c>
      <c r="U116" s="47">
        <f t="shared" si="77"/>
        <v>0</v>
      </c>
      <c r="V116" s="48">
        <f t="shared" si="78"/>
        <v>0</v>
      </c>
      <c r="W116" s="49">
        <f t="shared" si="79"/>
        <v>0</v>
      </c>
      <c r="X116" s="44">
        <f t="shared" si="80"/>
        <v>0</v>
      </c>
      <c r="Y116" s="44">
        <f t="shared" si="81"/>
        <v>0</v>
      </c>
      <c r="Z116" s="44">
        <f t="shared" si="82"/>
        <v>0</v>
      </c>
      <c r="AA116" s="50">
        <f t="shared" si="83"/>
        <v>0</v>
      </c>
      <c r="AB116" s="51">
        <f t="shared" si="84"/>
        <v>0</v>
      </c>
      <c r="AC116" s="44">
        <f t="shared" si="85"/>
        <v>0</v>
      </c>
      <c r="AD116" s="44">
        <f t="shared" si="86"/>
        <v>0</v>
      </c>
      <c r="AE116" s="44">
        <f t="shared" si="87"/>
        <v>0</v>
      </c>
      <c r="AF116" s="52" t="e">
        <f>HLOOKUP(I116,ElecAvoidedCostsWOCC!$A$5:$Q$50,G116+1,FALSE)</f>
        <v>#N/A</v>
      </c>
      <c r="AG116" s="44" t="e">
        <f t="shared" si="88"/>
        <v>#N/A</v>
      </c>
      <c r="AH116" s="52" t="e">
        <f>HLOOKUP(I116,ElecAvoidedCostsWOCC!$A$5:$Q$50,T116+1,FALSE)</f>
        <v>#N/A</v>
      </c>
      <c r="AI116" s="44" t="e">
        <f t="shared" si="89"/>
        <v>#N/A</v>
      </c>
      <c r="AJ116" s="44" t="e">
        <f t="shared" si="90"/>
        <v>#N/A</v>
      </c>
      <c r="AK116" s="44" t="e">
        <f>HLOOKUP(I116,ElecAvoidedCostsWOCC!$A$5:$Q$50,G116+1,FALSE)*J116*L116</f>
        <v>#N/A</v>
      </c>
      <c r="AL116" s="44" t="e">
        <f t="shared" si="91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92"/>
        <v>0</v>
      </c>
      <c r="AO116" s="47">
        <f t="shared" si="93"/>
        <v>0</v>
      </c>
      <c r="AP116" s="47" t="e">
        <f t="shared" si="94"/>
        <v>#DIV/0!</v>
      </c>
    </row>
    <row r="117" spans="2:42">
      <c r="B117" s="97" t="s">
        <v>15</v>
      </c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76"/>
        <v>0</v>
      </c>
      <c r="U117" s="47">
        <f t="shared" si="77"/>
        <v>0</v>
      </c>
      <c r="V117" s="48">
        <f t="shared" si="78"/>
        <v>0</v>
      </c>
      <c r="W117" s="49">
        <f t="shared" si="79"/>
        <v>0</v>
      </c>
      <c r="X117" s="44">
        <f t="shared" si="80"/>
        <v>0</v>
      </c>
      <c r="Y117" s="44">
        <f t="shared" si="81"/>
        <v>0</v>
      </c>
      <c r="Z117" s="44">
        <f t="shared" si="82"/>
        <v>0</v>
      </c>
      <c r="AA117" s="50">
        <f t="shared" si="83"/>
        <v>0</v>
      </c>
      <c r="AB117" s="51">
        <f t="shared" si="84"/>
        <v>0</v>
      </c>
      <c r="AC117" s="44">
        <f t="shared" si="85"/>
        <v>0</v>
      </c>
      <c r="AD117" s="44">
        <f t="shared" si="86"/>
        <v>0</v>
      </c>
      <c r="AE117" s="44">
        <f t="shared" si="87"/>
        <v>0</v>
      </c>
      <c r="AF117" s="52" t="e">
        <f>HLOOKUP(I117,ElecAvoidedCostsWOCC!$A$5:$Q$50,G117+1,FALSE)</f>
        <v>#N/A</v>
      </c>
      <c r="AG117" s="44" t="e">
        <f t="shared" si="88"/>
        <v>#N/A</v>
      </c>
      <c r="AH117" s="52" t="e">
        <f>HLOOKUP(I117,ElecAvoidedCostsWOCC!$A$5:$Q$50,T117+1,FALSE)</f>
        <v>#N/A</v>
      </c>
      <c r="AI117" s="44" t="e">
        <f t="shared" si="89"/>
        <v>#N/A</v>
      </c>
      <c r="AJ117" s="44" t="e">
        <f t="shared" si="90"/>
        <v>#N/A</v>
      </c>
      <c r="AK117" s="44" t="e">
        <f>HLOOKUP(I117,ElecAvoidedCostsWOCC!$A$5:$Q$50,G117+1,FALSE)*J117*L117</f>
        <v>#N/A</v>
      </c>
      <c r="AL117" s="44" t="e">
        <f t="shared" si="91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92"/>
        <v>0</v>
      </c>
      <c r="AO117" s="47">
        <f t="shared" si="93"/>
        <v>0</v>
      </c>
      <c r="AP117" s="47" t="e">
        <f t="shared" si="94"/>
        <v>#DIV/0!</v>
      </c>
    </row>
    <row r="118" spans="2:42">
      <c r="B118" s="97" t="s">
        <v>15</v>
      </c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76"/>
        <v>0</v>
      </c>
      <c r="U118" s="47">
        <f t="shared" si="77"/>
        <v>0</v>
      </c>
      <c r="V118" s="48">
        <f t="shared" si="78"/>
        <v>0</v>
      </c>
      <c r="W118" s="49">
        <f t="shared" si="79"/>
        <v>0</v>
      </c>
      <c r="X118" s="44">
        <f t="shared" si="80"/>
        <v>0</v>
      </c>
      <c r="Y118" s="44">
        <f t="shared" si="81"/>
        <v>0</v>
      </c>
      <c r="Z118" s="44">
        <f t="shared" si="82"/>
        <v>0</v>
      </c>
      <c r="AA118" s="50">
        <f t="shared" si="83"/>
        <v>0</v>
      </c>
      <c r="AB118" s="51">
        <f t="shared" si="84"/>
        <v>0</v>
      </c>
      <c r="AC118" s="44">
        <f t="shared" si="85"/>
        <v>0</v>
      </c>
      <c r="AD118" s="44">
        <f t="shared" si="86"/>
        <v>0</v>
      </c>
      <c r="AE118" s="44">
        <f t="shared" si="87"/>
        <v>0</v>
      </c>
      <c r="AF118" s="52" t="e">
        <f>HLOOKUP(I118,ElecAvoidedCostsWOCC!$A$5:$Q$50,G118+1,FALSE)</f>
        <v>#N/A</v>
      </c>
      <c r="AG118" s="44" t="e">
        <f t="shared" si="88"/>
        <v>#N/A</v>
      </c>
      <c r="AH118" s="52" t="e">
        <f>HLOOKUP(I118,ElecAvoidedCostsWOCC!$A$5:$Q$50,T118+1,FALSE)</f>
        <v>#N/A</v>
      </c>
      <c r="AI118" s="44" t="e">
        <f t="shared" si="89"/>
        <v>#N/A</v>
      </c>
      <c r="AJ118" s="44" t="e">
        <f t="shared" si="90"/>
        <v>#N/A</v>
      </c>
      <c r="AK118" s="44" t="e">
        <f>HLOOKUP(I118,ElecAvoidedCostsWOCC!$A$5:$Q$50,G118+1,FALSE)*J118*L118</f>
        <v>#N/A</v>
      </c>
      <c r="AL118" s="44" t="e">
        <f t="shared" si="91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92"/>
        <v>0</v>
      </c>
      <c r="AO118" s="47">
        <f t="shared" si="93"/>
        <v>0</v>
      </c>
      <c r="AP118" s="47" t="e">
        <f t="shared" si="94"/>
        <v>#DIV/0!</v>
      </c>
    </row>
    <row r="119" spans="2:42">
      <c r="B119" s="97" t="s">
        <v>15</v>
      </c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76"/>
        <v>0</v>
      </c>
      <c r="U119" s="47">
        <f t="shared" si="77"/>
        <v>0</v>
      </c>
      <c r="V119" s="48">
        <f t="shared" si="78"/>
        <v>0</v>
      </c>
      <c r="W119" s="49">
        <f t="shared" si="79"/>
        <v>0</v>
      </c>
      <c r="X119" s="44">
        <f t="shared" si="80"/>
        <v>0</v>
      </c>
      <c r="Y119" s="44">
        <f t="shared" si="81"/>
        <v>0</v>
      </c>
      <c r="Z119" s="44">
        <f t="shared" si="82"/>
        <v>0</v>
      </c>
      <c r="AA119" s="50">
        <f t="shared" si="83"/>
        <v>0</v>
      </c>
      <c r="AB119" s="51">
        <f t="shared" si="84"/>
        <v>0</v>
      </c>
      <c r="AC119" s="44">
        <f t="shared" si="85"/>
        <v>0</v>
      </c>
      <c r="AD119" s="44">
        <f t="shared" si="86"/>
        <v>0</v>
      </c>
      <c r="AE119" s="44">
        <f t="shared" si="87"/>
        <v>0</v>
      </c>
      <c r="AF119" s="52" t="e">
        <f>HLOOKUP(I119,ElecAvoidedCostsWOCC!$A$5:$Q$50,G119+1,FALSE)</f>
        <v>#N/A</v>
      </c>
      <c r="AG119" s="44" t="e">
        <f t="shared" si="88"/>
        <v>#N/A</v>
      </c>
      <c r="AH119" s="52" t="e">
        <f>HLOOKUP(I119,ElecAvoidedCostsWOCC!$A$5:$Q$50,T119+1,FALSE)</f>
        <v>#N/A</v>
      </c>
      <c r="AI119" s="44" t="e">
        <f t="shared" si="89"/>
        <v>#N/A</v>
      </c>
      <c r="AJ119" s="44" t="e">
        <f t="shared" si="90"/>
        <v>#N/A</v>
      </c>
      <c r="AK119" s="44" t="e">
        <f>HLOOKUP(I119,ElecAvoidedCostsWOCC!$A$5:$Q$50,G119+1,FALSE)*J119*L119</f>
        <v>#N/A</v>
      </c>
      <c r="AL119" s="44" t="e">
        <f t="shared" si="91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92"/>
        <v>0</v>
      </c>
      <c r="AO119" s="47">
        <f t="shared" si="93"/>
        <v>0</v>
      </c>
      <c r="AP119" s="47" t="e">
        <f t="shared" si="94"/>
        <v>#DIV/0!</v>
      </c>
    </row>
    <row r="120" spans="2:42">
      <c r="B120" s="97" t="s">
        <v>15</v>
      </c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76"/>
        <v>0</v>
      </c>
      <c r="U120" s="47">
        <f t="shared" si="77"/>
        <v>0</v>
      </c>
      <c r="V120" s="48">
        <f t="shared" si="78"/>
        <v>0</v>
      </c>
      <c r="W120" s="49">
        <f t="shared" si="79"/>
        <v>0</v>
      </c>
      <c r="X120" s="44">
        <f t="shared" si="80"/>
        <v>0</v>
      </c>
      <c r="Y120" s="44">
        <f t="shared" si="81"/>
        <v>0</v>
      </c>
      <c r="Z120" s="44">
        <f t="shared" si="82"/>
        <v>0</v>
      </c>
      <c r="AA120" s="50">
        <f t="shared" si="83"/>
        <v>0</v>
      </c>
      <c r="AB120" s="51">
        <f t="shared" si="84"/>
        <v>0</v>
      </c>
      <c r="AC120" s="44">
        <f t="shared" si="85"/>
        <v>0</v>
      </c>
      <c r="AD120" s="44">
        <f t="shared" si="86"/>
        <v>0</v>
      </c>
      <c r="AE120" s="44">
        <f t="shared" si="87"/>
        <v>0</v>
      </c>
      <c r="AF120" s="52" t="e">
        <f>HLOOKUP(I120,ElecAvoidedCostsWOCC!$A$5:$Q$50,G120+1,FALSE)</f>
        <v>#N/A</v>
      </c>
      <c r="AG120" s="44" t="e">
        <f t="shared" si="88"/>
        <v>#N/A</v>
      </c>
      <c r="AH120" s="52" t="e">
        <f>HLOOKUP(I120,ElecAvoidedCostsWOCC!$A$5:$Q$50,T120+1,FALSE)</f>
        <v>#N/A</v>
      </c>
      <c r="AI120" s="44" t="e">
        <f t="shared" si="89"/>
        <v>#N/A</v>
      </c>
      <c r="AJ120" s="44" t="e">
        <f t="shared" si="90"/>
        <v>#N/A</v>
      </c>
      <c r="AK120" s="44" t="e">
        <f>HLOOKUP(I120,ElecAvoidedCostsWOCC!$A$5:$Q$50,G120+1,FALSE)*J120*L120</f>
        <v>#N/A</v>
      </c>
      <c r="AL120" s="44" t="e">
        <f t="shared" si="91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92"/>
        <v>0</v>
      </c>
      <c r="AO120" s="47">
        <f t="shared" si="93"/>
        <v>0</v>
      </c>
      <c r="AP120" s="47" t="e">
        <f t="shared" si="94"/>
        <v>#DIV/0!</v>
      </c>
    </row>
    <row r="121" spans="2:42">
      <c r="B121" s="97" t="s">
        <v>15</v>
      </c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76"/>
        <v>0</v>
      </c>
      <c r="U121" s="47">
        <f t="shared" si="77"/>
        <v>0</v>
      </c>
      <c r="V121" s="48">
        <f t="shared" si="78"/>
        <v>0</v>
      </c>
      <c r="W121" s="49">
        <f t="shared" si="79"/>
        <v>0</v>
      </c>
      <c r="X121" s="44">
        <f t="shared" si="80"/>
        <v>0</v>
      </c>
      <c r="Y121" s="44">
        <f t="shared" si="81"/>
        <v>0</v>
      </c>
      <c r="Z121" s="44">
        <f t="shared" si="82"/>
        <v>0</v>
      </c>
      <c r="AA121" s="50">
        <f t="shared" si="83"/>
        <v>0</v>
      </c>
      <c r="AB121" s="51">
        <f t="shared" si="84"/>
        <v>0</v>
      </c>
      <c r="AC121" s="44">
        <f t="shared" si="85"/>
        <v>0</v>
      </c>
      <c r="AD121" s="44">
        <f t="shared" si="86"/>
        <v>0</v>
      </c>
      <c r="AE121" s="44">
        <f t="shared" si="87"/>
        <v>0</v>
      </c>
      <c r="AF121" s="52" t="e">
        <f>HLOOKUP(I121,ElecAvoidedCostsWOCC!$A$5:$Q$50,G121+1,FALSE)</f>
        <v>#N/A</v>
      </c>
      <c r="AG121" s="44" t="e">
        <f t="shared" si="88"/>
        <v>#N/A</v>
      </c>
      <c r="AH121" s="52" t="e">
        <f>HLOOKUP(I121,ElecAvoidedCostsWOCC!$A$5:$Q$50,T121+1,FALSE)</f>
        <v>#N/A</v>
      </c>
      <c r="AI121" s="44" t="e">
        <f t="shared" si="89"/>
        <v>#N/A</v>
      </c>
      <c r="AJ121" s="44" t="e">
        <f t="shared" si="90"/>
        <v>#N/A</v>
      </c>
      <c r="AK121" s="44" t="e">
        <f>HLOOKUP(I121,ElecAvoidedCostsWOCC!$A$5:$Q$50,G121+1,FALSE)*J121*L121</f>
        <v>#N/A</v>
      </c>
      <c r="AL121" s="44" t="e">
        <f t="shared" si="91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92"/>
        <v>0</v>
      </c>
      <c r="AO121" s="47">
        <f t="shared" si="93"/>
        <v>0</v>
      </c>
      <c r="AP121" s="47" t="e">
        <f t="shared" si="94"/>
        <v>#DIV/0!</v>
      </c>
    </row>
    <row r="122" spans="2:42">
      <c r="B122" s="97" t="s">
        <v>15</v>
      </c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76"/>
        <v>0</v>
      </c>
      <c r="U122" s="47">
        <f t="shared" si="77"/>
        <v>0</v>
      </c>
      <c r="V122" s="48">
        <f t="shared" si="78"/>
        <v>0</v>
      </c>
      <c r="W122" s="49">
        <f t="shared" si="79"/>
        <v>0</v>
      </c>
      <c r="X122" s="44">
        <f t="shared" si="80"/>
        <v>0</v>
      </c>
      <c r="Y122" s="44">
        <f t="shared" si="81"/>
        <v>0</v>
      </c>
      <c r="Z122" s="44">
        <f t="shared" si="82"/>
        <v>0</v>
      </c>
      <c r="AA122" s="50">
        <f t="shared" si="83"/>
        <v>0</v>
      </c>
      <c r="AB122" s="51">
        <f t="shared" si="84"/>
        <v>0</v>
      </c>
      <c r="AC122" s="44">
        <f t="shared" si="85"/>
        <v>0</v>
      </c>
      <c r="AD122" s="44">
        <f t="shared" si="86"/>
        <v>0</v>
      </c>
      <c r="AE122" s="44">
        <f t="shared" si="87"/>
        <v>0</v>
      </c>
      <c r="AF122" s="52" t="e">
        <f>HLOOKUP(I122,ElecAvoidedCostsWOCC!$A$5:$Q$50,G122+1,FALSE)</f>
        <v>#N/A</v>
      </c>
      <c r="AG122" s="44" t="e">
        <f t="shared" si="88"/>
        <v>#N/A</v>
      </c>
      <c r="AH122" s="52" t="e">
        <f>HLOOKUP(I122,ElecAvoidedCostsWOCC!$A$5:$Q$50,T122+1,FALSE)</f>
        <v>#N/A</v>
      </c>
      <c r="AI122" s="44" t="e">
        <f t="shared" si="89"/>
        <v>#N/A</v>
      </c>
      <c r="AJ122" s="44" t="e">
        <f t="shared" si="90"/>
        <v>#N/A</v>
      </c>
      <c r="AK122" s="44" t="e">
        <f>HLOOKUP(I122,ElecAvoidedCostsWOCC!$A$5:$Q$50,G122+1,FALSE)*J122*L122</f>
        <v>#N/A</v>
      </c>
      <c r="AL122" s="44" t="e">
        <f t="shared" si="91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92"/>
        <v>0</v>
      </c>
      <c r="AO122" s="47">
        <f t="shared" si="93"/>
        <v>0</v>
      </c>
      <c r="AP122" s="47" t="e">
        <f t="shared" si="94"/>
        <v>#DIV/0!</v>
      </c>
    </row>
    <row r="123" spans="2:42">
      <c r="B123" s="97" t="s">
        <v>15</v>
      </c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76"/>
        <v>0</v>
      </c>
      <c r="U123" s="47">
        <f t="shared" si="77"/>
        <v>0</v>
      </c>
      <c r="V123" s="48">
        <f t="shared" si="78"/>
        <v>0</v>
      </c>
      <c r="W123" s="49">
        <f t="shared" si="79"/>
        <v>0</v>
      </c>
      <c r="X123" s="44">
        <f t="shared" si="80"/>
        <v>0</v>
      </c>
      <c r="Y123" s="44">
        <f t="shared" si="81"/>
        <v>0</v>
      </c>
      <c r="Z123" s="44">
        <f t="shared" si="82"/>
        <v>0</v>
      </c>
      <c r="AA123" s="50">
        <f t="shared" si="83"/>
        <v>0</v>
      </c>
      <c r="AB123" s="51">
        <f t="shared" si="84"/>
        <v>0</v>
      </c>
      <c r="AC123" s="44">
        <f t="shared" si="85"/>
        <v>0</v>
      </c>
      <c r="AD123" s="44">
        <f t="shared" si="86"/>
        <v>0</v>
      </c>
      <c r="AE123" s="44">
        <f t="shared" si="87"/>
        <v>0</v>
      </c>
      <c r="AF123" s="52" t="e">
        <f>HLOOKUP(I123,ElecAvoidedCostsWOCC!$A$5:$Q$50,G123+1,FALSE)</f>
        <v>#N/A</v>
      </c>
      <c r="AG123" s="44" t="e">
        <f t="shared" si="88"/>
        <v>#N/A</v>
      </c>
      <c r="AH123" s="52" t="e">
        <f>HLOOKUP(I123,ElecAvoidedCostsWOCC!$A$5:$Q$50,T123+1,FALSE)</f>
        <v>#N/A</v>
      </c>
      <c r="AI123" s="44" t="e">
        <f t="shared" si="89"/>
        <v>#N/A</v>
      </c>
      <c r="AJ123" s="44" t="e">
        <f t="shared" si="90"/>
        <v>#N/A</v>
      </c>
      <c r="AK123" s="44" t="e">
        <f>HLOOKUP(I123,ElecAvoidedCostsWOCC!$A$5:$Q$50,G123+1,FALSE)*J123*L123</f>
        <v>#N/A</v>
      </c>
      <c r="AL123" s="44" t="e">
        <f t="shared" si="91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92"/>
        <v>0</v>
      </c>
      <c r="AO123" s="47">
        <f t="shared" si="93"/>
        <v>0</v>
      </c>
      <c r="AP123" s="47" t="e">
        <f t="shared" si="94"/>
        <v>#DIV/0!</v>
      </c>
    </row>
    <row r="124" spans="2:42">
      <c r="B124" s="97" t="s">
        <v>15</v>
      </c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76"/>
        <v>0</v>
      </c>
      <c r="U124" s="47">
        <f t="shared" si="77"/>
        <v>0</v>
      </c>
      <c r="V124" s="48">
        <f t="shared" si="78"/>
        <v>0</v>
      </c>
      <c r="W124" s="49">
        <f t="shared" si="79"/>
        <v>0</v>
      </c>
      <c r="X124" s="44">
        <f t="shared" si="80"/>
        <v>0</v>
      </c>
      <c r="Y124" s="44">
        <f t="shared" si="81"/>
        <v>0</v>
      </c>
      <c r="Z124" s="44">
        <f t="shared" si="82"/>
        <v>0</v>
      </c>
      <c r="AA124" s="50">
        <f t="shared" si="83"/>
        <v>0</v>
      </c>
      <c r="AB124" s="51">
        <f t="shared" si="84"/>
        <v>0</v>
      </c>
      <c r="AC124" s="44">
        <f t="shared" si="85"/>
        <v>0</v>
      </c>
      <c r="AD124" s="44">
        <f t="shared" si="86"/>
        <v>0</v>
      </c>
      <c r="AE124" s="44">
        <f t="shared" si="87"/>
        <v>0</v>
      </c>
      <c r="AF124" s="52" t="e">
        <f>HLOOKUP(I124,ElecAvoidedCostsWOCC!$A$5:$Q$50,G124+1,FALSE)</f>
        <v>#N/A</v>
      </c>
      <c r="AG124" s="44" t="e">
        <f t="shared" si="88"/>
        <v>#N/A</v>
      </c>
      <c r="AH124" s="52" t="e">
        <f>HLOOKUP(I124,ElecAvoidedCostsWOCC!$A$5:$Q$50,T124+1,FALSE)</f>
        <v>#N/A</v>
      </c>
      <c r="AI124" s="44" t="e">
        <f t="shared" si="89"/>
        <v>#N/A</v>
      </c>
      <c r="AJ124" s="44" t="e">
        <f t="shared" si="90"/>
        <v>#N/A</v>
      </c>
      <c r="AK124" s="44" t="e">
        <f>HLOOKUP(I124,ElecAvoidedCostsWOCC!$A$5:$Q$50,G124+1,FALSE)*J124*L124</f>
        <v>#N/A</v>
      </c>
      <c r="AL124" s="44" t="e">
        <f t="shared" si="91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92"/>
        <v>0</v>
      </c>
      <c r="AO124" s="47">
        <f t="shared" si="93"/>
        <v>0</v>
      </c>
      <c r="AP124" s="47" t="e">
        <f t="shared" si="94"/>
        <v>#DIV/0!</v>
      </c>
    </row>
    <row r="125" spans="2:42">
      <c r="B125" s="97" t="s">
        <v>15</v>
      </c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76"/>
        <v>0</v>
      </c>
      <c r="U125" s="47">
        <f t="shared" si="77"/>
        <v>0</v>
      </c>
      <c r="V125" s="48">
        <f t="shared" si="78"/>
        <v>0</v>
      </c>
      <c r="W125" s="49">
        <f t="shared" si="79"/>
        <v>0</v>
      </c>
      <c r="X125" s="44">
        <f t="shared" si="80"/>
        <v>0</v>
      </c>
      <c r="Y125" s="44">
        <f t="shared" si="81"/>
        <v>0</v>
      </c>
      <c r="Z125" s="44">
        <f t="shared" si="82"/>
        <v>0</v>
      </c>
      <c r="AA125" s="50">
        <f t="shared" si="83"/>
        <v>0</v>
      </c>
      <c r="AB125" s="51">
        <f t="shared" si="84"/>
        <v>0</v>
      </c>
      <c r="AC125" s="44">
        <f t="shared" si="85"/>
        <v>0</v>
      </c>
      <c r="AD125" s="44">
        <f t="shared" si="86"/>
        <v>0</v>
      </c>
      <c r="AE125" s="44">
        <f t="shared" si="87"/>
        <v>0</v>
      </c>
      <c r="AF125" s="52" t="e">
        <f>HLOOKUP(I125,ElecAvoidedCostsWOCC!$A$5:$Q$50,G125+1,FALSE)</f>
        <v>#N/A</v>
      </c>
      <c r="AG125" s="44" t="e">
        <f t="shared" si="88"/>
        <v>#N/A</v>
      </c>
      <c r="AH125" s="52" t="e">
        <f>HLOOKUP(I125,ElecAvoidedCostsWOCC!$A$5:$Q$50,T125+1,FALSE)</f>
        <v>#N/A</v>
      </c>
      <c r="AI125" s="44" t="e">
        <f t="shared" si="89"/>
        <v>#N/A</v>
      </c>
      <c r="AJ125" s="44" t="e">
        <f t="shared" si="90"/>
        <v>#N/A</v>
      </c>
      <c r="AK125" s="44" t="e">
        <f>HLOOKUP(I125,ElecAvoidedCostsWOCC!$A$5:$Q$50,G125+1,FALSE)*J125*L125</f>
        <v>#N/A</v>
      </c>
      <c r="AL125" s="44" t="e">
        <f t="shared" si="91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92"/>
        <v>0</v>
      </c>
      <c r="AO125" s="47">
        <f t="shared" si="93"/>
        <v>0</v>
      </c>
      <c r="AP125" s="47" t="e">
        <f t="shared" si="94"/>
        <v>#DIV/0!</v>
      </c>
    </row>
    <row r="126" spans="2:42">
      <c r="B126" s="97" t="s">
        <v>15</v>
      </c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76"/>
        <v>0</v>
      </c>
      <c r="U126" s="47">
        <f t="shared" si="77"/>
        <v>0</v>
      </c>
      <c r="V126" s="48">
        <f t="shared" si="78"/>
        <v>0</v>
      </c>
      <c r="W126" s="49">
        <f t="shared" si="79"/>
        <v>0</v>
      </c>
      <c r="X126" s="44">
        <f t="shared" si="80"/>
        <v>0</v>
      </c>
      <c r="Y126" s="44">
        <f t="shared" si="81"/>
        <v>0</v>
      </c>
      <c r="Z126" s="44">
        <f t="shared" si="82"/>
        <v>0</v>
      </c>
      <c r="AA126" s="50">
        <f t="shared" si="83"/>
        <v>0</v>
      </c>
      <c r="AB126" s="51">
        <f t="shared" si="84"/>
        <v>0</v>
      </c>
      <c r="AC126" s="44">
        <f t="shared" si="85"/>
        <v>0</v>
      </c>
      <c r="AD126" s="44">
        <f t="shared" si="86"/>
        <v>0</v>
      </c>
      <c r="AE126" s="44">
        <f t="shared" si="87"/>
        <v>0</v>
      </c>
      <c r="AF126" s="52" t="e">
        <f>HLOOKUP(I126,ElecAvoidedCostsWOCC!$A$5:$Q$50,G126+1,FALSE)</f>
        <v>#N/A</v>
      </c>
      <c r="AG126" s="44" t="e">
        <f t="shared" si="88"/>
        <v>#N/A</v>
      </c>
      <c r="AH126" s="52" t="e">
        <f>HLOOKUP(I126,ElecAvoidedCostsWOCC!$A$5:$Q$50,T126+1,FALSE)</f>
        <v>#N/A</v>
      </c>
      <c r="AI126" s="44" t="e">
        <f t="shared" si="89"/>
        <v>#N/A</v>
      </c>
      <c r="AJ126" s="44" t="e">
        <f t="shared" si="90"/>
        <v>#N/A</v>
      </c>
      <c r="AK126" s="44" t="e">
        <f>HLOOKUP(I126,ElecAvoidedCostsWOCC!$A$5:$Q$50,G126+1,FALSE)*J126*L126</f>
        <v>#N/A</v>
      </c>
      <c r="AL126" s="44" t="e">
        <f t="shared" si="91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92"/>
        <v>0</v>
      </c>
      <c r="AO126" s="47">
        <f t="shared" si="93"/>
        <v>0</v>
      </c>
      <c r="AP126" s="47" t="e">
        <f t="shared" si="94"/>
        <v>#DIV/0!</v>
      </c>
    </row>
    <row r="127" spans="2:42">
      <c r="B127" s="97" t="s">
        <v>15</v>
      </c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76"/>
        <v>0</v>
      </c>
      <c r="U127" s="47">
        <f t="shared" si="77"/>
        <v>0</v>
      </c>
      <c r="V127" s="48">
        <f t="shared" si="78"/>
        <v>0</v>
      </c>
      <c r="W127" s="49">
        <f t="shared" si="79"/>
        <v>0</v>
      </c>
      <c r="X127" s="44">
        <f t="shared" si="80"/>
        <v>0</v>
      </c>
      <c r="Y127" s="44">
        <f t="shared" si="81"/>
        <v>0</v>
      </c>
      <c r="Z127" s="44">
        <f t="shared" si="82"/>
        <v>0</v>
      </c>
      <c r="AA127" s="50">
        <f t="shared" si="83"/>
        <v>0</v>
      </c>
      <c r="AB127" s="51">
        <f t="shared" si="84"/>
        <v>0</v>
      </c>
      <c r="AC127" s="44">
        <f t="shared" si="85"/>
        <v>0</v>
      </c>
      <c r="AD127" s="44">
        <f t="shared" si="86"/>
        <v>0</v>
      </c>
      <c r="AE127" s="44">
        <f t="shared" si="87"/>
        <v>0</v>
      </c>
      <c r="AF127" s="52" t="e">
        <f>HLOOKUP(I127,ElecAvoidedCostsWOCC!$A$5:$Q$50,G127+1,FALSE)</f>
        <v>#N/A</v>
      </c>
      <c r="AG127" s="44" t="e">
        <f t="shared" si="88"/>
        <v>#N/A</v>
      </c>
      <c r="AH127" s="52" t="e">
        <f>HLOOKUP(I127,ElecAvoidedCostsWOCC!$A$5:$Q$50,T127+1,FALSE)</f>
        <v>#N/A</v>
      </c>
      <c r="AI127" s="44" t="e">
        <f t="shared" si="89"/>
        <v>#N/A</v>
      </c>
      <c r="AJ127" s="44" t="e">
        <f t="shared" si="90"/>
        <v>#N/A</v>
      </c>
      <c r="AK127" s="44" t="e">
        <f>HLOOKUP(I127,ElecAvoidedCostsWOCC!$A$5:$Q$50,G127+1,FALSE)*J127*L127</f>
        <v>#N/A</v>
      </c>
      <c r="AL127" s="44" t="e">
        <f t="shared" si="91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92"/>
        <v>0</v>
      </c>
      <c r="AO127" s="47">
        <f t="shared" si="93"/>
        <v>0</v>
      </c>
      <c r="AP127" s="47" t="e">
        <f t="shared" si="94"/>
        <v>#DIV/0!</v>
      </c>
    </row>
    <row r="128" spans="2:42">
      <c r="B128" s="97" t="s">
        <v>15</v>
      </c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76"/>
        <v>0</v>
      </c>
      <c r="U128" s="47">
        <f t="shared" si="77"/>
        <v>0</v>
      </c>
      <c r="V128" s="48">
        <f t="shared" si="78"/>
        <v>0</v>
      </c>
      <c r="W128" s="49">
        <f t="shared" si="79"/>
        <v>0</v>
      </c>
      <c r="X128" s="44">
        <f t="shared" si="80"/>
        <v>0</v>
      </c>
      <c r="Y128" s="44">
        <f t="shared" si="81"/>
        <v>0</v>
      </c>
      <c r="Z128" s="44">
        <f t="shared" si="82"/>
        <v>0</v>
      </c>
      <c r="AA128" s="50">
        <f t="shared" si="83"/>
        <v>0</v>
      </c>
      <c r="AB128" s="51">
        <f t="shared" si="84"/>
        <v>0</v>
      </c>
      <c r="AC128" s="44">
        <f t="shared" si="85"/>
        <v>0</v>
      </c>
      <c r="AD128" s="44">
        <f t="shared" si="86"/>
        <v>0</v>
      </c>
      <c r="AE128" s="44">
        <f t="shared" si="87"/>
        <v>0</v>
      </c>
      <c r="AF128" s="52" t="e">
        <f>HLOOKUP(I128,ElecAvoidedCostsWOCC!$A$5:$Q$50,G128+1,FALSE)</f>
        <v>#N/A</v>
      </c>
      <c r="AG128" s="44" t="e">
        <f t="shared" si="88"/>
        <v>#N/A</v>
      </c>
      <c r="AH128" s="52" t="e">
        <f>HLOOKUP(I128,ElecAvoidedCostsWOCC!$A$5:$Q$50,T128+1,FALSE)</f>
        <v>#N/A</v>
      </c>
      <c r="AI128" s="44" t="e">
        <f t="shared" si="89"/>
        <v>#N/A</v>
      </c>
      <c r="AJ128" s="44" t="e">
        <f t="shared" si="90"/>
        <v>#N/A</v>
      </c>
      <c r="AK128" s="44" t="e">
        <f>HLOOKUP(I128,ElecAvoidedCostsWOCC!$A$5:$Q$50,G128+1,FALSE)*J128*L128</f>
        <v>#N/A</v>
      </c>
      <c r="AL128" s="44" t="e">
        <f t="shared" si="91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92"/>
        <v>0</v>
      </c>
      <c r="AO128" s="47">
        <f t="shared" si="93"/>
        <v>0</v>
      </c>
      <c r="AP128" s="47" t="e">
        <f t="shared" si="94"/>
        <v>#DIV/0!</v>
      </c>
    </row>
    <row r="129" spans="2:42">
      <c r="B129" s="97" t="s">
        <v>15</v>
      </c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76"/>
        <v>0</v>
      </c>
      <c r="U129" s="47">
        <f t="shared" si="77"/>
        <v>0</v>
      </c>
      <c r="V129" s="48">
        <f t="shared" si="78"/>
        <v>0</v>
      </c>
      <c r="W129" s="49">
        <f t="shared" si="79"/>
        <v>0</v>
      </c>
      <c r="X129" s="44">
        <f t="shared" si="80"/>
        <v>0</v>
      </c>
      <c r="Y129" s="44">
        <f t="shared" si="81"/>
        <v>0</v>
      </c>
      <c r="Z129" s="44">
        <f t="shared" si="82"/>
        <v>0</v>
      </c>
      <c r="AA129" s="50">
        <f t="shared" si="83"/>
        <v>0</v>
      </c>
      <c r="AB129" s="51">
        <f t="shared" si="84"/>
        <v>0</v>
      </c>
      <c r="AC129" s="44">
        <f t="shared" si="85"/>
        <v>0</v>
      </c>
      <c r="AD129" s="44">
        <f t="shared" si="86"/>
        <v>0</v>
      </c>
      <c r="AE129" s="44">
        <f t="shared" si="87"/>
        <v>0</v>
      </c>
      <c r="AF129" s="52" t="e">
        <f>HLOOKUP(I129,ElecAvoidedCostsWOCC!$A$5:$Q$50,G129+1,FALSE)</f>
        <v>#N/A</v>
      </c>
      <c r="AG129" s="44" t="e">
        <f t="shared" si="88"/>
        <v>#N/A</v>
      </c>
      <c r="AH129" s="52" t="e">
        <f>HLOOKUP(I129,ElecAvoidedCostsWOCC!$A$5:$Q$50,T129+1,FALSE)</f>
        <v>#N/A</v>
      </c>
      <c r="AI129" s="44" t="e">
        <f t="shared" si="89"/>
        <v>#N/A</v>
      </c>
      <c r="AJ129" s="44" t="e">
        <f t="shared" si="90"/>
        <v>#N/A</v>
      </c>
      <c r="AK129" s="44" t="e">
        <f>HLOOKUP(I129,ElecAvoidedCostsWOCC!$A$5:$Q$50,G129+1,FALSE)*J129*L129</f>
        <v>#N/A</v>
      </c>
      <c r="AL129" s="44" t="e">
        <f t="shared" si="91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92"/>
        <v>0</v>
      </c>
      <c r="AO129" s="47">
        <f t="shared" si="93"/>
        <v>0</v>
      </c>
      <c r="AP129" s="47" t="e">
        <f t="shared" si="94"/>
        <v>#DIV/0!</v>
      </c>
    </row>
    <row r="130" spans="2:42">
      <c r="B130" s="97" t="s">
        <v>15</v>
      </c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76"/>
        <v>0</v>
      </c>
      <c r="U130" s="47">
        <f t="shared" si="77"/>
        <v>0</v>
      </c>
      <c r="V130" s="48">
        <f t="shared" si="78"/>
        <v>0</v>
      </c>
      <c r="W130" s="49">
        <f t="shared" si="79"/>
        <v>0</v>
      </c>
      <c r="X130" s="44">
        <f t="shared" si="80"/>
        <v>0</v>
      </c>
      <c r="Y130" s="44">
        <f t="shared" si="81"/>
        <v>0</v>
      </c>
      <c r="Z130" s="44">
        <f t="shared" si="82"/>
        <v>0</v>
      </c>
      <c r="AA130" s="50">
        <f t="shared" si="83"/>
        <v>0</v>
      </c>
      <c r="AB130" s="51">
        <f t="shared" si="84"/>
        <v>0</v>
      </c>
      <c r="AC130" s="44">
        <f t="shared" si="85"/>
        <v>0</v>
      </c>
      <c r="AD130" s="44">
        <f t="shared" si="86"/>
        <v>0</v>
      </c>
      <c r="AE130" s="44">
        <f t="shared" si="87"/>
        <v>0</v>
      </c>
      <c r="AF130" s="52" t="e">
        <f>HLOOKUP(I130,ElecAvoidedCostsWOCC!$A$5:$Q$50,G130+1,FALSE)</f>
        <v>#N/A</v>
      </c>
      <c r="AG130" s="44" t="e">
        <f t="shared" si="88"/>
        <v>#N/A</v>
      </c>
      <c r="AH130" s="52" t="e">
        <f>HLOOKUP(I130,ElecAvoidedCostsWOCC!$A$5:$Q$50,T130+1,FALSE)</f>
        <v>#N/A</v>
      </c>
      <c r="AI130" s="44" t="e">
        <f t="shared" si="89"/>
        <v>#N/A</v>
      </c>
      <c r="AJ130" s="44" t="e">
        <f t="shared" si="90"/>
        <v>#N/A</v>
      </c>
      <c r="AK130" s="44" t="e">
        <f>HLOOKUP(I130,ElecAvoidedCostsWOCC!$A$5:$Q$50,G130+1,FALSE)*J130*L130</f>
        <v>#N/A</v>
      </c>
      <c r="AL130" s="44" t="e">
        <f t="shared" si="91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92"/>
        <v>0</v>
      </c>
      <c r="AO130" s="47">
        <f t="shared" si="93"/>
        <v>0</v>
      </c>
      <c r="AP130" s="47" t="e">
        <f t="shared" si="94"/>
        <v>#DIV/0!</v>
      </c>
    </row>
    <row r="131" spans="2:42">
      <c r="B131" s="97" t="s">
        <v>15</v>
      </c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76"/>
        <v>0</v>
      </c>
      <c r="U131" s="47">
        <f t="shared" si="77"/>
        <v>0</v>
      </c>
      <c r="V131" s="48">
        <f t="shared" si="78"/>
        <v>0</v>
      </c>
      <c r="W131" s="49">
        <f t="shared" si="79"/>
        <v>0</v>
      </c>
      <c r="X131" s="44">
        <f t="shared" si="80"/>
        <v>0</v>
      </c>
      <c r="Y131" s="44">
        <f t="shared" si="81"/>
        <v>0</v>
      </c>
      <c r="Z131" s="44">
        <f t="shared" si="82"/>
        <v>0</v>
      </c>
      <c r="AA131" s="50">
        <f t="shared" si="83"/>
        <v>0</v>
      </c>
      <c r="AB131" s="51">
        <f t="shared" si="84"/>
        <v>0</v>
      </c>
      <c r="AC131" s="44">
        <f t="shared" si="85"/>
        <v>0</v>
      </c>
      <c r="AD131" s="44">
        <f t="shared" si="86"/>
        <v>0</v>
      </c>
      <c r="AE131" s="44">
        <f t="shared" si="87"/>
        <v>0</v>
      </c>
      <c r="AF131" s="52" t="e">
        <f>HLOOKUP(I131,ElecAvoidedCostsWOCC!$A$5:$Q$50,G131+1,FALSE)</f>
        <v>#N/A</v>
      </c>
      <c r="AG131" s="44" t="e">
        <f t="shared" si="88"/>
        <v>#N/A</v>
      </c>
      <c r="AH131" s="52" t="e">
        <f>HLOOKUP(I131,ElecAvoidedCostsWOCC!$A$5:$Q$50,T131+1,FALSE)</f>
        <v>#N/A</v>
      </c>
      <c r="AI131" s="44" t="e">
        <f t="shared" si="89"/>
        <v>#N/A</v>
      </c>
      <c r="AJ131" s="44" t="e">
        <f t="shared" si="90"/>
        <v>#N/A</v>
      </c>
      <c r="AK131" s="44" t="e">
        <f>HLOOKUP(I131,ElecAvoidedCostsWOCC!$A$5:$Q$50,G131+1,FALSE)*J131*L131</f>
        <v>#N/A</v>
      </c>
      <c r="AL131" s="44" t="e">
        <f t="shared" si="91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92"/>
        <v>0</v>
      </c>
      <c r="AO131" s="47">
        <f t="shared" si="93"/>
        <v>0</v>
      </c>
      <c r="AP131" s="47" t="e">
        <f t="shared" si="94"/>
        <v>#DIV/0!</v>
      </c>
    </row>
    <row r="132" spans="2:42">
      <c r="B132" s="97" t="s">
        <v>15</v>
      </c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76"/>
        <v>0</v>
      </c>
      <c r="U132" s="47">
        <f t="shared" si="77"/>
        <v>0</v>
      </c>
      <c r="V132" s="48">
        <f t="shared" si="78"/>
        <v>0</v>
      </c>
      <c r="W132" s="49">
        <f t="shared" si="79"/>
        <v>0</v>
      </c>
      <c r="X132" s="44">
        <f t="shared" si="80"/>
        <v>0</v>
      </c>
      <c r="Y132" s="44">
        <f t="shared" si="81"/>
        <v>0</v>
      </c>
      <c r="Z132" s="44">
        <f t="shared" si="82"/>
        <v>0</v>
      </c>
      <c r="AA132" s="50">
        <f t="shared" si="83"/>
        <v>0</v>
      </c>
      <c r="AB132" s="51">
        <f t="shared" si="84"/>
        <v>0</v>
      </c>
      <c r="AC132" s="44">
        <f t="shared" si="85"/>
        <v>0</v>
      </c>
      <c r="AD132" s="44">
        <f t="shared" si="86"/>
        <v>0</v>
      </c>
      <c r="AE132" s="44">
        <f t="shared" si="87"/>
        <v>0</v>
      </c>
      <c r="AF132" s="52" t="e">
        <f>HLOOKUP(I132,ElecAvoidedCostsWOCC!$A$5:$Q$50,G132+1,FALSE)</f>
        <v>#N/A</v>
      </c>
      <c r="AG132" s="44" t="e">
        <f t="shared" si="88"/>
        <v>#N/A</v>
      </c>
      <c r="AH132" s="52" t="e">
        <f>HLOOKUP(I132,ElecAvoidedCostsWOCC!$A$5:$Q$50,T132+1,FALSE)</f>
        <v>#N/A</v>
      </c>
      <c r="AI132" s="44" t="e">
        <f t="shared" si="89"/>
        <v>#N/A</v>
      </c>
      <c r="AJ132" s="44" t="e">
        <f t="shared" si="90"/>
        <v>#N/A</v>
      </c>
      <c r="AK132" s="44" t="e">
        <f>HLOOKUP(I132,ElecAvoidedCostsWOCC!$A$5:$Q$50,G132+1,FALSE)*J132*L132</f>
        <v>#N/A</v>
      </c>
      <c r="AL132" s="44" t="e">
        <f t="shared" si="91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92"/>
        <v>0</v>
      </c>
      <c r="AO132" s="47">
        <f t="shared" si="93"/>
        <v>0</v>
      </c>
      <c r="AP132" s="47" t="e">
        <f t="shared" si="94"/>
        <v>#DIV/0!</v>
      </c>
    </row>
    <row r="133" spans="2:42">
      <c r="B133" s="97" t="s">
        <v>15</v>
      </c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76"/>
        <v>0</v>
      </c>
      <c r="U133" s="47">
        <f t="shared" si="77"/>
        <v>0</v>
      </c>
      <c r="V133" s="48">
        <f t="shared" si="78"/>
        <v>0</v>
      </c>
      <c r="W133" s="49">
        <f t="shared" si="79"/>
        <v>0</v>
      </c>
      <c r="X133" s="44">
        <f t="shared" si="80"/>
        <v>0</v>
      </c>
      <c r="Y133" s="44">
        <f t="shared" si="81"/>
        <v>0</v>
      </c>
      <c r="Z133" s="44">
        <f t="shared" si="82"/>
        <v>0</v>
      </c>
      <c r="AA133" s="50">
        <f t="shared" si="83"/>
        <v>0</v>
      </c>
      <c r="AB133" s="51">
        <f t="shared" si="84"/>
        <v>0</v>
      </c>
      <c r="AC133" s="44">
        <f t="shared" si="85"/>
        <v>0</v>
      </c>
      <c r="AD133" s="44">
        <f t="shared" si="86"/>
        <v>0</v>
      </c>
      <c r="AE133" s="44">
        <f t="shared" si="87"/>
        <v>0</v>
      </c>
      <c r="AF133" s="52" t="e">
        <f>HLOOKUP(I133,ElecAvoidedCostsWOCC!$A$5:$Q$50,G133+1,FALSE)</f>
        <v>#N/A</v>
      </c>
      <c r="AG133" s="44" t="e">
        <f t="shared" si="88"/>
        <v>#N/A</v>
      </c>
      <c r="AH133" s="52" t="e">
        <f>HLOOKUP(I133,ElecAvoidedCostsWOCC!$A$5:$Q$50,T133+1,FALSE)</f>
        <v>#N/A</v>
      </c>
      <c r="AI133" s="44" t="e">
        <f t="shared" si="89"/>
        <v>#N/A</v>
      </c>
      <c r="AJ133" s="44" t="e">
        <f t="shared" si="90"/>
        <v>#N/A</v>
      </c>
      <c r="AK133" s="44" t="e">
        <f>HLOOKUP(I133,ElecAvoidedCostsWOCC!$A$5:$Q$50,G133+1,FALSE)*J133*L133</f>
        <v>#N/A</v>
      </c>
      <c r="AL133" s="44" t="e">
        <f t="shared" si="91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92"/>
        <v>0</v>
      </c>
      <c r="AO133" s="47">
        <f t="shared" si="93"/>
        <v>0</v>
      </c>
      <c r="AP133" s="47" t="e">
        <f t="shared" si="94"/>
        <v>#DIV/0!</v>
      </c>
    </row>
    <row r="134" spans="2:42">
      <c r="B134" s="97" t="s">
        <v>15</v>
      </c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76"/>
        <v>0</v>
      </c>
      <c r="U134" s="47">
        <f t="shared" si="77"/>
        <v>0</v>
      </c>
      <c r="V134" s="48">
        <f t="shared" si="78"/>
        <v>0</v>
      </c>
      <c r="W134" s="49">
        <f t="shared" si="79"/>
        <v>0</v>
      </c>
      <c r="X134" s="44">
        <f t="shared" si="80"/>
        <v>0</v>
      </c>
      <c r="Y134" s="44">
        <f t="shared" si="81"/>
        <v>0</v>
      </c>
      <c r="Z134" s="44">
        <f t="shared" si="82"/>
        <v>0</v>
      </c>
      <c r="AA134" s="50">
        <f t="shared" si="83"/>
        <v>0</v>
      </c>
      <c r="AB134" s="51">
        <f t="shared" si="84"/>
        <v>0</v>
      </c>
      <c r="AC134" s="44">
        <f t="shared" si="85"/>
        <v>0</v>
      </c>
      <c r="AD134" s="44">
        <f t="shared" si="86"/>
        <v>0</v>
      </c>
      <c r="AE134" s="44">
        <f t="shared" si="87"/>
        <v>0</v>
      </c>
      <c r="AF134" s="52" t="e">
        <f>HLOOKUP(I134,ElecAvoidedCostsWOCC!$A$5:$Q$50,G134+1,FALSE)</f>
        <v>#N/A</v>
      </c>
      <c r="AG134" s="44" t="e">
        <f t="shared" si="88"/>
        <v>#N/A</v>
      </c>
      <c r="AH134" s="52" t="e">
        <f>HLOOKUP(I134,ElecAvoidedCostsWOCC!$A$5:$Q$50,T134+1,FALSE)</f>
        <v>#N/A</v>
      </c>
      <c r="AI134" s="44" t="e">
        <f t="shared" si="89"/>
        <v>#N/A</v>
      </c>
      <c r="AJ134" s="44" t="e">
        <f t="shared" si="90"/>
        <v>#N/A</v>
      </c>
      <c r="AK134" s="44" t="e">
        <f>HLOOKUP(I134,ElecAvoidedCostsWOCC!$A$5:$Q$50,G134+1,FALSE)*J134*L134</f>
        <v>#N/A</v>
      </c>
      <c r="AL134" s="44" t="e">
        <f t="shared" si="91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92"/>
        <v>0</v>
      </c>
      <c r="AO134" s="47">
        <f t="shared" si="93"/>
        <v>0</v>
      </c>
      <c r="AP134" s="47" t="e">
        <f t="shared" si="94"/>
        <v>#DIV/0!</v>
      </c>
    </row>
    <row r="135" spans="2:42">
      <c r="B135" s="97" t="s">
        <v>15</v>
      </c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76"/>
        <v>0</v>
      </c>
      <c r="U135" s="47">
        <f t="shared" si="77"/>
        <v>0</v>
      </c>
      <c r="V135" s="48">
        <f t="shared" si="78"/>
        <v>0</v>
      </c>
      <c r="W135" s="49">
        <f t="shared" si="79"/>
        <v>0</v>
      </c>
      <c r="X135" s="44">
        <f t="shared" si="80"/>
        <v>0</v>
      </c>
      <c r="Y135" s="44">
        <f t="shared" si="81"/>
        <v>0</v>
      </c>
      <c r="Z135" s="44">
        <f t="shared" si="82"/>
        <v>0</v>
      </c>
      <c r="AA135" s="50">
        <f t="shared" si="83"/>
        <v>0</v>
      </c>
      <c r="AB135" s="51">
        <f t="shared" si="84"/>
        <v>0</v>
      </c>
      <c r="AC135" s="44">
        <f t="shared" si="85"/>
        <v>0</v>
      </c>
      <c r="AD135" s="44">
        <f t="shared" si="86"/>
        <v>0</v>
      </c>
      <c r="AE135" s="44">
        <f t="shared" si="87"/>
        <v>0</v>
      </c>
      <c r="AF135" s="52" t="e">
        <f>HLOOKUP(I135,ElecAvoidedCostsWOCC!$A$5:$Q$50,G135+1,FALSE)</f>
        <v>#N/A</v>
      </c>
      <c r="AG135" s="44" t="e">
        <f t="shared" si="88"/>
        <v>#N/A</v>
      </c>
      <c r="AH135" s="52" t="e">
        <f>HLOOKUP(I135,ElecAvoidedCostsWOCC!$A$5:$Q$50,T135+1,FALSE)</f>
        <v>#N/A</v>
      </c>
      <c r="AI135" s="44" t="e">
        <f t="shared" si="89"/>
        <v>#N/A</v>
      </c>
      <c r="AJ135" s="44" t="e">
        <f t="shared" si="90"/>
        <v>#N/A</v>
      </c>
      <c r="AK135" s="44" t="e">
        <f>HLOOKUP(I135,ElecAvoidedCostsWOCC!$A$5:$Q$50,G135+1,FALSE)*J135*L135</f>
        <v>#N/A</v>
      </c>
      <c r="AL135" s="44" t="e">
        <f t="shared" si="91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92"/>
        <v>0</v>
      </c>
      <c r="AO135" s="47">
        <f t="shared" si="93"/>
        <v>0</v>
      </c>
      <c r="AP135" s="47" t="e">
        <f t="shared" si="94"/>
        <v>#DIV/0!</v>
      </c>
    </row>
    <row r="136" spans="2:42">
      <c r="B136" s="97" t="s">
        <v>15</v>
      </c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76"/>
        <v>0</v>
      </c>
      <c r="U136" s="47">
        <f t="shared" si="77"/>
        <v>0</v>
      </c>
      <c r="V136" s="48">
        <f t="shared" si="78"/>
        <v>0</v>
      </c>
      <c r="W136" s="49">
        <f t="shared" si="79"/>
        <v>0</v>
      </c>
      <c r="X136" s="44">
        <f t="shared" si="80"/>
        <v>0</v>
      </c>
      <c r="Y136" s="44">
        <f t="shared" si="81"/>
        <v>0</v>
      </c>
      <c r="Z136" s="44">
        <f t="shared" si="82"/>
        <v>0</v>
      </c>
      <c r="AA136" s="50">
        <f t="shared" si="83"/>
        <v>0</v>
      </c>
      <c r="AB136" s="51">
        <f t="shared" si="84"/>
        <v>0</v>
      </c>
      <c r="AC136" s="44">
        <f t="shared" si="85"/>
        <v>0</v>
      </c>
      <c r="AD136" s="44">
        <f t="shared" si="86"/>
        <v>0</v>
      </c>
      <c r="AE136" s="44">
        <f t="shared" si="87"/>
        <v>0</v>
      </c>
      <c r="AF136" s="52" t="e">
        <f>HLOOKUP(I136,ElecAvoidedCostsWOCC!$A$5:$Q$50,G136+1,FALSE)</f>
        <v>#N/A</v>
      </c>
      <c r="AG136" s="44" t="e">
        <f t="shared" si="88"/>
        <v>#N/A</v>
      </c>
      <c r="AH136" s="52" t="e">
        <f>HLOOKUP(I136,ElecAvoidedCostsWOCC!$A$5:$Q$50,T136+1,FALSE)</f>
        <v>#N/A</v>
      </c>
      <c r="AI136" s="44" t="e">
        <f t="shared" si="89"/>
        <v>#N/A</v>
      </c>
      <c r="AJ136" s="44" t="e">
        <f t="shared" si="90"/>
        <v>#N/A</v>
      </c>
      <c r="AK136" s="44" t="e">
        <f>HLOOKUP(I136,ElecAvoidedCostsWOCC!$A$5:$Q$50,G136+1,FALSE)*J136*L136</f>
        <v>#N/A</v>
      </c>
      <c r="AL136" s="44" t="e">
        <f t="shared" si="91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92"/>
        <v>0</v>
      </c>
      <c r="AO136" s="47">
        <f t="shared" si="93"/>
        <v>0</v>
      </c>
      <c r="AP136" s="47" t="e">
        <f t="shared" si="94"/>
        <v>#DIV/0!</v>
      </c>
    </row>
    <row r="137" spans="2:42">
      <c r="B137" s="97" t="s">
        <v>15</v>
      </c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76"/>
        <v>0</v>
      </c>
      <c r="U137" s="47">
        <f t="shared" si="77"/>
        <v>0</v>
      </c>
      <c r="V137" s="48">
        <f t="shared" si="78"/>
        <v>0</v>
      </c>
      <c r="W137" s="49">
        <f t="shared" si="79"/>
        <v>0</v>
      </c>
      <c r="X137" s="44">
        <f t="shared" si="80"/>
        <v>0</v>
      </c>
      <c r="Y137" s="44">
        <f t="shared" si="81"/>
        <v>0</v>
      </c>
      <c r="Z137" s="44">
        <f t="shared" si="82"/>
        <v>0</v>
      </c>
      <c r="AA137" s="50">
        <f t="shared" si="83"/>
        <v>0</v>
      </c>
      <c r="AB137" s="51">
        <f t="shared" si="84"/>
        <v>0</v>
      </c>
      <c r="AC137" s="44">
        <f t="shared" si="85"/>
        <v>0</v>
      </c>
      <c r="AD137" s="44">
        <f t="shared" si="86"/>
        <v>0</v>
      </c>
      <c r="AE137" s="44">
        <f t="shared" si="87"/>
        <v>0</v>
      </c>
      <c r="AF137" s="52" t="e">
        <f>HLOOKUP(I137,ElecAvoidedCostsWOCC!$A$5:$Q$50,G137+1,FALSE)</f>
        <v>#N/A</v>
      </c>
      <c r="AG137" s="44" t="e">
        <f t="shared" si="88"/>
        <v>#N/A</v>
      </c>
      <c r="AH137" s="52" t="e">
        <f>HLOOKUP(I137,ElecAvoidedCostsWOCC!$A$5:$Q$50,T137+1,FALSE)</f>
        <v>#N/A</v>
      </c>
      <c r="AI137" s="44" t="e">
        <f t="shared" si="89"/>
        <v>#N/A</v>
      </c>
      <c r="AJ137" s="44" t="e">
        <f t="shared" si="90"/>
        <v>#N/A</v>
      </c>
      <c r="AK137" s="44" t="e">
        <f>HLOOKUP(I137,ElecAvoidedCostsWOCC!$A$5:$Q$50,G137+1,FALSE)*J137*L137</f>
        <v>#N/A</v>
      </c>
      <c r="AL137" s="44" t="e">
        <f t="shared" si="91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92"/>
        <v>0</v>
      </c>
      <c r="AO137" s="47">
        <f t="shared" si="93"/>
        <v>0</v>
      </c>
      <c r="AP137" s="47" t="e">
        <f t="shared" si="94"/>
        <v>#DIV/0!</v>
      </c>
    </row>
    <row r="138" spans="2:42">
      <c r="B138" s="97" t="s">
        <v>15</v>
      </c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76"/>
        <v>0</v>
      </c>
      <c r="U138" s="47">
        <f t="shared" si="77"/>
        <v>0</v>
      </c>
      <c r="V138" s="48">
        <f t="shared" si="78"/>
        <v>0</v>
      </c>
      <c r="W138" s="49">
        <f t="shared" si="79"/>
        <v>0</v>
      </c>
      <c r="X138" s="44">
        <f t="shared" si="80"/>
        <v>0</v>
      </c>
      <c r="Y138" s="44">
        <f t="shared" si="81"/>
        <v>0</v>
      </c>
      <c r="Z138" s="44">
        <f t="shared" si="82"/>
        <v>0</v>
      </c>
      <c r="AA138" s="50">
        <f t="shared" si="83"/>
        <v>0</v>
      </c>
      <c r="AB138" s="51">
        <f t="shared" si="84"/>
        <v>0</v>
      </c>
      <c r="AC138" s="44">
        <f t="shared" si="85"/>
        <v>0</v>
      </c>
      <c r="AD138" s="44">
        <f t="shared" si="86"/>
        <v>0</v>
      </c>
      <c r="AE138" s="44">
        <f t="shared" si="87"/>
        <v>0</v>
      </c>
      <c r="AF138" s="52" t="e">
        <f>HLOOKUP(I138,ElecAvoidedCostsWOCC!$A$5:$Q$50,G138+1,FALSE)</f>
        <v>#N/A</v>
      </c>
      <c r="AG138" s="44" t="e">
        <f t="shared" si="88"/>
        <v>#N/A</v>
      </c>
      <c r="AH138" s="52" t="e">
        <f>HLOOKUP(I138,ElecAvoidedCostsWOCC!$A$5:$Q$50,T138+1,FALSE)</f>
        <v>#N/A</v>
      </c>
      <c r="AI138" s="44" t="e">
        <f t="shared" si="89"/>
        <v>#N/A</v>
      </c>
      <c r="AJ138" s="44" t="e">
        <f t="shared" si="90"/>
        <v>#N/A</v>
      </c>
      <c r="AK138" s="44" t="e">
        <f>HLOOKUP(I138,ElecAvoidedCostsWOCC!$A$5:$Q$50,G138+1,FALSE)*J138*L138</f>
        <v>#N/A</v>
      </c>
      <c r="AL138" s="44" t="e">
        <f t="shared" si="91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92"/>
        <v>0</v>
      </c>
      <c r="AO138" s="47">
        <f t="shared" si="93"/>
        <v>0</v>
      </c>
      <c r="AP138" s="47" t="e">
        <f t="shared" si="94"/>
        <v>#DIV/0!</v>
      </c>
    </row>
    <row r="139" spans="2:42">
      <c r="B139" s="97" t="s">
        <v>15</v>
      </c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76"/>
        <v>0</v>
      </c>
      <c r="U139" s="47">
        <f t="shared" si="77"/>
        <v>0</v>
      </c>
      <c r="V139" s="48">
        <f t="shared" si="78"/>
        <v>0</v>
      </c>
      <c r="W139" s="49">
        <f t="shared" si="79"/>
        <v>0</v>
      </c>
      <c r="X139" s="44">
        <f t="shared" si="80"/>
        <v>0</v>
      </c>
      <c r="Y139" s="44">
        <f t="shared" si="81"/>
        <v>0</v>
      </c>
      <c r="Z139" s="44">
        <f t="shared" si="82"/>
        <v>0</v>
      </c>
      <c r="AA139" s="50">
        <f t="shared" si="83"/>
        <v>0</v>
      </c>
      <c r="AB139" s="51">
        <f t="shared" si="84"/>
        <v>0</v>
      </c>
      <c r="AC139" s="44">
        <f t="shared" si="85"/>
        <v>0</v>
      </c>
      <c r="AD139" s="44">
        <f t="shared" si="86"/>
        <v>0</v>
      </c>
      <c r="AE139" s="44">
        <f t="shared" si="87"/>
        <v>0</v>
      </c>
      <c r="AF139" s="52" t="e">
        <f>HLOOKUP(I139,ElecAvoidedCostsWOCC!$A$5:$Q$50,G139+1,FALSE)</f>
        <v>#N/A</v>
      </c>
      <c r="AG139" s="44" t="e">
        <f t="shared" si="88"/>
        <v>#N/A</v>
      </c>
      <c r="AH139" s="52" t="e">
        <f>HLOOKUP(I139,ElecAvoidedCostsWOCC!$A$5:$Q$50,T139+1,FALSE)</f>
        <v>#N/A</v>
      </c>
      <c r="AI139" s="44" t="e">
        <f t="shared" si="89"/>
        <v>#N/A</v>
      </c>
      <c r="AJ139" s="44" t="e">
        <f t="shared" si="90"/>
        <v>#N/A</v>
      </c>
      <c r="AK139" s="44" t="e">
        <f>HLOOKUP(I139,ElecAvoidedCostsWOCC!$A$5:$Q$50,G139+1,FALSE)*J139*L139</f>
        <v>#N/A</v>
      </c>
      <c r="AL139" s="44" t="e">
        <f t="shared" si="91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92"/>
        <v>0</v>
      </c>
      <c r="AO139" s="47">
        <f t="shared" si="93"/>
        <v>0</v>
      </c>
      <c r="AP139" s="47" t="e">
        <f t="shared" si="94"/>
        <v>#DIV/0!</v>
      </c>
    </row>
    <row r="140" spans="2:42">
      <c r="B140" s="97" t="s">
        <v>15</v>
      </c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76"/>
        <v>0</v>
      </c>
      <c r="U140" s="47">
        <f t="shared" si="77"/>
        <v>0</v>
      </c>
      <c r="V140" s="48">
        <f t="shared" si="78"/>
        <v>0</v>
      </c>
      <c r="W140" s="49">
        <f t="shared" si="79"/>
        <v>0</v>
      </c>
      <c r="X140" s="44">
        <f t="shared" si="80"/>
        <v>0</v>
      </c>
      <c r="Y140" s="44">
        <f t="shared" si="81"/>
        <v>0</v>
      </c>
      <c r="Z140" s="44">
        <f t="shared" si="82"/>
        <v>0</v>
      </c>
      <c r="AA140" s="50">
        <f t="shared" si="83"/>
        <v>0</v>
      </c>
      <c r="AB140" s="51">
        <f t="shared" si="84"/>
        <v>0</v>
      </c>
      <c r="AC140" s="44">
        <f t="shared" si="85"/>
        <v>0</v>
      </c>
      <c r="AD140" s="44">
        <f t="shared" si="86"/>
        <v>0</v>
      </c>
      <c r="AE140" s="44">
        <f t="shared" si="87"/>
        <v>0</v>
      </c>
      <c r="AF140" s="52" t="e">
        <f>HLOOKUP(I140,ElecAvoidedCostsWOCC!$A$5:$Q$50,G140+1,FALSE)</f>
        <v>#N/A</v>
      </c>
      <c r="AG140" s="44" t="e">
        <f t="shared" si="88"/>
        <v>#N/A</v>
      </c>
      <c r="AH140" s="52" t="e">
        <f>HLOOKUP(I140,ElecAvoidedCostsWOCC!$A$5:$Q$50,T140+1,FALSE)</f>
        <v>#N/A</v>
      </c>
      <c r="AI140" s="44" t="e">
        <f t="shared" si="89"/>
        <v>#N/A</v>
      </c>
      <c r="AJ140" s="44" t="e">
        <f t="shared" si="90"/>
        <v>#N/A</v>
      </c>
      <c r="AK140" s="44" t="e">
        <f>HLOOKUP(I140,ElecAvoidedCostsWOCC!$A$5:$Q$50,G140+1,FALSE)*J140*L140</f>
        <v>#N/A</v>
      </c>
      <c r="AL140" s="44" t="e">
        <f t="shared" si="91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92"/>
        <v>0</v>
      </c>
      <c r="AO140" s="47">
        <f t="shared" si="93"/>
        <v>0</v>
      </c>
      <c r="AP140" s="47" t="e">
        <f t="shared" si="94"/>
        <v>#DIV/0!</v>
      </c>
    </row>
    <row r="141" spans="2:42">
      <c r="B141" s="97" t="s">
        <v>15</v>
      </c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76"/>
        <v>0</v>
      </c>
      <c r="U141" s="47">
        <f t="shared" si="77"/>
        <v>0</v>
      </c>
      <c r="V141" s="48">
        <f t="shared" si="78"/>
        <v>0</v>
      </c>
      <c r="W141" s="49">
        <f t="shared" si="79"/>
        <v>0</v>
      </c>
      <c r="X141" s="44">
        <f t="shared" si="80"/>
        <v>0</v>
      </c>
      <c r="Y141" s="44">
        <f t="shared" si="81"/>
        <v>0</v>
      </c>
      <c r="Z141" s="44">
        <f t="shared" si="82"/>
        <v>0</v>
      </c>
      <c r="AA141" s="50">
        <f t="shared" si="83"/>
        <v>0</v>
      </c>
      <c r="AB141" s="51">
        <f t="shared" si="84"/>
        <v>0</v>
      </c>
      <c r="AC141" s="44">
        <f t="shared" si="85"/>
        <v>0</v>
      </c>
      <c r="AD141" s="44">
        <f t="shared" si="86"/>
        <v>0</v>
      </c>
      <c r="AE141" s="44">
        <f t="shared" si="87"/>
        <v>0</v>
      </c>
      <c r="AF141" s="52" t="e">
        <f>HLOOKUP(I141,ElecAvoidedCostsWOCC!$A$5:$Q$50,G141+1,FALSE)</f>
        <v>#N/A</v>
      </c>
      <c r="AG141" s="44" t="e">
        <f t="shared" si="88"/>
        <v>#N/A</v>
      </c>
      <c r="AH141" s="52" t="e">
        <f>HLOOKUP(I141,ElecAvoidedCostsWOCC!$A$5:$Q$50,T141+1,FALSE)</f>
        <v>#N/A</v>
      </c>
      <c r="AI141" s="44" t="e">
        <f t="shared" si="89"/>
        <v>#N/A</v>
      </c>
      <c r="AJ141" s="44" t="e">
        <f t="shared" si="90"/>
        <v>#N/A</v>
      </c>
      <c r="AK141" s="44" t="e">
        <f>HLOOKUP(I141,ElecAvoidedCostsWOCC!$A$5:$Q$50,G141+1,FALSE)*J141*L141</f>
        <v>#N/A</v>
      </c>
      <c r="AL141" s="44" t="e">
        <f t="shared" si="91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92"/>
        <v>0</v>
      </c>
      <c r="AO141" s="47">
        <f t="shared" si="93"/>
        <v>0</v>
      </c>
      <c r="AP141" s="47" t="e">
        <f t="shared" si="94"/>
        <v>#DIV/0!</v>
      </c>
    </row>
    <row r="142" spans="2:42">
      <c r="B142" s="97" t="s">
        <v>15</v>
      </c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76"/>
        <v>0</v>
      </c>
      <c r="U142" s="47">
        <f t="shared" si="77"/>
        <v>0</v>
      </c>
      <c r="V142" s="48">
        <f t="shared" si="78"/>
        <v>0</v>
      </c>
      <c r="W142" s="49">
        <f t="shared" si="79"/>
        <v>0</v>
      </c>
      <c r="X142" s="44">
        <f t="shared" si="80"/>
        <v>0</v>
      </c>
      <c r="Y142" s="44">
        <f t="shared" si="81"/>
        <v>0</v>
      </c>
      <c r="Z142" s="44">
        <f t="shared" si="82"/>
        <v>0</v>
      </c>
      <c r="AA142" s="50">
        <f t="shared" si="83"/>
        <v>0</v>
      </c>
      <c r="AB142" s="51">
        <f t="shared" si="84"/>
        <v>0</v>
      </c>
      <c r="AC142" s="44">
        <f t="shared" si="85"/>
        <v>0</v>
      </c>
      <c r="AD142" s="44">
        <f t="shared" si="86"/>
        <v>0</v>
      </c>
      <c r="AE142" s="44">
        <f t="shared" si="87"/>
        <v>0</v>
      </c>
      <c r="AF142" s="52" t="e">
        <f>HLOOKUP(I142,ElecAvoidedCostsWOCC!$A$5:$Q$50,G142+1,FALSE)</f>
        <v>#N/A</v>
      </c>
      <c r="AG142" s="44" t="e">
        <f t="shared" si="88"/>
        <v>#N/A</v>
      </c>
      <c r="AH142" s="52" t="e">
        <f>HLOOKUP(I142,ElecAvoidedCostsWOCC!$A$5:$Q$50,T142+1,FALSE)</f>
        <v>#N/A</v>
      </c>
      <c r="AI142" s="44" t="e">
        <f t="shared" si="89"/>
        <v>#N/A</v>
      </c>
      <c r="AJ142" s="44" t="e">
        <f t="shared" si="90"/>
        <v>#N/A</v>
      </c>
      <c r="AK142" s="44" t="e">
        <f>HLOOKUP(I142,ElecAvoidedCostsWOCC!$A$5:$Q$50,G142+1,FALSE)*J142*L142</f>
        <v>#N/A</v>
      </c>
      <c r="AL142" s="44" t="e">
        <f t="shared" si="91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92"/>
        <v>0</v>
      </c>
      <c r="AO142" s="47">
        <f t="shared" si="93"/>
        <v>0</v>
      </c>
      <c r="AP142" s="47" t="e">
        <f t="shared" si="94"/>
        <v>#DIV/0!</v>
      </c>
    </row>
    <row r="143" spans="2:42">
      <c r="B143" s="97" t="s">
        <v>15</v>
      </c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76"/>
        <v>0</v>
      </c>
      <c r="U143" s="47">
        <f t="shared" si="77"/>
        <v>0</v>
      </c>
      <c r="V143" s="48">
        <f t="shared" si="78"/>
        <v>0</v>
      </c>
      <c r="W143" s="49">
        <f t="shared" si="79"/>
        <v>0</v>
      </c>
      <c r="X143" s="44">
        <f t="shared" si="80"/>
        <v>0</v>
      </c>
      <c r="Y143" s="44">
        <f t="shared" si="81"/>
        <v>0</v>
      </c>
      <c r="Z143" s="44">
        <f t="shared" si="82"/>
        <v>0</v>
      </c>
      <c r="AA143" s="50">
        <f t="shared" si="83"/>
        <v>0</v>
      </c>
      <c r="AB143" s="51">
        <f t="shared" si="84"/>
        <v>0</v>
      </c>
      <c r="AC143" s="44">
        <f t="shared" si="85"/>
        <v>0</v>
      </c>
      <c r="AD143" s="44">
        <f t="shared" si="86"/>
        <v>0</v>
      </c>
      <c r="AE143" s="44">
        <f t="shared" si="87"/>
        <v>0</v>
      </c>
      <c r="AF143" s="52" t="e">
        <f>HLOOKUP(I143,ElecAvoidedCostsWOCC!$A$5:$Q$50,G143+1,FALSE)</f>
        <v>#N/A</v>
      </c>
      <c r="AG143" s="44" t="e">
        <f t="shared" si="88"/>
        <v>#N/A</v>
      </c>
      <c r="AH143" s="52" t="e">
        <f>HLOOKUP(I143,ElecAvoidedCostsWOCC!$A$5:$Q$50,T143+1,FALSE)</f>
        <v>#N/A</v>
      </c>
      <c r="AI143" s="44" t="e">
        <f t="shared" si="89"/>
        <v>#N/A</v>
      </c>
      <c r="AJ143" s="44" t="e">
        <f t="shared" si="90"/>
        <v>#N/A</v>
      </c>
      <c r="AK143" s="44" t="e">
        <f>HLOOKUP(I143,ElecAvoidedCostsWOCC!$A$5:$Q$50,G143+1,FALSE)*J143*L143</f>
        <v>#N/A</v>
      </c>
      <c r="AL143" s="44" t="e">
        <f t="shared" si="91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92"/>
        <v>0</v>
      </c>
      <c r="AO143" s="47">
        <f t="shared" si="93"/>
        <v>0</v>
      </c>
      <c r="AP143" s="47" t="e">
        <f t="shared" si="94"/>
        <v>#DIV/0!</v>
      </c>
    </row>
    <row r="144" spans="2:42">
      <c r="B144" s="97" t="s">
        <v>15</v>
      </c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76"/>
        <v>0</v>
      </c>
      <c r="U144" s="47">
        <f t="shared" si="77"/>
        <v>0</v>
      </c>
      <c r="V144" s="48">
        <f t="shared" si="78"/>
        <v>0</v>
      </c>
      <c r="W144" s="49">
        <f t="shared" si="79"/>
        <v>0</v>
      </c>
      <c r="X144" s="44">
        <f t="shared" si="80"/>
        <v>0</v>
      </c>
      <c r="Y144" s="44">
        <f t="shared" si="81"/>
        <v>0</v>
      </c>
      <c r="Z144" s="44">
        <f t="shared" si="82"/>
        <v>0</v>
      </c>
      <c r="AA144" s="50">
        <f t="shared" si="83"/>
        <v>0</v>
      </c>
      <c r="AB144" s="51">
        <f t="shared" si="84"/>
        <v>0</v>
      </c>
      <c r="AC144" s="44">
        <f t="shared" si="85"/>
        <v>0</v>
      </c>
      <c r="AD144" s="44">
        <f t="shared" si="86"/>
        <v>0</v>
      </c>
      <c r="AE144" s="44">
        <f t="shared" si="87"/>
        <v>0</v>
      </c>
      <c r="AF144" s="52" t="e">
        <f>HLOOKUP(I144,ElecAvoidedCostsWOCC!$A$5:$Q$50,G144+1,FALSE)</f>
        <v>#N/A</v>
      </c>
      <c r="AG144" s="44" t="e">
        <f t="shared" si="88"/>
        <v>#N/A</v>
      </c>
      <c r="AH144" s="52" t="e">
        <f>HLOOKUP(I144,ElecAvoidedCostsWOCC!$A$5:$Q$50,T144+1,FALSE)</f>
        <v>#N/A</v>
      </c>
      <c r="AI144" s="44" t="e">
        <f t="shared" si="89"/>
        <v>#N/A</v>
      </c>
      <c r="AJ144" s="44" t="e">
        <f t="shared" si="90"/>
        <v>#N/A</v>
      </c>
      <c r="AK144" s="44" t="e">
        <f>HLOOKUP(I144,ElecAvoidedCostsWOCC!$A$5:$Q$50,G144+1,FALSE)*J144*L144</f>
        <v>#N/A</v>
      </c>
      <c r="AL144" s="44" t="e">
        <f t="shared" si="91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92"/>
        <v>0</v>
      </c>
      <c r="AO144" s="47">
        <f t="shared" si="93"/>
        <v>0</v>
      </c>
      <c r="AP144" s="47" t="e">
        <f t="shared" si="94"/>
        <v>#DIV/0!</v>
      </c>
    </row>
    <row r="145" spans="2:42">
      <c r="B145" s="97" t="s">
        <v>15</v>
      </c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76"/>
        <v>0</v>
      </c>
      <c r="U145" s="47">
        <f t="shared" si="77"/>
        <v>0</v>
      </c>
      <c r="V145" s="48">
        <f t="shared" si="78"/>
        <v>0</v>
      </c>
      <c r="W145" s="49">
        <f t="shared" si="79"/>
        <v>0</v>
      </c>
      <c r="X145" s="44">
        <f t="shared" si="80"/>
        <v>0</v>
      </c>
      <c r="Y145" s="44">
        <f t="shared" si="81"/>
        <v>0</v>
      </c>
      <c r="Z145" s="44">
        <f t="shared" si="82"/>
        <v>0</v>
      </c>
      <c r="AA145" s="50">
        <f t="shared" si="83"/>
        <v>0</v>
      </c>
      <c r="AB145" s="51">
        <f t="shared" si="84"/>
        <v>0</v>
      </c>
      <c r="AC145" s="44">
        <f t="shared" si="85"/>
        <v>0</v>
      </c>
      <c r="AD145" s="44">
        <f t="shared" si="86"/>
        <v>0</v>
      </c>
      <c r="AE145" s="44">
        <f t="shared" si="87"/>
        <v>0</v>
      </c>
      <c r="AF145" s="52" t="e">
        <f>HLOOKUP(I145,ElecAvoidedCostsWOCC!$A$5:$Q$50,G145+1,FALSE)</f>
        <v>#N/A</v>
      </c>
      <c r="AG145" s="44" t="e">
        <f t="shared" si="88"/>
        <v>#N/A</v>
      </c>
      <c r="AH145" s="52" t="e">
        <f>HLOOKUP(I145,ElecAvoidedCostsWOCC!$A$5:$Q$50,T145+1,FALSE)</f>
        <v>#N/A</v>
      </c>
      <c r="AI145" s="44" t="e">
        <f t="shared" si="89"/>
        <v>#N/A</v>
      </c>
      <c r="AJ145" s="44" t="e">
        <f t="shared" si="90"/>
        <v>#N/A</v>
      </c>
      <c r="AK145" s="44" t="e">
        <f>HLOOKUP(I145,ElecAvoidedCostsWOCC!$A$5:$Q$50,G145+1,FALSE)*J145*L145</f>
        <v>#N/A</v>
      </c>
      <c r="AL145" s="44" t="e">
        <f t="shared" si="91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92"/>
        <v>0</v>
      </c>
      <c r="AO145" s="47">
        <f t="shared" si="93"/>
        <v>0</v>
      </c>
      <c r="AP145" s="47" t="e">
        <f t="shared" si="94"/>
        <v>#DIV/0!</v>
      </c>
    </row>
    <row r="146" spans="2:42">
      <c r="B146" s="97" t="s">
        <v>15</v>
      </c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76"/>
        <v>0</v>
      </c>
      <c r="U146" s="47">
        <f t="shared" si="77"/>
        <v>0</v>
      </c>
      <c r="V146" s="48">
        <f t="shared" si="78"/>
        <v>0</v>
      </c>
      <c r="W146" s="49">
        <f t="shared" si="79"/>
        <v>0</v>
      </c>
      <c r="X146" s="44">
        <f t="shared" si="80"/>
        <v>0</v>
      </c>
      <c r="Y146" s="44">
        <f t="shared" si="81"/>
        <v>0</v>
      </c>
      <c r="Z146" s="44">
        <f t="shared" si="82"/>
        <v>0</v>
      </c>
      <c r="AA146" s="50">
        <f t="shared" si="83"/>
        <v>0</v>
      </c>
      <c r="AB146" s="51">
        <f t="shared" si="84"/>
        <v>0</v>
      </c>
      <c r="AC146" s="44">
        <f t="shared" si="85"/>
        <v>0</v>
      </c>
      <c r="AD146" s="44">
        <f t="shared" si="86"/>
        <v>0</v>
      </c>
      <c r="AE146" s="44">
        <f t="shared" si="87"/>
        <v>0</v>
      </c>
      <c r="AF146" s="52" t="e">
        <f>HLOOKUP(I146,ElecAvoidedCostsWOCC!$A$5:$Q$50,G146+1,FALSE)</f>
        <v>#N/A</v>
      </c>
      <c r="AG146" s="44" t="e">
        <f t="shared" si="88"/>
        <v>#N/A</v>
      </c>
      <c r="AH146" s="52" t="e">
        <f>HLOOKUP(I146,ElecAvoidedCostsWOCC!$A$5:$Q$50,T146+1,FALSE)</f>
        <v>#N/A</v>
      </c>
      <c r="AI146" s="44" t="e">
        <f t="shared" si="89"/>
        <v>#N/A</v>
      </c>
      <c r="AJ146" s="44" t="e">
        <f t="shared" si="90"/>
        <v>#N/A</v>
      </c>
      <c r="AK146" s="44" t="e">
        <f>HLOOKUP(I146,ElecAvoidedCostsWOCC!$A$5:$Q$50,G146+1,FALSE)*J146*L146</f>
        <v>#N/A</v>
      </c>
      <c r="AL146" s="44" t="e">
        <f t="shared" si="91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92"/>
        <v>0</v>
      </c>
      <c r="AO146" s="47">
        <f t="shared" si="93"/>
        <v>0</v>
      </c>
      <c r="AP146" s="47" t="e">
        <f t="shared" si="94"/>
        <v>#DIV/0!</v>
      </c>
    </row>
    <row r="147" spans="2:42">
      <c r="B147" s="97" t="s">
        <v>15</v>
      </c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76"/>
        <v>0</v>
      </c>
      <c r="U147" s="47">
        <f t="shared" si="77"/>
        <v>0</v>
      </c>
      <c r="V147" s="48">
        <f t="shared" si="78"/>
        <v>0</v>
      </c>
      <c r="W147" s="49">
        <f t="shared" si="79"/>
        <v>0</v>
      </c>
      <c r="X147" s="44">
        <f t="shared" si="80"/>
        <v>0</v>
      </c>
      <c r="Y147" s="44">
        <f t="shared" si="81"/>
        <v>0</v>
      </c>
      <c r="Z147" s="44">
        <f t="shared" si="82"/>
        <v>0</v>
      </c>
      <c r="AA147" s="50">
        <f t="shared" si="83"/>
        <v>0</v>
      </c>
      <c r="AB147" s="51">
        <f t="shared" si="84"/>
        <v>0</v>
      </c>
      <c r="AC147" s="44">
        <f t="shared" si="85"/>
        <v>0</v>
      </c>
      <c r="AD147" s="44">
        <f t="shared" si="86"/>
        <v>0</v>
      </c>
      <c r="AE147" s="44">
        <f t="shared" si="87"/>
        <v>0</v>
      </c>
      <c r="AF147" s="52" t="e">
        <f>HLOOKUP(I147,ElecAvoidedCostsWOCC!$A$5:$Q$50,G147+1,FALSE)</f>
        <v>#N/A</v>
      </c>
      <c r="AG147" s="44" t="e">
        <f t="shared" si="88"/>
        <v>#N/A</v>
      </c>
      <c r="AH147" s="52" t="e">
        <f>HLOOKUP(I147,ElecAvoidedCostsWOCC!$A$5:$Q$50,T147+1,FALSE)</f>
        <v>#N/A</v>
      </c>
      <c r="AI147" s="44" t="e">
        <f t="shared" si="89"/>
        <v>#N/A</v>
      </c>
      <c r="AJ147" s="44" t="e">
        <f t="shared" si="90"/>
        <v>#N/A</v>
      </c>
      <c r="AK147" s="44" t="e">
        <f>HLOOKUP(I147,ElecAvoidedCostsWOCC!$A$5:$Q$50,G147+1,FALSE)*J147*L147</f>
        <v>#N/A</v>
      </c>
      <c r="AL147" s="44" t="e">
        <f t="shared" si="91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92"/>
        <v>0</v>
      </c>
      <c r="AO147" s="47">
        <f t="shared" si="93"/>
        <v>0</v>
      </c>
      <c r="AP147" s="47" t="e">
        <f t="shared" si="94"/>
        <v>#DIV/0!</v>
      </c>
    </row>
    <row r="148" spans="2:42">
      <c r="B148" s="97" t="s">
        <v>15</v>
      </c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76"/>
        <v>0</v>
      </c>
      <c r="U148" s="47">
        <f t="shared" si="77"/>
        <v>0</v>
      </c>
      <c r="V148" s="48">
        <f t="shared" si="78"/>
        <v>0</v>
      </c>
      <c r="W148" s="49">
        <f t="shared" si="79"/>
        <v>0</v>
      </c>
      <c r="X148" s="44">
        <f t="shared" si="80"/>
        <v>0</v>
      </c>
      <c r="Y148" s="44">
        <f t="shared" si="81"/>
        <v>0</v>
      </c>
      <c r="Z148" s="44">
        <f t="shared" si="82"/>
        <v>0</v>
      </c>
      <c r="AA148" s="50">
        <f t="shared" si="83"/>
        <v>0</v>
      </c>
      <c r="AB148" s="51">
        <f t="shared" si="84"/>
        <v>0</v>
      </c>
      <c r="AC148" s="44">
        <f t="shared" si="85"/>
        <v>0</v>
      </c>
      <c r="AD148" s="44">
        <f t="shared" si="86"/>
        <v>0</v>
      </c>
      <c r="AE148" s="44">
        <f t="shared" si="87"/>
        <v>0</v>
      </c>
      <c r="AF148" s="52" t="e">
        <f>HLOOKUP(I148,ElecAvoidedCostsWOCC!$A$5:$Q$50,G148+1,FALSE)</f>
        <v>#N/A</v>
      </c>
      <c r="AG148" s="44" t="e">
        <f t="shared" si="88"/>
        <v>#N/A</v>
      </c>
      <c r="AH148" s="52" t="e">
        <f>HLOOKUP(I148,ElecAvoidedCostsWOCC!$A$5:$Q$50,T148+1,FALSE)</f>
        <v>#N/A</v>
      </c>
      <c r="AI148" s="44" t="e">
        <f t="shared" si="89"/>
        <v>#N/A</v>
      </c>
      <c r="AJ148" s="44" t="e">
        <f t="shared" si="90"/>
        <v>#N/A</v>
      </c>
      <c r="AK148" s="44" t="e">
        <f>HLOOKUP(I148,ElecAvoidedCostsWOCC!$A$5:$Q$50,G148+1,FALSE)*J148*L148</f>
        <v>#N/A</v>
      </c>
      <c r="AL148" s="44" t="e">
        <f t="shared" si="91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92"/>
        <v>0</v>
      </c>
      <c r="AO148" s="47">
        <f t="shared" si="93"/>
        <v>0</v>
      </c>
      <c r="AP148" s="47" t="e">
        <f t="shared" si="94"/>
        <v>#DIV/0!</v>
      </c>
    </row>
    <row r="149" spans="2:42">
      <c r="B149" s="97" t="s">
        <v>15</v>
      </c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76"/>
        <v>0</v>
      </c>
      <c r="U149" s="47">
        <f t="shared" si="77"/>
        <v>0</v>
      </c>
      <c r="V149" s="48">
        <f t="shared" si="78"/>
        <v>0</v>
      </c>
      <c r="W149" s="49">
        <f t="shared" si="79"/>
        <v>0</v>
      </c>
      <c r="X149" s="44">
        <f t="shared" si="80"/>
        <v>0</v>
      </c>
      <c r="Y149" s="44">
        <f t="shared" si="81"/>
        <v>0</v>
      </c>
      <c r="Z149" s="44">
        <f t="shared" si="82"/>
        <v>0</v>
      </c>
      <c r="AA149" s="50">
        <f t="shared" si="83"/>
        <v>0</v>
      </c>
      <c r="AB149" s="51">
        <f t="shared" si="84"/>
        <v>0</v>
      </c>
      <c r="AC149" s="44">
        <f t="shared" si="85"/>
        <v>0</v>
      </c>
      <c r="AD149" s="44">
        <f t="shared" si="86"/>
        <v>0</v>
      </c>
      <c r="AE149" s="44">
        <f t="shared" si="87"/>
        <v>0</v>
      </c>
      <c r="AF149" s="52" t="e">
        <f>HLOOKUP(I149,ElecAvoidedCostsWOCC!$A$5:$Q$50,G149+1,FALSE)</f>
        <v>#N/A</v>
      </c>
      <c r="AG149" s="44" t="e">
        <f t="shared" si="88"/>
        <v>#N/A</v>
      </c>
      <c r="AH149" s="52" t="e">
        <f>HLOOKUP(I149,ElecAvoidedCostsWOCC!$A$5:$Q$50,T149+1,FALSE)</f>
        <v>#N/A</v>
      </c>
      <c r="AI149" s="44" t="e">
        <f t="shared" si="89"/>
        <v>#N/A</v>
      </c>
      <c r="AJ149" s="44" t="e">
        <f t="shared" si="90"/>
        <v>#N/A</v>
      </c>
      <c r="AK149" s="44" t="e">
        <f>HLOOKUP(I149,ElecAvoidedCostsWOCC!$A$5:$Q$50,G149+1,FALSE)*J149*L149</f>
        <v>#N/A</v>
      </c>
      <c r="AL149" s="44" t="e">
        <f t="shared" si="91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92"/>
        <v>0</v>
      </c>
      <c r="AO149" s="47">
        <f t="shared" si="93"/>
        <v>0</v>
      </c>
      <c r="AP149" s="47" t="e">
        <f t="shared" si="94"/>
        <v>#DIV/0!</v>
      </c>
    </row>
    <row r="150" spans="2:42">
      <c r="B150" s="97" t="s">
        <v>15</v>
      </c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76"/>
        <v>0</v>
      </c>
      <c r="U150" s="47">
        <f t="shared" si="77"/>
        <v>0</v>
      </c>
      <c r="V150" s="48">
        <f t="shared" si="78"/>
        <v>0</v>
      </c>
      <c r="W150" s="49">
        <f t="shared" si="79"/>
        <v>0</v>
      </c>
      <c r="X150" s="44">
        <f t="shared" si="80"/>
        <v>0</v>
      </c>
      <c r="Y150" s="44">
        <f t="shared" si="81"/>
        <v>0</v>
      </c>
      <c r="Z150" s="44">
        <f t="shared" si="82"/>
        <v>0</v>
      </c>
      <c r="AA150" s="50">
        <f t="shared" si="83"/>
        <v>0</v>
      </c>
      <c r="AB150" s="51">
        <f t="shared" si="84"/>
        <v>0</v>
      </c>
      <c r="AC150" s="44">
        <f t="shared" si="85"/>
        <v>0</v>
      </c>
      <c r="AD150" s="44">
        <f t="shared" si="86"/>
        <v>0</v>
      </c>
      <c r="AE150" s="44">
        <f t="shared" si="87"/>
        <v>0</v>
      </c>
      <c r="AF150" s="52" t="e">
        <f>HLOOKUP(I150,ElecAvoidedCostsWOCC!$A$5:$Q$50,G150+1,FALSE)</f>
        <v>#N/A</v>
      </c>
      <c r="AG150" s="44" t="e">
        <f t="shared" si="88"/>
        <v>#N/A</v>
      </c>
      <c r="AH150" s="52" t="e">
        <f>HLOOKUP(I150,ElecAvoidedCostsWOCC!$A$5:$Q$50,T150+1,FALSE)</f>
        <v>#N/A</v>
      </c>
      <c r="AI150" s="44" t="e">
        <f t="shared" si="89"/>
        <v>#N/A</v>
      </c>
      <c r="AJ150" s="44" t="e">
        <f t="shared" si="90"/>
        <v>#N/A</v>
      </c>
      <c r="AK150" s="44" t="e">
        <f>HLOOKUP(I150,ElecAvoidedCostsWOCC!$A$5:$Q$50,G150+1,FALSE)*J150*L150</f>
        <v>#N/A</v>
      </c>
      <c r="AL150" s="44" t="e">
        <f t="shared" si="91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92"/>
        <v>0</v>
      </c>
      <c r="AO150" s="47">
        <f t="shared" si="93"/>
        <v>0</v>
      </c>
      <c r="AP150" s="47" t="e">
        <f t="shared" si="94"/>
        <v>#DIV/0!</v>
      </c>
    </row>
    <row r="151" spans="2:42">
      <c r="B151" s="97" t="s">
        <v>15</v>
      </c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76"/>
        <v>0</v>
      </c>
      <c r="U151" s="47">
        <f t="shared" si="77"/>
        <v>0</v>
      </c>
      <c r="V151" s="48">
        <f t="shared" si="78"/>
        <v>0</v>
      </c>
      <c r="W151" s="49">
        <f t="shared" si="79"/>
        <v>0</v>
      </c>
      <c r="X151" s="44">
        <f t="shared" si="80"/>
        <v>0</v>
      </c>
      <c r="Y151" s="44">
        <f t="shared" si="81"/>
        <v>0</v>
      </c>
      <c r="Z151" s="44">
        <f t="shared" si="82"/>
        <v>0</v>
      </c>
      <c r="AA151" s="50">
        <f t="shared" si="83"/>
        <v>0</v>
      </c>
      <c r="AB151" s="51">
        <f t="shared" si="84"/>
        <v>0</v>
      </c>
      <c r="AC151" s="44">
        <f t="shared" si="85"/>
        <v>0</v>
      </c>
      <c r="AD151" s="44">
        <f t="shared" si="86"/>
        <v>0</v>
      </c>
      <c r="AE151" s="44">
        <f t="shared" si="87"/>
        <v>0</v>
      </c>
      <c r="AF151" s="52" t="e">
        <f>HLOOKUP(I151,ElecAvoidedCostsWOCC!$A$5:$Q$50,G151+1,FALSE)</f>
        <v>#N/A</v>
      </c>
      <c r="AG151" s="44" t="e">
        <f t="shared" si="88"/>
        <v>#N/A</v>
      </c>
      <c r="AH151" s="52" t="e">
        <f>HLOOKUP(I151,ElecAvoidedCostsWOCC!$A$5:$Q$50,T151+1,FALSE)</f>
        <v>#N/A</v>
      </c>
      <c r="AI151" s="44" t="e">
        <f t="shared" si="89"/>
        <v>#N/A</v>
      </c>
      <c r="AJ151" s="44" t="e">
        <f t="shared" si="90"/>
        <v>#N/A</v>
      </c>
      <c r="AK151" s="44" t="e">
        <f>HLOOKUP(I151,ElecAvoidedCostsWOCC!$A$5:$Q$50,G151+1,FALSE)*J151*L151</f>
        <v>#N/A</v>
      </c>
      <c r="AL151" s="44" t="e">
        <f t="shared" si="91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92"/>
        <v>0</v>
      </c>
      <c r="AO151" s="47">
        <f t="shared" si="93"/>
        <v>0</v>
      </c>
      <c r="AP151" s="47" t="e">
        <f t="shared" si="94"/>
        <v>#DIV/0!</v>
      </c>
    </row>
    <row r="152" spans="2:42">
      <c r="B152" s="97" t="s">
        <v>15</v>
      </c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76"/>
        <v>0</v>
      </c>
      <c r="U152" s="47">
        <f t="shared" si="77"/>
        <v>0</v>
      </c>
      <c r="V152" s="48">
        <f t="shared" si="78"/>
        <v>0</v>
      </c>
      <c r="W152" s="49">
        <f t="shared" si="79"/>
        <v>0</v>
      </c>
      <c r="X152" s="44">
        <f t="shared" si="80"/>
        <v>0</v>
      </c>
      <c r="Y152" s="44">
        <f t="shared" si="81"/>
        <v>0</v>
      </c>
      <c r="Z152" s="44">
        <f t="shared" si="82"/>
        <v>0</v>
      </c>
      <c r="AA152" s="50">
        <f t="shared" si="83"/>
        <v>0</v>
      </c>
      <c r="AB152" s="51">
        <f t="shared" si="84"/>
        <v>0</v>
      </c>
      <c r="AC152" s="44">
        <f t="shared" si="85"/>
        <v>0</v>
      </c>
      <c r="AD152" s="44">
        <f t="shared" si="86"/>
        <v>0</v>
      </c>
      <c r="AE152" s="44">
        <f t="shared" si="87"/>
        <v>0</v>
      </c>
      <c r="AF152" s="52" t="e">
        <f>HLOOKUP(I152,ElecAvoidedCostsWOCC!$A$5:$Q$50,G152+1,FALSE)</f>
        <v>#N/A</v>
      </c>
      <c r="AG152" s="44" t="e">
        <f t="shared" si="88"/>
        <v>#N/A</v>
      </c>
      <c r="AH152" s="52" t="e">
        <f>HLOOKUP(I152,ElecAvoidedCostsWOCC!$A$5:$Q$50,T152+1,FALSE)</f>
        <v>#N/A</v>
      </c>
      <c r="AI152" s="44" t="e">
        <f t="shared" si="89"/>
        <v>#N/A</v>
      </c>
      <c r="AJ152" s="44" t="e">
        <f t="shared" si="90"/>
        <v>#N/A</v>
      </c>
      <c r="AK152" s="44" t="e">
        <f>HLOOKUP(I152,ElecAvoidedCostsWOCC!$A$5:$Q$50,G152+1,FALSE)*J152*L152</f>
        <v>#N/A</v>
      </c>
      <c r="AL152" s="44" t="e">
        <f t="shared" si="91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92"/>
        <v>0</v>
      </c>
      <c r="AO152" s="47">
        <f t="shared" si="93"/>
        <v>0</v>
      </c>
      <c r="AP152" s="47" t="e">
        <f t="shared" si="94"/>
        <v>#DIV/0!</v>
      </c>
    </row>
    <row r="153" spans="2:42">
      <c r="B153" s="97" t="s">
        <v>15</v>
      </c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76"/>
        <v>0</v>
      </c>
      <c r="U153" s="47">
        <f t="shared" si="77"/>
        <v>0</v>
      </c>
      <c r="V153" s="48">
        <f t="shared" si="78"/>
        <v>0</v>
      </c>
      <c r="W153" s="49">
        <f t="shared" si="79"/>
        <v>0</v>
      </c>
      <c r="X153" s="44">
        <f t="shared" si="80"/>
        <v>0</v>
      </c>
      <c r="Y153" s="44">
        <f t="shared" si="81"/>
        <v>0</v>
      </c>
      <c r="Z153" s="44">
        <f t="shared" si="82"/>
        <v>0</v>
      </c>
      <c r="AA153" s="50">
        <f t="shared" si="83"/>
        <v>0</v>
      </c>
      <c r="AB153" s="51">
        <f t="shared" si="84"/>
        <v>0</v>
      </c>
      <c r="AC153" s="44">
        <f t="shared" si="85"/>
        <v>0</v>
      </c>
      <c r="AD153" s="44">
        <f t="shared" si="86"/>
        <v>0</v>
      </c>
      <c r="AE153" s="44">
        <f t="shared" si="87"/>
        <v>0</v>
      </c>
      <c r="AF153" s="52" t="e">
        <f>HLOOKUP(I153,ElecAvoidedCostsWOCC!$A$5:$Q$50,G153+1,FALSE)</f>
        <v>#N/A</v>
      </c>
      <c r="AG153" s="44" t="e">
        <f t="shared" si="88"/>
        <v>#N/A</v>
      </c>
      <c r="AH153" s="52" t="e">
        <f>HLOOKUP(I153,ElecAvoidedCostsWOCC!$A$5:$Q$50,T153+1,FALSE)</f>
        <v>#N/A</v>
      </c>
      <c r="AI153" s="44" t="e">
        <f t="shared" si="89"/>
        <v>#N/A</v>
      </c>
      <c r="AJ153" s="44" t="e">
        <f t="shared" si="90"/>
        <v>#N/A</v>
      </c>
      <c r="AK153" s="44" t="e">
        <f>HLOOKUP(I153,ElecAvoidedCostsWOCC!$A$5:$Q$50,G153+1,FALSE)*J153*L153</f>
        <v>#N/A</v>
      </c>
      <c r="AL153" s="44" t="e">
        <f t="shared" si="91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92"/>
        <v>0</v>
      </c>
      <c r="AO153" s="47">
        <f t="shared" si="93"/>
        <v>0</v>
      </c>
      <c r="AP153" s="47" t="e">
        <f t="shared" si="94"/>
        <v>#DIV/0!</v>
      </c>
    </row>
    <row r="154" spans="2:42">
      <c r="B154" s="97" t="s">
        <v>15</v>
      </c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76"/>
        <v>0</v>
      </c>
      <c r="U154" s="47">
        <f t="shared" si="77"/>
        <v>0</v>
      </c>
      <c r="V154" s="48">
        <f t="shared" si="78"/>
        <v>0</v>
      </c>
      <c r="W154" s="49">
        <f t="shared" si="79"/>
        <v>0</v>
      </c>
      <c r="X154" s="44">
        <f t="shared" si="80"/>
        <v>0</v>
      </c>
      <c r="Y154" s="44">
        <f t="shared" si="81"/>
        <v>0</v>
      </c>
      <c r="Z154" s="44">
        <f t="shared" si="82"/>
        <v>0</v>
      </c>
      <c r="AA154" s="50">
        <f t="shared" si="83"/>
        <v>0</v>
      </c>
      <c r="AB154" s="51">
        <f t="shared" si="84"/>
        <v>0</v>
      </c>
      <c r="AC154" s="44">
        <f t="shared" si="85"/>
        <v>0</v>
      </c>
      <c r="AD154" s="44">
        <f t="shared" si="86"/>
        <v>0</v>
      </c>
      <c r="AE154" s="44">
        <f t="shared" si="87"/>
        <v>0</v>
      </c>
      <c r="AF154" s="52" t="e">
        <f>HLOOKUP(I154,ElecAvoidedCostsWOCC!$A$5:$Q$50,G154+1,FALSE)</f>
        <v>#N/A</v>
      </c>
      <c r="AG154" s="44" t="e">
        <f t="shared" si="88"/>
        <v>#N/A</v>
      </c>
      <c r="AH154" s="52" t="e">
        <f>HLOOKUP(I154,ElecAvoidedCostsWOCC!$A$5:$Q$50,T154+1,FALSE)</f>
        <v>#N/A</v>
      </c>
      <c r="AI154" s="44" t="e">
        <f t="shared" si="89"/>
        <v>#N/A</v>
      </c>
      <c r="AJ154" s="44" t="e">
        <f t="shared" si="90"/>
        <v>#N/A</v>
      </c>
      <c r="AK154" s="44" t="e">
        <f>HLOOKUP(I154,ElecAvoidedCostsWOCC!$A$5:$Q$50,G154+1,FALSE)*J154*L154</f>
        <v>#N/A</v>
      </c>
      <c r="AL154" s="44" t="e">
        <f t="shared" si="91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92"/>
        <v>0</v>
      </c>
      <c r="AO154" s="47">
        <f t="shared" si="93"/>
        <v>0</v>
      </c>
      <c r="AP154" s="47" t="e">
        <f t="shared" si="94"/>
        <v>#DIV/0!</v>
      </c>
    </row>
    <row r="155" spans="2:42">
      <c r="B155" s="97" t="s">
        <v>15</v>
      </c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76"/>
        <v>0</v>
      </c>
      <c r="U155" s="47">
        <f t="shared" si="77"/>
        <v>0</v>
      </c>
      <c r="V155" s="48">
        <f t="shared" si="78"/>
        <v>0</v>
      </c>
      <c r="W155" s="49">
        <f t="shared" si="79"/>
        <v>0</v>
      </c>
      <c r="X155" s="44">
        <f t="shared" si="80"/>
        <v>0</v>
      </c>
      <c r="Y155" s="44">
        <f t="shared" si="81"/>
        <v>0</v>
      </c>
      <c r="Z155" s="44">
        <f t="shared" si="82"/>
        <v>0</v>
      </c>
      <c r="AA155" s="50">
        <f t="shared" si="83"/>
        <v>0</v>
      </c>
      <c r="AB155" s="51">
        <f t="shared" si="84"/>
        <v>0</v>
      </c>
      <c r="AC155" s="44">
        <f t="shared" si="85"/>
        <v>0</v>
      </c>
      <c r="AD155" s="44">
        <f t="shared" si="86"/>
        <v>0</v>
      </c>
      <c r="AE155" s="44">
        <f t="shared" si="87"/>
        <v>0</v>
      </c>
      <c r="AF155" s="52" t="e">
        <f>HLOOKUP(I155,ElecAvoidedCostsWOCC!$A$5:$Q$50,G155+1,FALSE)</f>
        <v>#N/A</v>
      </c>
      <c r="AG155" s="44" t="e">
        <f t="shared" si="88"/>
        <v>#N/A</v>
      </c>
      <c r="AH155" s="52" t="e">
        <f>HLOOKUP(I155,ElecAvoidedCostsWOCC!$A$5:$Q$50,T155+1,FALSE)</f>
        <v>#N/A</v>
      </c>
      <c r="AI155" s="44" t="e">
        <f t="shared" si="89"/>
        <v>#N/A</v>
      </c>
      <c r="AJ155" s="44" t="e">
        <f t="shared" si="90"/>
        <v>#N/A</v>
      </c>
      <c r="AK155" s="44" t="e">
        <f>HLOOKUP(I155,ElecAvoidedCostsWOCC!$A$5:$Q$50,G155+1,FALSE)*J155*L155</f>
        <v>#N/A</v>
      </c>
      <c r="AL155" s="44" t="e">
        <f t="shared" si="91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92"/>
        <v>0</v>
      </c>
      <c r="AO155" s="47">
        <f t="shared" si="93"/>
        <v>0</v>
      </c>
      <c r="AP155" s="47" t="e">
        <f t="shared" si="94"/>
        <v>#DIV/0!</v>
      </c>
    </row>
    <row r="156" spans="2:42">
      <c r="B156" s="97" t="s">
        <v>15</v>
      </c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76"/>
        <v>0</v>
      </c>
      <c r="U156" s="47">
        <f t="shared" si="77"/>
        <v>0</v>
      </c>
      <c r="V156" s="48">
        <f t="shared" si="78"/>
        <v>0</v>
      </c>
      <c r="W156" s="49">
        <f t="shared" si="79"/>
        <v>0</v>
      </c>
      <c r="X156" s="44">
        <f t="shared" si="80"/>
        <v>0</v>
      </c>
      <c r="Y156" s="44">
        <f t="shared" si="81"/>
        <v>0</v>
      </c>
      <c r="Z156" s="44">
        <f t="shared" si="82"/>
        <v>0</v>
      </c>
      <c r="AA156" s="50">
        <f t="shared" si="83"/>
        <v>0</v>
      </c>
      <c r="AB156" s="51">
        <f t="shared" si="84"/>
        <v>0</v>
      </c>
      <c r="AC156" s="44">
        <f t="shared" si="85"/>
        <v>0</v>
      </c>
      <c r="AD156" s="44">
        <f t="shared" si="86"/>
        <v>0</v>
      </c>
      <c r="AE156" s="44">
        <f t="shared" si="87"/>
        <v>0</v>
      </c>
      <c r="AF156" s="52" t="e">
        <f>HLOOKUP(I156,ElecAvoidedCostsWOCC!$A$5:$Q$50,G156+1,FALSE)</f>
        <v>#N/A</v>
      </c>
      <c r="AG156" s="44" t="e">
        <f t="shared" si="88"/>
        <v>#N/A</v>
      </c>
      <c r="AH156" s="52" t="e">
        <f>HLOOKUP(I156,ElecAvoidedCostsWOCC!$A$5:$Q$50,T156+1,FALSE)</f>
        <v>#N/A</v>
      </c>
      <c r="AI156" s="44" t="e">
        <f t="shared" si="89"/>
        <v>#N/A</v>
      </c>
      <c r="AJ156" s="44" t="e">
        <f t="shared" si="90"/>
        <v>#N/A</v>
      </c>
      <c r="AK156" s="44" t="e">
        <f>HLOOKUP(I156,ElecAvoidedCostsWOCC!$A$5:$Q$50,G156+1,FALSE)*J156*L156</f>
        <v>#N/A</v>
      </c>
      <c r="AL156" s="44" t="e">
        <f t="shared" si="9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92"/>
        <v>0</v>
      </c>
      <c r="AO156" s="47">
        <f t="shared" si="93"/>
        <v>0</v>
      </c>
      <c r="AP156" s="47" t="e">
        <f t="shared" si="94"/>
        <v>#DIV/0!</v>
      </c>
    </row>
    <row r="157" spans="2:42">
      <c r="B157" s="97" t="s">
        <v>15</v>
      </c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76"/>
        <v>0</v>
      </c>
      <c r="U157" s="47">
        <f t="shared" si="77"/>
        <v>0</v>
      </c>
      <c r="V157" s="48">
        <f t="shared" si="78"/>
        <v>0</v>
      </c>
      <c r="W157" s="49">
        <f t="shared" si="79"/>
        <v>0</v>
      </c>
      <c r="X157" s="44">
        <f t="shared" si="80"/>
        <v>0</v>
      </c>
      <c r="Y157" s="44">
        <f t="shared" si="81"/>
        <v>0</v>
      </c>
      <c r="Z157" s="44">
        <f t="shared" si="82"/>
        <v>0</v>
      </c>
      <c r="AA157" s="50">
        <f t="shared" si="83"/>
        <v>0</v>
      </c>
      <c r="AB157" s="51">
        <f t="shared" si="84"/>
        <v>0</v>
      </c>
      <c r="AC157" s="44">
        <f t="shared" si="85"/>
        <v>0</v>
      </c>
      <c r="AD157" s="44">
        <f t="shared" si="86"/>
        <v>0</v>
      </c>
      <c r="AE157" s="44">
        <f t="shared" si="87"/>
        <v>0</v>
      </c>
      <c r="AF157" s="52" t="e">
        <f>HLOOKUP(I157,ElecAvoidedCostsWOCC!$A$5:$Q$50,G157+1,FALSE)</f>
        <v>#N/A</v>
      </c>
      <c r="AG157" s="44" t="e">
        <f t="shared" si="88"/>
        <v>#N/A</v>
      </c>
      <c r="AH157" s="52" t="e">
        <f>HLOOKUP(I157,ElecAvoidedCostsWOCC!$A$5:$Q$50,T157+1,FALSE)</f>
        <v>#N/A</v>
      </c>
      <c r="AI157" s="44" t="e">
        <f t="shared" si="89"/>
        <v>#N/A</v>
      </c>
      <c r="AJ157" s="44" t="e">
        <f t="shared" si="90"/>
        <v>#N/A</v>
      </c>
      <c r="AK157" s="44" t="e">
        <f>HLOOKUP(I157,ElecAvoidedCostsWOCC!$A$5:$Q$50,G157+1,FALSE)*J157*L157</f>
        <v>#N/A</v>
      </c>
      <c r="AL157" s="44" t="e">
        <f t="shared" si="9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92"/>
        <v>0</v>
      </c>
      <c r="AO157" s="47">
        <f t="shared" si="93"/>
        <v>0</v>
      </c>
      <c r="AP157" s="47" t="e">
        <f t="shared" si="94"/>
        <v>#DIV/0!</v>
      </c>
    </row>
    <row r="158" spans="2:42">
      <c r="B158" s="97" t="s">
        <v>15</v>
      </c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76"/>
        <v>0</v>
      </c>
      <c r="U158" s="47">
        <f t="shared" si="77"/>
        <v>0</v>
      </c>
      <c r="V158" s="48">
        <f t="shared" si="78"/>
        <v>0</v>
      </c>
      <c r="W158" s="49">
        <f t="shared" si="79"/>
        <v>0</v>
      </c>
      <c r="X158" s="44">
        <f t="shared" si="80"/>
        <v>0</v>
      </c>
      <c r="Y158" s="44">
        <f t="shared" si="81"/>
        <v>0</v>
      </c>
      <c r="Z158" s="44">
        <f t="shared" si="82"/>
        <v>0</v>
      </c>
      <c r="AA158" s="50">
        <f t="shared" si="83"/>
        <v>0</v>
      </c>
      <c r="AB158" s="51">
        <f t="shared" si="84"/>
        <v>0</v>
      </c>
      <c r="AC158" s="44">
        <f t="shared" si="85"/>
        <v>0</v>
      </c>
      <c r="AD158" s="44">
        <f t="shared" si="86"/>
        <v>0</v>
      </c>
      <c r="AE158" s="44">
        <f t="shared" si="87"/>
        <v>0</v>
      </c>
      <c r="AF158" s="52" t="e">
        <f>HLOOKUP(I158,ElecAvoidedCostsWOCC!$A$5:$Q$50,G158+1,FALSE)</f>
        <v>#N/A</v>
      </c>
      <c r="AG158" s="44" t="e">
        <f t="shared" si="88"/>
        <v>#N/A</v>
      </c>
      <c r="AH158" s="52" t="e">
        <f>HLOOKUP(I158,ElecAvoidedCostsWOCC!$A$5:$Q$50,T158+1,FALSE)</f>
        <v>#N/A</v>
      </c>
      <c r="AI158" s="44" t="e">
        <f t="shared" si="89"/>
        <v>#N/A</v>
      </c>
      <c r="AJ158" s="44" t="e">
        <f t="shared" si="90"/>
        <v>#N/A</v>
      </c>
      <c r="AK158" s="44" t="e">
        <f>HLOOKUP(I158,ElecAvoidedCostsWOCC!$A$5:$Q$50,G158+1,FALSE)*J158*L158</f>
        <v>#N/A</v>
      </c>
      <c r="AL158" s="44" t="e">
        <f t="shared" si="91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92"/>
        <v>0</v>
      </c>
      <c r="AO158" s="47">
        <f t="shared" si="93"/>
        <v>0</v>
      </c>
      <c r="AP158" s="47" t="e">
        <f t="shared" si="94"/>
        <v>#DIV/0!</v>
      </c>
    </row>
    <row r="159" spans="2:42">
      <c r="B159" s="97" t="s">
        <v>15</v>
      </c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76"/>
        <v>0</v>
      </c>
      <c r="U159" s="47">
        <f t="shared" si="77"/>
        <v>0</v>
      </c>
      <c r="V159" s="48">
        <f t="shared" si="78"/>
        <v>0</v>
      </c>
      <c r="W159" s="49">
        <f t="shared" si="79"/>
        <v>0</v>
      </c>
      <c r="X159" s="44">
        <f t="shared" si="80"/>
        <v>0</v>
      </c>
      <c r="Y159" s="44">
        <f t="shared" si="81"/>
        <v>0</v>
      </c>
      <c r="Z159" s="44">
        <f t="shared" si="82"/>
        <v>0</v>
      </c>
      <c r="AA159" s="50">
        <f t="shared" si="83"/>
        <v>0</v>
      </c>
      <c r="AB159" s="51">
        <f t="shared" si="84"/>
        <v>0</v>
      </c>
      <c r="AC159" s="44">
        <f t="shared" si="85"/>
        <v>0</v>
      </c>
      <c r="AD159" s="44">
        <f t="shared" si="86"/>
        <v>0</v>
      </c>
      <c r="AE159" s="44">
        <f t="shared" si="87"/>
        <v>0</v>
      </c>
      <c r="AF159" s="52" t="e">
        <f>HLOOKUP(I159,ElecAvoidedCostsWOCC!$A$5:$Q$50,G159+1,FALSE)</f>
        <v>#N/A</v>
      </c>
      <c r="AG159" s="44" t="e">
        <f t="shared" si="88"/>
        <v>#N/A</v>
      </c>
      <c r="AH159" s="52" t="e">
        <f>HLOOKUP(I159,ElecAvoidedCostsWOCC!$A$5:$Q$50,T159+1,FALSE)</f>
        <v>#N/A</v>
      </c>
      <c r="AI159" s="44" t="e">
        <f t="shared" si="89"/>
        <v>#N/A</v>
      </c>
      <c r="AJ159" s="44" t="e">
        <f t="shared" si="90"/>
        <v>#N/A</v>
      </c>
      <c r="AK159" s="44" t="e">
        <f>HLOOKUP(I159,ElecAvoidedCostsWOCC!$A$5:$Q$50,G159+1,FALSE)*J159*L159</f>
        <v>#N/A</v>
      </c>
      <c r="AL159" s="44" t="e">
        <f t="shared" si="91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92"/>
        <v>0</v>
      </c>
      <c r="AO159" s="47">
        <f t="shared" si="93"/>
        <v>0</v>
      </c>
      <c r="AP159" s="47" t="e">
        <f t="shared" si="94"/>
        <v>#DIV/0!</v>
      </c>
    </row>
    <row r="160" spans="2:42">
      <c r="B160" s="97" t="s">
        <v>15</v>
      </c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76"/>
        <v>0</v>
      </c>
      <c r="U160" s="47">
        <f t="shared" si="77"/>
        <v>0</v>
      </c>
      <c r="V160" s="48">
        <f t="shared" si="78"/>
        <v>0</v>
      </c>
      <c r="W160" s="49">
        <f t="shared" si="79"/>
        <v>0</v>
      </c>
      <c r="X160" s="44">
        <f t="shared" si="80"/>
        <v>0</v>
      </c>
      <c r="Y160" s="44">
        <f t="shared" si="81"/>
        <v>0</v>
      </c>
      <c r="Z160" s="44">
        <f t="shared" si="82"/>
        <v>0</v>
      </c>
      <c r="AA160" s="50">
        <f t="shared" si="83"/>
        <v>0</v>
      </c>
      <c r="AB160" s="51">
        <f t="shared" si="84"/>
        <v>0</v>
      </c>
      <c r="AC160" s="44">
        <f t="shared" si="85"/>
        <v>0</v>
      </c>
      <c r="AD160" s="44">
        <f t="shared" si="86"/>
        <v>0</v>
      </c>
      <c r="AE160" s="44">
        <f t="shared" si="87"/>
        <v>0</v>
      </c>
      <c r="AF160" s="52" t="e">
        <f>HLOOKUP(I160,ElecAvoidedCostsWOCC!$A$5:$Q$50,G160+1,FALSE)</f>
        <v>#N/A</v>
      </c>
      <c r="AG160" s="44" t="e">
        <f t="shared" si="88"/>
        <v>#N/A</v>
      </c>
      <c r="AH160" s="52" t="e">
        <f>HLOOKUP(I160,ElecAvoidedCostsWOCC!$A$5:$Q$50,T160+1,FALSE)</f>
        <v>#N/A</v>
      </c>
      <c r="AI160" s="44" t="e">
        <f t="shared" si="89"/>
        <v>#N/A</v>
      </c>
      <c r="AJ160" s="44" t="e">
        <f t="shared" si="90"/>
        <v>#N/A</v>
      </c>
      <c r="AK160" s="44" t="e">
        <f>HLOOKUP(I160,ElecAvoidedCostsWOCC!$A$5:$Q$50,G160+1,FALSE)*J160*L160</f>
        <v>#N/A</v>
      </c>
      <c r="AL160" s="44" t="e">
        <f t="shared" si="91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92"/>
        <v>0</v>
      </c>
      <c r="AO160" s="47">
        <f t="shared" si="93"/>
        <v>0</v>
      </c>
      <c r="AP160" s="47" t="e">
        <f t="shared" si="94"/>
        <v>#DIV/0!</v>
      </c>
    </row>
    <row r="161" spans="2:42">
      <c r="B161" s="97" t="s">
        <v>15</v>
      </c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76"/>
        <v>0</v>
      </c>
      <c r="U161" s="47">
        <f t="shared" si="77"/>
        <v>0</v>
      </c>
      <c r="V161" s="48">
        <f t="shared" si="78"/>
        <v>0</v>
      </c>
      <c r="W161" s="49">
        <f t="shared" si="79"/>
        <v>0</v>
      </c>
      <c r="X161" s="44">
        <f t="shared" si="80"/>
        <v>0</v>
      </c>
      <c r="Y161" s="44">
        <f t="shared" si="81"/>
        <v>0</v>
      </c>
      <c r="Z161" s="44">
        <f t="shared" si="82"/>
        <v>0</v>
      </c>
      <c r="AA161" s="50">
        <f t="shared" si="83"/>
        <v>0</v>
      </c>
      <c r="AB161" s="51">
        <f t="shared" si="84"/>
        <v>0</v>
      </c>
      <c r="AC161" s="44">
        <f t="shared" si="85"/>
        <v>0</v>
      </c>
      <c r="AD161" s="44">
        <f t="shared" si="86"/>
        <v>0</v>
      </c>
      <c r="AE161" s="44">
        <f t="shared" si="87"/>
        <v>0</v>
      </c>
      <c r="AF161" s="52" t="e">
        <f>HLOOKUP(I161,ElecAvoidedCostsWOCC!$A$5:$Q$50,G161+1,FALSE)</f>
        <v>#N/A</v>
      </c>
      <c r="AG161" s="44" t="e">
        <f t="shared" si="88"/>
        <v>#N/A</v>
      </c>
      <c r="AH161" s="52" t="e">
        <f>HLOOKUP(I161,ElecAvoidedCostsWOCC!$A$5:$Q$50,T161+1,FALSE)</f>
        <v>#N/A</v>
      </c>
      <c r="AI161" s="44" t="e">
        <f t="shared" si="89"/>
        <v>#N/A</v>
      </c>
      <c r="AJ161" s="44" t="e">
        <f t="shared" si="90"/>
        <v>#N/A</v>
      </c>
      <c r="AK161" s="44" t="e">
        <f>HLOOKUP(I161,ElecAvoidedCostsWOCC!$A$5:$Q$50,G161+1,FALSE)*J161*L161</f>
        <v>#N/A</v>
      </c>
      <c r="AL161" s="44" t="e">
        <f t="shared" si="91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92"/>
        <v>0</v>
      </c>
      <c r="AO161" s="47">
        <f t="shared" si="93"/>
        <v>0</v>
      </c>
      <c r="AP161" s="47" t="e">
        <f t="shared" si="94"/>
        <v>#DIV/0!</v>
      </c>
    </row>
    <row r="162" spans="2:42">
      <c r="B162" s="97" t="s">
        <v>15</v>
      </c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76"/>
        <v>0</v>
      </c>
      <c r="U162" s="47">
        <f t="shared" si="77"/>
        <v>0</v>
      </c>
      <c r="V162" s="48">
        <f t="shared" si="78"/>
        <v>0</v>
      </c>
      <c r="W162" s="49">
        <f t="shared" si="79"/>
        <v>0</v>
      </c>
      <c r="X162" s="44">
        <f t="shared" si="80"/>
        <v>0</v>
      </c>
      <c r="Y162" s="44">
        <f t="shared" si="81"/>
        <v>0</v>
      </c>
      <c r="Z162" s="44">
        <f t="shared" si="82"/>
        <v>0</v>
      </c>
      <c r="AA162" s="50">
        <f t="shared" si="83"/>
        <v>0</v>
      </c>
      <c r="AB162" s="51">
        <f t="shared" si="84"/>
        <v>0</v>
      </c>
      <c r="AC162" s="44">
        <f t="shared" si="85"/>
        <v>0</v>
      </c>
      <c r="AD162" s="44">
        <f t="shared" si="86"/>
        <v>0</v>
      </c>
      <c r="AE162" s="44">
        <f t="shared" si="87"/>
        <v>0</v>
      </c>
      <c r="AF162" s="52" t="e">
        <f>HLOOKUP(I162,ElecAvoidedCostsWOCC!$A$5:$Q$50,G162+1,FALSE)</f>
        <v>#N/A</v>
      </c>
      <c r="AG162" s="44" t="e">
        <f t="shared" si="88"/>
        <v>#N/A</v>
      </c>
      <c r="AH162" s="52" t="e">
        <f>HLOOKUP(I162,ElecAvoidedCostsWOCC!$A$5:$Q$50,T162+1,FALSE)</f>
        <v>#N/A</v>
      </c>
      <c r="AI162" s="44" t="e">
        <f t="shared" si="89"/>
        <v>#N/A</v>
      </c>
      <c r="AJ162" s="44" t="e">
        <f t="shared" si="90"/>
        <v>#N/A</v>
      </c>
      <c r="AK162" s="44" t="e">
        <f>HLOOKUP(I162,ElecAvoidedCostsWOCC!$A$5:$Q$50,G162+1,FALSE)*J162*L162</f>
        <v>#N/A</v>
      </c>
      <c r="AL162" s="44" t="e">
        <f t="shared" si="91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92"/>
        <v>0</v>
      </c>
      <c r="AO162" s="47">
        <f t="shared" si="93"/>
        <v>0</v>
      </c>
      <c r="AP162" s="47" t="e">
        <f t="shared" si="94"/>
        <v>#DIV/0!</v>
      </c>
    </row>
    <row r="163" spans="2:42">
      <c r="B163" s="97" t="s">
        <v>15</v>
      </c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76"/>
        <v>0</v>
      </c>
      <c r="U163" s="47">
        <f t="shared" si="77"/>
        <v>0</v>
      </c>
      <c r="V163" s="48">
        <f t="shared" si="78"/>
        <v>0</v>
      </c>
      <c r="W163" s="49">
        <f t="shared" si="79"/>
        <v>0</v>
      </c>
      <c r="X163" s="44">
        <f t="shared" si="80"/>
        <v>0</v>
      </c>
      <c r="Y163" s="44">
        <f t="shared" si="81"/>
        <v>0</v>
      </c>
      <c r="Z163" s="44">
        <f t="shared" si="82"/>
        <v>0</v>
      </c>
      <c r="AA163" s="50">
        <f t="shared" si="83"/>
        <v>0</v>
      </c>
      <c r="AB163" s="51">
        <f t="shared" si="84"/>
        <v>0</v>
      </c>
      <c r="AC163" s="44">
        <f t="shared" si="85"/>
        <v>0</v>
      </c>
      <c r="AD163" s="44">
        <f t="shared" si="86"/>
        <v>0</v>
      </c>
      <c r="AE163" s="44">
        <f t="shared" si="87"/>
        <v>0</v>
      </c>
      <c r="AF163" s="52" t="e">
        <f>HLOOKUP(I163,ElecAvoidedCostsWOCC!$A$5:$Q$50,G163+1,FALSE)</f>
        <v>#N/A</v>
      </c>
      <c r="AG163" s="44" t="e">
        <f t="shared" si="88"/>
        <v>#N/A</v>
      </c>
      <c r="AH163" s="52" t="e">
        <f>HLOOKUP(I163,ElecAvoidedCostsWOCC!$A$5:$Q$50,T163+1,FALSE)</f>
        <v>#N/A</v>
      </c>
      <c r="AI163" s="44" t="e">
        <f t="shared" si="89"/>
        <v>#N/A</v>
      </c>
      <c r="AJ163" s="44" t="e">
        <f t="shared" si="90"/>
        <v>#N/A</v>
      </c>
      <c r="AK163" s="44" t="e">
        <f>HLOOKUP(I163,ElecAvoidedCostsWOCC!$A$5:$Q$50,G163+1,FALSE)*J163*L163</f>
        <v>#N/A</v>
      </c>
      <c r="AL163" s="44" t="e">
        <f t="shared" si="91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92"/>
        <v>0</v>
      </c>
      <c r="AO163" s="47">
        <f t="shared" si="93"/>
        <v>0</v>
      </c>
      <c r="AP163" s="47" t="e">
        <f t="shared" si="94"/>
        <v>#DIV/0!</v>
      </c>
    </row>
    <row r="164" spans="2:42">
      <c r="B164" s="97" t="s">
        <v>15</v>
      </c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76"/>
        <v>0</v>
      </c>
      <c r="U164" s="47">
        <f t="shared" si="77"/>
        <v>0</v>
      </c>
      <c r="V164" s="48">
        <f t="shared" si="78"/>
        <v>0</v>
      </c>
      <c r="W164" s="49">
        <f t="shared" si="79"/>
        <v>0</v>
      </c>
      <c r="X164" s="44">
        <f t="shared" si="80"/>
        <v>0</v>
      </c>
      <c r="Y164" s="44">
        <f t="shared" si="81"/>
        <v>0</v>
      </c>
      <c r="Z164" s="44">
        <f t="shared" si="82"/>
        <v>0</v>
      </c>
      <c r="AA164" s="50">
        <f t="shared" si="83"/>
        <v>0</v>
      </c>
      <c r="AB164" s="51">
        <f t="shared" si="84"/>
        <v>0</v>
      </c>
      <c r="AC164" s="44">
        <f t="shared" si="85"/>
        <v>0</v>
      </c>
      <c r="AD164" s="44">
        <f t="shared" si="86"/>
        <v>0</v>
      </c>
      <c r="AE164" s="44">
        <f t="shared" si="87"/>
        <v>0</v>
      </c>
      <c r="AF164" s="52" t="e">
        <f>HLOOKUP(I164,ElecAvoidedCostsWOCC!$A$5:$Q$50,G164+1,FALSE)</f>
        <v>#N/A</v>
      </c>
      <c r="AG164" s="44" t="e">
        <f t="shared" si="88"/>
        <v>#N/A</v>
      </c>
      <c r="AH164" s="52" t="e">
        <f>HLOOKUP(I164,ElecAvoidedCostsWOCC!$A$5:$Q$50,T164+1,FALSE)</f>
        <v>#N/A</v>
      </c>
      <c r="AI164" s="44" t="e">
        <f t="shared" si="89"/>
        <v>#N/A</v>
      </c>
      <c r="AJ164" s="44" t="e">
        <f t="shared" si="90"/>
        <v>#N/A</v>
      </c>
      <c r="AK164" s="44" t="e">
        <f>HLOOKUP(I164,ElecAvoidedCostsWOCC!$A$5:$Q$50,G164+1,FALSE)*J164*L164</f>
        <v>#N/A</v>
      </c>
      <c r="AL164" s="44" t="e">
        <f t="shared" si="91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92"/>
        <v>0</v>
      </c>
      <c r="AO164" s="47">
        <f t="shared" si="93"/>
        <v>0</v>
      </c>
      <c r="AP164" s="47" t="e">
        <f t="shared" si="94"/>
        <v>#DIV/0!</v>
      </c>
    </row>
    <row r="165" spans="2:42">
      <c r="B165" s="97" t="s">
        <v>15</v>
      </c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76"/>
        <v>0</v>
      </c>
      <c r="U165" s="47">
        <f t="shared" si="77"/>
        <v>0</v>
      </c>
      <c r="V165" s="48">
        <f t="shared" si="78"/>
        <v>0</v>
      </c>
      <c r="W165" s="49">
        <f t="shared" si="79"/>
        <v>0</v>
      </c>
      <c r="X165" s="44">
        <f t="shared" si="80"/>
        <v>0</v>
      </c>
      <c r="Y165" s="44">
        <f t="shared" si="81"/>
        <v>0</v>
      </c>
      <c r="Z165" s="44">
        <f t="shared" si="82"/>
        <v>0</v>
      </c>
      <c r="AA165" s="50">
        <f t="shared" si="83"/>
        <v>0</v>
      </c>
      <c r="AB165" s="51">
        <f t="shared" si="84"/>
        <v>0</v>
      </c>
      <c r="AC165" s="44">
        <f t="shared" si="85"/>
        <v>0</v>
      </c>
      <c r="AD165" s="44">
        <f t="shared" si="86"/>
        <v>0</v>
      </c>
      <c r="AE165" s="44">
        <f t="shared" si="87"/>
        <v>0</v>
      </c>
      <c r="AF165" s="52" t="e">
        <f>HLOOKUP(I165,ElecAvoidedCostsWOCC!$A$5:$Q$50,G165+1,FALSE)</f>
        <v>#N/A</v>
      </c>
      <c r="AG165" s="44" t="e">
        <f t="shared" si="88"/>
        <v>#N/A</v>
      </c>
      <c r="AH165" s="52" t="e">
        <f>HLOOKUP(I165,ElecAvoidedCostsWOCC!$A$5:$Q$50,T165+1,FALSE)</f>
        <v>#N/A</v>
      </c>
      <c r="AI165" s="44" t="e">
        <f t="shared" si="89"/>
        <v>#N/A</v>
      </c>
      <c r="AJ165" s="44" t="e">
        <f t="shared" si="90"/>
        <v>#N/A</v>
      </c>
      <c r="AK165" s="44" t="e">
        <f>HLOOKUP(I165,ElecAvoidedCostsWOCC!$A$5:$Q$50,G165+1,FALSE)*J165*L165</f>
        <v>#N/A</v>
      </c>
      <c r="AL165" s="44" t="e">
        <f t="shared" si="91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92"/>
        <v>0</v>
      </c>
      <c r="AO165" s="47">
        <f t="shared" si="93"/>
        <v>0</v>
      </c>
      <c r="AP165" s="47" t="e">
        <f t="shared" si="94"/>
        <v>#DIV/0!</v>
      </c>
    </row>
    <row r="166" spans="2:42">
      <c r="B166" s="97" t="s">
        <v>15</v>
      </c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76"/>
        <v>0</v>
      </c>
      <c r="U166" s="47">
        <f t="shared" si="77"/>
        <v>0</v>
      </c>
      <c r="V166" s="48">
        <f t="shared" si="78"/>
        <v>0</v>
      </c>
      <c r="W166" s="49">
        <f t="shared" si="79"/>
        <v>0</v>
      </c>
      <c r="X166" s="44">
        <f t="shared" si="80"/>
        <v>0</v>
      </c>
      <c r="Y166" s="44">
        <f t="shared" si="81"/>
        <v>0</v>
      </c>
      <c r="Z166" s="44">
        <f t="shared" si="82"/>
        <v>0</v>
      </c>
      <c r="AA166" s="50">
        <f t="shared" si="83"/>
        <v>0</v>
      </c>
      <c r="AB166" s="51">
        <f t="shared" si="84"/>
        <v>0</v>
      </c>
      <c r="AC166" s="44">
        <f t="shared" si="85"/>
        <v>0</v>
      </c>
      <c r="AD166" s="44">
        <f t="shared" si="86"/>
        <v>0</v>
      </c>
      <c r="AE166" s="44">
        <f t="shared" si="87"/>
        <v>0</v>
      </c>
      <c r="AF166" s="52" t="e">
        <f>HLOOKUP(I166,ElecAvoidedCostsWOCC!$A$5:$Q$50,G166+1,FALSE)</f>
        <v>#N/A</v>
      </c>
      <c r="AG166" s="44" t="e">
        <f t="shared" si="88"/>
        <v>#N/A</v>
      </c>
      <c r="AH166" s="52" t="e">
        <f>HLOOKUP(I166,ElecAvoidedCostsWOCC!$A$5:$Q$50,T166+1,FALSE)</f>
        <v>#N/A</v>
      </c>
      <c r="AI166" s="44" t="e">
        <f t="shared" si="89"/>
        <v>#N/A</v>
      </c>
      <c r="AJ166" s="44" t="e">
        <f t="shared" si="90"/>
        <v>#N/A</v>
      </c>
      <c r="AK166" s="44" t="e">
        <f>HLOOKUP(I166,ElecAvoidedCostsWOCC!$A$5:$Q$50,G166+1,FALSE)*J166*L166</f>
        <v>#N/A</v>
      </c>
      <c r="AL166" s="44" t="e">
        <f t="shared" si="9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92"/>
        <v>0</v>
      </c>
      <c r="AO166" s="47">
        <f t="shared" si="93"/>
        <v>0</v>
      </c>
      <c r="AP166" s="47" t="e">
        <f t="shared" si="94"/>
        <v>#DIV/0!</v>
      </c>
    </row>
    <row r="167" spans="2:42">
      <c r="B167" s="97" t="s">
        <v>15</v>
      </c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ref="T167:T230" si="95">G167+H167</f>
        <v>0</v>
      </c>
      <c r="U167" s="47">
        <f t="shared" ref="U167:U230" si="96">(O167/$A$10)*T167</f>
        <v>0</v>
      </c>
      <c r="V167" s="48">
        <f t="shared" ref="V167:V230" si="97">N167-M167</f>
        <v>0</v>
      </c>
      <c r="W167" s="49">
        <f t="shared" ref="W167:W230" si="98">(O167/A$10)</f>
        <v>0</v>
      </c>
      <c r="X167" s="44">
        <f t="shared" ref="X167:X230" si="99">W167*A$8</f>
        <v>0</v>
      </c>
      <c r="Y167" s="44">
        <f t="shared" ref="Y167:Y230" si="100">Q167-P167</f>
        <v>0</v>
      </c>
      <c r="Z167" s="44">
        <f t="shared" ref="Z167:Z230" si="101">X167+(A$6*W167)</f>
        <v>0</v>
      </c>
      <c r="AA167" s="50">
        <f t="shared" ref="AA167:AA230" si="102">Q167+X167</f>
        <v>0</v>
      </c>
      <c r="AB167" s="51">
        <f t="shared" ref="AB167:AB230" si="103">Z167/(1+ElecDiscountRate)^1</f>
        <v>0</v>
      </c>
      <c r="AC167" s="44">
        <f t="shared" ref="AC167:AC230" si="104">AA167/(1+ElecDiscountRate)^1</f>
        <v>0</v>
      </c>
      <c r="AD167" s="44">
        <f t="shared" ref="AD167:AD230" si="105">-PV(ElecDiscountRate,T167,R167)*J167</f>
        <v>0</v>
      </c>
      <c r="AE167" s="44">
        <f t="shared" ref="AE167:AE230" si="106">-PV(ElecDiscountRate,T167,S167)*J167</f>
        <v>0</v>
      </c>
      <c r="AF167" s="52" t="e">
        <f>HLOOKUP(I167,ElecAvoidedCostsWOCC!$A$5:$Q$50,G167+1,FALSE)</f>
        <v>#N/A</v>
      </c>
      <c r="AG167" s="44" t="e">
        <f t="shared" ref="AG167:AG230" si="107">AF167*J167*K167</f>
        <v>#N/A</v>
      </c>
      <c r="AH167" s="52" t="e">
        <f>HLOOKUP(I167,ElecAvoidedCostsWOCC!$A$5:$Q$50,T167+1,FALSE)</f>
        <v>#N/A</v>
      </c>
      <c r="AI167" s="44" t="e">
        <f t="shared" ref="AI167:AI230" si="108">AH167*J167*L167</f>
        <v>#N/A</v>
      </c>
      <c r="AJ167" s="44" t="e">
        <f t="shared" ref="AJ167:AJ230" si="109">AG167+AI167</f>
        <v>#N/A</v>
      </c>
      <c r="AK167" s="44" t="e">
        <f>HLOOKUP(I167,ElecAvoidedCostsWOCC!$A$5:$Q$50,G167+1,FALSE)*J167*L167</f>
        <v>#N/A</v>
      </c>
      <c r="AL167" s="44" t="e">
        <f t="shared" ref="AL167:AL230" si="110">AG167+AI167-AK167</f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ref="AN167:AN230" si="111">AM167*1.1+AD167+AE167</f>
        <v>0</v>
      </c>
      <c r="AO167" s="47">
        <f t="shared" ref="AO167:AO230" si="112">IFERROR(AM167/AB167,0)</f>
        <v>0</v>
      </c>
      <c r="AP167" s="47" t="e">
        <f t="shared" ref="AP167:AP230" si="113">AN167/AC167</f>
        <v>#DIV/0!</v>
      </c>
    </row>
    <row r="168" spans="2:42">
      <c r="B168" s="97" t="s">
        <v>15</v>
      </c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95"/>
        <v>0</v>
      </c>
      <c r="U168" s="47">
        <f t="shared" si="96"/>
        <v>0</v>
      </c>
      <c r="V168" s="48">
        <f t="shared" si="97"/>
        <v>0</v>
      </c>
      <c r="W168" s="49">
        <f t="shared" si="98"/>
        <v>0</v>
      </c>
      <c r="X168" s="44">
        <f t="shared" si="99"/>
        <v>0</v>
      </c>
      <c r="Y168" s="44">
        <f t="shared" si="100"/>
        <v>0</v>
      </c>
      <c r="Z168" s="44">
        <f t="shared" si="101"/>
        <v>0</v>
      </c>
      <c r="AA168" s="50">
        <f t="shared" si="102"/>
        <v>0</v>
      </c>
      <c r="AB168" s="51">
        <f t="shared" si="103"/>
        <v>0</v>
      </c>
      <c r="AC168" s="44">
        <f t="shared" si="104"/>
        <v>0</v>
      </c>
      <c r="AD168" s="44">
        <f t="shared" si="105"/>
        <v>0</v>
      </c>
      <c r="AE168" s="44">
        <f t="shared" si="106"/>
        <v>0</v>
      </c>
      <c r="AF168" s="52" t="e">
        <f>HLOOKUP(I168,ElecAvoidedCostsWOCC!$A$5:$Q$50,G168+1,FALSE)</f>
        <v>#N/A</v>
      </c>
      <c r="AG168" s="44" t="e">
        <f t="shared" si="107"/>
        <v>#N/A</v>
      </c>
      <c r="AH168" s="52" t="e">
        <f>HLOOKUP(I168,ElecAvoidedCostsWOCC!$A$5:$Q$50,T168+1,FALSE)</f>
        <v>#N/A</v>
      </c>
      <c r="AI168" s="44" t="e">
        <f t="shared" si="108"/>
        <v>#N/A</v>
      </c>
      <c r="AJ168" s="44" t="e">
        <f t="shared" si="109"/>
        <v>#N/A</v>
      </c>
      <c r="AK168" s="44" t="e">
        <f>HLOOKUP(I168,ElecAvoidedCostsWOCC!$A$5:$Q$50,G168+1,FALSE)*J168*L168</f>
        <v>#N/A</v>
      </c>
      <c r="AL168" s="44" t="e">
        <f t="shared" si="110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111"/>
        <v>0</v>
      </c>
      <c r="AO168" s="47">
        <f t="shared" si="112"/>
        <v>0</v>
      </c>
      <c r="AP168" s="47" t="e">
        <f t="shared" si="113"/>
        <v>#DIV/0!</v>
      </c>
    </row>
    <row r="169" spans="2:42">
      <c r="B169" s="97" t="s">
        <v>15</v>
      </c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95"/>
        <v>0</v>
      </c>
      <c r="U169" s="47">
        <f t="shared" si="96"/>
        <v>0</v>
      </c>
      <c r="V169" s="48">
        <f t="shared" si="97"/>
        <v>0</v>
      </c>
      <c r="W169" s="49">
        <f t="shared" si="98"/>
        <v>0</v>
      </c>
      <c r="X169" s="44">
        <f t="shared" si="99"/>
        <v>0</v>
      </c>
      <c r="Y169" s="44">
        <f t="shared" si="100"/>
        <v>0</v>
      </c>
      <c r="Z169" s="44">
        <f t="shared" si="101"/>
        <v>0</v>
      </c>
      <c r="AA169" s="50">
        <f t="shared" si="102"/>
        <v>0</v>
      </c>
      <c r="AB169" s="51">
        <f t="shared" si="103"/>
        <v>0</v>
      </c>
      <c r="AC169" s="44">
        <f t="shared" si="104"/>
        <v>0</v>
      </c>
      <c r="AD169" s="44">
        <f t="shared" si="105"/>
        <v>0</v>
      </c>
      <c r="AE169" s="44">
        <f t="shared" si="106"/>
        <v>0</v>
      </c>
      <c r="AF169" s="52" t="e">
        <f>HLOOKUP(I169,ElecAvoidedCostsWOCC!$A$5:$Q$50,G169+1,FALSE)</f>
        <v>#N/A</v>
      </c>
      <c r="AG169" s="44" t="e">
        <f t="shared" si="107"/>
        <v>#N/A</v>
      </c>
      <c r="AH169" s="52" t="e">
        <f>HLOOKUP(I169,ElecAvoidedCostsWOCC!$A$5:$Q$50,T169+1,FALSE)</f>
        <v>#N/A</v>
      </c>
      <c r="AI169" s="44" t="e">
        <f t="shared" si="108"/>
        <v>#N/A</v>
      </c>
      <c r="AJ169" s="44" t="e">
        <f t="shared" si="109"/>
        <v>#N/A</v>
      </c>
      <c r="AK169" s="44" t="e">
        <f>HLOOKUP(I169,ElecAvoidedCostsWOCC!$A$5:$Q$50,G169+1,FALSE)*J169*L169</f>
        <v>#N/A</v>
      </c>
      <c r="AL169" s="44" t="e">
        <f t="shared" si="110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111"/>
        <v>0</v>
      </c>
      <c r="AO169" s="47">
        <f t="shared" si="112"/>
        <v>0</v>
      </c>
      <c r="AP169" s="47" t="e">
        <f t="shared" si="113"/>
        <v>#DIV/0!</v>
      </c>
    </row>
    <row r="170" spans="2:42">
      <c r="B170" s="97" t="s">
        <v>15</v>
      </c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95"/>
        <v>0</v>
      </c>
      <c r="U170" s="47">
        <f t="shared" si="96"/>
        <v>0</v>
      </c>
      <c r="V170" s="48">
        <f t="shared" si="97"/>
        <v>0</v>
      </c>
      <c r="W170" s="49">
        <f t="shared" si="98"/>
        <v>0</v>
      </c>
      <c r="X170" s="44">
        <f t="shared" si="99"/>
        <v>0</v>
      </c>
      <c r="Y170" s="44">
        <f t="shared" si="100"/>
        <v>0</v>
      </c>
      <c r="Z170" s="44">
        <f t="shared" si="101"/>
        <v>0</v>
      </c>
      <c r="AA170" s="50">
        <f t="shared" si="102"/>
        <v>0</v>
      </c>
      <c r="AB170" s="51">
        <f t="shared" si="103"/>
        <v>0</v>
      </c>
      <c r="AC170" s="44">
        <f t="shared" si="104"/>
        <v>0</v>
      </c>
      <c r="AD170" s="44">
        <f t="shared" si="105"/>
        <v>0</v>
      </c>
      <c r="AE170" s="44">
        <f t="shared" si="106"/>
        <v>0</v>
      </c>
      <c r="AF170" s="52" t="e">
        <f>HLOOKUP(I170,ElecAvoidedCostsWOCC!$A$5:$Q$50,G170+1,FALSE)</f>
        <v>#N/A</v>
      </c>
      <c r="AG170" s="44" t="e">
        <f t="shared" si="107"/>
        <v>#N/A</v>
      </c>
      <c r="AH170" s="52" t="e">
        <f>HLOOKUP(I170,ElecAvoidedCostsWOCC!$A$5:$Q$50,T170+1,FALSE)</f>
        <v>#N/A</v>
      </c>
      <c r="AI170" s="44" t="e">
        <f t="shared" si="108"/>
        <v>#N/A</v>
      </c>
      <c r="AJ170" s="44" t="e">
        <f t="shared" si="109"/>
        <v>#N/A</v>
      </c>
      <c r="AK170" s="44" t="e">
        <f>HLOOKUP(I170,ElecAvoidedCostsWOCC!$A$5:$Q$50,G170+1,FALSE)*J170*L170</f>
        <v>#N/A</v>
      </c>
      <c r="AL170" s="44" t="e">
        <f t="shared" si="110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111"/>
        <v>0</v>
      </c>
      <c r="AO170" s="47">
        <f t="shared" si="112"/>
        <v>0</v>
      </c>
      <c r="AP170" s="47" t="e">
        <f t="shared" si="113"/>
        <v>#DIV/0!</v>
      </c>
    </row>
    <row r="171" spans="2:42">
      <c r="B171" s="97" t="s">
        <v>15</v>
      </c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95"/>
        <v>0</v>
      </c>
      <c r="U171" s="47">
        <f t="shared" si="96"/>
        <v>0</v>
      </c>
      <c r="V171" s="48">
        <f t="shared" si="97"/>
        <v>0</v>
      </c>
      <c r="W171" s="49">
        <f t="shared" si="98"/>
        <v>0</v>
      </c>
      <c r="X171" s="44">
        <f t="shared" si="99"/>
        <v>0</v>
      </c>
      <c r="Y171" s="44">
        <f t="shared" si="100"/>
        <v>0</v>
      </c>
      <c r="Z171" s="44">
        <f t="shared" si="101"/>
        <v>0</v>
      </c>
      <c r="AA171" s="50">
        <f t="shared" si="102"/>
        <v>0</v>
      </c>
      <c r="AB171" s="51">
        <f t="shared" si="103"/>
        <v>0</v>
      </c>
      <c r="AC171" s="44">
        <f t="shared" si="104"/>
        <v>0</v>
      </c>
      <c r="AD171" s="44">
        <f t="shared" si="105"/>
        <v>0</v>
      </c>
      <c r="AE171" s="44">
        <f t="shared" si="106"/>
        <v>0</v>
      </c>
      <c r="AF171" s="52" t="e">
        <f>HLOOKUP(I171,ElecAvoidedCostsWOCC!$A$5:$Q$50,G171+1,FALSE)</f>
        <v>#N/A</v>
      </c>
      <c r="AG171" s="44" t="e">
        <f t="shared" si="107"/>
        <v>#N/A</v>
      </c>
      <c r="AH171" s="52" t="e">
        <f>HLOOKUP(I171,ElecAvoidedCostsWOCC!$A$5:$Q$50,T171+1,FALSE)</f>
        <v>#N/A</v>
      </c>
      <c r="AI171" s="44" t="e">
        <f t="shared" si="108"/>
        <v>#N/A</v>
      </c>
      <c r="AJ171" s="44" t="e">
        <f t="shared" si="109"/>
        <v>#N/A</v>
      </c>
      <c r="AK171" s="44" t="e">
        <f>HLOOKUP(I171,ElecAvoidedCostsWOCC!$A$5:$Q$50,G171+1,FALSE)*J171*L171</f>
        <v>#N/A</v>
      </c>
      <c r="AL171" s="44" t="e">
        <f t="shared" si="110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111"/>
        <v>0</v>
      </c>
      <c r="AO171" s="47">
        <f t="shared" si="112"/>
        <v>0</v>
      </c>
      <c r="AP171" s="47" t="e">
        <f t="shared" si="113"/>
        <v>#DIV/0!</v>
      </c>
    </row>
    <row r="172" spans="2:42">
      <c r="B172" s="97" t="s">
        <v>15</v>
      </c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95"/>
        <v>0</v>
      </c>
      <c r="U172" s="47">
        <f t="shared" si="96"/>
        <v>0</v>
      </c>
      <c r="V172" s="48">
        <f t="shared" si="97"/>
        <v>0</v>
      </c>
      <c r="W172" s="49">
        <f t="shared" si="98"/>
        <v>0</v>
      </c>
      <c r="X172" s="44">
        <f t="shared" si="99"/>
        <v>0</v>
      </c>
      <c r="Y172" s="44">
        <f t="shared" si="100"/>
        <v>0</v>
      </c>
      <c r="Z172" s="44">
        <f t="shared" si="101"/>
        <v>0</v>
      </c>
      <c r="AA172" s="50">
        <f t="shared" si="102"/>
        <v>0</v>
      </c>
      <c r="AB172" s="51">
        <f t="shared" si="103"/>
        <v>0</v>
      </c>
      <c r="AC172" s="44">
        <f t="shared" si="104"/>
        <v>0</v>
      </c>
      <c r="AD172" s="44">
        <f t="shared" si="105"/>
        <v>0</v>
      </c>
      <c r="AE172" s="44">
        <f t="shared" si="106"/>
        <v>0</v>
      </c>
      <c r="AF172" s="52" t="e">
        <f>HLOOKUP(I172,ElecAvoidedCostsWOCC!$A$5:$Q$50,G172+1,FALSE)</f>
        <v>#N/A</v>
      </c>
      <c r="AG172" s="44" t="e">
        <f t="shared" si="107"/>
        <v>#N/A</v>
      </c>
      <c r="AH172" s="52" t="e">
        <f>HLOOKUP(I172,ElecAvoidedCostsWOCC!$A$5:$Q$50,T172+1,FALSE)</f>
        <v>#N/A</v>
      </c>
      <c r="AI172" s="44" t="e">
        <f t="shared" si="108"/>
        <v>#N/A</v>
      </c>
      <c r="AJ172" s="44" t="e">
        <f t="shared" si="109"/>
        <v>#N/A</v>
      </c>
      <c r="AK172" s="44" t="e">
        <f>HLOOKUP(I172,ElecAvoidedCostsWOCC!$A$5:$Q$50,G172+1,FALSE)*J172*L172</f>
        <v>#N/A</v>
      </c>
      <c r="AL172" s="44" t="e">
        <f t="shared" si="110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111"/>
        <v>0</v>
      </c>
      <c r="AO172" s="47">
        <f t="shared" si="112"/>
        <v>0</v>
      </c>
      <c r="AP172" s="47" t="e">
        <f t="shared" si="113"/>
        <v>#DIV/0!</v>
      </c>
    </row>
    <row r="173" spans="2:42">
      <c r="B173" s="97" t="s">
        <v>15</v>
      </c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95"/>
        <v>0</v>
      </c>
      <c r="U173" s="47">
        <f t="shared" si="96"/>
        <v>0</v>
      </c>
      <c r="V173" s="48">
        <f t="shared" si="97"/>
        <v>0</v>
      </c>
      <c r="W173" s="49">
        <f t="shared" si="98"/>
        <v>0</v>
      </c>
      <c r="X173" s="44">
        <f t="shared" si="99"/>
        <v>0</v>
      </c>
      <c r="Y173" s="44">
        <f t="shared" si="100"/>
        <v>0</v>
      </c>
      <c r="Z173" s="44">
        <f t="shared" si="101"/>
        <v>0</v>
      </c>
      <c r="AA173" s="50">
        <f t="shared" si="102"/>
        <v>0</v>
      </c>
      <c r="AB173" s="51">
        <f t="shared" si="103"/>
        <v>0</v>
      </c>
      <c r="AC173" s="44">
        <f t="shared" si="104"/>
        <v>0</v>
      </c>
      <c r="AD173" s="44">
        <f t="shared" si="105"/>
        <v>0</v>
      </c>
      <c r="AE173" s="44">
        <f t="shared" si="106"/>
        <v>0</v>
      </c>
      <c r="AF173" s="52" t="e">
        <f>HLOOKUP(I173,ElecAvoidedCostsWOCC!$A$5:$Q$50,G173+1,FALSE)</f>
        <v>#N/A</v>
      </c>
      <c r="AG173" s="44" t="e">
        <f t="shared" si="107"/>
        <v>#N/A</v>
      </c>
      <c r="AH173" s="52" t="e">
        <f>HLOOKUP(I173,ElecAvoidedCostsWOCC!$A$5:$Q$50,T173+1,FALSE)</f>
        <v>#N/A</v>
      </c>
      <c r="AI173" s="44" t="e">
        <f t="shared" si="108"/>
        <v>#N/A</v>
      </c>
      <c r="AJ173" s="44" t="e">
        <f t="shared" si="109"/>
        <v>#N/A</v>
      </c>
      <c r="AK173" s="44" t="e">
        <f>HLOOKUP(I173,ElecAvoidedCostsWOCC!$A$5:$Q$50,G173+1,FALSE)*J173*L173</f>
        <v>#N/A</v>
      </c>
      <c r="AL173" s="44" t="e">
        <f t="shared" si="110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111"/>
        <v>0</v>
      </c>
      <c r="AO173" s="47">
        <f t="shared" si="112"/>
        <v>0</v>
      </c>
      <c r="AP173" s="47" t="e">
        <f t="shared" si="113"/>
        <v>#DIV/0!</v>
      </c>
    </row>
    <row r="174" spans="2:42">
      <c r="B174" s="97" t="s">
        <v>15</v>
      </c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95"/>
        <v>0</v>
      </c>
      <c r="U174" s="47">
        <f t="shared" si="96"/>
        <v>0</v>
      </c>
      <c r="V174" s="48">
        <f t="shared" si="97"/>
        <v>0</v>
      </c>
      <c r="W174" s="49">
        <f t="shared" si="98"/>
        <v>0</v>
      </c>
      <c r="X174" s="44">
        <f t="shared" si="99"/>
        <v>0</v>
      </c>
      <c r="Y174" s="44">
        <f t="shared" si="100"/>
        <v>0</v>
      </c>
      <c r="Z174" s="44">
        <f t="shared" si="101"/>
        <v>0</v>
      </c>
      <c r="AA174" s="50">
        <f t="shared" si="102"/>
        <v>0</v>
      </c>
      <c r="AB174" s="51">
        <f t="shared" si="103"/>
        <v>0</v>
      </c>
      <c r="AC174" s="44">
        <f t="shared" si="104"/>
        <v>0</v>
      </c>
      <c r="AD174" s="44">
        <f t="shared" si="105"/>
        <v>0</v>
      </c>
      <c r="AE174" s="44">
        <f t="shared" si="106"/>
        <v>0</v>
      </c>
      <c r="AF174" s="52" t="e">
        <f>HLOOKUP(I174,ElecAvoidedCostsWOCC!$A$5:$Q$50,G174+1,FALSE)</f>
        <v>#N/A</v>
      </c>
      <c r="AG174" s="44" t="e">
        <f t="shared" si="107"/>
        <v>#N/A</v>
      </c>
      <c r="AH174" s="52" t="e">
        <f>HLOOKUP(I174,ElecAvoidedCostsWOCC!$A$5:$Q$50,T174+1,FALSE)</f>
        <v>#N/A</v>
      </c>
      <c r="AI174" s="44" t="e">
        <f t="shared" si="108"/>
        <v>#N/A</v>
      </c>
      <c r="AJ174" s="44" t="e">
        <f t="shared" si="109"/>
        <v>#N/A</v>
      </c>
      <c r="AK174" s="44" t="e">
        <f>HLOOKUP(I174,ElecAvoidedCostsWOCC!$A$5:$Q$50,G174+1,FALSE)*J174*L174</f>
        <v>#N/A</v>
      </c>
      <c r="AL174" s="44" t="e">
        <f t="shared" si="110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111"/>
        <v>0</v>
      </c>
      <c r="AO174" s="47">
        <f t="shared" si="112"/>
        <v>0</v>
      </c>
      <c r="AP174" s="47" t="e">
        <f t="shared" si="113"/>
        <v>#DIV/0!</v>
      </c>
    </row>
    <row r="175" spans="2:42">
      <c r="B175" s="97" t="s">
        <v>15</v>
      </c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95"/>
        <v>0</v>
      </c>
      <c r="U175" s="47">
        <f t="shared" si="96"/>
        <v>0</v>
      </c>
      <c r="V175" s="48">
        <f t="shared" si="97"/>
        <v>0</v>
      </c>
      <c r="W175" s="49">
        <f t="shared" si="98"/>
        <v>0</v>
      </c>
      <c r="X175" s="44">
        <f t="shared" si="99"/>
        <v>0</v>
      </c>
      <c r="Y175" s="44">
        <f t="shared" si="100"/>
        <v>0</v>
      </c>
      <c r="Z175" s="44">
        <f t="shared" si="101"/>
        <v>0</v>
      </c>
      <c r="AA175" s="50">
        <f t="shared" si="102"/>
        <v>0</v>
      </c>
      <c r="AB175" s="51">
        <f t="shared" si="103"/>
        <v>0</v>
      </c>
      <c r="AC175" s="44">
        <f t="shared" si="104"/>
        <v>0</v>
      </c>
      <c r="AD175" s="44">
        <f t="shared" si="105"/>
        <v>0</v>
      </c>
      <c r="AE175" s="44">
        <f t="shared" si="106"/>
        <v>0</v>
      </c>
      <c r="AF175" s="52" t="e">
        <f>HLOOKUP(I175,ElecAvoidedCostsWOCC!$A$5:$Q$50,G175+1,FALSE)</f>
        <v>#N/A</v>
      </c>
      <c r="AG175" s="44" t="e">
        <f t="shared" si="107"/>
        <v>#N/A</v>
      </c>
      <c r="AH175" s="52" t="e">
        <f>HLOOKUP(I175,ElecAvoidedCostsWOCC!$A$5:$Q$50,T175+1,FALSE)</f>
        <v>#N/A</v>
      </c>
      <c r="AI175" s="44" t="e">
        <f t="shared" si="108"/>
        <v>#N/A</v>
      </c>
      <c r="AJ175" s="44" t="e">
        <f t="shared" si="109"/>
        <v>#N/A</v>
      </c>
      <c r="AK175" s="44" t="e">
        <f>HLOOKUP(I175,ElecAvoidedCostsWOCC!$A$5:$Q$50,G175+1,FALSE)*J175*L175</f>
        <v>#N/A</v>
      </c>
      <c r="AL175" s="44" t="e">
        <f t="shared" si="110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111"/>
        <v>0</v>
      </c>
      <c r="AO175" s="47">
        <f t="shared" si="112"/>
        <v>0</v>
      </c>
      <c r="AP175" s="47" t="e">
        <f t="shared" si="113"/>
        <v>#DIV/0!</v>
      </c>
    </row>
    <row r="176" spans="2:42">
      <c r="B176" s="97" t="s">
        <v>15</v>
      </c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95"/>
        <v>0</v>
      </c>
      <c r="U176" s="47">
        <f t="shared" si="96"/>
        <v>0</v>
      </c>
      <c r="V176" s="48">
        <f t="shared" si="97"/>
        <v>0</v>
      </c>
      <c r="W176" s="49">
        <f t="shared" si="98"/>
        <v>0</v>
      </c>
      <c r="X176" s="44">
        <f t="shared" si="99"/>
        <v>0</v>
      </c>
      <c r="Y176" s="44">
        <f t="shared" si="100"/>
        <v>0</v>
      </c>
      <c r="Z176" s="44">
        <f t="shared" si="101"/>
        <v>0</v>
      </c>
      <c r="AA176" s="50">
        <f t="shared" si="102"/>
        <v>0</v>
      </c>
      <c r="AB176" s="51">
        <f t="shared" si="103"/>
        <v>0</v>
      </c>
      <c r="AC176" s="44">
        <f t="shared" si="104"/>
        <v>0</v>
      </c>
      <c r="AD176" s="44">
        <f t="shared" si="105"/>
        <v>0</v>
      </c>
      <c r="AE176" s="44">
        <f t="shared" si="106"/>
        <v>0</v>
      </c>
      <c r="AF176" s="52" t="e">
        <f>HLOOKUP(I176,ElecAvoidedCostsWOCC!$A$5:$Q$50,G176+1,FALSE)</f>
        <v>#N/A</v>
      </c>
      <c r="AG176" s="44" t="e">
        <f t="shared" si="107"/>
        <v>#N/A</v>
      </c>
      <c r="AH176" s="52" t="e">
        <f>HLOOKUP(I176,ElecAvoidedCostsWOCC!$A$5:$Q$50,T176+1,FALSE)</f>
        <v>#N/A</v>
      </c>
      <c r="AI176" s="44" t="e">
        <f t="shared" si="108"/>
        <v>#N/A</v>
      </c>
      <c r="AJ176" s="44" t="e">
        <f t="shared" si="109"/>
        <v>#N/A</v>
      </c>
      <c r="AK176" s="44" t="e">
        <f>HLOOKUP(I176,ElecAvoidedCostsWOCC!$A$5:$Q$50,G176+1,FALSE)*J176*L176</f>
        <v>#N/A</v>
      </c>
      <c r="AL176" s="44" t="e">
        <f t="shared" si="110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111"/>
        <v>0</v>
      </c>
      <c r="AO176" s="47">
        <f t="shared" si="112"/>
        <v>0</v>
      </c>
      <c r="AP176" s="47" t="e">
        <f t="shared" si="113"/>
        <v>#DIV/0!</v>
      </c>
    </row>
    <row r="177" spans="2:42">
      <c r="B177" s="97" t="s">
        <v>15</v>
      </c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95"/>
        <v>0</v>
      </c>
      <c r="U177" s="47">
        <f t="shared" si="96"/>
        <v>0</v>
      </c>
      <c r="V177" s="48">
        <f t="shared" si="97"/>
        <v>0</v>
      </c>
      <c r="W177" s="49">
        <f t="shared" si="98"/>
        <v>0</v>
      </c>
      <c r="X177" s="44">
        <f t="shared" si="99"/>
        <v>0</v>
      </c>
      <c r="Y177" s="44">
        <f t="shared" si="100"/>
        <v>0</v>
      </c>
      <c r="Z177" s="44">
        <f t="shared" si="101"/>
        <v>0</v>
      </c>
      <c r="AA177" s="50">
        <f t="shared" si="102"/>
        <v>0</v>
      </c>
      <c r="AB177" s="51">
        <f t="shared" si="103"/>
        <v>0</v>
      </c>
      <c r="AC177" s="44">
        <f t="shared" si="104"/>
        <v>0</v>
      </c>
      <c r="AD177" s="44">
        <f t="shared" si="105"/>
        <v>0</v>
      </c>
      <c r="AE177" s="44">
        <f t="shared" si="106"/>
        <v>0</v>
      </c>
      <c r="AF177" s="52" t="e">
        <f>HLOOKUP(I177,ElecAvoidedCostsWOCC!$A$5:$Q$50,G177+1,FALSE)</f>
        <v>#N/A</v>
      </c>
      <c r="AG177" s="44" t="e">
        <f t="shared" si="107"/>
        <v>#N/A</v>
      </c>
      <c r="AH177" s="52" t="e">
        <f>HLOOKUP(I177,ElecAvoidedCostsWOCC!$A$5:$Q$50,T177+1,FALSE)</f>
        <v>#N/A</v>
      </c>
      <c r="AI177" s="44" t="e">
        <f t="shared" si="108"/>
        <v>#N/A</v>
      </c>
      <c r="AJ177" s="44" t="e">
        <f t="shared" si="109"/>
        <v>#N/A</v>
      </c>
      <c r="AK177" s="44" t="e">
        <f>HLOOKUP(I177,ElecAvoidedCostsWOCC!$A$5:$Q$50,G177+1,FALSE)*J177*L177</f>
        <v>#N/A</v>
      </c>
      <c r="AL177" s="44" t="e">
        <f t="shared" si="110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111"/>
        <v>0</v>
      </c>
      <c r="AO177" s="47">
        <f t="shared" si="112"/>
        <v>0</v>
      </c>
      <c r="AP177" s="47" t="e">
        <f t="shared" si="113"/>
        <v>#DIV/0!</v>
      </c>
    </row>
    <row r="178" spans="2:42">
      <c r="B178" s="97" t="s">
        <v>15</v>
      </c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95"/>
        <v>0</v>
      </c>
      <c r="U178" s="47">
        <f t="shared" si="96"/>
        <v>0</v>
      </c>
      <c r="V178" s="48">
        <f t="shared" si="97"/>
        <v>0</v>
      </c>
      <c r="W178" s="49">
        <f t="shared" si="98"/>
        <v>0</v>
      </c>
      <c r="X178" s="44">
        <f t="shared" si="99"/>
        <v>0</v>
      </c>
      <c r="Y178" s="44">
        <f t="shared" si="100"/>
        <v>0</v>
      </c>
      <c r="Z178" s="44">
        <f t="shared" si="101"/>
        <v>0</v>
      </c>
      <c r="AA178" s="50">
        <f t="shared" si="102"/>
        <v>0</v>
      </c>
      <c r="AB178" s="51">
        <f t="shared" si="103"/>
        <v>0</v>
      </c>
      <c r="AC178" s="44">
        <f t="shared" si="104"/>
        <v>0</v>
      </c>
      <c r="AD178" s="44">
        <f t="shared" si="105"/>
        <v>0</v>
      </c>
      <c r="AE178" s="44">
        <f t="shared" si="106"/>
        <v>0</v>
      </c>
      <c r="AF178" s="52" t="e">
        <f>HLOOKUP(I178,ElecAvoidedCostsWOCC!$A$5:$Q$50,G178+1,FALSE)</f>
        <v>#N/A</v>
      </c>
      <c r="AG178" s="44" t="e">
        <f t="shared" si="107"/>
        <v>#N/A</v>
      </c>
      <c r="AH178" s="52" t="e">
        <f>HLOOKUP(I178,ElecAvoidedCostsWOCC!$A$5:$Q$50,T178+1,FALSE)</f>
        <v>#N/A</v>
      </c>
      <c r="AI178" s="44" t="e">
        <f t="shared" si="108"/>
        <v>#N/A</v>
      </c>
      <c r="AJ178" s="44" t="e">
        <f t="shared" si="109"/>
        <v>#N/A</v>
      </c>
      <c r="AK178" s="44" t="e">
        <f>HLOOKUP(I178,ElecAvoidedCostsWOCC!$A$5:$Q$50,G178+1,FALSE)*J178*L178</f>
        <v>#N/A</v>
      </c>
      <c r="AL178" s="44" t="e">
        <f t="shared" si="110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111"/>
        <v>0</v>
      </c>
      <c r="AO178" s="47">
        <f t="shared" si="112"/>
        <v>0</v>
      </c>
      <c r="AP178" s="47" t="e">
        <f t="shared" si="113"/>
        <v>#DIV/0!</v>
      </c>
    </row>
    <row r="179" spans="2:42">
      <c r="B179" s="97" t="s">
        <v>15</v>
      </c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95"/>
        <v>0</v>
      </c>
      <c r="U179" s="47">
        <f t="shared" si="96"/>
        <v>0</v>
      </c>
      <c r="V179" s="48">
        <f t="shared" si="97"/>
        <v>0</v>
      </c>
      <c r="W179" s="49">
        <f t="shared" si="98"/>
        <v>0</v>
      </c>
      <c r="X179" s="44">
        <f t="shared" si="99"/>
        <v>0</v>
      </c>
      <c r="Y179" s="44">
        <f t="shared" si="100"/>
        <v>0</v>
      </c>
      <c r="Z179" s="44">
        <f t="shared" si="101"/>
        <v>0</v>
      </c>
      <c r="AA179" s="50">
        <f t="shared" si="102"/>
        <v>0</v>
      </c>
      <c r="AB179" s="51">
        <f t="shared" si="103"/>
        <v>0</v>
      </c>
      <c r="AC179" s="44">
        <f t="shared" si="104"/>
        <v>0</v>
      </c>
      <c r="AD179" s="44">
        <f t="shared" si="105"/>
        <v>0</v>
      </c>
      <c r="AE179" s="44">
        <f t="shared" si="106"/>
        <v>0</v>
      </c>
      <c r="AF179" s="52" t="e">
        <f>HLOOKUP(I179,ElecAvoidedCostsWOCC!$A$5:$Q$50,G179+1,FALSE)</f>
        <v>#N/A</v>
      </c>
      <c r="AG179" s="44" t="e">
        <f t="shared" si="107"/>
        <v>#N/A</v>
      </c>
      <c r="AH179" s="52" t="e">
        <f>HLOOKUP(I179,ElecAvoidedCostsWOCC!$A$5:$Q$50,T179+1,FALSE)</f>
        <v>#N/A</v>
      </c>
      <c r="AI179" s="44" t="e">
        <f t="shared" si="108"/>
        <v>#N/A</v>
      </c>
      <c r="AJ179" s="44" t="e">
        <f t="shared" si="109"/>
        <v>#N/A</v>
      </c>
      <c r="AK179" s="44" t="e">
        <f>HLOOKUP(I179,ElecAvoidedCostsWOCC!$A$5:$Q$50,G179+1,FALSE)*J179*L179</f>
        <v>#N/A</v>
      </c>
      <c r="AL179" s="44" t="e">
        <f t="shared" si="110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111"/>
        <v>0</v>
      </c>
      <c r="AO179" s="47">
        <f t="shared" si="112"/>
        <v>0</v>
      </c>
      <c r="AP179" s="47" t="e">
        <f t="shared" si="113"/>
        <v>#DIV/0!</v>
      </c>
    </row>
    <row r="180" spans="2:42">
      <c r="B180" s="97" t="s">
        <v>15</v>
      </c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95"/>
        <v>0</v>
      </c>
      <c r="U180" s="47">
        <f t="shared" si="96"/>
        <v>0</v>
      </c>
      <c r="V180" s="48">
        <f t="shared" si="97"/>
        <v>0</v>
      </c>
      <c r="W180" s="49">
        <f t="shared" si="98"/>
        <v>0</v>
      </c>
      <c r="X180" s="44">
        <f t="shared" si="99"/>
        <v>0</v>
      </c>
      <c r="Y180" s="44">
        <f t="shared" si="100"/>
        <v>0</v>
      </c>
      <c r="Z180" s="44">
        <f t="shared" si="101"/>
        <v>0</v>
      </c>
      <c r="AA180" s="50">
        <f t="shared" si="102"/>
        <v>0</v>
      </c>
      <c r="AB180" s="51">
        <f t="shared" si="103"/>
        <v>0</v>
      </c>
      <c r="AC180" s="44">
        <f t="shared" si="104"/>
        <v>0</v>
      </c>
      <c r="AD180" s="44">
        <f t="shared" si="105"/>
        <v>0</v>
      </c>
      <c r="AE180" s="44">
        <f t="shared" si="106"/>
        <v>0</v>
      </c>
      <c r="AF180" s="52" t="e">
        <f>HLOOKUP(I180,ElecAvoidedCostsWOCC!$A$5:$Q$50,G180+1,FALSE)</f>
        <v>#N/A</v>
      </c>
      <c r="AG180" s="44" t="e">
        <f t="shared" si="107"/>
        <v>#N/A</v>
      </c>
      <c r="AH180" s="52" t="e">
        <f>HLOOKUP(I180,ElecAvoidedCostsWOCC!$A$5:$Q$50,T180+1,FALSE)</f>
        <v>#N/A</v>
      </c>
      <c r="AI180" s="44" t="e">
        <f t="shared" si="108"/>
        <v>#N/A</v>
      </c>
      <c r="AJ180" s="44" t="e">
        <f t="shared" si="109"/>
        <v>#N/A</v>
      </c>
      <c r="AK180" s="44" t="e">
        <f>HLOOKUP(I180,ElecAvoidedCostsWOCC!$A$5:$Q$50,G180+1,FALSE)*J180*L180</f>
        <v>#N/A</v>
      </c>
      <c r="AL180" s="44" t="e">
        <f t="shared" si="110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111"/>
        <v>0</v>
      </c>
      <c r="AO180" s="47">
        <f t="shared" si="112"/>
        <v>0</v>
      </c>
      <c r="AP180" s="47" t="e">
        <f t="shared" si="113"/>
        <v>#DIV/0!</v>
      </c>
    </row>
    <row r="181" spans="2:42">
      <c r="B181" s="97" t="s">
        <v>15</v>
      </c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95"/>
        <v>0</v>
      </c>
      <c r="U181" s="47">
        <f t="shared" si="96"/>
        <v>0</v>
      </c>
      <c r="V181" s="48">
        <f t="shared" si="97"/>
        <v>0</v>
      </c>
      <c r="W181" s="49">
        <f t="shared" si="98"/>
        <v>0</v>
      </c>
      <c r="X181" s="44">
        <f t="shared" si="99"/>
        <v>0</v>
      </c>
      <c r="Y181" s="44">
        <f t="shared" si="100"/>
        <v>0</v>
      </c>
      <c r="Z181" s="44">
        <f t="shared" si="101"/>
        <v>0</v>
      </c>
      <c r="AA181" s="50">
        <f t="shared" si="102"/>
        <v>0</v>
      </c>
      <c r="AB181" s="51">
        <f t="shared" si="103"/>
        <v>0</v>
      </c>
      <c r="AC181" s="44">
        <f t="shared" si="104"/>
        <v>0</v>
      </c>
      <c r="AD181" s="44">
        <f t="shared" si="105"/>
        <v>0</v>
      </c>
      <c r="AE181" s="44">
        <f t="shared" si="106"/>
        <v>0</v>
      </c>
      <c r="AF181" s="52" t="e">
        <f>HLOOKUP(I181,ElecAvoidedCostsWOCC!$A$5:$Q$50,G181+1,FALSE)</f>
        <v>#N/A</v>
      </c>
      <c r="AG181" s="44" t="e">
        <f t="shared" si="107"/>
        <v>#N/A</v>
      </c>
      <c r="AH181" s="52" t="e">
        <f>HLOOKUP(I181,ElecAvoidedCostsWOCC!$A$5:$Q$50,T181+1,FALSE)</f>
        <v>#N/A</v>
      </c>
      <c r="AI181" s="44" t="e">
        <f t="shared" si="108"/>
        <v>#N/A</v>
      </c>
      <c r="AJ181" s="44" t="e">
        <f t="shared" si="109"/>
        <v>#N/A</v>
      </c>
      <c r="AK181" s="44" t="e">
        <f>HLOOKUP(I181,ElecAvoidedCostsWOCC!$A$5:$Q$50,G181+1,FALSE)*J181*L181</f>
        <v>#N/A</v>
      </c>
      <c r="AL181" s="44" t="e">
        <f t="shared" si="110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111"/>
        <v>0</v>
      </c>
      <c r="AO181" s="47">
        <f t="shared" si="112"/>
        <v>0</v>
      </c>
      <c r="AP181" s="47" t="e">
        <f t="shared" si="113"/>
        <v>#DIV/0!</v>
      </c>
    </row>
    <row r="182" spans="2:42">
      <c r="B182" s="97" t="s">
        <v>15</v>
      </c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95"/>
        <v>0</v>
      </c>
      <c r="U182" s="47">
        <f t="shared" si="96"/>
        <v>0</v>
      </c>
      <c r="V182" s="48">
        <f t="shared" si="97"/>
        <v>0</v>
      </c>
      <c r="W182" s="49">
        <f t="shared" si="98"/>
        <v>0</v>
      </c>
      <c r="X182" s="44">
        <f t="shared" si="99"/>
        <v>0</v>
      </c>
      <c r="Y182" s="44">
        <f t="shared" si="100"/>
        <v>0</v>
      </c>
      <c r="Z182" s="44">
        <f t="shared" si="101"/>
        <v>0</v>
      </c>
      <c r="AA182" s="50">
        <f t="shared" si="102"/>
        <v>0</v>
      </c>
      <c r="AB182" s="51">
        <f t="shared" si="103"/>
        <v>0</v>
      </c>
      <c r="AC182" s="44">
        <f t="shared" si="104"/>
        <v>0</v>
      </c>
      <c r="AD182" s="44">
        <f t="shared" si="105"/>
        <v>0</v>
      </c>
      <c r="AE182" s="44">
        <f t="shared" si="106"/>
        <v>0</v>
      </c>
      <c r="AF182" s="52" t="e">
        <f>HLOOKUP(I182,ElecAvoidedCostsWOCC!$A$5:$Q$50,G182+1,FALSE)</f>
        <v>#N/A</v>
      </c>
      <c r="AG182" s="44" t="e">
        <f t="shared" si="107"/>
        <v>#N/A</v>
      </c>
      <c r="AH182" s="52" t="e">
        <f>HLOOKUP(I182,ElecAvoidedCostsWOCC!$A$5:$Q$50,T182+1,FALSE)</f>
        <v>#N/A</v>
      </c>
      <c r="AI182" s="44" t="e">
        <f t="shared" si="108"/>
        <v>#N/A</v>
      </c>
      <c r="AJ182" s="44" t="e">
        <f t="shared" si="109"/>
        <v>#N/A</v>
      </c>
      <c r="AK182" s="44" t="e">
        <f>HLOOKUP(I182,ElecAvoidedCostsWOCC!$A$5:$Q$50,G182+1,FALSE)*J182*L182</f>
        <v>#N/A</v>
      </c>
      <c r="AL182" s="44" t="e">
        <f t="shared" si="110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111"/>
        <v>0</v>
      </c>
      <c r="AO182" s="47">
        <f t="shared" si="112"/>
        <v>0</v>
      </c>
      <c r="AP182" s="47" t="e">
        <f t="shared" si="113"/>
        <v>#DIV/0!</v>
      </c>
    </row>
    <row r="183" spans="2:42">
      <c r="B183" s="97" t="s">
        <v>15</v>
      </c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95"/>
        <v>0</v>
      </c>
      <c r="U183" s="47">
        <f t="shared" si="96"/>
        <v>0</v>
      </c>
      <c r="V183" s="48">
        <f t="shared" si="97"/>
        <v>0</v>
      </c>
      <c r="W183" s="49">
        <f t="shared" si="98"/>
        <v>0</v>
      </c>
      <c r="X183" s="44">
        <f t="shared" si="99"/>
        <v>0</v>
      </c>
      <c r="Y183" s="44">
        <f t="shared" si="100"/>
        <v>0</v>
      </c>
      <c r="Z183" s="44">
        <f t="shared" si="101"/>
        <v>0</v>
      </c>
      <c r="AA183" s="50">
        <f t="shared" si="102"/>
        <v>0</v>
      </c>
      <c r="AB183" s="51">
        <f t="shared" si="103"/>
        <v>0</v>
      </c>
      <c r="AC183" s="44">
        <f t="shared" si="104"/>
        <v>0</v>
      </c>
      <c r="AD183" s="44">
        <f t="shared" si="105"/>
        <v>0</v>
      </c>
      <c r="AE183" s="44">
        <f t="shared" si="106"/>
        <v>0</v>
      </c>
      <c r="AF183" s="52" t="e">
        <f>HLOOKUP(I183,ElecAvoidedCostsWOCC!$A$5:$Q$50,G183+1,FALSE)</f>
        <v>#N/A</v>
      </c>
      <c r="AG183" s="44" t="e">
        <f t="shared" si="107"/>
        <v>#N/A</v>
      </c>
      <c r="AH183" s="52" t="e">
        <f>HLOOKUP(I183,ElecAvoidedCostsWOCC!$A$5:$Q$50,T183+1,FALSE)</f>
        <v>#N/A</v>
      </c>
      <c r="AI183" s="44" t="e">
        <f t="shared" si="108"/>
        <v>#N/A</v>
      </c>
      <c r="AJ183" s="44" t="e">
        <f t="shared" si="109"/>
        <v>#N/A</v>
      </c>
      <c r="AK183" s="44" t="e">
        <f>HLOOKUP(I183,ElecAvoidedCostsWOCC!$A$5:$Q$50,G183+1,FALSE)*J183*L183</f>
        <v>#N/A</v>
      </c>
      <c r="AL183" s="44" t="e">
        <f t="shared" si="110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111"/>
        <v>0</v>
      </c>
      <c r="AO183" s="47">
        <f t="shared" si="112"/>
        <v>0</v>
      </c>
      <c r="AP183" s="47" t="e">
        <f t="shared" si="113"/>
        <v>#DIV/0!</v>
      </c>
    </row>
    <row r="184" spans="2:42">
      <c r="B184" s="97" t="s">
        <v>15</v>
      </c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95"/>
        <v>0</v>
      </c>
      <c r="U184" s="47">
        <f t="shared" si="96"/>
        <v>0</v>
      </c>
      <c r="V184" s="48">
        <f t="shared" si="97"/>
        <v>0</v>
      </c>
      <c r="W184" s="49">
        <f t="shared" si="98"/>
        <v>0</v>
      </c>
      <c r="X184" s="44">
        <f t="shared" si="99"/>
        <v>0</v>
      </c>
      <c r="Y184" s="44">
        <f t="shared" si="100"/>
        <v>0</v>
      </c>
      <c r="Z184" s="44">
        <f t="shared" si="101"/>
        <v>0</v>
      </c>
      <c r="AA184" s="50">
        <f t="shared" si="102"/>
        <v>0</v>
      </c>
      <c r="AB184" s="51">
        <f t="shared" si="103"/>
        <v>0</v>
      </c>
      <c r="AC184" s="44">
        <f t="shared" si="104"/>
        <v>0</v>
      </c>
      <c r="AD184" s="44">
        <f t="shared" si="105"/>
        <v>0</v>
      </c>
      <c r="AE184" s="44">
        <f t="shared" si="106"/>
        <v>0</v>
      </c>
      <c r="AF184" s="52" t="e">
        <f>HLOOKUP(I184,ElecAvoidedCostsWOCC!$A$5:$Q$50,G184+1,FALSE)</f>
        <v>#N/A</v>
      </c>
      <c r="AG184" s="44" t="e">
        <f t="shared" si="107"/>
        <v>#N/A</v>
      </c>
      <c r="AH184" s="52" t="e">
        <f>HLOOKUP(I184,ElecAvoidedCostsWOCC!$A$5:$Q$50,T184+1,FALSE)</f>
        <v>#N/A</v>
      </c>
      <c r="AI184" s="44" t="e">
        <f t="shared" si="108"/>
        <v>#N/A</v>
      </c>
      <c r="AJ184" s="44" t="e">
        <f t="shared" si="109"/>
        <v>#N/A</v>
      </c>
      <c r="AK184" s="44" t="e">
        <f>HLOOKUP(I184,ElecAvoidedCostsWOCC!$A$5:$Q$50,G184+1,FALSE)*J184*L184</f>
        <v>#N/A</v>
      </c>
      <c r="AL184" s="44" t="e">
        <f t="shared" si="110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111"/>
        <v>0</v>
      </c>
      <c r="AO184" s="47">
        <f t="shared" si="112"/>
        <v>0</v>
      </c>
      <c r="AP184" s="47" t="e">
        <f t="shared" si="113"/>
        <v>#DIV/0!</v>
      </c>
    </row>
    <row r="185" spans="2:42">
      <c r="B185" s="97" t="s">
        <v>15</v>
      </c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95"/>
        <v>0</v>
      </c>
      <c r="U185" s="47">
        <f t="shared" si="96"/>
        <v>0</v>
      </c>
      <c r="V185" s="48">
        <f t="shared" si="97"/>
        <v>0</v>
      </c>
      <c r="W185" s="49">
        <f t="shared" si="98"/>
        <v>0</v>
      </c>
      <c r="X185" s="44">
        <f t="shared" si="99"/>
        <v>0</v>
      </c>
      <c r="Y185" s="44">
        <f t="shared" si="100"/>
        <v>0</v>
      </c>
      <c r="Z185" s="44">
        <f t="shared" si="101"/>
        <v>0</v>
      </c>
      <c r="AA185" s="50">
        <f t="shared" si="102"/>
        <v>0</v>
      </c>
      <c r="AB185" s="51">
        <f t="shared" si="103"/>
        <v>0</v>
      </c>
      <c r="AC185" s="44">
        <f t="shared" si="104"/>
        <v>0</v>
      </c>
      <c r="AD185" s="44">
        <f t="shared" si="105"/>
        <v>0</v>
      </c>
      <c r="AE185" s="44">
        <f t="shared" si="106"/>
        <v>0</v>
      </c>
      <c r="AF185" s="52" t="e">
        <f>HLOOKUP(I185,ElecAvoidedCostsWOCC!$A$5:$Q$50,G185+1,FALSE)</f>
        <v>#N/A</v>
      </c>
      <c r="AG185" s="44" t="e">
        <f t="shared" si="107"/>
        <v>#N/A</v>
      </c>
      <c r="AH185" s="52" t="e">
        <f>HLOOKUP(I185,ElecAvoidedCostsWOCC!$A$5:$Q$50,T185+1,FALSE)</f>
        <v>#N/A</v>
      </c>
      <c r="AI185" s="44" t="e">
        <f t="shared" si="108"/>
        <v>#N/A</v>
      </c>
      <c r="AJ185" s="44" t="e">
        <f t="shared" si="109"/>
        <v>#N/A</v>
      </c>
      <c r="AK185" s="44" t="e">
        <f>HLOOKUP(I185,ElecAvoidedCostsWOCC!$A$5:$Q$50,G185+1,FALSE)*J185*L185</f>
        <v>#N/A</v>
      </c>
      <c r="AL185" s="44" t="e">
        <f t="shared" si="110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111"/>
        <v>0</v>
      </c>
      <c r="AO185" s="47">
        <f t="shared" si="112"/>
        <v>0</v>
      </c>
      <c r="AP185" s="47" t="e">
        <f t="shared" si="113"/>
        <v>#DIV/0!</v>
      </c>
    </row>
    <row r="186" spans="2:42">
      <c r="B186" s="97" t="s">
        <v>15</v>
      </c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95"/>
        <v>0</v>
      </c>
      <c r="U186" s="47">
        <f t="shared" si="96"/>
        <v>0</v>
      </c>
      <c r="V186" s="48">
        <f t="shared" si="97"/>
        <v>0</v>
      </c>
      <c r="W186" s="49">
        <f t="shared" si="98"/>
        <v>0</v>
      </c>
      <c r="X186" s="44">
        <f t="shared" si="99"/>
        <v>0</v>
      </c>
      <c r="Y186" s="44">
        <f t="shared" si="100"/>
        <v>0</v>
      </c>
      <c r="Z186" s="44">
        <f t="shared" si="101"/>
        <v>0</v>
      </c>
      <c r="AA186" s="50">
        <f t="shared" si="102"/>
        <v>0</v>
      </c>
      <c r="AB186" s="51">
        <f t="shared" si="103"/>
        <v>0</v>
      </c>
      <c r="AC186" s="44">
        <f t="shared" si="104"/>
        <v>0</v>
      </c>
      <c r="AD186" s="44">
        <f t="shared" si="105"/>
        <v>0</v>
      </c>
      <c r="AE186" s="44">
        <f t="shared" si="106"/>
        <v>0</v>
      </c>
      <c r="AF186" s="52" t="e">
        <f>HLOOKUP(I186,ElecAvoidedCostsWOCC!$A$5:$Q$50,G186+1,FALSE)</f>
        <v>#N/A</v>
      </c>
      <c r="AG186" s="44" t="e">
        <f t="shared" si="107"/>
        <v>#N/A</v>
      </c>
      <c r="AH186" s="52" t="e">
        <f>HLOOKUP(I186,ElecAvoidedCostsWOCC!$A$5:$Q$50,T186+1,FALSE)</f>
        <v>#N/A</v>
      </c>
      <c r="AI186" s="44" t="e">
        <f t="shared" si="108"/>
        <v>#N/A</v>
      </c>
      <c r="AJ186" s="44" t="e">
        <f t="shared" si="109"/>
        <v>#N/A</v>
      </c>
      <c r="AK186" s="44" t="e">
        <f>HLOOKUP(I186,ElecAvoidedCostsWOCC!$A$5:$Q$50,G186+1,FALSE)*J186*L186</f>
        <v>#N/A</v>
      </c>
      <c r="AL186" s="44" t="e">
        <f t="shared" si="110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111"/>
        <v>0</v>
      </c>
      <c r="AO186" s="47">
        <f t="shared" si="112"/>
        <v>0</v>
      </c>
      <c r="AP186" s="47" t="e">
        <f t="shared" si="113"/>
        <v>#DIV/0!</v>
      </c>
    </row>
    <row r="187" spans="2:42">
      <c r="B187" s="97" t="s">
        <v>15</v>
      </c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95"/>
        <v>0</v>
      </c>
      <c r="U187" s="47">
        <f t="shared" si="96"/>
        <v>0</v>
      </c>
      <c r="V187" s="48">
        <f t="shared" si="97"/>
        <v>0</v>
      </c>
      <c r="W187" s="49">
        <f t="shared" si="98"/>
        <v>0</v>
      </c>
      <c r="X187" s="44">
        <f t="shared" si="99"/>
        <v>0</v>
      </c>
      <c r="Y187" s="44">
        <f t="shared" si="100"/>
        <v>0</v>
      </c>
      <c r="Z187" s="44">
        <f t="shared" si="101"/>
        <v>0</v>
      </c>
      <c r="AA187" s="50">
        <f t="shared" si="102"/>
        <v>0</v>
      </c>
      <c r="AB187" s="51">
        <f t="shared" si="103"/>
        <v>0</v>
      </c>
      <c r="AC187" s="44">
        <f t="shared" si="104"/>
        <v>0</v>
      </c>
      <c r="AD187" s="44">
        <f t="shared" si="105"/>
        <v>0</v>
      </c>
      <c r="AE187" s="44">
        <f t="shared" si="106"/>
        <v>0</v>
      </c>
      <c r="AF187" s="52" t="e">
        <f>HLOOKUP(I187,ElecAvoidedCostsWOCC!$A$5:$Q$50,G187+1,FALSE)</f>
        <v>#N/A</v>
      </c>
      <c r="AG187" s="44" t="e">
        <f t="shared" si="107"/>
        <v>#N/A</v>
      </c>
      <c r="AH187" s="52" t="e">
        <f>HLOOKUP(I187,ElecAvoidedCostsWOCC!$A$5:$Q$50,T187+1,FALSE)</f>
        <v>#N/A</v>
      </c>
      <c r="AI187" s="44" t="e">
        <f t="shared" si="108"/>
        <v>#N/A</v>
      </c>
      <c r="AJ187" s="44" t="e">
        <f t="shared" si="109"/>
        <v>#N/A</v>
      </c>
      <c r="AK187" s="44" t="e">
        <f>HLOOKUP(I187,ElecAvoidedCostsWOCC!$A$5:$Q$50,G187+1,FALSE)*J187*L187</f>
        <v>#N/A</v>
      </c>
      <c r="AL187" s="44" t="e">
        <f t="shared" si="110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111"/>
        <v>0</v>
      </c>
      <c r="AO187" s="47">
        <f t="shared" si="112"/>
        <v>0</v>
      </c>
      <c r="AP187" s="47" t="e">
        <f t="shared" si="113"/>
        <v>#DIV/0!</v>
      </c>
    </row>
    <row r="188" spans="2:42">
      <c r="B188" s="97" t="s">
        <v>15</v>
      </c>
      <c r="C188" s="100"/>
      <c r="D188" s="100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95"/>
        <v>0</v>
      </c>
      <c r="U188" s="47">
        <f t="shared" si="96"/>
        <v>0</v>
      </c>
      <c r="V188" s="48">
        <f t="shared" si="97"/>
        <v>0</v>
      </c>
      <c r="W188" s="49">
        <f t="shared" si="98"/>
        <v>0</v>
      </c>
      <c r="X188" s="44">
        <f t="shared" si="99"/>
        <v>0</v>
      </c>
      <c r="Y188" s="44">
        <f t="shared" si="100"/>
        <v>0</v>
      </c>
      <c r="Z188" s="44">
        <f t="shared" si="101"/>
        <v>0</v>
      </c>
      <c r="AA188" s="50">
        <f t="shared" si="102"/>
        <v>0</v>
      </c>
      <c r="AB188" s="51">
        <f t="shared" si="103"/>
        <v>0</v>
      </c>
      <c r="AC188" s="44">
        <f t="shared" si="104"/>
        <v>0</v>
      </c>
      <c r="AD188" s="44">
        <f t="shared" si="105"/>
        <v>0</v>
      </c>
      <c r="AE188" s="44">
        <f t="shared" si="106"/>
        <v>0</v>
      </c>
      <c r="AF188" s="52" t="e">
        <f>HLOOKUP(I188,ElecAvoidedCostsWOCC!$A$5:$Q$50,G188+1,FALSE)</f>
        <v>#N/A</v>
      </c>
      <c r="AG188" s="44" t="e">
        <f t="shared" si="107"/>
        <v>#N/A</v>
      </c>
      <c r="AH188" s="52" t="e">
        <f>HLOOKUP(I188,ElecAvoidedCostsWOCC!$A$5:$Q$50,T188+1,FALSE)</f>
        <v>#N/A</v>
      </c>
      <c r="AI188" s="44" t="e">
        <f t="shared" si="108"/>
        <v>#N/A</v>
      </c>
      <c r="AJ188" s="44" t="e">
        <f t="shared" si="109"/>
        <v>#N/A</v>
      </c>
      <c r="AK188" s="44" t="e">
        <f>HLOOKUP(I188,ElecAvoidedCostsWOCC!$A$5:$Q$50,G188+1,FALSE)*J188*L188</f>
        <v>#N/A</v>
      </c>
      <c r="AL188" s="44" t="e">
        <f t="shared" si="110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111"/>
        <v>0</v>
      </c>
      <c r="AO188" s="47">
        <f t="shared" si="112"/>
        <v>0</v>
      </c>
      <c r="AP188" s="47" t="e">
        <f t="shared" si="113"/>
        <v>#DIV/0!</v>
      </c>
    </row>
    <row r="189" spans="2:42">
      <c r="B189" s="97" t="s">
        <v>15</v>
      </c>
      <c r="C189" s="100"/>
      <c r="D189" s="100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95"/>
        <v>0</v>
      </c>
      <c r="U189" s="47">
        <f t="shared" si="96"/>
        <v>0</v>
      </c>
      <c r="V189" s="48">
        <f t="shared" si="97"/>
        <v>0</v>
      </c>
      <c r="W189" s="49">
        <f t="shared" si="98"/>
        <v>0</v>
      </c>
      <c r="X189" s="44">
        <f t="shared" si="99"/>
        <v>0</v>
      </c>
      <c r="Y189" s="44">
        <f t="shared" si="100"/>
        <v>0</v>
      </c>
      <c r="Z189" s="44">
        <f t="shared" si="101"/>
        <v>0</v>
      </c>
      <c r="AA189" s="50">
        <f t="shared" si="102"/>
        <v>0</v>
      </c>
      <c r="AB189" s="51">
        <f t="shared" si="103"/>
        <v>0</v>
      </c>
      <c r="AC189" s="44">
        <f t="shared" si="104"/>
        <v>0</v>
      </c>
      <c r="AD189" s="44">
        <f t="shared" si="105"/>
        <v>0</v>
      </c>
      <c r="AE189" s="44">
        <f t="shared" si="106"/>
        <v>0</v>
      </c>
      <c r="AF189" s="52" t="e">
        <f>HLOOKUP(I189,ElecAvoidedCostsWOCC!$A$5:$Q$50,G189+1,FALSE)</f>
        <v>#N/A</v>
      </c>
      <c r="AG189" s="44" t="e">
        <f t="shared" si="107"/>
        <v>#N/A</v>
      </c>
      <c r="AH189" s="52" t="e">
        <f>HLOOKUP(I189,ElecAvoidedCostsWOCC!$A$5:$Q$50,T189+1,FALSE)</f>
        <v>#N/A</v>
      </c>
      <c r="AI189" s="44" t="e">
        <f t="shared" si="108"/>
        <v>#N/A</v>
      </c>
      <c r="AJ189" s="44" t="e">
        <f t="shared" si="109"/>
        <v>#N/A</v>
      </c>
      <c r="AK189" s="44" t="e">
        <f>HLOOKUP(I189,ElecAvoidedCostsWOCC!$A$5:$Q$50,G189+1,FALSE)*J189*L189</f>
        <v>#N/A</v>
      </c>
      <c r="AL189" s="44" t="e">
        <f t="shared" si="110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111"/>
        <v>0</v>
      </c>
      <c r="AO189" s="47">
        <f t="shared" si="112"/>
        <v>0</v>
      </c>
      <c r="AP189" s="47" t="e">
        <f t="shared" si="113"/>
        <v>#DIV/0!</v>
      </c>
    </row>
    <row r="190" spans="2:42">
      <c r="B190" s="97" t="s">
        <v>15</v>
      </c>
      <c r="C190" s="100"/>
      <c r="D190" s="100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95"/>
        <v>0</v>
      </c>
      <c r="U190" s="47">
        <f t="shared" si="96"/>
        <v>0</v>
      </c>
      <c r="V190" s="48">
        <f t="shared" si="97"/>
        <v>0</v>
      </c>
      <c r="W190" s="49">
        <f t="shared" si="98"/>
        <v>0</v>
      </c>
      <c r="X190" s="44">
        <f t="shared" si="99"/>
        <v>0</v>
      </c>
      <c r="Y190" s="44">
        <f t="shared" si="100"/>
        <v>0</v>
      </c>
      <c r="Z190" s="44">
        <f t="shared" si="101"/>
        <v>0</v>
      </c>
      <c r="AA190" s="50">
        <f t="shared" si="102"/>
        <v>0</v>
      </c>
      <c r="AB190" s="51">
        <f t="shared" si="103"/>
        <v>0</v>
      </c>
      <c r="AC190" s="44">
        <f t="shared" si="104"/>
        <v>0</v>
      </c>
      <c r="AD190" s="44">
        <f t="shared" si="105"/>
        <v>0</v>
      </c>
      <c r="AE190" s="44">
        <f t="shared" si="106"/>
        <v>0</v>
      </c>
      <c r="AF190" s="52" t="e">
        <f>HLOOKUP(I190,ElecAvoidedCostsWOCC!$A$5:$Q$50,G190+1,FALSE)</f>
        <v>#N/A</v>
      </c>
      <c r="AG190" s="44" t="e">
        <f t="shared" si="107"/>
        <v>#N/A</v>
      </c>
      <c r="AH190" s="52" t="e">
        <f>HLOOKUP(I190,ElecAvoidedCostsWOCC!$A$5:$Q$50,T190+1,FALSE)</f>
        <v>#N/A</v>
      </c>
      <c r="AI190" s="44" t="e">
        <f t="shared" si="108"/>
        <v>#N/A</v>
      </c>
      <c r="AJ190" s="44" t="e">
        <f t="shared" si="109"/>
        <v>#N/A</v>
      </c>
      <c r="AK190" s="44" t="e">
        <f>HLOOKUP(I190,ElecAvoidedCostsWOCC!$A$5:$Q$50,G190+1,FALSE)*J190*L190</f>
        <v>#N/A</v>
      </c>
      <c r="AL190" s="44" t="e">
        <f t="shared" si="110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111"/>
        <v>0</v>
      </c>
      <c r="AO190" s="47">
        <f t="shared" si="112"/>
        <v>0</v>
      </c>
      <c r="AP190" s="47" t="e">
        <f t="shared" si="113"/>
        <v>#DIV/0!</v>
      </c>
    </row>
    <row r="191" spans="2:42">
      <c r="B191" s="97" t="s">
        <v>15</v>
      </c>
      <c r="C191" s="100"/>
      <c r="D191" s="100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95"/>
        <v>0</v>
      </c>
      <c r="U191" s="47">
        <f t="shared" si="96"/>
        <v>0</v>
      </c>
      <c r="V191" s="48">
        <f t="shared" si="97"/>
        <v>0</v>
      </c>
      <c r="W191" s="49">
        <f t="shared" si="98"/>
        <v>0</v>
      </c>
      <c r="X191" s="44">
        <f t="shared" si="99"/>
        <v>0</v>
      </c>
      <c r="Y191" s="44">
        <f t="shared" si="100"/>
        <v>0</v>
      </c>
      <c r="Z191" s="44">
        <f t="shared" si="101"/>
        <v>0</v>
      </c>
      <c r="AA191" s="50">
        <f t="shared" si="102"/>
        <v>0</v>
      </c>
      <c r="AB191" s="51">
        <f t="shared" si="103"/>
        <v>0</v>
      </c>
      <c r="AC191" s="44">
        <f t="shared" si="104"/>
        <v>0</v>
      </c>
      <c r="AD191" s="44">
        <f t="shared" si="105"/>
        <v>0</v>
      </c>
      <c r="AE191" s="44">
        <f t="shared" si="106"/>
        <v>0</v>
      </c>
      <c r="AF191" s="52" t="e">
        <f>HLOOKUP(I191,ElecAvoidedCostsWOCC!$A$5:$Q$50,G191+1,FALSE)</f>
        <v>#N/A</v>
      </c>
      <c r="AG191" s="44" t="e">
        <f t="shared" si="107"/>
        <v>#N/A</v>
      </c>
      <c r="AH191" s="52" t="e">
        <f>HLOOKUP(I191,ElecAvoidedCostsWOCC!$A$5:$Q$50,T191+1,FALSE)</f>
        <v>#N/A</v>
      </c>
      <c r="AI191" s="44" t="e">
        <f t="shared" si="108"/>
        <v>#N/A</v>
      </c>
      <c r="AJ191" s="44" t="e">
        <f t="shared" si="109"/>
        <v>#N/A</v>
      </c>
      <c r="AK191" s="44" t="e">
        <f>HLOOKUP(I191,ElecAvoidedCostsWOCC!$A$5:$Q$50,G191+1,FALSE)*J191*L191</f>
        <v>#N/A</v>
      </c>
      <c r="AL191" s="44" t="e">
        <f t="shared" si="110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111"/>
        <v>0</v>
      </c>
      <c r="AO191" s="47">
        <f t="shared" si="112"/>
        <v>0</v>
      </c>
      <c r="AP191" s="47" t="e">
        <f t="shared" si="113"/>
        <v>#DIV/0!</v>
      </c>
    </row>
    <row r="192" spans="2:42">
      <c r="B192" s="97" t="s">
        <v>15</v>
      </c>
      <c r="C192" s="100"/>
      <c r="D192" s="100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95"/>
        <v>0</v>
      </c>
      <c r="U192" s="47">
        <f t="shared" si="96"/>
        <v>0</v>
      </c>
      <c r="V192" s="48">
        <f t="shared" si="97"/>
        <v>0</v>
      </c>
      <c r="W192" s="49">
        <f t="shared" si="98"/>
        <v>0</v>
      </c>
      <c r="X192" s="44">
        <f t="shared" si="99"/>
        <v>0</v>
      </c>
      <c r="Y192" s="44">
        <f t="shared" si="100"/>
        <v>0</v>
      </c>
      <c r="Z192" s="44">
        <f t="shared" si="101"/>
        <v>0</v>
      </c>
      <c r="AA192" s="50">
        <f t="shared" si="102"/>
        <v>0</v>
      </c>
      <c r="AB192" s="51">
        <f t="shared" si="103"/>
        <v>0</v>
      </c>
      <c r="AC192" s="44">
        <f t="shared" si="104"/>
        <v>0</v>
      </c>
      <c r="AD192" s="44">
        <f t="shared" si="105"/>
        <v>0</v>
      </c>
      <c r="AE192" s="44">
        <f t="shared" si="106"/>
        <v>0</v>
      </c>
      <c r="AF192" s="52" t="e">
        <f>HLOOKUP(I192,ElecAvoidedCostsWOCC!$A$5:$Q$50,G192+1,FALSE)</f>
        <v>#N/A</v>
      </c>
      <c r="AG192" s="44" t="e">
        <f t="shared" si="107"/>
        <v>#N/A</v>
      </c>
      <c r="AH192" s="52" t="e">
        <f>HLOOKUP(I192,ElecAvoidedCostsWOCC!$A$5:$Q$50,T192+1,FALSE)</f>
        <v>#N/A</v>
      </c>
      <c r="AI192" s="44" t="e">
        <f t="shared" si="108"/>
        <v>#N/A</v>
      </c>
      <c r="AJ192" s="44" t="e">
        <f t="shared" si="109"/>
        <v>#N/A</v>
      </c>
      <c r="AK192" s="44" t="e">
        <f>HLOOKUP(I192,ElecAvoidedCostsWOCC!$A$5:$Q$50,G192+1,FALSE)*J192*L192</f>
        <v>#N/A</v>
      </c>
      <c r="AL192" s="44" t="e">
        <f t="shared" si="110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111"/>
        <v>0</v>
      </c>
      <c r="AO192" s="47">
        <f t="shared" si="112"/>
        <v>0</v>
      </c>
      <c r="AP192" s="47" t="e">
        <f t="shared" si="113"/>
        <v>#DIV/0!</v>
      </c>
    </row>
    <row r="193" spans="2:42">
      <c r="B193" s="97" t="s">
        <v>15</v>
      </c>
      <c r="C193" s="100"/>
      <c r="D193" s="100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95"/>
        <v>0</v>
      </c>
      <c r="U193" s="47">
        <f t="shared" si="96"/>
        <v>0</v>
      </c>
      <c r="V193" s="48">
        <f t="shared" si="97"/>
        <v>0</v>
      </c>
      <c r="W193" s="49">
        <f t="shared" si="98"/>
        <v>0</v>
      </c>
      <c r="X193" s="44">
        <f t="shared" si="99"/>
        <v>0</v>
      </c>
      <c r="Y193" s="44">
        <f t="shared" si="100"/>
        <v>0</v>
      </c>
      <c r="Z193" s="44">
        <f t="shared" si="101"/>
        <v>0</v>
      </c>
      <c r="AA193" s="50">
        <f t="shared" si="102"/>
        <v>0</v>
      </c>
      <c r="AB193" s="51">
        <f t="shared" si="103"/>
        <v>0</v>
      </c>
      <c r="AC193" s="44">
        <f t="shared" si="104"/>
        <v>0</v>
      </c>
      <c r="AD193" s="44">
        <f t="shared" si="105"/>
        <v>0</v>
      </c>
      <c r="AE193" s="44">
        <f t="shared" si="106"/>
        <v>0</v>
      </c>
      <c r="AF193" s="52" t="e">
        <f>HLOOKUP(I193,ElecAvoidedCostsWOCC!$A$5:$Q$50,G193+1,FALSE)</f>
        <v>#N/A</v>
      </c>
      <c r="AG193" s="44" t="e">
        <f t="shared" si="107"/>
        <v>#N/A</v>
      </c>
      <c r="AH193" s="52" t="e">
        <f>HLOOKUP(I193,ElecAvoidedCostsWOCC!$A$5:$Q$50,T193+1,FALSE)</f>
        <v>#N/A</v>
      </c>
      <c r="AI193" s="44" t="e">
        <f t="shared" si="108"/>
        <v>#N/A</v>
      </c>
      <c r="AJ193" s="44" t="e">
        <f t="shared" si="109"/>
        <v>#N/A</v>
      </c>
      <c r="AK193" s="44" t="e">
        <f>HLOOKUP(I193,ElecAvoidedCostsWOCC!$A$5:$Q$50,G193+1,FALSE)*J193*L193</f>
        <v>#N/A</v>
      </c>
      <c r="AL193" s="44" t="e">
        <f t="shared" si="110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111"/>
        <v>0</v>
      </c>
      <c r="AO193" s="47">
        <f t="shared" si="112"/>
        <v>0</v>
      </c>
      <c r="AP193" s="47" t="e">
        <f t="shared" si="113"/>
        <v>#DIV/0!</v>
      </c>
    </row>
    <row r="194" spans="2:42">
      <c r="B194" s="97" t="s">
        <v>15</v>
      </c>
      <c r="C194" s="100"/>
      <c r="D194" s="100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95"/>
        <v>0</v>
      </c>
      <c r="U194" s="47">
        <f t="shared" si="96"/>
        <v>0</v>
      </c>
      <c r="V194" s="48">
        <f t="shared" si="97"/>
        <v>0</v>
      </c>
      <c r="W194" s="49">
        <f t="shared" si="98"/>
        <v>0</v>
      </c>
      <c r="X194" s="44">
        <f t="shared" si="99"/>
        <v>0</v>
      </c>
      <c r="Y194" s="44">
        <f t="shared" si="100"/>
        <v>0</v>
      </c>
      <c r="Z194" s="44">
        <f t="shared" si="101"/>
        <v>0</v>
      </c>
      <c r="AA194" s="50">
        <f t="shared" si="102"/>
        <v>0</v>
      </c>
      <c r="AB194" s="51">
        <f t="shared" si="103"/>
        <v>0</v>
      </c>
      <c r="AC194" s="44">
        <f t="shared" si="104"/>
        <v>0</v>
      </c>
      <c r="AD194" s="44">
        <f t="shared" si="105"/>
        <v>0</v>
      </c>
      <c r="AE194" s="44">
        <f t="shared" si="106"/>
        <v>0</v>
      </c>
      <c r="AF194" s="52" t="e">
        <f>HLOOKUP(I194,ElecAvoidedCostsWOCC!$A$5:$Q$50,G194+1,FALSE)</f>
        <v>#N/A</v>
      </c>
      <c r="AG194" s="44" t="e">
        <f t="shared" si="107"/>
        <v>#N/A</v>
      </c>
      <c r="AH194" s="52" t="e">
        <f>HLOOKUP(I194,ElecAvoidedCostsWOCC!$A$5:$Q$50,T194+1,FALSE)</f>
        <v>#N/A</v>
      </c>
      <c r="AI194" s="44" t="e">
        <f t="shared" si="108"/>
        <v>#N/A</v>
      </c>
      <c r="AJ194" s="44" t="e">
        <f t="shared" si="109"/>
        <v>#N/A</v>
      </c>
      <c r="AK194" s="44" t="e">
        <f>HLOOKUP(I194,ElecAvoidedCostsWOCC!$A$5:$Q$50,G194+1,FALSE)*J194*L194</f>
        <v>#N/A</v>
      </c>
      <c r="AL194" s="44" t="e">
        <f t="shared" si="110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111"/>
        <v>0</v>
      </c>
      <c r="AO194" s="47">
        <f t="shared" si="112"/>
        <v>0</v>
      </c>
      <c r="AP194" s="47" t="e">
        <f t="shared" si="113"/>
        <v>#DIV/0!</v>
      </c>
    </row>
    <row r="195" spans="2:42">
      <c r="B195" s="97" t="s">
        <v>15</v>
      </c>
      <c r="C195" s="100"/>
      <c r="D195" s="100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95"/>
        <v>0</v>
      </c>
      <c r="U195" s="47">
        <f t="shared" si="96"/>
        <v>0</v>
      </c>
      <c r="V195" s="48">
        <f t="shared" si="97"/>
        <v>0</v>
      </c>
      <c r="W195" s="49">
        <f t="shared" si="98"/>
        <v>0</v>
      </c>
      <c r="X195" s="44">
        <f t="shared" si="99"/>
        <v>0</v>
      </c>
      <c r="Y195" s="44">
        <f t="shared" si="100"/>
        <v>0</v>
      </c>
      <c r="Z195" s="44">
        <f t="shared" si="101"/>
        <v>0</v>
      </c>
      <c r="AA195" s="50">
        <f t="shared" si="102"/>
        <v>0</v>
      </c>
      <c r="AB195" s="51">
        <f t="shared" si="103"/>
        <v>0</v>
      </c>
      <c r="AC195" s="44">
        <f t="shared" si="104"/>
        <v>0</v>
      </c>
      <c r="AD195" s="44">
        <f t="shared" si="105"/>
        <v>0</v>
      </c>
      <c r="AE195" s="44">
        <f t="shared" si="106"/>
        <v>0</v>
      </c>
      <c r="AF195" s="52" t="e">
        <f>HLOOKUP(I195,ElecAvoidedCostsWOCC!$A$5:$Q$50,G195+1,FALSE)</f>
        <v>#N/A</v>
      </c>
      <c r="AG195" s="44" t="e">
        <f t="shared" si="107"/>
        <v>#N/A</v>
      </c>
      <c r="AH195" s="52" t="e">
        <f>HLOOKUP(I195,ElecAvoidedCostsWOCC!$A$5:$Q$50,T195+1,FALSE)</f>
        <v>#N/A</v>
      </c>
      <c r="AI195" s="44" t="e">
        <f t="shared" si="108"/>
        <v>#N/A</v>
      </c>
      <c r="AJ195" s="44" t="e">
        <f t="shared" si="109"/>
        <v>#N/A</v>
      </c>
      <c r="AK195" s="44" t="e">
        <f>HLOOKUP(I195,ElecAvoidedCostsWOCC!$A$5:$Q$50,G195+1,FALSE)*J195*L195</f>
        <v>#N/A</v>
      </c>
      <c r="AL195" s="44" t="e">
        <f t="shared" si="110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111"/>
        <v>0</v>
      </c>
      <c r="AO195" s="47">
        <f t="shared" si="112"/>
        <v>0</v>
      </c>
      <c r="AP195" s="47" t="e">
        <f t="shared" si="113"/>
        <v>#DIV/0!</v>
      </c>
    </row>
    <row r="196" spans="2:42">
      <c r="B196" s="97" t="s">
        <v>15</v>
      </c>
      <c r="C196" s="100"/>
      <c r="D196" s="100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95"/>
        <v>0</v>
      </c>
      <c r="U196" s="47">
        <f t="shared" si="96"/>
        <v>0</v>
      </c>
      <c r="V196" s="48">
        <f t="shared" si="97"/>
        <v>0</v>
      </c>
      <c r="W196" s="49">
        <f t="shared" si="98"/>
        <v>0</v>
      </c>
      <c r="X196" s="44">
        <f t="shared" si="99"/>
        <v>0</v>
      </c>
      <c r="Y196" s="44">
        <f t="shared" si="100"/>
        <v>0</v>
      </c>
      <c r="Z196" s="44">
        <f t="shared" si="101"/>
        <v>0</v>
      </c>
      <c r="AA196" s="50">
        <f t="shared" si="102"/>
        <v>0</v>
      </c>
      <c r="AB196" s="51">
        <f t="shared" si="103"/>
        <v>0</v>
      </c>
      <c r="AC196" s="44">
        <f t="shared" si="104"/>
        <v>0</v>
      </c>
      <c r="AD196" s="44">
        <f t="shared" si="105"/>
        <v>0</v>
      </c>
      <c r="AE196" s="44">
        <f t="shared" si="106"/>
        <v>0</v>
      </c>
      <c r="AF196" s="52" t="e">
        <f>HLOOKUP(I196,ElecAvoidedCostsWOCC!$A$5:$Q$50,G196+1,FALSE)</f>
        <v>#N/A</v>
      </c>
      <c r="AG196" s="44" t="e">
        <f t="shared" si="107"/>
        <v>#N/A</v>
      </c>
      <c r="AH196" s="52" t="e">
        <f>HLOOKUP(I196,ElecAvoidedCostsWOCC!$A$5:$Q$50,T196+1,FALSE)</f>
        <v>#N/A</v>
      </c>
      <c r="AI196" s="44" t="e">
        <f t="shared" si="108"/>
        <v>#N/A</v>
      </c>
      <c r="AJ196" s="44" t="e">
        <f t="shared" si="109"/>
        <v>#N/A</v>
      </c>
      <c r="AK196" s="44" t="e">
        <f>HLOOKUP(I196,ElecAvoidedCostsWOCC!$A$5:$Q$50,G196+1,FALSE)*J196*L196</f>
        <v>#N/A</v>
      </c>
      <c r="AL196" s="44" t="e">
        <f t="shared" si="110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111"/>
        <v>0</v>
      </c>
      <c r="AO196" s="47">
        <f t="shared" si="112"/>
        <v>0</v>
      </c>
      <c r="AP196" s="47" t="e">
        <f t="shared" si="113"/>
        <v>#DIV/0!</v>
      </c>
    </row>
    <row r="197" spans="2:42">
      <c r="B197" s="97" t="s">
        <v>15</v>
      </c>
      <c r="C197" s="100"/>
      <c r="D197" s="100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95"/>
        <v>0</v>
      </c>
      <c r="U197" s="47">
        <f t="shared" si="96"/>
        <v>0</v>
      </c>
      <c r="V197" s="48">
        <f t="shared" si="97"/>
        <v>0</v>
      </c>
      <c r="W197" s="49">
        <f t="shared" si="98"/>
        <v>0</v>
      </c>
      <c r="X197" s="44">
        <f t="shared" si="99"/>
        <v>0</v>
      </c>
      <c r="Y197" s="44">
        <f t="shared" si="100"/>
        <v>0</v>
      </c>
      <c r="Z197" s="44">
        <f t="shared" si="101"/>
        <v>0</v>
      </c>
      <c r="AA197" s="50">
        <f t="shared" si="102"/>
        <v>0</v>
      </c>
      <c r="AB197" s="51">
        <f t="shared" si="103"/>
        <v>0</v>
      </c>
      <c r="AC197" s="44">
        <f t="shared" si="104"/>
        <v>0</v>
      </c>
      <c r="AD197" s="44">
        <f t="shared" si="105"/>
        <v>0</v>
      </c>
      <c r="AE197" s="44">
        <f t="shared" si="106"/>
        <v>0</v>
      </c>
      <c r="AF197" s="52" t="e">
        <f>HLOOKUP(I197,ElecAvoidedCostsWOCC!$A$5:$Q$50,G197+1,FALSE)</f>
        <v>#N/A</v>
      </c>
      <c r="AG197" s="44" t="e">
        <f t="shared" si="107"/>
        <v>#N/A</v>
      </c>
      <c r="AH197" s="52" t="e">
        <f>HLOOKUP(I197,ElecAvoidedCostsWOCC!$A$5:$Q$50,T197+1,FALSE)</f>
        <v>#N/A</v>
      </c>
      <c r="AI197" s="44" t="e">
        <f t="shared" si="108"/>
        <v>#N/A</v>
      </c>
      <c r="AJ197" s="44" t="e">
        <f t="shared" si="109"/>
        <v>#N/A</v>
      </c>
      <c r="AK197" s="44" t="e">
        <f>HLOOKUP(I197,ElecAvoidedCostsWOCC!$A$5:$Q$50,G197+1,FALSE)*J197*L197</f>
        <v>#N/A</v>
      </c>
      <c r="AL197" s="44" t="e">
        <f t="shared" si="110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111"/>
        <v>0</v>
      </c>
      <c r="AO197" s="47">
        <f t="shared" si="112"/>
        <v>0</v>
      </c>
      <c r="AP197" s="47" t="e">
        <f t="shared" si="113"/>
        <v>#DIV/0!</v>
      </c>
    </row>
    <row r="198" spans="2:42">
      <c r="B198" s="97" t="s">
        <v>15</v>
      </c>
      <c r="C198" s="100"/>
      <c r="D198" s="100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95"/>
        <v>0</v>
      </c>
      <c r="U198" s="47">
        <f t="shared" si="96"/>
        <v>0</v>
      </c>
      <c r="V198" s="48">
        <f t="shared" si="97"/>
        <v>0</v>
      </c>
      <c r="W198" s="49">
        <f t="shared" si="98"/>
        <v>0</v>
      </c>
      <c r="X198" s="44">
        <f t="shared" si="99"/>
        <v>0</v>
      </c>
      <c r="Y198" s="44">
        <f t="shared" si="100"/>
        <v>0</v>
      </c>
      <c r="Z198" s="44">
        <f t="shared" si="101"/>
        <v>0</v>
      </c>
      <c r="AA198" s="50">
        <f t="shared" si="102"/>
        <v>0</v>
      </c>
      <c r="AB198" s="51">
        <f t="shared" si="103"/>
        <v>0</v>
      </c>
      <c r="AC198" s="44">
        <f t="shared" si="104"/>
        <v>0</v>
      </c>
      <c r="AD198" s="44">
        <f t="shared" si="105"/>
        <v>0</v>
      </c>
      <c r="AE198" s="44">
        <f t="shared" si="106"/>
        <v>0</v>
      </c>
      <c r="AF198" s="52" t="e">
        <f>HLOOKUP(I198,ElecAvoidedCostsWOCC!$A$5:$Q$50,G198+1,FALSE)</f>
        <v>#N/A</v>
      </c>
      <c r="AG198" s="44" t="e">
        <f t="shared" si="107"/>
        <v>#N/A</v>
      </c>
      <c r="AH198" s="52" t="e">
        <f>HLOOKUP(I198,ElecAvoidedCostsWOCC!$A$5:$Q$50,T198+1,FALSE)</f>
        <v>#N/A</v>
      </c>
      <c r="AI198" s="44" t="e">
        <f t="shared" si="108"/>
        <v>#N/A</v>
      </c>
      <c r="AJ198" s="44" t="e">
        <f t="shared" si="109"/>
        <v>#N/A</v>
      </c>
      <c r="AK198" s="44" t="e">
        <f>HLOOKUP(I198,ElecAvoidedCostsWOCC!$A$5:$Q$50,G198+1,FALSE)*J198*L198</f>
        <v>#N/A</v>
      </c>
      <c r="AL198" s="44" t="e">
        <f t="shared" si="110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111"/>
        <v>0</v>
      </c>
      <c r="AO198" s="47">
        <f t="shared" si="112"/>
        <v>0</v>
      </c>
      <c r="AP198" s="47" t="e">
        <f t="shared" si="113"/>
        <v>#DIV/0!</v>
      </c>
    </row>
    <row r="199" spans="2:42">
      <c r="B199" s="97" t="s">
        <v>15</v>
      </c>
      <c r="C199" s="100"/>
      <c r="D199" s="100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95"/>
        <v>0</v>
      </c>
      <c r="U199" s="47">
        <f t="shared" si="96"/>
        <v>0</v>
      </c>
      <c r="V199" s="48">
        <f t="shared" si="97"/>
        <v>0</v>
      </c>
      <c r="W199" s="49">
        <f t="shared" si="98"/>
        <v>0</v>
      </c>
      <c r="X199" s="44">
        <f t="shared" si="99"/>
        <v>0</v>
      </c>
      <c r="Y199" s="44">
        <f t="shared" si="100"/>
        <v>0</v>
      </c>
      <c r="Z199" s="44">
        <f t="shared" si="101"/>
        <v>0</v>
      </c>
      <c r="AA199" s="50">
        <f t="shared" si="102"/>
        <v>0</v>
      </c>
      <c r="AB199" s="51">
        <f t="shared" si="103"/>
        <v>0</v>
      </c>
      <c r="AC199" s="44">
        <f t="shared" si="104"/>
        <v>0</v>
      </c>
      <c r="AD199" s="44">
        <f t="shared" si="105"/>
        <v>0</v>
      </c>
      <c r="AE199" s="44">
        <f t="shared" si="106"/>
        <v>0</v>
      </c>
      <c r="AF199" s="52" t="e">
        <f>HLOOKUP(I199,ElecAvoidedCostsWOCC!$A$5:$Q$50,G199+1,FALSE)</f>
        <v>#N/A</v>
      </c>
      <c r="AG199" s="44" t="e">
        <f t="shared" si="107"/>
        <v>#N/A</v>
      </c>
      <c r="AH199" s="52" t="e">
        <f>HLOOKUP(I199,ElecAvoidedCostsWOCC!$A$5:$Q$50,T199+1,FALSE)</f>
        <v>#N/A</v>
      </c>
      <c r="AI199" s="44" t="e">
        <f t="shared" si="108"/>
        <v>#N/A</v>
      </c>
      <c r="AJ199" s="44" t="e">
        <f t="shared" si="109"/>
        <v>#N/A</v>
      </c>
      <c r="AK199" s="44" t="e">
        <f>HLOOKUP(I199,ElecAvoidedCostsWOCC!$A$5:$Q$50,G199+1,FALSE)*J199*L199</f>
        <v>#N/A</v>
      </c>
      <c r="AL199" s="44" t="e">
        <f t="shared" si="110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111"/>
        <v>0</v>
      </c>
      <c r="AO199" s="47">
        <f t="shared" si="112"/>
        <v>0</v>
      </c>
      <c r="AP199" s="47" t="e">
        <f t="shared" si="113"/>
        <v>#DIV/0!</v>
      </c>
    </row>
    <row r="200" spans="2:42">
      <c r="B200" s="97" t="s">
        <v>15</v>
      </c>
      <c r="C200" s="100"/>
      <c r="D200" s="100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95"/>
        <v>0</v>
      </c>
      <c r="U200" s="47">
        <f t="shared" si="96"/>
        <v>0</v>
      </c>
      <c r="V200" s="48">
        <f t="shared" si="97"/>
        <v>0</v>
      </c>
      <c r="W200" s="49">
        <f t="shared" si="98"/>
        <v>0</v>
      </c>
      <c r="X200" s="44">
        <f t="shared" si="99"/>
        <v>0</v>
      </c>
      <c r="Y200" s="44">
        <f t="shared" si="100"/>
        <v>0</v>
      </c>
      <c r="Z200" s="44">
        <f t="shared" si="101"/>
        <v>0</v>
      </c>
      <c r="AA200" s="50">
        <f t="shared" si="102"/>
        <v>0</v>
      </c>
      <c r="AB200" s="51">
        <f t="shared" si="103"/>
        <v>0</v>
      </c>
      <c r="AC200" s="44">
        <f t="shared" si="104"/>
        <v>0</v>
      </c>
      <c r="AD200" s="44">
        <f t="shared" si="105"/>
        <v>0</v>
      </c>
      <c r="AE200" s="44">
        <f t="shared" si="106"/>
        <v>0</v>
      </c>
      <c r="AF200" s="52" t="e">
        <f>HLOOKUP(I200,ElecAvoidedCostsWOCC!$A$5:$Q$50,G200+1,FALSE)</f>
        <v>#N/A</v>
      </c>
      <c r="AG200" s="44" t="e">
        <f t="shared" si="107"/>
        <v>#N/A</v>
      </c>
      <c r="AH200" s="52" t="e">
        <f>HLOOKUP(I200,ElecAvoidedCostsWOCC!$A$5:$Q$50,T200+1,FALSE)</f>
        <v>#N/A</v>
      </c>
      <c r="AI200" s="44" t="e">
        <f t="shared" si="108"/>
        <v>#N/A</v>
      </c>
      <c r="AJ200" s="44" t="e">
        <f t="shared" si="109"/>
        <v>#N/A</v>
      </c>
      <c r="AK200" s="44" t="e">
        <f>HLOOKUP(I200,ElecAvoidedCostsWOCC!$A$5:$Q$50,G200+1,FALSE)*J200*L200</f>
        <v>#N/A</v>
      </c>
      <c r="AL200" s="44" t="e">
        <f t="shared" si="110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111"/>
        <v>0</v>
      </c>
      <c r="AO200" s="47">
        <f t="shared" si="112"/>
        <v>0</v>
      </c>
      <c r="AP200" s="47" t="e">
        <f t="shared" si="113"/>
        <v>#DIV/0!</v>
      </c>
    </row>
    <row r="201" spans="2:42">
      <c r="B201" s="97" t="s">
        <v>15</v>
      </c>
      <c r="C201" s="100"/>
      <c r="D201" s="100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95"/>
        <v>0</v>
      </c>
      <c r="U201" s="47">
        <f t="shared" si="96"/>
        <v>0</v>
      </c>
      <c r="V201" s="48">
        <f t="shared" si="97"/>
        <v>0</v>
      </c>
      <c r="W201" s="49">
        <f t="shared" si="98"/>
        <v>0</v>
      </c>
      <c r="X201" s="44">
        <f t="shared" si="99"/>
        <v>0</v>
      </c>
      <c r="Y201" s="44">
        <f t="shared" si="100"/>
        <v>0</v>
      </c>
      <c r="Z201" s="44">
        <f t="shared" si="101"/>
        <v>0</v>
      </c>
      <c r="AA201" s="50">
        <f t="shared" si="102"/>
        <v>0</v>
      </c>
      <c r="AB201" s="51">
        <f t="shared" si="103"/>
        <v>0</v>
      </c>
      <c r="AC201" s="44">
        <f t="shared" si="104"/>
        <v>0</v>
      </c>
      <c r="AD201" s="44">
        <f t="shared" si="105"/>
        <v>0</v>
      </c>
      <c r="AE201" s="44">
        <f t="shared" si="106"/>
        <v>0</v>
      </c>
      <c r="AF201" s="52" t="e">
        <f>HLOOKUP(I201,ElecAvoidedCostsWOCC!$A$5:$Q$50,G201+1,FALSE)</f>
        <v>#N/A</v>
      </c>
      <c r="AG201" s="44" t="e">
        <f t="shared" si="107"/>
        <v>#N/A</v>
      </c>
      <c r="AH201" s="52" t="e">
        <f>HLOOKUP(I201,ElecAvoidedCostsWOCC!$A$5:$Q$50,T201+1,FALSE)</f>
        <v>#N/A</v>
      </c>
      <c r="AI201" s="44" t="e">
        <f t="shared" si="108"/>
        <v>#N/A</v>
      </c>
      <c r="AJ201" s="44" t="e">
        <f t="shared" si="109"/>
        <v>#N/A</v>
      </c>
      <c r="AK201" s="44" t="e">
        <f>HLOOKUP(I201,ElecAvoidedCostsWOCC!$A$5:$Q$50,G201+1,FALSE)*J201*L201</f>
        <v>#N/A</v>
      </c>
      <c r="AL201" s="44" t="e">
        <f t="shared" si="110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111"/>
        <v>0</v>
      </c>
      <c r="AO201" s="47">
        <f t="shared" si="112"/>
        <v>0</v>
      </c>
      <c r="AP201" s="47" t="e">
        <f t="shared" si="113"/>
        <v>#DIV/0!</v>
      </c>
    </row>
    <row r="202" spans="2:42">
      <c r="B202" s="97" t="s">
        <v>15</v>
      </c>
      <c r="C202" s="100"/>
      <c r="D202" s="100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95"/>
        <v>0</v>
      </c>
      <c r="U202" s="47">
        <f t="shared" si="96"/>
        <v>0</v>
      </c>
      <c r="V202" s="48">
        <f t="shared" si="97"/>
        <v>0</v>
      </c>
      <c r="W202" s="49">
        <f t="shared" si="98"/>
        <v>0</v>
      </c>
      <c r="X202" s="44">
        <f t="shared" si="99"/>
        <v>0</v>
      </c>
      <c r="Y202" s="44">
        <f t="shared" si="100"/>
        <v>0</v>
      </c>
      <c r="Z202" s="44">
        <f t="shared" si="101"/>
        <v>0</v>
      </c>
      <c r="AA202" s="50">
        <f t="shared" si="102"/>
        <v>0</v>
      </c>
      <c r="AB202" s="51">
        <f t="shared" si="103"/>
        <v>0</v>
      </c>
      <c r="AC202" s="44">
        <f t="shared" si="104"/>
        <v>0</v>
      </c>
      <c r="AD202" s="44">
        <f t="shared" si="105"/>
        <v>0</v>
      </c>
      <c r="AE202" s="44">
        <f t="shared" si="106"/>
        <v>0</v>
      </c>
      <c r="AF202" s="52" t="e">
        <f>HLOOKUP(I202,ElecAvoidedCostsWOCC!$A$5:$Q$50,G202+1,FALSE)</f>
        <v>#N/A</v>
      </c>
      <c r="AG202" s="44" t="e">
        <f t="shared" si="107"/>
        <v>#N/A</v>
      </c>
      <c r="AH202" s="52" t="e">
        <f>HLOOKUP(I202,ElecAvoidedCostsWOCC!$A$5:$Q$50,T202+1,FALSE)</f>
        <v>#N/A</v>
      </c>
      <c r="AI202" s="44" t="e">
        <f t="shared" si="108"/>
        <v>#N/A</v>
      </c>
      <c r="AJ202" s="44" t="e">
        <f t="shared" si="109"/>
        <v>#N/A</v>
      </c>
      <c r="AK202" s="44" t="e">
        <f>HLOOKUP(I202,ElecAvoidedCostsWOCC!$A$5:$Q$50,G202+1,FALSE)*J202*L202</f>
        <v>#N/A</v>
      </c>
      <c r="AL202" s="44" t="e">
        <f t="shared" si="110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111"/>
        <v>0</v>
      </c>
      <c r="AO202" s="47">
        <f t="shared" si="112"/>
        <v>0</v>
      </c>
      <c r="AP202" s="47" t="e">
        <f t="shared" si="113"/>
        <v>#DIV/0!</v>
      </c>
    </row>
    <row r="203" spans="2:42">
      <c r="B203" s="97" t="s">
        <v>15</v>
      </c>
      <c r="C203" s="100"/>
      <c r="D203" s="100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95"/>
        <v>0</v>
      </c>
      <c r="U203" s="47">
        <f t="shared" si="96"/>
        <v>0</v>
      </c>
      <c r="V203" s="48">
        <f t="shared" si="97"/>
        <v>0</v>
      </c>
      <c r="W203" s="49">
        <f t="shared" si="98"/>
        <v>0</v>
      </c>
      <c r="X203" s="44">
        <f t="shared" si="99"/>
        <v>0</v>
      </c>
      <c r="Y203" s="44">
        <f t="shared" si="100"/>
        <v>0</v>
      </c>
      <c r="Z203" s="44">
        <f t="shared" si="101"/>
        <v>0</v>
      </c>
      <c r="AA203" s="50">
        <f t="shared" si="102"/>
        <v>0</v>
      </c>
      <c r="AB203" s="51">
        <f t="shared" si="103"/>
        <v>0</v>
      </c>
      <c r="AC203" s="44">
        <f t="shared" si="104"/>
        <v>0</v>
      </c>
      <c r="AD203" s="44">
        <f t="shared" si="105"/>
        <v>0</v>
      </c>
      <c r="AE203" s="44">
        <f t="shared" si="106"/>
        <v>0</v>
      </c>
      <c r="AF203" s="52" t="e">
        <f>HLOOKUP(I203,ElecAvoidedCostsWOCC!$A$5:$Q$50,G203+1,FALSE)</f>
        <v>#N/A</v>
      </c>
      <c r="AG203" s="44" t="e">
        <f t="shared" si="107"/>
        <v>#N/A</v>
      </c>
      <c r="AH203" s="52" t="e">
        <f>HLOOKUP(I203,ElecAvoidedCostsWOCC!$A$5:$Q$50,T203+1,FALSE)</f>
        <v>#N/A</v>
      </c>
      <c r="AI203" s="44" t="e">
        <f t="shared" si="108"/>
        <v>#N/A</v>
      </c>
      <c r="AJ203" s="44" t="e">
        <f t="shared" si="109"/>
        <v>#N/A</v>
      </c>
      <c r="AK203" s="44" t="e">
        <f>HLOOKUP(I203,ElecAvoidedCostsWOCC!$A$5:$Q$50,G203+1,FALSE)*J203*L203</f>
        <v>#N/A</v>
      </c>
      <c r="AL203" s="44" t="e">
        <f t="shared" si="110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111"/>
        <v>0</v>
      </c>
      <c r="AO203" s="47">
        <f t="shared" si="112"/>
        <v>0</v>
      </c>
      <c r="AP203" s="47" t="e">
        <f t="shared" si="113"/>
        <v>#DIV/0!</v>
      </c>
    </row>
    <row r="204" spans="2:42">
      <c r="B204" s="97" t="s">
        <v>15</v>
      </c>
      <c r="C204" s="100"/>
      <c r="D204" s="100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95"/>
        <v>0</v>
      </c>
      <c r="U204" s="47">
        <f t="shared" si="96"/>
        <v>0</v>
      </c>
      <c r="V204" s="48">
        <f t="shared" si="97"/>
        <v>0</v>
      </c>
      <c r="W204" s="49">
        <f t="shared" si="98"/>
        <v>0</v>
      </c>
      <c r="X204" s="44">
        <f t="shared" si="99"/>
        <v>0</v>
      </c>
      <c r="Y204" s="44">
        <f t="shared" si="100"/>
        <v>0</v>
      </c>
      <c r="Z204" s="44">
        <f t="shared" si="101"/>
        <v>0</v>
      </c>
      <c r="AA204" s="50">
        <f t="shared" si="102"/>
        <v>0</v>
      </c>
      <c r="AB204" s="51">
        <f t="shared" si="103"/>
        <v>0</v>
      </c>
      <c r="AC204" s="44">
        <f t="shared" si="104"/>
        <v>0</v>
      </c>
      <c r="AD204" s="44">
        <f t="shared" si="105"/>
        <v>0</v>
      </c>
      <c r="AE204" s="44">
        <f t="shared" si="106"/>
        <v>0</v>
      </c>
      <c r="AF204" s="52" t="e">
        <f>HLOOKUP(I204,ElecAvoidedCostsWOCC!$A$5:$Q$50,G204+1,FALSE)</f>
        <v>#N/A</v>
      </c>
      <c r="AG204" s="44" t="e">
        <f t="shared" si="107"/>
        <v>#N/A</v>
      </c>
      <c r="AH204" s="52" t="e">
        <f>HLOOKUP(I204,ElecAvoidedCostsWOCC!$A$5:$Q$50,T204+1,FALSE)</f>
        <v>#N/A</v>
      </c>
      <c r="AI204" s="44" t="e">
        <f t="shared" si="108"/>
        <v>#N/A</v>
      </c>
      <c r="AJ204" s="44" t="e">
        <f t="shared" si="109"/>
        <v>#N/A</v>
      </c>
      <c r="AK204" s="44" t="e">
        <f>HLOOKUP(I204,ElecAvoidedCostsWOCC!$A$5:$Q$50,G204+1,FALSE)*J204*L204</f>
        <v>#N/A</v>
      </c>
      <c r="AL204" s="44" t="e">
        <f t="shared" si="110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111"/>
        <v>0</v>
      </c>
      <c r="AO204" s="47">
        <f t="shared" si="112"/>
        <v>0</v>
      </c>
      <c r="AP204" s="47" t="e">
        <f t="shared" si="113"/>
        <v>#DIV/0!</v>
      </c>
    </row>
    <row r="205" spans="2:42">
      <c r="B205" s="97" t="s">
        <v>15</v>
      </c>
      <c r="C205" s="100"/>
      <c r="D205" s="100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95"/>
        <v>0</v>
      </c>
      <c r="U205" s="47">
        <f t="shared" si="96"/>
        <v>0</v>
      </c>
      <c r="V205" s="48">
        <f t="shared" si="97"/>
        <v>0</v>
      </c>
      <c r="W205" s="49">
        <f t="shared" si="98"/>
        <v>0</v>
      </c>
      <c r="X205" s="44">
        <f t="shared" si="99"/>
        <v>0</v>
      </c>
      <c r="Y205" s="44">
        <f t="shared" si="100"/>
        <v>0</v>
      </c>
      <c r="Z205" s="44">
        <f t="shared" si="101"/>
        <v>0</v>
      </c>
      <c r="AA205" s="50">
        <f t="shared" si="102"/>
        <v>0</v>
      </c>
      <c r="AB205" s="51">
        <f t="shared" si="103"/>
        <v>0</v>
      </c>
      <c r="AC205" s="44">
        <f t="shared" si="104"/>
        <v>0</v>
      </c>
      <c r="AD205" s="44">
        <f t="shared" si="105"/>
        <v>0</v>
      </c>
      <c r="AE205" s="44">
        <f t="shared" si="106"/>
        <v>0</v>
      </c>
      <c r="AF205" s="52" t="e">
        <f>HLOOKUP(I205,ElecAvoidedCostsWOCC!$A$5:$Q$50,G205+1,FALSE)</f>
        <v>#N/A</v>
      </c>
      <c r="AG205" s="44" t="e">
        <f t="shared" si="107"/>
        <v>#N/A</v>
      </c>
      <c r="AH205" s="52" t="e">
        <f>HLOOKUP(I205,ElecAvoidedCostsWOCC!$A$5:$Q$50,T205+1,FALSE)</f>
        <v>#N/A</v>
      </c>
      <c r="AI205" s="44" t="e">
        <f t="shared" si="108"/>
        <v>#N/A</v>
      </c>
      <c r="AJ205" s="44" t="e">
        <f t="shared" si="109"/>
        <v>#N/A</v>
      </c>
      <c r="AK205" s="44" t="e">
        <f>HLOOKUP(I205,ElecAvoidedCostsWOCC!$A$5:$Q$50,G205+1,FALSE)*J205*L205</f>
        <v>#N/A</v>
      </c>
      <c r="AL205" s="44" t="e">
        <f t="shared" si="110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111"/>
        <v>0</v>
      </c>
      <c r="AO205" s="47">
        <f t="shared" si="112"/>
        <v>0</v>
      </c>
      <c r="AP205" s="47" t="e">
        <f t="shared" si="113"/>
        <v>#DIV/0!</v>
      </c>
    </row>
    <row r="206" spans="2:42">
      <c r="B206" s="97" t="s">
        <v>15</v>
      </c>
      <c r="C206" s="100"/>
      <c r="D206" s="100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95"/>
        <v>0</v>
      </c>
      <c r="U206" s="47">
        <f t="shared" si="96"/>
        <v>0</v>
      </c>
      <c r="V206" s="48">
        <f t="shared" si="97"/>
        <v>0</v>
      </c>
      <c r="W206" s="49">
        <f t="shared" si="98"/>
        <v>0</v>
      </c>
      <c r="X206" s="44">
        <f t="shared" si="99"/>
        <v>0</v>
      </c>
      <c r="Y206" s="44">
        <f t="shared" si="100"/>
        <v>0</v>
      </c>
      <c r="Z206" s="44">
        <f t="shared" si="101"/>
        <v>0</v>
      </c>
      <c r="AA206" s="50">
        <f t="shared" si="102"/>
        <v>0</v>
      </c>
      <c r="AB206" s="51">
        <f t="shared" si="103"/>
        <v>0</v>
      </c>
      <c r="AC206" s="44">
        <f t="shared" si="104"/>
        <v>0</v>
      </c>
      <c r="AD206" s="44">
        <f t="shared" si="105"/>
        <v>0</v>
      </c>
      <c r="AE206" s="44">
        <f t="shared" si="106"/>
        <v>0</v>
      </c>
      <c r="AF206" s="52" t="e">
        <f>HLOOKUP(I206,ElecAvoidedCostsWOCC!$A$5:$Q$50,G206+1,FALSE)</f>
        <v>#N/A</v>
      </c>
      <c r="AG206" s="44" t="e">
        <f t="shared" si="107"/>
        <v>#N/A</v>
      </c>
      <c r="AH206" s="52" t="e">
        <f>HLOOKUP(I206,ElecAvoidedCostsWOCC!$A$5:$Q$50,T206+1,FALSE)</f>
        <v>#N/A</v>
      </c>
      <c r="AI206" s="44" t="e">
        <f t="shared" si="108"/>
        <v>#N/A</v>
      </c>
      <c r="AJ206" s="44" t="e">
        <f t="shared" si="109"/>
        <v>#N/A</v>
      </c>
      <c r="AK206" s="44" t="e">
        <f>HLOOKUP(I206,ElecAvoidedCostsWOCC!$A$5:$Q$50,G206+1,FALSE)*J206*L206</f>
        <v>#N/A</v>
      </c>
      <c r="AL206" s="44" t="e">
        <f t="shared" si="110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111"/>
        <v>0</v>
      </c>
      <c r="AO206" s="47">
        <f t="shared" si="112"/>
        <v>0</v>
      </c>
      <c r="AP206" s="47" t="e">
        <f t="shared" si="113"/>
        <v>#DIV/0!</v>
      </c>
    </row>
    <row r="207" spans="2:42">
      <c r="B207" s="97" t="s">
        <v>15</v>
      </c>
      <c r="C207" s="100"/>
      <c r="D207" s="100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95"/>
        <v>0</v>
      </c>
      <c r="U207" s="47">
        <f t="shared" si="96"/>
        <v>0</v>
      </c>
      <c r="V207" s="48">
        <f t="shared" si="97"/>
        <v>0</v>
      </c>
      <c r="W207" s="49">
        <f t="shared" si="98"/>
        <v>0</v>
      </c>
      <c r="X207" s="44">
        <f t="shared" si="99"/>
        <v>0</v>
      </c>
      <c r="Y207" s="44">
        <f t="shared" si="100"/>
        <v>0</v>
      </c>
      <c r="Z207" s="44">
        <f t="shared" si="101"/>
        <v>0</v>
      </c>
      <c r="AA207" s="50">
        <f t="shared" si="102"/>
        <v>0</v>
      </c>
      <c r="AB207" s="51">
        <f t="shared" si="103"/>
        <v>0</v>
      </c>
      <c r="AC207" s="44">
        <f t="shared" si="104"/>
        <v>0</v>
      </c>
      <c r="AD207" s="44">
        <f t="shared" si="105"/>
        <v>0</v>
      </c>
      <c r="AE207" s="44">
        <f t="shared" si="106"/>
        <v>0</v>
      </c>
      <c r="AF207" s="52" t="e">
        <f>HLOOKUP(I207,ElecAvoidedCostsWOCC!$A$5:$Q$50,G207+1,FALSE)</f>
        <v>#N/A</v>
      </c>
      <c r="AG207" s="44" t="e">
        <f t="shared" si="107"/>
        <v>#N/A</v>
      </c>
      <c r="AH207" s="52" t="e">
        <f>HLOOKUP(I207,ElecAvoidedCostsWOCC!$A$5:$Q$50,T207+1,FALSE)</f>
        <v>#N/A</v>
      </c>
      <c r="AI207" s="44" t="e">
        <f t="shared" si="108"/>
        <v>#N/A</v>
      </c>
      <c r="AJ207" s="44" t="e">
        <f t="shared" si="109"/>
        <v>#N/A</v>
      </c>
      <c r="AK207" s="44" t="e">
        <f>HLOOKUP(I207,ElecAvoidedCostsWOCC!$A$5:$Q$50,G207+1,FALSE)*J207*L207</f>
        <v>#N/A</v>
      </c>
      <c r="AL207" s="44" t="e">
        <f t="shared" si="110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111"/>
        <v>0</v>
      </c>
      <c r="AO207" s="47">
        <f t="shared" si="112"/>
        <v>0</v>
      </c>
      <c r="AP207" s="47" t="e">
        <f t="shared" si="113"/>
        <v>#DIV/0!</v>
      </c>
    </row>
    <row r="208" spans="2:42">
      <c r="B208" s="97" t="s">
        <v>15</v>
      </c>
      <c r="C208" s="100"/>
      <c r="D208" s="100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95"/>
        <v>0</v>
      </c>
      <c r="U208" s="47">
        <f t="shared" si="96"/>
        <v>0</v>
      </c>
      <c r="V208" s="48">
        <f t="shared" si="97"/>
        <v>0</v>
      </c>
      <c r="W208" s="49">
        <f t="shared" si="98"/>
        <v>0</v>
      </c>
      <c r="X208" s="44">
        <f t="shared" si="99"/>
        <v>0</v>
      </c>
      <c r="Y208" s="44">
        <f t="shared" si="100"/>
        <v>0</v>
      </c>
      <c r="Z208" s="44">
        <f t="shared" si="101"/>
        <v>0</v>
      </c>
      <c r="AA208" s="50">
        <f t="shared" si="102"/>
        <v>0</v>
      </c>
      <c r="AB208" s="51">
        <f t="shared" si="103"/>
        <v>0</v>
      </c>
      <c r="AC208" s="44">
        <f t="shared" si="104"/>
        <v>0</v>
      </c>
      <c r="AD208" s="44">
        <f t="shared" si="105"/>
        <v>0</v>
      </c>
      <c r="AE208" s="44">
        <f t="shared" si="106"/>
        <v>0</v>
      </c>
      <c r="AF208" s="52" t="e">
        <f>HLOOKUP(I208,ElecAvoidedCostsWOCC!$A$5:$Q$50,G208+1,FALSE)</f>
        <v>#N/A</v>
      </c>
      <c r="AG208" s="44" t="e">
        <f t="shared" si="107"/>
        <v>#N/A</v>
      </c>
      <c r="AH208" s="52" t="e">
        <f>HLOOKUP(I208,ElecAvoidedCostsWOCC!$A$5:$Q$50,T208+1,FALSE)</f>
        <v>#N/A</v>
      </c>
      <c r="AI208" s="44" t="e">
        <f t="shared" si="108"/>
        <v>#N/A</v>
      </c>
      <c r="AJ208" s="44" t="e">
        <f t="shared" si="109"/>
        <v>#N/A</v>
      </c>
      <c r="AK208" s="44" t="e">
        <f>HLOOKUP(I208,ElecAvoidedCostsWOCC!$A$5:$Q$50,G208+1,FALSE)*J208*L208</f>
        <v>#N/A</v>
      </c>
      <c r="AL208" s="44" t="e">
        <f t="shared" si="110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111"/>
        <v>0</v>
      </c>
      <c r="AO208" s="47">
        <f t="shared" si="112"/>
        <v>0</v>
      </c>
      <c r="AP208" s="47" t="e">
        <f t="shared" si="113"/>
        <v>#DIV/0!</v>
      </c>
    </row>
    <row r="209" spans="2:42">
      <c r="B209" s="97" t="s">
        <v>15</v>
      </c>
      <c r="C209" s="100"/>
      <c r="D209" s="100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95"/>
        <v>0</v>
      </c>
      <c r="U209" s="47">
        <f t="shared" si="96"/>
        <v>0</v>
      </c>
      <c r="V209" s="48">
        <f t="shared" si="97"/>
        <v>0</v>
      </c>
      <c r="W209" s="49">
        <f t="shared" si="98"/>
        <v>0</v>
      </c>
      <c r="X209" s="44">
        <f t="shared" si="99"/>
        <v>0</v>
      </c>
      <c r="Y209" s="44">
        <f t="shared" si="100"/>
        <v>0</v>
      </c>
      <c r="Z209" s="44">
        <f t="shared" si="101"/>
        <v>0</v>
      </c>
      <c r="AA209" s="50">
        <f t="shared" si="102"/>
        <v>0</v>
      </c>
      <c r="AB209" s="51">
        <f t="shared" si="103"/>
        <v>0</v>
      </c>
      <c r="AC209" s="44">
        <f t="shared" si="104"/>
        <v>0</v>
      </c>
      <c r="AD209" s="44">
        <f t="shared" si="105"/>
        <v>0</v>
      </c>
      <c r="AE209" s="44">
        <f t="shared" si="106"/>
        <v>0</v>
      </c>
      <c r="AF209" s="52" t="e">
        <f>HLOOKUP(I209,ElecAvoidedCostsWOCC!$A$5:$Q$50,G209+1,FALSE)</f>
        <v>#N/A</v>
      </c>
      <c r="AG209" s="44" t="e">
        <f t="shared" si="107"/>
        <v>#N/A</v>
      </c>
      <c r="AH209" s="52" t="e">
        <f>HLOOKUP(I209,ElecAvoidedCostsWOCC!$A$5:$Q$50,T209+1,FALSE)</f>
        <v>#N/A</v>
      </c>
      <c r="AI209" s="44" t="e">
        <f t="shared" si="108"/>
        <v>#N/A</v>
      </c>
      <c r="AJ209" s="44" t="e">
        <f t="shared" si="109"/>
        <v>#N/A</v>
      </c>
      <c r="AK209" s="44" t="e">
        <f>HLOOKUP(I209,ElecAvoidedCostsWOCC!$A$5:$Q$50,G209+1,FALSE)*J209*L209</f>
        <v>#N/A</v>
      </c>
      <c r="AL209" s="44" t="e">
        <f t="shared" si="110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111"/>
        <v>0</v>
      </c>
      <c r="AO209" s="47">
        <f t="shared" si="112"/>
        <v>0</v>
      </c>
      <c r="AP209" s="47" t="e">
        <f t="shared" si="113"/>
        <v>#DIV/0!</v>
      </c>
    </row>
    <row r="210" spans="2:42">
      <c r="B210" s="97" t="s">
        <v>15</v>
      </c>
      <c r="C210" s="100"/>
      <c r="D210" s="100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95"/>
        <v>0</v>
      </c>
      <c r="U210" s="47">
        <f t="shared" si="96"/>
        <v>0</v>
      </c>
      <c r="V210" s="48">
        <f t="shared" si="97"/>
        <v>0</v>
      </c>
      <c r="W210" s="49">
        <f t="shared" si="98"/>
        <v>0</v>
      </c>
      <c r="X210" s="44">
        <f t="shared" si="99"/>
        <v>0</v>
      </c>
      <c r="Y210" s="44">
        <f t="shared" si="100"/>
        <v>0</v>
      </c>
      <c r="Z210" s="44">
        <f t="shared" si="101"/>
        <v>0</v>
      </c>
      <c r="AA210" s="50">
        <f t="shared" si="102"/>
        <v>0</v>
      </c>
      <c r="AB210" s="51">
        <f t="shared" si="103"/>
        <v>0</v>
      </c>
      <c r="AC210" s="44">
        <f t="shared" si="104"/>
        <v>0</v>
      </c>
      <c r="AD210" s="44">
        <f t="shared" si="105"/>
        <v>0</v>
      </c>
      <c r="AE210" s="44">
        <f t="shared" si="106"/>
        <v>0</v>
      </c>
      <c r="AF210" s="52" t="e">
        <f>HLOOKUP(I210,ElecAvoidedCostsWOCC!$A$5:$Q$50,G210+1,FALSE)</f>
        <v>#N/A</v>
      </c>
      <c r="AG210" s="44" t="e">
        <f t="shared" si="107"/>
        <v>#N/A</v>
      </c>
      <c r="AH210" s="52" t="e">
        <f>HLOOKUP(I210,ElecAvoidedCostsWOCC!$A$5:$Q$50,T210+1,FALSE)</f>
        <v>#N/A</v>
      </c>
      <c r="AI210" s="44" t="e">
        <f t="shared" si="108"/>
        <v>#N/A</v>
      </c>
      <c r="AJ210" s="44" t="e">
        <f t="shared" si="109"/>
        <v>#N/A</v>
      </c>
      <c r="AK210" s="44" t="e">
        <f>HLOOKUP(I210,ElecAvoidedCostsWOCC!$A$5:$Q$50,G210+1,FALSE)*J210*L210</f>
        <v>#N/A</v>
      </c>
      <c r="AL210" s="44" t="e">
        <f t="shared" si="110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111"/>
        <v>0</v>
      </c>
      <c r="AO210" s="47">
        <f t="shared" si="112"/>
        <v>0</v>
      </c>
      <c r="AP210" s="47" t="e">
        <f t="shared" si="113"/>
        <v>#DIV/0!</v>
      </c>
    </row>
    <row r="211" spans="2:42">
      <c r="B211" s="97" t="s">
        <v>15</v>
      </c>
      <c r="C211" s="100"/>
      <c r="D211" s="100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95"/>
        <v>0</v>
      </c>
      <c r="U211" s="47">
        <f t="shared" si="96"/>
        <v>0</v>
      </c>
      <c r="V211" s="48">
        <f t="shared" si="97"/>
        <v>0</v>
      </c>
      <c r="W211" s="49">
        <f t="shared" si="98"/>
        <v>0</v>
      </c>
      <c r="X211" s="44">
        <f t="shared" si="99"/>
        <v>0</v>
      </c>
      <c r="Y211" s="44">
        <f t="shared" si="100"/>
        <v>0</v>
      </c>
      <c r="Z211" s="44">
        <f t="shared" si="101"/>
        <v>0</v>
      </c>
      <c r="AA211" s="50">
        <f t="shared" si="102"/>
        <v>0</v>
      </c>
      <c r="AB211" s="51">
        <f t="shared" si="103"/>
        <v>0</v>
      </c>
      <c r="AC211" s="44">
        <f t="shared" si="104"/>
        <v>0</v>
      </c>
      <c r="AD211" s="44">
        <f t="shared" si="105"/>
        <v>0</v>
      </c>
      <c r="AE211" s="44">
        <f t="shared" si="106"/>
        <v>0</v>
      </c>
      <c r="AF211" s="52" t="e">
        <f>HLOOKUP(I211,ElecAvoidedCostsWOCC!$A$5:$Q$50,G211+1,FALSE)</f>
        <v>#N/A</v>
      </c>
      <c r="AG211" s="44" t="e">
        <f t="shared" si="107"/>
        <v>#N/A</v>
      </c>
      <c r="AH211" s="52" t="e">
        <f>HLOOKUP(I211,ElecAvoidedCostsWOCC!$A$5:$Q$50,T211+1,FALSE)</f>
        <v>#N/A</v>
      </c>
      <c r="AI211" s="44" t="e">
        <f t="shared" si="108"/>
        <v>#N/A</v>
      </c>
      <c r="AJ211" s="44" t="e">
        <f t="shared" si="109"/>
        <v>#N/A</v>
      </c>
      <c r="AK211" s="44" t="e">
        <f>HLOOKUP(I211,ElecAvoidedCostsWOCC!$A$5:$Q$50,G211+1,FALSE)*J211*L211</f>
        <v>#N/A</v>
      </c>
      <c r="AL211" s="44" t="e">
        <f t="shared" si="110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111"/>
        <v>0</v>
      </c>
      <c r="AO211" s="47">
        <f t="shared" si="112"/>
        <v>0</v>
      </c>
      <c r="AP211" s="47" t="e">
        <f t="shared" si="113"/>
        <v>#DIV/0!</v>
      </c>
    </row>
    <row r="212" spans="2:42">
      <c r="B212" s="97" t="s">
        <v>15</v>
      </c>
      <c r="C212" s="100"/>
      <c r="D212" s="100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95"/>
        <v>0</v>
      </c>
      <c r="U212" s="47">
        <f t="shared" si="96"/>
        <v>0</v>
      </c>
      <c r="V212" s="48">
        <f t="shared" si="97"/>
        <v>0</v>
      </c>
      <c r="W212" s="49">
        <f t="shared" si="98"/>
        <v>0</v>
      </c>
      <c r="X212" s="44">
        <f t="shared" si="99"/>
        <v>0</v>
      </c>
      <c r="Y212" s="44">
        <f t="shared" si="100"/>
        <v>0</v>
      </c>
      <c r="Z212" s="44">
        <f t="shared" si="101"/>
        <v>0</v>
      </c>
      <c r="AA212" s="50">
        <f t="shared" si="102"/>
        <v>0</v>
      </c>
      <c r="AB212" s="51">
        <f t="shared" si="103"/>
        <v>0</v>
      </c>
      <c r="AC212" s="44">
        <f t="shared" si="104"/>
        <v>0</v>
      </c>
      <c r="AD212" s="44">
        <f t="shared" si="105"/>
        <v>0</v>
      </c>
      <c r="AE212" s="44">
        <f t="shared" si="106"/>
        <v>0</v>
      </c>
      <c r="AF212" s="52" t="e">
        <f>HLOOKUP(I212,ElecAvoidedCostsWOCC!$A$5:$Q$50,G212+1,FALSE)</f>
        <v>#N/A</v>
      </c>
      <c r="AG212" s="44" t="e">
        <f t="shared" si="107"/>
        <v>#N/A</v>
      </c>
      <c r="AH212" s="52" t="e">
        <f>HLOOKUP(I212,ElecAvoidedCostsWOCC!$A$5:$Q$50,T212+1,FALSE)</f>
        <v>#N/A</v>
      </c>
      <c r="AI212" s="44" t="e">
        <f t="shared" si="108"/>
        <v>#N/A</v>
      </c>
      <c r="AJ212" s="44" t="e">
        <f t="shared" si="109"/>
        <v>#N/A</v>
      </c>
      <c r="AK212" s="44" t="e">
        <f>HLOOKUP(I212,ElecAvoidedCostsWOCC!$A$5:$Q$50,G212+1,FALSE)*J212*L212</f>
        <v>#N/A</v>
      </c>
      <c r="AL212" s="44" t="e">
        <f t="shared" si="110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111"/>
        <v>0</v>
      </c>
      <c r="AO212" s="47">
        <f t="shared" si="112"/>
        <v>0</v>
      </c>
      <c r="AP212" s="47" t="e">
        <f t="shared" si="113"/>
        <v>#DIV/0!</v>
      </c>
    </row>
    <row r="213" spans="2:42">
      <c r="B213" s="97" t="s">
        <v>15</v>
      </c>
      <c r="C213" s="100"/>
      <c r="D213" s="100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95"/>
        <v>0</v>
      </c>
      <c r="U213" s="47">
        <f t="shared" si="96"/>
        <v>0</v>
      </c>
      <c r="V213" s="48">
        <f t="shared" si="97"/>
        <v>0</v>
      </c>
      <c r="W213" s="49">
        <f t="shared" si="98"/>
        <v>0</v>
      </c>
      <c r="X213" s="44">
        <f t="shared" si="99"/>
        <v>0</v>
      </c>
      <c r="Y213" s="44">
        <f t="shared" si="100"/>
        <v>0</v>
      </c>
      <c r="Z213" s="44">
        <f t="shared" si="101"/>
        <v>0</v>
      </c>
      <c r="AA213" s="50">
        <f t="shared" si="102"/>
        <v>0</v>
      </c>
      <c r="AB213" s="51">
        <f t="shared" si="103"/>
        <v>0</v>
      </c>
      <c r="AC213" s="44">
        <f t="shared" si="104"/>
        <v>0</v>
      </c>
      <c r="AD213" s="44">
        <f t="shared" si="105"/>
        <v>0</v>
      </c>
      <c r="AE213" s="44">
        <f t="shared" si="106"/>
        <v>0</v>
      </c>
      <c r="AF213" s="52" t="e">
        <f>HLOOKUP(I213,ElecAvoidedCostsWOCC!$A$5:$Q$50,G213+1,FALSE)</f>
        <v>#N/A</v>
      </c>
      <c r="AG213" s="44" t="e">
        <f t="shared" si="107"/>
        <v>#N/A</v>
      </c>
      <c r="AH213" s="52" t="e">
        <f>HLOOKUP(I213,ElecAvoidedCostsWOCC!$A$5:$Q$50,T213+1,FALSE)</f>
        <v>#N/A</v>
      </c>
      <c r="AI213" s="44" t="e">
        <f t="shared" si="108"/>
        <v>#N/A</v>
      </c>
      <c r="AJ213" s="44" t="e">
        <f t="shared" si="109"/>
        <v>#N/A</v>
      </c>
      <c r="AK213" s="44" t="e">
        <f>HLOOKUP(I213,ElecAvoidedCostsWOCC!$A$5:$Q$50,G213+1,FALSE)*J213*L213</f>
        <v>#N/A</v>
      </c>
      <c r="AL213" s="44" t="e">
        <f t="shared" si="110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111"/>
        <v>0</v>
      </c>
      <c r="AO213" s="47">
        <f t="shared" si="112"/>
        <v>0</v>
      </c>
      <c r="AP213" s="47" t="e">
        <f t="shared" si="113"/>
        <v>#DIV/0!</v>
      </c>
    </row>
    <row r="214" spans="2:42">
      <c r="B214" s="97" t="s">
        <v>15</v>
      </c>
      <c r="C214" s="100"/>
      <c r="D214" s="100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95"/>
        <v>0</v>
      </c>
      <c r="U214" s="47">
        <f t="shared" si="96"/>
        <v>0</v>
      </c>
      <c r="V214" s="48">
        <f t="shared" si="97"/>
        <v>0</v>
      </c>
      <c r="W214" s="49">
        <f t="shared" si="98"/>
        <v>0</v>
      </c>
      <c r="X214" s="44">
        <f t="shared" si="99"/>
        <v>0</v>
      </c>
      <c r="Y214" s="44">
        <f t="shared" si="100"/>
        <v>0</v>
      </c>
      <c r="Z214" s="44">
        <f t="shared" si="101"/>
        <v>0</v>
      </c>
      <c r="AA214" s="50">
        <f t="shared" si="102"/>
        <v>0</v>
      </c>
      <c r="AB214" s="51">
        <f t="shared" si="103"/>
        <v>0</v>
      </c>
      <c r="AC214" s="44">
        <f t="shared" si="104"/>
        <v>0</v>
      </c>
      <c r="AD214" s="44">
        <f t="shared" si="105"/>
        <v>0</v>
      </c>
      <c r="AE214" s="44">
        <f t="shared" si="106"/>
        <v>0</v>
      </c>
      <c r="AF214" s="52" t="e">
        <f>HLOOKUP(I214,ElecAvoidedCostsWOCC!$A$5:$Q$50,G214+1,FALSE)</f>
        <v>#N/A</v>
      </c>
      <c r="AG214" s="44" t="e">
        <f t="shared" si="107"/>
        <v>#N/A</v>
      </c>
      <c r="AH214" s="52" t="e">
        <f>HLOOKUP(I214,ElecAvoidedCostsWOCC!$A$5:$Q$50,T214+1,FALSE)</f>
        <v>#N/A</v>
      </c>
      <c r="AI214" s="44" t="e">
        <f t="shared" si="108"/>
        <v>#N/A</v>
      </c>
      <c r="AJ214" s="44" t="e">
        <f t="shared" si="109"/>
        <v>#N/A</v>
      </c>
      <c r="AK214" s="44" t="e">
        <f>HLOOKUP(I214,ElecAvoidedCostsWOCC!$A$5:$Q$50,G214+1,FALSE)*J214*L214</f>
        <v>#N/A</v>
      </c>
      <c r="AL214" s="44" t="e">
        <f t="shared" si="110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111"/>
        <v>0</v>
      </c>
      <c r="AO214" s="47">
        <f t="shared" si="112"/>
        <v>0</v>
      </c>
      <c r="AP214" s="47" t="e">
        <f t="shared" si="113"/>
        <v>#DIV/0!</v>
      </c>
    </row>
    <row r="215" spans="2:42">
      <c r="B215" s="97" t="s">
        <v>15</v>
      </c>
      <c r="C215" s="100"/>
      <c r="D215" s="100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95"/>
        <v>0</v>
      </c>
      <c r="U215" s="47">
        <f t="shared" si="96"/>
        <v>0</v>
      </c>
      <c r="V215" s="48">
        <f t="shared" si="97"/>
        <v>0</v>
      </c>
      <c r="W215" s="49">
        <f t="shared" si="98"/>
        <v>0</v>
      </c>
      <c r="X215" s="44">
        <f t="shared" si="99"/>
        <v>0</v>
      </c>
      <c r="Y215" s="44">
        <f t="shared" si="100"/>
        <v>0</v>
      </c>
      <c r="Z215" s="44">
        <f t="shared" si="101"/>
        <v>0</v>
      </c>
      <c r="AA215" s="50">
        <f t="shared" si="102"/>
        <v>0</v>
      </c>
      <c r="AB215" s="51">
        <f t="shared" si="103"/>
        <v>0</v>
      </c>
      <c r="AC215" s="44">
        <f t="shared" si="104"/>
        <v>0</v>
      </c>
      <c r="AD215" s="44">
        <f t="shared" si="105"/>
        <v>0</v>
      </c>
      <c r="AE215" s="44">
        <f t="shared" si="106"/>
        <v>0</v>
      </c>
      <c r="AF215" s="52" t="e">
        <f>HLOOKUP(I215,ElecAvoidedCostsWOCC!$A$5:$Q$50,G215+1,FALSE)</f>
        <v>#N/A</v>
      </c>
      <c r="AG215" s="44" t="e">
        <f t="shared" si="107"/>
        <v>#N/A</v>
      </c>
      <c r="AH215" s="52" t="e">
        <f>HLOOKUP(I215,ElecAvoidedCostsWOCC!$A$5:$Q$50,T215+1,FALSE)</f>
        <v>#N/A</v>
      </c>
      <c r="AI215" s="44" t="e">
        <f t="shared" si="108"/>
        <v>#N/A</v>
      </c>
      <c r="AJ215" s="44" t="e">
        <f t="shared" si="109"/>
        <v>#N/A</v>
      </c>
      <c r="AK215" s="44" t="e">
        <f>HLOOKUP(I215,ElecAvoidedCostsWOCC!$A$5:$Q$50,G215+1,FALSE)*J215*L215</f>
        <v>#N/A</v>
      </c>
      <c r="AL215" s="44" t="e">
        <f t="shared" si="110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111"/>
        <v>0</v>
      </c>
      <c r="AO215" s="47">
        <f t="shared" si="112"/>
        <v>0</v>
      </c>
      <c r="AP215" s="47" t="e">
        <f t="shared" si="113"/>
        <v>#DIV/0!</v>
      </c>
    </row>
    <row r="216" spans="2:42">
      <c r="B216" s="97" t="s">
        <v>15</v>
      </c>
      <c r="C216" s="100"/>
      <c r="D216" s="100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95"/>
        <v>0</v>
      </c>
      <c r="U216" s="47">
        <f t="shared" si="96"/>
        <v>0</v>
      </c>
      <c r="V216" s="48">
        <f t="shared" si="97"/>
        <v>0</v>
      </c>
      <c r="W216" s="49">
        <f t="shared" si="98"/>
        <v>0</v>
      </c>
      <c r="X216" s="44">
        <f t="shared" si="99"/>
        <v>0</v>
      </c>
      <c r="Y216" s="44">
        <f t="shared" si="100"/>
        <v>0</v>
      </c>
      <c r="Z216" s="44">
        <f t="shared" si="101"/>
        <v>0</v>
      </c>
      <c r="AA216" s="50">
        <f t="shared" si="102"/>
        <v>0</v>
      </c>
      <c r="AB216" s="51">
        <f t="shared" si="103"/>
        <v>0</v>
      </c>
      <c r="AC216" s="44">
        <f t="shared" si="104"/>
        <v>0</v>
      </c>
      <c r="AD216" s="44">
        <f t="shared" si="105"/>
        <v>0</v>
      </c>
      <c r="AE216" s="44">
        <f t="shared" si="106"/>
        <v>0</v>
      </c>
      <c r="AF216" s="52" t="e">
        <f>HLOOKUP(I216,ElecAvoidedCostsWOCC!$A$5:$Q$50,G216+1,FALSE)</f>
        <v>#N/A</v>
      </c>
      <c r="AG216" s="44" t="e">
        <f t="shared" si="107"/>
        <v>#N/A</v>
      </c>
      <c r="AH216" s="52" t="e">
        <f>HLOOKUP(I216,ElecAvoidedCostsWOCC!$A$5:$Q$50,T216+1,FALSE)</f>
        <v>#N/A</v>
      </c>
      <c r="AI216" s="44" t="e">
        <f t="shared" si="108"/>
        <v>#N/A</v>
      </c>
      <c r="AJ216" s="44" t="e">
        <f t="shared" si="109"/>
        <v>#N/A</v>
      </c>
      <c r="AK216" s="44" t="e">
        <f>HLOOKUP(I216,ElecAvoidedCostsWOCC!$A$5:$Q$50,G216+1,FALSE)*J216*L216</f>
        <v>#N/A</v>
      </c>
      <c r="AL216" s="44" t="e">
        <f t="shared" si="110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111"/>
        <v>0</v>
      </c>
      <c r="AO216" s="47">
        <f t="shared" si="112"/>
        <v>0</v>
      </c>
      <c r="AP216" s="47" t="e">
        <f t="shared" si="113"/>
        <v>#DIV/0!</v>
      </c>
    </row>
    <row r="217" spans="2:42">
      <c r="B217" s="97" t="s">
        <v>15</v>
      </c>
      <c r="C217" s="100"/>
      <c r="D217" s="100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95"/>
        <v>0</v>
      </c>
      <c r="U217" s="47">
        <f t="shared" si="96"/>
        <v>0</v>
      </c>
      <c r="V217" s="48">
        <f t="shared" si="97"/>
        <v>0</v>
      </c>
      <c r="W217" s="49">
        <f t="shared" si="98"/>
        <v>0</v>
      </c>
      <c r="X217" s="44">
        <f t="shared" si="99"/>
        <v>0</v>
      </c>
      <c r="Y217" s="44">
        <f t="shared" si="100"/>
        <v>0</v>
      </c>
      <c r="Z217" s="44">
        <f t="shared" si="101"/>
        <v>0</v>
      </c>
      <c r="AA217" s="50">
        <f t="shared" si="102"/>
        <v>0</v>
      </c>
      <c r="AB217" s="51">
        <f t="shared" si="103"/>
        <v>0</v>
      </c>
      <c r="AC217" s="44">
        <f t="shared" si="104"/>
        <v>0</v>
      </c>
      <c r="AD217" s="44">
        <f t="shared" si="105"/>
        <v>0</v>
      </c>
      <c r="AE217" s="44">
        <f t="shared" si="106"/>
        <v>0</v>
      </c>
      <c r="AF217" s="52" t="e">
        <f>HLOOKUP(I217,ElecAvoidedCostsWOCC!$A$5:$Q$50,G217+1,FALSE)</f>
        <v>#N/A</v>
      </c>
      <c r="AG217" s="44" t="e">
        <f t="shared" si="107"/>
        <v>#N/A</v>
      </c>
      <c r="AH217" s="52" t="e">
        <f>HLOOKUP(I217,ElecAvoidedCostsWOCC!$A$5:$Q$50,T217+1,FALSE)</f>
        <v>#N/A</v>
      </c>
      <c r="AI217" s="44" t="e">
        <f t="shared" si="108"/>
        <v>#N/A</v>
      </c>
      <c r="AJ217" s="44" t="e">
        <f t="shared" si="109"/>
        <v>#N/A</v>
      </c>
      <c r="AK217" s="44" t="e">
        <f>HLOOKUP(I217,ElecAvoidedCostsWOCC!$A$5:$Q$50,G217+1,FALSE)*J217*L217</f>
        <v>#N/A</v>
      </c>
      <c r="AL217" s="44" t="e">
        <f t="shared" si="11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111"/>
        <v>0</v>
      </c>
      <c r="AO217" s="47">
        <f t="shared" si="112"/>
        <v>0</v>
      </c>
      <c r="AP217" s="47" t="e">
        <f t="shared" si="113"/>
        <v>#DIV/0!</v>
      </c>
    </row>
    <row r="218" spans="2:42">
      <c r="B218" s="97" t="s">
        <v>15</v>
      </c>
      <c r="C218" s="100"/>
      <c r="D218" s="100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95"/>
        <v>0</v>
      </c>
      <c r="U218" s="47">
        <f t="shared" si="96"/>
        <v>0</v>
      </c>
      <c r="V218" s="48">
        <f t="shared" si="97"/>
        <v>0</v>
      </c>
      <c r="W218" s="49">
        <f t="shared" si="98"/>
        <v>0</v>
      </c>
      <c r="X218" s="44">
        <f t="shared" si="99"/>
        <v>0</v>
      </c>
      <c r="Y218" s="44">
        <f t="shared" si="100"/>
        <v>0</v>
      </c>
      <c r="Z218" s="44">
        <f t="shared" si="101"/>
        <v>0</v>
      </c>
      <c r="AA218" s="50">
        <f t="shared" si="102"/>
        <v>0</v>
      </c>
      <c r="AB218" s="51">
        <f t="shared" si="103"/>
        <v>0</v>
      </c>
      <c r="AC218" s="44">
        <f t="shared" si="104"/>
        <v>0</v>
      </c>
      <c r="AD218" s="44">
        <f t="shared" si="105"/>
        <v>0</v>
      </c>
      <c r="AE218" s="44">
        <f t="shared" si="106"/>
        <v>0</v>
      </c>
      <c r="AF218" s="52" t="e">
        <f>HLOOKUP(I218,ElecAvoidedCostsWOCC!$A$5:$Q$50,G218+1,FALSE)</f>
        <v>#N/A</v>
      </c>
      <c r="AG218" s="44" t="e">
        <f t="shared" si="107"/>
        <v>#N/A</v>
      </c>
      <c r="AH218" s="52" t="e">
        <f>HLOOKUP(I218,ElecAvoidedCostsWOCC!$A$5:$Q$50,T218+1,FALSE)</f>
        <v>#N/A</v>
      </c>
      <c r="AI218" s="44" t="e">
        <f t="shared" si="108"/>
        <v>#N/A</v>
      </c>
      <c r="AJ218" s="44" t="e">
        <f t="shared" si="109"/>
        <v>#N/A</v>
      </c>
      <c r="AK218" s="44" t="e">
        <f>HLOOKUP(I218,ElecAvoidedCostsWOCC!$A$5:$Q$50,G218+1,FALSE)*J218*L218</f>
        <v>#N/A</v>
      </c>
      <c r="AL218" s="44" t="e">
        <f t="shared" si="11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111"/>
        <v>0</v>
      </c>
      <c r="AO218" s="47">
        <f t="shared" si="112"/>
        <v>0</v>
      </c>
      <c r="AP218" s="47" t="e">
        <f t="shared" si="113"/>
        <v>#DIV/0!</v>
      </c>
    </row>
    <row r="219" spans="2:42">
      <c r="B219" s="97" t="s">
        <v>15</v>
      </c>
      <c r="C219" s="100"/>
      <c r="D219" s="100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95"/>
        <v>0</v>
      </c>
      <c r="U219" s="47">
        <f t="shared" si="96"/>
        <v>0</v>
      </c>
      <c r="V219" s="48">
        <f t="shared" si="97"/>
        <v>0</v>
      </c>
      <c r="W219" s="49">
        <f t="shared" si="98"/>
        <v>0</v>
      </c>
      <c r="X219" s="44">
        <f t="shared" si="99"/>
        <v>0</v>
      </c>
      <c r="Y219" s="44">
        <f t="shared" si="100"/>
        <v>0</v>
      </c>
      <c r="Z219" s="44">
        <f t="shared" si="101"/>
        <v>0</v>
      </c>
      <c r="AA219" s="50">
        <f t="shared" si="102"/>
        <v>0</v>
      </c>
      <c r="AB219" s="51">
        <f t="shared" si="103"/>
        <v>0</v>
      </c>
      <c r="AC219" s="44">
        <f t="shared" si="104"/>
        <v>0</v>
      </c>
      <c r="AD219" s="44">
        <f t="shared" si="105"/>
        <v>0</v>
      </c>
      <c r="AE219" s="44">
        <f t="shared" si="106"/>
        <v>0</v>
      </c>
      <c r="AF219" s="52" t="e">
        <f>HLOOKUP(I219,ElecAvoidedCostsWOCC!$A$5:$Q$50,G219+1,FALSE)</f>
        <v>#N/A</v>
      </c>
      <c r="AG219" s="44" t="e">
        <f t="shared" si="107"/>
        <v>#N/A</v>
      </c>
      <c r="AH219" s="52" t="e">
        <f>HLOOKUP(I219,ElecAvoidedCostsWOCC!$A$5:$Q$50,T219+1,FALSE)</f>
        <v>#N/A</v>
      </c>
      <c r="AI219" s="44" t="e">
        <f t="shared" si="108"/>
        <v>#N/A</v>
      </c>
      <c r="AJ219" s="44" t="e">
        <f t="shared" si="109"/>
        <v>#N/A</v>
      </c>
      <c r="AK219" s="44" t="e">
        <f>HLOOKUP(I219,ElecAvoidedCostsWOCC!$A$5:$Q$50,G219+1,FALSE)*J219*L219</f>
        <v>#N/A</v>
      </c>
      <c r="AL219" s="44" t="e">
        <f t="shared" si="11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111"/>
        <v>0</v>
      </c>
      <c r="AO219" s="47">
        <f t="shared" si="112"/>
        <v>0</v>
      </c>
      <c r="AP219" s="47" t="e">
        <f t="shared" si="113"/>
        <v>#DIV/0!</v>
      </c>
    </row>
    <row r="220" spans="2:42">
      <c r="B220" s="97" t="s">
        <v>15</v>
      </c>
      <c r="C220" s="100"/>
      <c r="D220" s="100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95"/>
        <v>0</v>
      </c>
      <c r="U220" s="47">
        <f t="shared" si="96"/>
        <v>0</v>
      </c>
      <c r="V220" s="48">
        <f t="shared" si="97"/>
        <v>0</v>
      </c>
      <c r="W220" s="49">
        <f t="shared" si="98"/>
        <v>0</v>
      </c>
      <c r="X220" s="44">
        <f t="shared" si="99"/>
        <v>0</v>
      </c>
      <c r="Y220" s="44">
        <f t="shared" si="100"/>
        <v>0</v>
      </c>
      <c r="Z220" s="44">
        <f t="shared" si="101"/>
        <v>0</v>
      </c>
      <c r="AA220" s="50">
        <f t="shared" si="102"/>
        <v>0</v>
      </c>
      <c r="AB220" s="51">
        <f t="shared" si="103"/>
        <v>0</v>
      </c>
      <c r="AC220" s="44">
        <f t="shared" si="104"/>
        <v>0</v>
      </c>
      <c r="AD220" s="44">
        <f t="shared" si="105"/>
        <v>0</v>
      </c>
      <c r="AE220" s="44">
        <f t="shared" si="106"/>
        <v>0</v>
      </c>
      <c r="AF220" s="52" t="e">
        <f>HLOOKUP(I220,ElecAvoidedCostsWOCC!$A$5:$Q$50,G220+1,FALSE)</f>
        <v>#N/A</v>
      </c>
      <c r="AG220" s="44" t="e">
        <f t="shared" si="107"/>
        <v>#N/A</v>
      </c>
      <c r="AH220" s="52" t="e">
        <f>HLOOKUP(I220,ElecAvoidedCostsWOCC!$A$5:$Q$50,T220+1,FALSE)</f>
        <v>#N/A</v>
      </c>
      <c r="AI220" s="44" t="e">
        <f t="shared" si="108"/>
        <v>#N/A</v>
      </c>
      <c r="AJ220" s="44" t="e">
        <f t="shared" si="109"/>
        <v>#N/A</v>
      </c>
      <c r="AK220" s="44" t="e">
        <f>HLOOKUP(I220,ElecAvoidedCostsWOCC!$A$5:$Q$50,G220+1,FALSE)*J220*L220</f>
        <v>#N/A</v>
      </c>
      <c r="AL220" s="44" t="e">
        <f t="shared" si="11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111"/>
        <v>0</v>
      </c>
      <c r="AO220" s="47">
        <f t="shared" si="112"/>
        <v>0</v>
      </c>
      <c r="AP220" s="47" t="e">
        <f t="shared" si="113"/>
        <v>#DIV/0!</v>
      </c>
    </row>
    <row r="221" spans="2:42">
      <c r="B221" s="97" t="s">
        <v>15</v>
      </c>
      <c r="C221" s="100"/>
      <c r="D221" s="100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95"/>
        <v>0</v>
      </c>
      <c r="U221" s="47">
        <f t="shared" si="96"/>
        <v>0</v>
      </c>
      <c r="V221" s="48">
        <f t="shared" si="97"/>
        <v>0</v>
      </c>
      <c r="W221" s="49">
        <f t="shared" si="98"/>
        <v>0</v>
      </c>
      <c r="X221" s="44">
        <f t="shared" si="99"/>
        <v>0</v>
      </c>
      <c r="Y221" s="44">
        <f t="shared" si="100"/>
        <v>0</v>
      </c>
      <c r="Z221" s="44">
        <f t="shared" si="101"/>
        <v>0</v>
      </c>
      <c r="AA221" s="50">
        <f t="shared" si="102"/>
        <v>0</v>
      </c>
      <c r="AB221" s="51">
        <f t="shared" si="103"/>
        <v>0</v>
      </c>
      <c r="AC221" s="44">
        <f t="shared" si="104"/>
        <v>0</v>
      </c>
      <c r="AD221" s="44">
        <f t="shared" si="105"/>
        <v>0</v>
      </c>
      <c r="AE221" s="44">
        <f t="shared" si="106"/>
        <v>0</v>
      </c>
      <c r="AF221" s="52" t="e">
        <f>HLOOKUP(I221,ElecAvoidedCostsWOCC!$A$5:$Q$50,G221+1,FALSE)</f>
        <v>#N/A</v>
      </c>
      <c r="AG221" s="44" t="e">
        <f t="shared" si="107"/>
        <v>#N/A</v>
      </c>
      <c r="AH221" s="52" t="e">
        <f>HLOOKUP(I221,ElecAvoidedCostsWOCC!$A$5:$Q$50,T221+1,FALSE)</f>
        <v>#N/A</v>
      </c>
      <c r="AI221" s="44" t="e">
        <f t="shared" si="108"/>
        <v>#N/A</v>
      </c>
      <c r="AJ221" s="44" t="e">
        <f t="shared" si="109"/>
        <v>#N/A</v>
      </c>
      <c r="AK221" s="44" t="e">
        <f>HLOOKUP(I221,ElecAvoidedCostsWOCC!$A$5:$Q$50,G221+1,FALSE)*J221*L221</f>
        <v>#N/A</v>
      </c>
      <c r="AL221" s="44" t="e">
        <f t="shared" si="11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111"/>
        <v>0</v>
      </c>
      <c r="AO221" s="47">
        <f t="shared" si="112"/>
        <v>0</v>
      </c>
      <c r="AP221" s="47" t="e">
        <f t="shared" si="113"/>
        <v>#DIV/0!</v>
      </c>
    </row>
    <row r="222" spans="2:42">
      <c r="B222" s="97" t="s">
        <v>15</v>
      </c>
      <c r="C222" s="100"/>
      <c r="D222" s="100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95"/>
        <v>0</v>
      </c>
      <c r="U222" s="47">
        <f t="shared" si="96"/>
        <v>0</v>
      </c>
      <c r="V222" s="48">
        <f t="shared" si="97"/>
        <v>0</v>
      </c>
      <c r="W222" s="49">
        <f t="shared" si="98"/>
        <v>0</v>
      </c>
      <c r="X222" s="44">
        <f t="shared" si="99"/>
        <v>0</v>
      </c>
      <c r="Y222" s="44">
        <f t="shared" si="100"/>
        <v>0</v>
      </c>
      <c r="Z222" s="44">
        <f t="shared" si="101"/>
        <v>0</v>
      </c>
      <c r="AA222" s="50">
        <f t="shared" si="102"/>
        <v>0</v>
      </c>
      <c r="AB222" s="51">
        <f t="shared" si="103"/>
        <v>0</v>
      </c>
      <c r="AC222" s="44">
        <f t="shared" si="104"/>
        <v>0</v>
      </c>
      <c r="AD222" s="44">
        <f t="shared" si="105"/>
        <v>0</v>
      </c>
      <c r="AE222" s="44">
        <f t="shared" si="106"/>
        <v>0</v>
      </c>
      <c r="AF222" s="52" t="e">
        <f>HLOOKUP(I222,ElecAvoidedCostsWOCC!$A$5:$Q$50,G222+1,FALSE)</f>
        <v>#N/A</v>
      </c>
      <c r="AG222" s="44" t="e">
        <f t="shared" si="107"/>
        <v>#N/A</v>
      </c>
      <c r="AH222" s="52" t="e">
        <f>HLOOKUP(I222,ElecAvoidedCostsWOCC!$A$5:$Q$50,T222+1,FALSE)</f>
        <v>#N/A</v>
      </c>
      <c r="AI222" s="44" t="e">
        <f t="shared" si="108"/>
        <v>#N/A</v>
      </c>
      <c r="AJ222" s="44" t="e">
        <f t="shared" si="109"/>
        <v>#N/A</v>
      </c>
      <c r="AK222" s="44" t="e">
        <f>HLOOKUP(I222,ElecAvoidedCostsWOCC!$A$5:$Q$50,G222+1,FALSE)*J222*L222</f>
        <v>#N/A</v>
      </c>
      <c r="AL222" s="44" t="e">
        <f t="shared" si="11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111"/>
        <v>0</v>
      </c>
      <c r="AO222" s="47">
        <f t="shared" si="112"/>
        <v>0</v>
      </c>
      <c r="AP222" s="47" t="e">
        <f t="shared" si="113"/>
        <v>#DIV/0!</v>
      </c>
    </row>
    <row r="223" spans="2:42">
      <c r="B223" s="97" t="s">
        <v>15</v>
      </c>
      <c r="C223" s="100"/>
      <c r="D223" s="100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95"/>
        <v>0</v>
      </c>
      <c r="U223" s="47">
        <f t="shared" si="96"/>
        <v>0</v>
      </c>
      <c r="V223" s="48">
        <f t="shared" si="97"/>
        <v>0</v>
      </c>
      <c r="W223" s="49">
        <f t="shared" si="98"/>
        <v>0</v>
      </c>
      <c r="X223" s="44">
        <f t="shared" si="99"/>
        <v>0</v>
      </c>
      <c r="Y223" s="44">
        <f t="shared" si="100"/>
        <v>0</v>
      </c>
      <c r="Z223" s="44">
        <f t="shared" si="101"/>
        <v>0</v>
      </c>
      <c r="AA223" s="50">
        <f t="shared" si="102"/>
        <v>0</v>
      </c>
      <c r="AB223" s="51">
        <f t="shared" si="103"/>
        <v>0</v>
      </c>
      <c r="AC223" s="44">
        <f t="shared" si="104"/>
        <v>0</v>
      </c>
      <c r="AD223" s="44">
        <f t="shared" si="105"/>
        <v>0</v>
      </c>
      <c r="AE223" s="44">
        <f t="shared" si="106"/>
        <v>0</v>
      </c>
      <c r="AF223" s="52" t="e">
        <f>HLOOKUP(I223,ElecAvoidedCostsWOCC!$A$5:$Q$50,G223+1,FALSE)</f>
        <v>#N/A</v>
      </c>
      <c r="AG223" s="44" t="e">
        <f t="shared" si="107"/>
        <v>#N/A</v>
      </c>
      <c r="AH223" s="52" t="e">
        <f>HLOOKUP(I223,ElecAvoidedCostsWOCC!$A$5:$Q$50,T223+1,FALSE)</f>
        <v>#N/A</v>
      </c>
      <c r="AI223" s="44" t="e">
        <f t="shared" si="108"/>
        <v>#N/A</v>
      </c>
      <c r="AJ223" s="44" t="e">
        <f t="shared" si="109"/>
        <v>#N/A</v>
      </c>
      <c r="AK223" s="44" t="e">
        <f>HLOOKUP(I223,ElecAvoidedCostsWOCC!$A$5:$Q$50,G223+1,FALSE)*J223*L223</f>
        <v>#N/A</v>
      </c>
      <c r="AL223" s="44" t="e">
        <f t="shared" si="11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111"/>
        <v>0</v>
      </c>
      <c r="AO223" s="47">
        <f t="shared" si="112"/>
        <v>0</v>
      </c>
      <c r="AP223" s="47" t="e">
        <f t="shared" si="113"/>
        <v>#DIV/0!</v>
      </c>
    </row>
    <row r="224" spans="2:42">
      <c r="B224" s="97" t="s">
        <v>15</v>
      </c>
      <c r="C224" s="100"/>
      <c r="D224" s="100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95"/>
        <v>0</v>
      </c>
      <c r="U224" s="47">
        <f t="shared" si="96"/>
        <v>0</v>
      </c>
      <c r="V224" s="48">
        <f t="shared" si="97"/>
        <v>0</v>
      </c>
      <c r="W224" s="49">
        <f t="shared" si="98"/>
        <v>0</v>
      </c>
      <c r="X224" s="44">
        <f t="shared" si="99"/>
        <v>0</v>
      </c>
      <c r="Y224" s="44">
        <f t="shared" si="100"/>
        <v>0</v>
      </c>
      <c r="Z224" s="44">
        <f t="shared" si="101"/>
        <v>0</v>
      </c>
      <c r="AA224" s="50">
        <f t="shared" si="102"/>
        <v>0</v>
      </c>
      <c r="AB224" s="51">
        <f t="shared" si="103"/>
        <v>0</v>
      </c>
      <c r="AC224" s="44">
        <f t="shared" si="104"/>
        <v>0</v>
      </c>
      <c r="AD224" s="44">
        <f t="shared" si="105"/>
        <v>0</v>
      </c>
      <c r="AE224" s="44">
        <f t="shared" si="106"/>
        <v>0</v>
      </c>
      <c r="AF224" s="52" t="e">
        <f>HLOOKUP(I224,ElecAvoidedCostsWOCC!$A$5:$Q$50,G224+1,FALSE)</f>
        <v>#N/A</v>
      </c>
      <c r="AG224" s="44" t="e">
        <f t="shared" si="107"/>
        <v>#N/A</v>
      </c>
      <c r="AH224" s="52" t="e">
        <f>HLOOKUP(I224,ElecAvoidedCostsWOCC!$A$5:$Q$50,T224+1,FALSE)</f>
        <v>#N/A</v>
      </c>
      <c r="AI224" s="44" t="e">
        <f t="shared" si="108"/>
        <v>#N/A</v>
      </c>
      <c r="AJ224" s="44" t="e">
        <f t="shared" si="109"/>
        <v>#N/A</v>
      </c>
      <c r="AK224" s="44" t="e">
        <f>HLOOKUP(I224,ElecAvoidedCostsWOCC!$A$5:$Q$50,G224+1,FALSE)*J224*L224</f>
        <v>#N/A</v>
      </c>
      <c r="AL224" s="44" t="e">
        <f t="shared" si="11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111"/>
        <v>0</v>
      </c>
      <c r="AO224" s="47">
        <f t="shared" si="112"/>
        <v>0</v>
      </c>
      <c r="AP224" s="47" t="e">
        <f t="shared" si="113"/>
        <v>#DIV/0!</v>
      </c>
    </row>
    <row r="225" spans="2:42">
      <c r="B225" s="97" t="s">
        <v>15</v>
      </c>
      <c r="C225" s="100"/>
      <c r="D225" s="100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95"/>
        <v>0</v>
      </c>
      <c r="U225" s="47">
        <f t="shared" si="96"/>
        <v>0</v>
      </c>
      <c r="V225" s="48">
        <f t="shared" si="97"/>
        <v>0</v>
      </c>
      <c r="W225" s="49">
        <f t="shared" si="98"/>
        <v>0</v>
      </c>
      <c r="X225" s="44">
        <f t="shared" si="99"/>
        <v>0</v>
      </c>
      <c r="Y225" s="44">
        <f t="shared" si="100"/>
        <v>0</v>
      </c>
      <c r="Z225" s="44">
        <f t="shared" si="101"/>
        <v>0</v>
      </c>
      <c r="AA225" s="50">
        <f t="shared" si="102"/>
        <v>0</v>
      </c>
      <c r="AB225" s="51">
        <f t="shared" si="103"/>
        <v>0</v>
      </c>
      <c r="AC225" s="44">
        <f t="shared" si="104"/>
        <v>0</v>
      </c>
      <c r="AD225" s="44">
        <f t="shared" si="105"/>
        <v>0</v>
      </c>
      <c r="AE225" s="44">
        <f t="shared" si="106"/>
        <v>0</v>
      </c>
      <c r="AF225" s="52" t="e">
        <f>HLOOKUP(I225,ElecAvoidedCostsWOCC!$A$5:$Q$50,G225+1,FALSE)</f>
        <v>#N/A</v>
      </c>
      <c r="AG225" s="44" t="e">
        <f t="shared" si="107"/>
        <v>#N/A</v>
      </c>
      <c r="AH225" s="52" t="e">
        <f>HLOOKUP(I225,ElecAvoidedCostsWOCC!$A$5:$Q$50,T225+1,FALSE)</f>
        <v>#N/A</v>
      </c>
      <c r="AI225" s="44" t="e">
        <f t="shared" si="108"/>
        <v>#N/A</v>
      </c>
      <c r="AJ225" s="44" t="e">
        <f t="shared" si="109"/>
        <v>#N/A</v>
      </c>
      <c r="AK225" s="44" t="e">
        <f>HLOOKUP(I225,ElecAvoidedCostsWOCC!$A$5:$Q$50,G225+1,FALSE)*J225*L225</f>
        <v>#N/A</v>
      </c>
      <c r="AL225" s="44" t="e">
        <f t="shared" si="11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111"/>
        <v>0</v>
      </c>
      <c r="AO225" s="47">
        <f t="shared" si="112"/>
        <v>0</v>
      </c>
      <c r="AP225" s="47" t="e">
        <f t="shared" si="113"/>
        <v>#DIV/0!</v>
      </c>
    </row>
    <row r="226" spans="2:42">
      <c r="B226" s="97" t="s">
        <v>15</v>
      </c>
      <c r="C226" s="100"/>
      <c r="D226" s="100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95"/>
        <v>0</v>
      </c>
      <c r="U226" s="47">
        <f t="shared" si="96"/>
        <v>0</v>
      </c>
      <c r="V226" s="48">
        <f t="shared" si="97"/>
        <v>0</v>
      </c>
      <c r="W226" s="49">
        <f t="shared" si="98"/>
        <v>0</v>
      </c>
      <c r="X226" s="44">
        <f t="shared" si="99"/>
        <v>0</v>
      </c>
      <c r="Y226" s="44">
        <f t="shared" si="100"/>
        <v>0</v>
      </c>
      <c r="Z226" s="44">
        <f t="shared" si="101"/>
        <v>0</v>
      </c>
      <c r="AA226" s="50">
        <f t="shared" si="102"/>
        <v>0</v>
      </c>
      <c r="AB226" s="51">
        <f t="shared" si="103"/>
        <v>0</v>
      </c>
      <c r="AC226" s="44">
        <f t="shared" si="104"/>
        <v>0</v>
      </c>
      <c r="AD226" s="44">
        <f t="shared" si="105"/>
        <v>0</v>
      </c>
      <c r="AE226" s="44">
        <f t="shared" si="106"/>
        <v>0</v>
      </c>
      <c r="AF226" s="52" t="e">
        <f>HLOOKUP(I226,ElecAvoidedCostsWOCC!$A$5:$Q$50,G226+1,FALSE)</f>
        <v>#N/A</v>
      </c>
      <c r="AG226" s="44" t="e">
        <f t="shared" si="107"/>
        <v>#N/A</v>
      </c>
      <c r="AH226" s="52" t="e">
        <f>HLOOKUP(I226,ElecAvoidedCostsWOCC!$A$5:$Q$50,T226+1,FALSE)</f>
        <v>#N/A</v>
      </c>
      <c r="AI226" s="44" t="e">
        <f t="shared" si="108"/>
        <v>#N/A</v>
      </c>
      <c r="AJ226" s="44" t="e">
        <f t="shared" si="109"/>
        <v>#N/A</v>
      </c>
      <c r="AK226" s="44" t="e">
        <f>HLOOKUP(I226,ElecAvoidedCostsWOCC!$A$5:$Q$50,G226+1,FALSE)*J226*L226</f>
        <v>#N/A</v>
      </c>
      <c r="AL226" s="44" t="e">
        <f t="shared" si="11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111"/>
        <v>0</v>
      </c>
      <c r="AO226" s="47">
        <f t="shared" si="112"/>
        <v>0</v>
      </c>
      <c r="AP226" s="47" t="e">
        <f t="shared" si="113"/>
        <v>#DIV/0!</v>
      </c>
    </row>
    <row r="227" spans="2:42">
      <c r="B227" s="97" t="s">
        <v>15</v>
      </c>
      <c r="C227" s="100"/>
      <c r="D227" s="100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95"/>
        <v>0</v>
      </c>
      <c r="U227" s="47">
        <f t="shared" si="96"/>
        <v>0</v>
      </c>
      <c r="V227" s="48">
        <f t="shared" si="97"/>
        <v>0</v>
      </c>
      <c r="W227" s="49">
        <f t="shared" si="98"/>
        <v>0</v>
      </c>
      <c r="X227" s="44">
        <f t="shared" si="99"/>
        <v>0</v>
      </c>
      <c r="Y227" s="44">
        <f t="shared" si="100"/>
        <v>0</v>
      </c>
      <c r="Z227" s="44">
        <f t="shared" si="101"/>
        <v>0</v>
      </c>
      <c r="AA227" s="50">
        <f t="shared" si="102"/>
        <v>0</v>
      </c>
      <c r="AB227" s="51">
        <f t="shared" si="103"/>
        <v>0</v>
      </c>
      <c r="AC227" s="44">
        <f t="shared" si="104"/>
        <v>0</v>
      </c>
      <c r="AD227" s="44">
        <f t="shared" si="105"/>
        <v>0</v>
      </c>
      <c r="AE227" s="44">
        <f t="shared" si="106"/>
        <v>0</v>
      </c>
      <c r="AF227" s="52" t="e">
        <f>HLOOKUP(I227,ElecAvoidedCostsWOCC!$A$5:$Q$50,G227+1,FALSE)</f>
        <v>#N/A</v>
      </c>
      <c r="AG227" s="44" t="e">
        <f t="shared" si="107"/>
        <v>#N/A</v>
      </c>
      <c r="AH227" s="52" t="e">
        <f>HLOOKUP(I227,ElecAvoidedCostsWOCC!$A$5:$Q$50,T227+1,FALSE)</f>
        <v>#N/A</v>
      </c>
      <c r="AI227" s="44" t="e">
        <f t="shared" si="108"/>
        <v>#N/A</v>
      </c>
      <c r="AJ227" s="44" t="e">
        <f t="shared" si="109"/>
        <v>#N/A</v>
      </c>
      <c r="AK227" s="44" t="e">
        <f>HLOOKUP(I227,ElecAvoidedCostsWOCC!$A$5:$Q$50,G227+1,FALSE)*J227*L227</f>
        <v>#N/A</v>
      </c>
      <c r="AL227" s="44" t="e">
        <f t="shared" si="11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111"/>
        <v>0</v>
      </c>
      <c r="AO227" s="47">
        <f t="shared" si="112"/>
        <v>0</v>
      </c>
      <c r="AP227" s="47" t="e">
        <f t="shared" si="113"/>
        <v>#DIV/0!</v>
      </c>
    </row>
    <row r="228" spans="2:42">
      <c r="B228" s="97" t="s">
        <v>15</v>
      </c>
      <c r="C228" s="100"/>
      <c r="D228" s="100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95"/>
        <v>0</v>
      </c>
      <c r="U228" s="47">
        <f t="shared" si="96"/>
        <v>0</v>
      </c>
      <c r="V228" s="48">
        <f t="shared" si="97"/>
        <v>0</v>
      </c>
      <c r="W228" s="49">
        <f t="shared" si="98"/>
        <v>0</v>
      </c>
      <c r="X228" s="44">
        <f t="shared" si="99"/>
        <v>0</v>
      </c>
      <c r="Y228" s="44">
        <f t="shared" si="100"/>
        <v>0</v>
      </c>
      <c r="Z228" s="44">
        <f t="shared" si="101"/>
        <v>0</v>
      </c>
      <c r="AA228" s="50">
        <f t="shared" si="102"/>
        <v>0</v>
      </c>
      <c r="AB228" s="51">
        <f t="shared" si="103"/>
        <v>0</v>
      </c>
      <c r="AC228" s="44">
        <f t="shared" si="104"/>
        <v>0</v>
      </c>
      <c r="AD228" s="44">
        <f t="shared" si="105"/>
        <v>0</v>
      </c>
      <c r="AE228" s="44">
        <f t="shared" si="106"/>
        <v>0</v>
      </c>
      <c r="AF228" s="52" t="e">
        <f>HLOOKUP(I228,ElecAvoidedCostsWOCC!$A$5:$Q$50,G228+1,FALSE)</f>
        <v>#N/A</v>
      </c>
      <c r="AG228" s="44" t="e">
        <f t="shared" si="107"/>
        <v>#N/A</v>
      </c>
      <c r="AH228" s="52" t="e">
        <f>HLOOKUP(I228,ElecAvoidedCostsWOCC!$A$5:$Q$50,T228+1,FALSE)</f>
        <v>#N/A</v>
      </c>
      <c r="AI228" s="44" t="e">
        <f t="shared" si="108"/>
        <v>#N/A</v>
      </c>
      <c r="AJ228" s="44" t="e">
        <f t="shared" si="109"/>
        <v>#N/A</v>
      </c>
      <c r="AK228" s="44" t="e">
        <f>HLOOKUP(I228,ElecAvoidedCostsWOCC!$A$5:$Q$50,G228+1,FALSE)*J228*L228</f>
        <v>#N/A</v>
      </c>
      <c r="AL228" s="44" t="e">
        <f t="shared" si="11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111"/>
        <v>0</v>
      </c>
      <c r="AO228" s="47">
        <f t="shared" si="112"/>
        <v>0</v>
      </c>
      <c r="AP228" s="47" t="e">
        <f t="shared" si="113"/>
        <v>#DIV/0!</v>
      </c>
    </row>
    <row r="229" spans="2:42">
      <c r="B229" s="97" t="s">
        <v>15</v>
      </c>
      <c r="C229" s="100"/>
      <c r="D229" s="100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95"/>
        <v>0</v>
      </c>
      <c r="U229" s="47">
        <f t="shared" si="96"/>
        <v>0</v>
      </c>
      <c r="V229" s="48">
        <f t="shared" si="97"/>
        <v>0</v>
      </c>
      <c r="W229" s="49">
        <f t="shared" si="98"/>
        <v>0</v>
      </c>
      <c r="X229" s="44">
        <f t="shared" si="99"/>
        <v>0</v>
      </c>
      <c r="Y229" s="44">
        <f t="shared" si="100"/>
        <v>0</v>
      </c>
      <c r="Z229" s="44">
        <f t="shared" si="101"/>
        <v>0</v>
      </c>
      <c r="AA229" s="50">
        <f t="shared" si="102"/>
        <v>0</v>
      </c>
      <c r="AB229" s="51">
        <f t="shared" si="103"/>
        <v>0</v>
      </c>
      <c r="AC229" s="44">
        <f t="shared" si="104"/>
        <v>0</v>
      </c>
      <c r="AD229" s="44">
        <f t="shared" si="105"/>
        <v>0</v>
      </c>
      <c r="AE229" s="44">
        <f t="shared" si="106"/>
        <v>0</v>
      </c>
      <c r="AF229" s="52" t="e">
        <f>HLOOKUP(I229,ElecAvoidedCostsWOCC!$A$5:$Q$50,G229+1,FALSE)</f>
        <v>#N/A</v>
      </c>
      <c r="AG229" s="44" t="e">
        <f t="shared" si="107"/>
        <v>#N/A</v>
      </c>
      <c r="AH229" s="52" t="e">
        <f>HLOOKUP(I229,ElecAvoidedCostsWOCC!$A$5:$Q$50,T229+1,FALSE)</f>
        <v>#N/A</v>
      </c>
      <c r="AI229" s="44" t="e">
        <f t="shared" si="108"/>
        <v>#N/A</v>
      </c>
      <c r="AJ229" s="44" t="e">
        <f t="shared" si="109"/>
        <v>#N/A</v>
      </c>
      <c r="AK229" s="44" t="e">
        <f>HLOOKUP(I229,ElecAvoidedCostsWOCC!$A$5:$Q$50,G229+1,FALSE)*J229*L229</f>
        <v>#N/A</v>
      </c>
      <c r="AL229" s="44" t="e">
        <f t="shared" si="11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111"/>
        <v>0</v>
      </c>
      <c r="AO229" s="47">
        <f t="shared" si="112"/>
        <v>0</v>
      </c>
      <c r="AP229" s="47" t="e">
        <f t="shared" si="113"/>
        <v>#DIV/0!</v>
      </c>
    </row>
    <row r="230" spans="2:42">
      <c r="B230" s="97" t="s">
        <v>15</v>
      </c>
      <c r="C230" s="100"/>
      <c r="D230" s="100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95"/>
        <v>0</v>
      </c>
      <c r="U230" s="47">
        <f t="shared" si="96"/>
        <v>0</v>
      </c>
      <c r="V230" s="48">
        <f t="shared" si="97"/>
        <v>0</v>
      </c>
      <c r="W230" s="49">
        <f t="shared" si="98"/>
        <v>0</v>
      </c>
      <c r="X230" s="44">
        <f t="shared" si="99"/>
        <v>0</v>
      </c>
      <c r="Y230" s="44">
        <f t="shared" si="100"/>
        <v>0</v>
      </c>
      <c r="Z230" s="44">
        <f t="shared" si="101"/>
        <v>0</v>
      </c>
      <c r="AA230" s="50">
        <f t="shared" si="102"/>
        <v>0</v>
      </c>
      <c r="AB230" s="51">
        <f t="shared" si="103"/>
        <v>0</v>
      </c>
      <c r="AC230" s="44">
        <f t="shared" si="104"/>
        <v>0</v>
      </c>
      <c r="AD230" s="44">
        <f t="shared" si="105"/>
        <v>0</v>
      </c>
      <c r="AE230" s="44">
        <f t="shared" si="106"/>
        <v>0</v>
      </c>
      <c r="AF230" s="52" t="e">
        <f>HLOOKUP(I230,ElecAvoidedCostsWOCC!$A$5:$Q$50,G230+1,FALSE)</f>
        <v>#N/A</v>
      </c>
      <c r="AG230" s="44" t="e">
        <f t="shared" si="107"/>
        <v>#N/A</v>
      </c>
      <c r="AH230" s="52" t="e">
        <f>HLOOKUP(I230,ElecAvoidedCostsWOCC!$A$5:$Q$50,T230+1,FALSE)</f>
        <v>#N/A</v>
      </c>
      <c r="AI230" s="44" t="e">
        <f t="shared" si="108"/>
        <v>#N/A</v>
      </c>
      <c r="AJ230" s="44" t="e">
        <f t="shared" si="109"/>
        <v>#N/A</v>
      </c>
      <c r="AK230" s="44" t="e">
        <f>HLOOKUP(I230,ElecAvoidedCostsWOCC!$A$5:$Q$50,G230+1,FALSE)*J230*L230</f>
        <v>#N/A</v>
      </c>
      <c r="AL230" s="44" t="e">
        <f t="shared" si="11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111"/>
        <v>0</v>
      </c>
      <c r="AO230" s="47">
        <f t="shared" si="112"/>
        <v>0</v>
      </c>
      <c r="AP230" s="47" t="e">
        <f t="shared" si="113"/>
        <v>#DIV/0!</v>
      </c>
    </row>
    <row r="231" spans="2:42">
      <c r="B231" s="97" t="s">
        <v>15</v>
      </c>
      <c r="C231" s="100"/>
      <c r="D231" s="100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ref="T231:T294" si="114">G231+H231</f>
        <v>0</v>
      </c>
      <c r="U231" s="47">
        <f t="shared" ref="U231:U294" si="115">(O231/$A$10)*T231</f>
        <v>0</v>
      </c>
      <c r="V231" s="48">
        <f t="shared" ref="V231:V294" si="116">N231-M231</f>
        <v>0</v>
      </c>
      <c r="W231" s="49">
        <f t="shared" ref="W231:W294" si="117">(O231/A$10)</f>
        <v>0</v>
      </c>
      <c r="X231" s="44">
        <f t="shared" ref="X231:X294" si="118">W231*A$8</f>
        <v>0</v>
      </c>
      <c r="Y231" s="44">
        <f t="shared" ref="Y231:Y294" si="119">Q231-P231</f>
        <v>0</v>
      </c>
      <c r="Z231" s="44">
        <f t="shared" ref="Z231:Z294" si="120">X231+(A$6*W231)</f>
        <v>0</v>
      </c>
      <c r="AA231" s="50">
        <f t="shared" ref="AA231:AA294" si="121">Q231+X231</f>
        <v>0</v>
      </c>
      <c r="AB231" s="51">
        <f t="shared" ref="AB231:AB294" si="122">Z231/(1+ElecDiscountRate)^1</f>
        <v>0</v>
      </c>
      <c r="AC231" s="44">
        <f t="shared" ref="AC231:AC294" si="123">AA231/(1+ElecDiscountRate)^1</f>
        <v>0</v>
      </c>
      <c r="AD231" s="44">
        <f t="shared" ref="AD231:AD294" si="124">-PV(ElecDiscountRate,T231,R231)*J231</f>
        <v>0</v>
      </c>
      <c r="AE231" s="44">
        <f t="shared" ref="AE231:AE294" si="125">-PV(ElecDiscountRate,T231,S231)*J231</f>
        <v>0</v>
      </c>
      <c r="AF231" s="52" t="e">
        <f>HLOOKUP(I231,ElecAvoidedCostsWOCC!$A$5:$Q$50,G231+1,FALSE)</f>
        <v>#N/A</v>
      </c>
      <c r="AG231" s="44" t="e">
        <f t="shared" ref="AG231:AG294" si="126">AF231*J231*K231</f>
        <v>#N/A</v>
      </c>
      <c r="AH231" s="52" t="e">
        <f>HLOOKUP(I231,ElecAvoidedCostsWOCC!$A$5:$Q$50,T231+1,FALSE)</f>
        <v>#N/A</v>
      </c>
      <c r="AI231" s="44" t="e">
        <f t="shared" ref="AI231:AI294" si="127">AH231*J231*L231</f>
        <v>#N/A</v>
      </c>
      <c r="AJ231" s="44" t="e">
        <f t="shared" ref="AJ231:AJ294" si="128">AG231+AI231</f>
        <v>#N/A</v>
      </c>
      <c r="AK231" s="44" t="e">
        <f>HLOOKUP(I231,ElecAvoidedCostsWOCC!$A$5:$Q$50,G231+1,FALSE)*J231*L231</f>
        <v>#N/A</v>
      </c>
      <c r="AL231" s="44" t="e">
        <f t="shared" ref="AL231:AL294" si="129">AG231+AI231-AK231</f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ref="AN231:AN294" si="130">AM231*1.1+AD231+AE231</f>
        <v>0</v>
      </c>
      <c r="AO231" s="47">
        <f t="shared" ref="AO231:AO294" si="131">IFERROR(AM231/AB231,0)</f>
        <v>0</v>
      </c>
      <c r="AP231" s="47" t="e">
        <f t="shared" ref="AP231:AP294" si="132">AN231/AC231</f>
        <v>#DIV/0!</v>
      </c>
    </row>
    <row r="232" spans="2:42">
      <c r="B232" s="97" t="s">
        <v>15</v>
      </c>
      <c r="C232" s="100"/>
      <c r="D232" s="100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114"/>
        <v>0</v>
      </c>
      <c r="U232" s="47">
        <f t="shared" si="115"/>
        <v>0</v>
      </c>
      <c r="V232" s="48">
        <f t="shared" si="116"/>
        <v>0</v>
      </c>
      <c r="W232" s="49">
        <f t="shared" si="117"/>
        <v>0</v>
      </c>
      <c r="X232" s="44">
        <f t="shared" si="118"/>
        <v>0</v>
      </c>
      <c r="Y232" s="44">
        <f t="shared" si="119"/>
        <v>0</v>
      </c>
      <c r="Z232" s="44">
        <f t="shared" si="120"/>
        <v>0</v>
      </c>
      <c r="AA232" s="50">
        <f t="shared" si="121"/>
        <v>0</v>
      </c>
      <c r="AB232" s="51">
        <f t="shared" si="122"/>
        <v>0</v>
      </c>
      <c r="AC232" s="44">
        <f t="shared" si="123"/>
        <v>0</v>
      </c>
      <c r="AD232" s="44">
        <f t="shared" si="124"/>
        <v>0</v>
      </c>
      <c r="AE232" s="44">
        <f t="shared" si="125"/>
        <v>0</v>
      </c>
      <c r="AF232" s="52" t="e">
        <f>HLOOKUP(I232,ElecAvoidedCostsWOCC!$A$5:$Q$50,G232+1,FALSE)</f>
        <v>#N/A</v>
      </c>
      <c r="AG232" s="44" t="e">
        <f t="shared" si="126"/>
        <v>#N/A</v>
      </c>
      <c r="AH232" s="52" t="e">
        <f>HLOOKUP(I232,ElecAvoidedCostsWOCC!$A$5:$Q$50,T232+1,FALSE)</f>
        <v>#N/A</v>
      </c>
      <c r="AI232" s="44" t="e">
        <f t="shared" si="127"/>
        <v>#N/A</v>
      </c>
      <c r="AJ232" s="44" t="e">
        <f t="shared" si="128"/>
        <v>#N/A</v>
      </c>
      <c r="AK232" s="44" t="e">
        <f>HLOOKUP(I232,ElecAvoidedCostsWOCC!$A$5:$Q$50,G232+1,FALSE)*J232*L232</f>
        <v>#N/A</v>
      </c>
      <c r="AL232" s="44" t="e">
        <f t="shared" si="129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130"/>
        <v>0</v>
      </c>
      <c r="AO232" s="47">
        <f t="shared" si="131"/>
        <v>0</v>
      </c>
      <c r="AP232" s="47" t="e">
        <f t="shared" si="132"/>
        <v>#DIV/0!</v>
      </c>
    </row>
    <row r="233" spans="2:42">
      <c r="B233" s="97" t="s">
        <v>15</v>
      </c>
      <c r="C233" s="100"/>
      <c r="D233" s="100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114"/>
        <v>0</v>
      </c>
      <c r="U233" s="47">
        <f t="shared" si="115"/>
        <v>0</v>
      </c>
      <c r="V233" s="48">
        <f t="shared" si="116"/>
        <v>0</v>
      </c>
      <c r="W233" s="49">
        <f t="shared" si="117"/>
        <v>0</v>
      </c>
      <c r="X233" s="44">
        <f t="shared" si="118"/>
        <v>0</v>
      </c>
      <c r="Y233" s="44">
        <f t="shared" si="119"/>
        <v>0</v>
      </c>
      <c r="Z233" s="44">
        <f t="shared" si="120"/>
        <v>0</v>
      </c>
      <c r="AA233" s="50">
        <f t="shared" si="121"/>
        <v>0</v>
      </c>
      <c r="AB233" s="51">
        <f t="shared" si="122"/>
        <v>0</v>
      </c>
      <c r="AC233" s="44">
        <f t="shared" si="123"/>
        <v>0</v>
      </c>
      <c r="AD233" s="44">
        <f t="shared" si="124"/>
        <v>0</v>
      </c>
      <c r="AE233" s="44">
        <f t="shared" si="125"/>
        <v>0</v>
      </c>
      <c r="AF233" s="52" t="e">
        <f>HLOOKUP(I233,ElecAvoidedCostsWOCC!$A$5:$Q$50,G233+1,FALSE)</f>
        <v>#N/A</v>
      </c>
      <c r="AG233" s="44" t="e">
        <f t="shared" si="126"/>
        <v>#N/A</v>
      </c>
      <c r="AH233" s="52" t="e">
        <f>HLOOKUP(I233,ElecAvoidedCostsWOCC!$A$5:$Q$50,T233+1,FALSE)</f>
        <v>#N/A</v>
      </c>
      <c r="AI233" s="44" t="e">
        <f t="shared" si="127"/>
        <v>#N/A</v>
      </c>
      <c r="AJ233" s="44" t="e">
        <f t="shared" si="128"/>
        <v>#N/A</v>
      </c>
      <c r="AK233" s="44" t="e">
        <f>HLOOKUP(I233,ElecAvoidedCostsWOCC!$A$5:$Q$50,G233+1,FALSE)*J233*L233</f>
        <v>#N/A</v>
      </c>
      <c r="AL233" s="44" t="e">
        <f t="shared" si="129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130"/>
        <v>0</v>
      </c>
      <c r="AO233" s="47">
        <f t="shared" si="131"/>
        <v>0</v>
      </c>
      <c r="AP233" s="47" t="e">
        <f t="shared" si="132"/>
        <v>#DIV/0!</v>
      </c>
    </row>
    <row r="234" spans="2:42">
      <c r="B234" s="97" t="s">
        <v>15</v>
      </c>
      <c r="C234" s="100"/>
      <c r="D234" s="100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114"/>
        <v>0</v>
      </c>
      <c r="U234" s="47">
        <f t="shared" si="115"/>
        <v>0</v>
      </c>
      <c r="V234" s="48">
        <f t="shared" si="116"/>
        <v>0</v>
      </c>
      <c r="W234" s="49">
        <f t="shared" si="117"/>
        <v>0</v>
      </c>
      <c r="X234" s="44">
        <f t="shared" si="118"/>
        <v>0</v>
      </c>
      <c r="Y234" s="44">
        <f t="shared" si="119"/>
        <v>0</v>
      </c>
      <c r="Z234" s="44">
        <f t="shared" si="120"/>
        <v>0</v>
      </c>
      <c r="AA234" s="50">
        <f t="shared" si="121"/>
        <v>0</v>
      </c>
      <c r="AB234" s="51">
        <f t="shared" si="122"/>
        <v>0</v>
      </c>
      <c r="AC234" s="44">
        <f t="shared" si="123"/>
        <v>0</v>
      </c>
      <c r="AD234" s="44">
        <f t="shared" si="124"/>
        <v>0</v>
      </c>
      <c r="AE234" s="44">
        <f t="shared" si="125"/>
        <v>0</v>
      </c>
      <c r="AF234" s="52" t="e">
        <f>HLOOKUP(I234,ElecAvoidedCostsWOCC!$A$5:$Q$50,G234+1,FALSE)</f>
        <v>#N/A</v>
      </c>
      <c r="AG234" s="44" t="e">
        <f t="shared" si="126"/>
        <v>#N/A</v>
      </c>
      <c r="AH234" s="52" t="e">
        <f>HLOOKUP(I234,ElecAvoidedCostsWOCC!$A$5:$Q$50,T234+1,FALSE)</f>
        <v>#N/A</v>
      </c>
      <c r="AI234" s="44" t="e">
        <f t="shared" si="127"/>
        <v>#N/A</v>
      </c>
      <c r="AJ234" s="44" t="e">
        <f t="shared" si="128"/>
        <v>#N/A</v>
      </c>
      <c r="AK234" s="44" t="e">
        <f>HLOOKUP(I234,ElecAvoidedCostsWOCC!$A$5:$Q$50,G234+1,FALSE)*J234*L234</f>
        <v>#N/A</v>
      </c>
      <c r="AL234" s="44" t="e">
        <f t="shared" si="129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130"/>
        <v>0</v>
      </c>
      <c r="AO234" s="47">
        <f t="shared" si="131"/>
        <v>0</v>
      </c>
      <c r="AP234" s="47" t="e">
        <f t="shared" si="132"/>
        <v>#DIV/0!</v>
      </c>
    </row>
    <row r="235" spans="2:42">
      <c r="B235" s="97" t="s">
        <v>15</v>
      </c>
      <c r="C235" s="100"/>
      <c r="D235" s="100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114"/>
        <v>0</v>
      </c>
      <c r="U235" s="47">
        <f t="shared" si="115"/>
        <v>0</v>
      </c>
      <c r="V235" s="48">
        <f t="shared" si="116"/>
        <v>0</v>
      </c>
      <c r="W235" s="49">
        <f t="shared" si="117"/>
        <v>0</v>
      </c>
      <c r="X235" s="44">
        <f t="shared" si="118"/>
        <v>0</v>
      </c>
      <c r="Y235" s="44">
        <f t="shared" si="119"/>
        <v>0</v>
      </c>
      <c r="Z235" s="44">
        <f t="shared" si="120"/>
        <v>0</v>
      </c>
      <c r="AA235" s="50">
        <f t="shared" si="121"/>
        <v>0</v>
      </c>
      <c r="AB235" s="51">
        <f t="shared" si="122"/>
        <v>0</v>
      </c>
      <c r="AC235" s="44">
        <f t="shared" si="123"/>
        <v>0</v>
      </c>
      <c r="AD235" s="44">
        <f t="shared" si="124"/>
        <v>0</v>
      </c>
      <c r="AE235" s="44">
        <f t="shared" si="125"/>
        <v>0</v>
      </c>
      <c r="AF235" s="52" t="e">
        <f>HLOOKUP(I235,ElecAvoidedCostsWOCC!$A$5:$Q$50,G235+1,FALSE)</f>
        <v>#N/A</v>
      </c>
      <c r="AG235" s="44" t="e">
        <f t="shared" si="126"/>
        <v>#N/A</v>
      </c>
      <c r="AH235" s="52" t="e">
        <f>HLOOKUP(I235,ElecAvoidedCostsWOCC!$A$5:$Q$50,T235+1,FALSE)</f>
        <v>#N/A</v>
      </c>
      <c r="AI235" s="44" t="e">
        <f t="shared" si="127"/>
        <v>#N/A</v>
      </c>
      <c r="AJ235" s="44" t="e">
        <f t="shared" si="128"/>
        <v>#N/A</v>
      </c>
      <c r="AK235" s="44" t="e">
        <f>HLOOKUP(I235,ElecAvoidedCostsWOCC!$A$5:$Q$50,G235+1,FALSE)*J235*L235</f>
        <v>#N/A</v>
      </c>
      <c r="AL235" s="44" t="e">
        <f t="shared" si="129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130"/>
        <v>0</v>
      </c>
      <c r="AO235" s="47">
        <f t="shared" si="131"/>
        <v>0</v>
      </c>
      <c r="AP235" s="47" t="e">
        <f t="shared" si="132"/>
        <v>#DIV/0!</v>
      </c>
    </row>
    <row r="236" spans="2:42">
      <c r="B236" s="97" t="s">
        <v>15</v>
      </c>
      <c r="C236" s="100"/>
      <c r="D236" s="100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114"/>
        <v>0</v>
      </c>
      <c r="U236" s="47">
        <f t="shared" si="115"/>
        <v>0</v>
      </c>
      <c r="V236" s="48">
        <f t="shared" si="116"/>
        <v>0</v>
      </c>
      <c r="W236" s="49">
        <f t="shared" si="117"/>
        <v>0</v>
      </c>
      <c r="X236" s="44">
        <f t="shared" si="118"/>
        <v>0</v>
      </c>
      <c r="Y236" s="44">
        <f t="shared" si="119"/>
        <v>0</v>
      </c>
      <c r="Z236" s="44">
        <f t="shared" si="120"/>
        <v>0</v>
      </c>
      <c r="AA236" s="50">
        <f t="shared" si="121"/>
        <v>0</v>
      </c>
      <c r="AB236" s="51">
        <f t="shared" si="122"/>
        <v>0</v>
      </c>
      <c r="AC236" s="44">
        <f t="shared" si="123"/>
        <v>0</v>
      </c>
      <c r="AD236" s="44">
        <f t="shared" si="124"/>
        <v>0</v>
      </c>
      <c r="AE236" s="44">
        <f t="shared" si="125"/>
        <v>0</v>
      </c>
      <c r="AF236" s="52" t="e">
        <f>HLOOKUP(I236,ElecAvoidedCostsWOCC!$A$5:$Q$50,G236+1,FALSE)</f>
        <v>#N/A</v>
      </c>
      <c r="AG236" s="44" t="e">
        <f t="shared" si="126"/>
        <v>#N/A</v>
      </c>
      <c r="AH236" s="52" t="e">
        <f>HLOOKUP(I236,ElecAvoidedCostsWOCC!$A$5:$Q$50,T236+1,FALSE)</f>
        <v>#N/A</v>
      </c>
      <c r="AI236" s="44" t="e">
        <f t="shared" si="127"/>
        <v>#N/A</v>
      </c>
      <c r="AJ236" s="44" t="e">
        <f t="shared" si="128"/>
        <v>#N/A</v>
      </c>
      <c r="AK236" s="44" t="e">
        <f>HLOOKUP(I236,ElecAvoidedCostsWOCC!$A$5:$Q$50,G236+1,FALSE)*J236*L236</f>
        <v>#N/A</v>
      </c>
      <c r="AL236" s="44" t="e">
        <f t="shared" si="129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130"/>
        <v>0</v>
      </c>
      <c r="AO236" s="47">
        <f t="shared" si="131"/>
        <v>0</v>
      </c>
      <c r="AP236" s="47" t="e">
        <f t="shared" si="132"/>
        <v>#DIV/0!</v>
      </c>
    </row>
    <row r="237" spans="2:42">
      <c r="B237" s="97" t="s">
        <v>15</v>
      </c>
      <c r="C237" s="100"/>
      <c r="D237" s="100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114"/>
        <v>0</v>
      </c>
      <c r="U237" s="47">
        <f t="shared" si="115"/>
        <v>0</v>
      </c>
      <c r="V237" s="48">
        <f t="shared" si="116"/>
        <v>0</v>
      </c>
      <c r="W237" s="49">
        <f t="shared" si="117"/>
        <v>0</v>
      </c>
      <c r="X237" s="44">
        <f t="shared" si="118"/>
        <v>0</v>
      </c>
      <c r="Y237" s="44">
        <f t="shared" si="119"/>
        <v>0</v>
      </c>
      <c r="Z237" s="44">
        <f t="shared" si="120"/>
        <v>0</v>
      </c>
      <c r="AA237" s="50">
        <f t="shared" si="121"/>
        <v>0</v>
      </c>
      <c r="AB237" s="51">
        <f t="shared" si="122"/>
        <v>0</v>
      </c>
      <c r="AC237" s="44">
        <f t="shared" si="123"/>
        <v>0</v>
      </c>
      <c r="AD237" s="44">
        <f t="shared" si="124"/>
        <v>0</v>
      </c>
      <c r="AE237" s="44">
        <f t="shared" si="125"/>
        <v>0</v>
      </c>
      <c r="AF237" s="52" t="e">
        <f>HLOOKUP(I237,ElecAvoidedCostsWOCC!$A$5:$Q$50,G237+1,FALSE)</f>
        <v>#N/A</v>
      </c>
      <c r="AG237" s="44" t="e">
        <f t="shared" si="126"/>
        <v>#N/A</v>
      </c>
      <c r="AH237" s="52" t="e">
        <f>HLOOKUP(I237,ElecAvoidedCostsWOCC!$A$5:$Q$50,T237+1,FALSE)</f>
        <v>#N/A</v>
      </c>
      <c r="AI237" s="44" t="e">
        <f t="shared" si="127"/>
        <v>#N/A</v>
      </c>
      <c r="AJ237" s="44" t="e">
        <f t="shared" si="128"/>
        <v>#N/A</v>
      </c>
      <c r="AK237" s="44" t="e">
        <f>HLOOKUP(I237,ElecAvoidedCostsWOCC!$A$5:$Q$50,G237+1,FALSE)*J237*L237</f>
        <v>#N/A</v>
      </c>
      <c r="AL237" s="44" t="e">
        <f t="shared" si="129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130"/>
        <v>0</v>
      </c>
      <c r="AO237" s="47">
        <f t="shared" si="131"/>
        <v>0</v>
      </c>
      <c r="AP237" s="47" t="e">
        <f t="shared" si="132"/>
        <v>#DIV/0!</v>
      </c>
    </row>
    <row r="238" spans="2:42">
      <c r="B238" s="97" t="s">
        <v>15</v>
      </c>
      <c r="C238" s="100"/>
      <c r="D238" s="100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114"/>
        <v>0</v>
      </c>
      <c r="U238" s="47">
        <f t="shared" si="115"/>
        <v>0</v>
      </c>
      <c r="V238" s="48">
        <f t="shared" si="116"/>
        <v>0</v>
      </c>
      <c r="W238" s="49">
        <f t="shared" si="117"/>
        <v>0</v>
      </c>
      <c r="X238" s="44">
        <f t="shared" si="118"/>
        <v>0</v>
      </c>
      <c r="Y238" s="44">
        <f t="shared" si="119"/>
        <v>0</v>
      </c>
      <c r="Z238" s="44">
        <f t="shared" si="120"/>
        <v>0</v>
      </c>
      <c r="AA238" s="50">
        <f t="shared" si="121"/>
        <v>0</v>
      </c>
      <c r="AB238" s="51">
        <f t="shared" si="122"/>
        <v>0</v>
      </c>
      <c r="AC238" s="44">
        <f t="shared" si="123"/>
        <v>0</v>
      </c>
      <c r="AD238" s="44">
        <f t="shared" si="124"/>
        <v>0</v>
      </c>
      <c r="AE238" s="44">
        <f t="shared" si="125"/>
        <v>0</v>
      </c>
      <c r="AF238" s="52" t="e">
        <f>HLOOKUP(I238,ElecAvoidedCostsWOCC!$A$5:$Q$50,G238+1,FALSE)</f>
        <v>#N/A</v>
      </c>
      <c r="AG238" s="44" t="e">
        <f t="shared" si="126"/>
        <v>#N/A</v>
      </c>
      <c r="AH238" s="52" t="e">
        <f>HLOOKUP(I238,ElecAvoidedCostsWOCC!$A$5:$Q$50,T238+1,FALSE)</f>
        <v>#N/A</v>
      </c>
      <c r="AI238" s="44" t="e">
        <f t="shared" si="127"/>
        <v>#N/A</v>
      </c>
      <c r="AJ238" s="44" t="e">
        <f t="shared" si="128"/>
        <v>#N/A</v>
      </c>
      <c r="AK238" s="44" t="e">
        <f>HLOOKUP(I238,ElecAvoidedCostsWOCC!$A$5:$Q$50,G238+1,FALSE)*J238*L238</f>
        <v>#N/A</v>
      </c>
      <c r="AL238" s="44" t="e">
        <f t="shared" si="129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130"/>
        <v>0</v>
      </c>
      <c r="AO238" s="47">
        <f t="shared" si="131"/>
        <v>0</v>
      </c>
      <c r="AP238" s="47" t="e">
        <f t="shared" si="132"/>
        <v>#DIV/0!</v>
      </c>
    </row>
    <row r="239" spans="2:42">
      <c r="B239" s="97" t="s">
        <v>15</v>
      </c>
      <c r="C239" s="100"/>
      <c r="D239" s="100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114"/>
        <v>0</v>
      </c>
      <c r="U239" s="47">
        <f t="shared" si="115"/>
        <v>0</v>
      </c>
      <c r="V239" s="48">
        <f t="shared" si="116"/>
        <v>0</v>
      </c>
      <c r="W239" s="49">
        <f t="shared" si="117"/>
        <v>0</v>
      </c>
      <c r="X239" s="44">
        <f t="shared" si="118"/>
        <v>0</v>
      </c>
      <c r="Y239" s="44">
        <f t="shared" si="119"/>
        <v>0</v>
      </c>
      <c r="Z239" s="44">
        <f t="shared" si="120"/>
        <v>0</v>
      </c>
      <c r="AA239" s="50">
        <f t="shared" si="121"/>
        <v>0</v>
      </c>
      <c r="AB239" s="51">
        <f t="shared" si="122"/>
        <v>0</v>
      </c>
      <c r="AC239" s="44">
        <f t="shared" si="123"/>
        <v>0</v>
      </c>
      <c r="AD239" s="44">
        <f t="shared" si="124"/>
        <v>0</v>
      </c>
      <c r="AE239" s="44">
        <f t="shared" si="125"/>
        <v>0</v>
      </c>
      <c r="AF239" s="52" t="e">
        <f>HLOOKUP(I239,ElecAvoidedCostsWOCC!$A$5:$Q$50,G239+1,FALSE)</f>
        <v>#N/A</v>
      </c>
      <c r="AG239" s="44" t="e">
        <f t="shared" si="126"/>
        <v>#N/A</v>
      </c>
      <c r="AH239" s="52" t="e">
        <f>HLOOKUP(I239,ElecAvoidedCostsWOCC!$A$5:$Q$50,T239+1,FALSE)</f>
        <v>#N/A</v>
      </c>
      <c r="AI239" s="44" t="e">
        <f t="shared" si="127"/>
        <v>#N/A</v>
      </c>
      <c r="AJ239" s="44" t="e">
        <f t="shared" si="128"/>
        <v>#N/A</v>
      </c>
      <c r="AK239" s="44" t="e">
        <f>HLOOKUP(I239,ElecAvoidedCostsWOCC!$A$5:$Q$50,G239+1,FALSE)*J239*L239</f>
        <v>#N/A</v>
      </c>
      <c r="AL239" s="44" t="e">
        <f t="shared" si="129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130"/>
        <v>0</v>
      </c>
      <c r="AO239" s="47">
        <f t="shared" si="131"/>
        <v>0</v>
      </c>
      <c r="AP239" s="47" t="e">
        <f t="shared" si="132"/>
        <v>#DIV/0!</v>
      </c>
    </row>
    <row r="240" spans="2:42">
      <c r="B240" s="97" t="s">
        <v>15</v>
      </c>
      <c r="C240" s="100"/>
      <c r="D240" s="100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114"/>
        <v>0</v>
      </c>
      <c r="U240" s="47">
        <f t="shared" si="115"/>
        <v>0</v>
      </c>
      <c r="V240" s="48">
        <f t="shared" si="116"/>
        <v>0</v>
      </c>
      <c r="W240" s="49">
        <f t="shared" si="117"/>
        <v>0</v>
      </c>
      <c r="X240" s="44">
        <f t="shared" si="118"/>
        <v>0</v>
      </c>
      <c r="Y240" s="44">
        <f t="shared" si="119"/>
        <v>0</v>
      </c>
      <c r="Z240" s="44">
        <f t="shared" si="120"/>
        <v>0</v>
      </c>
      <c r="AA240" s="50">
        <f t="shared" si="121"/>
        <v>0</v>
      </c>
      <c r="AB240" s="51">
        <f t="shared" si="122"/>
        <v>0</v>
      </c>
      <c r="AC240" s="44">
        <f t="shared" si="123"/>
        <v>0</v>
      </c>
      <c r="AD240" s="44">
        <f t="shared" si="124"/>
        <v>0</v>
      </c>
      <c r="AE240" s="44">
        <f t="shared" si="125"/>
        <v>0</v>
      </c>
      <c r="AF240" s="52" t="e">
        <f>HLOOKUP(I240,ElecAvoidedCostsWOCC!$A$5:$Q$50,G240+1,FALSE)</f>
        <v>#N/A</v>
      </c>
      <c r="AG240" s="44" t="e">
        <f t="shared" si="126"/>
        <v>#N/A</v>
      </c>
      <c r="AH240" s="52" t="e">
        <f>HLOOKUP(I240,ElecAvoidedCostsWOCC!$A$5:$Q$50,T240+1,FALSE)</f>
        <v>#N/A</v>
      </c>
      <c r="AI240" s="44" t="e">
        <f t="shared" si="127"/>
        <v>#N/A</v>
      </c>
      <c r="AJ240" s="44" t="e">
        <f t="shared" si="128"/>
        <v>#N/A</v>
      </c>
      <c r="AK240" s="44" t="e">
        <f>HLOOKUP(I240,ElecAvoidedCostsWOCC!$A$5:$Q$50,G240+1,FALSE)*J240*L240</f>
        <v>#N/A</v>
      </c>
      <c r="AL240" s="44" t="e">
        <f t="shared" si="129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130"/>
        <v>0</v>
      </c>
      <c r="AO240" s="47">
        <f t="shared" si="131"/>
        <v>0</v>
      </c>
      <c r="AP240" s="47" t="e">
        <f t="shared" si="132"/>
        <v>#DIV/0!</v>
      </c>
    </row>
    <row r="241" spans="2:42">
      <c r="B241" s="97" t="s">
        <v>15</v>
      </c>
      <c r="C241" s="100"/>
      <c r="D241" s="100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114"/>
        <v>0</v>
      </c>
      <c r="U241" s="47">
        <f t="shared" si="115"/>
        <v>0</v>
      </c>
      <c r="V241" s="48">
        <f t="shared" si="116"/>
        <v>0</v>
      </c>
      <c r="W241" s="49">
        <f t="shared" si="117"/>
        <v>0</v>
      </c>
      <c r="X241" s="44">
        <f t="shared" si="118"/>
        <v>0</v>
      </c>
      <c r="Y241" s="44">
        <f t="shared" si="119"/>
        <v>0</v>
      </c>
      <c r="Z241" s="44">
        <f t="shared" si="120"/>
        <v>0</v>
      </c>
      <c r="AA241" s="50">
        <f t="shared" si="121"/>
        <v>0</v>
      </c>
      <c r="AB241" s="51">
        <f t="shared" si="122"/>
        <v>0</v>
      </c>
      <c r="AC241" s="44">
        <f t="shared" si="123"/>
        <v>0</v>
      </c>
      <c r="AD241" s="44">
        <f t="shared" si="124"/>
        <v>0</v>
      </c>
      <c r="AE241" s="44">
        <f t="shared" si="125"/>
        <v>0</v>
      </c>
      <c r="AF241" s="52" t="e">
        <f>HLOOKUP(I241,ElecAvoidedCostsWOCC!$A$5:$Q$50,G241+1,FALSE)</f>
        <v>#N/A</v>
      </c>
      <c r="AG241" s="44" t="e">
        <f t="shared" si="126"/>
        <v>#N/A</v>
      </c>
      <c r="AH241" s="52" t="e">
        <f>HLOOKUP(I241,ElecAvoidedCostsWOCC!$A$5:$Q$50,T241+1,FALSE)</f>
        <v>#N/A</v>
      </c>
      <c r="AI241" s="44" t="e">
        <f t="shared" si="127"/>
        <v>#N/A</v>
      </c>
      <c r="AJ241" s="44" t="e">
        <f t="shared" si="128"/>
        <v>#N/A</v>
      </c>
      <c r="AK241" s="44" t="e">
        <f>HLOOKUP(I241,ElecAvoidedCostsWOCC!$A$5:$Q$50,G241+1,FALSE)*J241*L241</f>
        <v>#N/A</v>
      </c>
      <c r="AL241" s="44" t="e">
        <f t="shared" si="129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130"/>
        <v>0</v>
      </c>
      <c r="AO241" s="47">
        <f t="shared" si="131"/>
        <v>0</v>
      </c>
      <c r="AP241" s="47" t="e">
        <f t="shared" si="132"/>
        <v>#DIV/0!</v>
      </c>
    </row>
    <row r="242" spans="2:42">
      <c r="B242" s="97" t="s">
        <v>15</v>
      </c>
      <c r="C242" s="100"/>
      <c r="D242" s="100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114"/>
        <v>0</v>
      </c>
      <c r="U242" s="47">
        <f t="shared" si="115"/>
        <v>0</v>
      </c>
      <c r="V242" s="48">
        <f t="shared" si="116"/>
        <v>0</v>
      </c>
      <c r="W242" s="49">
        <f t="shared" si="117"/>
        <v>0</v>
      </c>
      <c r="X242" s="44">
        <f t="shared" si="118"/>
        <v>0</v>
      </c>
      <c r="Y242" s="44">
        <f t="shared" si="119"/>
        <v>0</v>
      </c>
      <c r="Z242" s="44">
        <f t="shared" si="120"/>
        <v>0</v>
      </c>
      <c r="AA242" s="50">
        <f t="shared" si="121"/>
        <v>0</v>
      </c>
      <c r="AB242" s="51">
        <f t="shared" si="122"/>
        <v>0</v>
      </c>
      <c r="AC242" s="44">
        <f t="shared" si="123"/>
        <v>0</v>
      </c>
      <c r="AD242" s="44">
        <f t="shared" si="124"/>
        <v>0</v>
      </c>
      <c r="AE242" s="44">
        <f t="shared" si="125"/>
        <v>0</v>
      </c>
      <c r="AF242" s="52" t="e">
        <f>HLOOKUP(I242,ElecAvoidedCostsWOCC!$A$5:$Q$50,G242+1,FALSE)</f>
        <v>#N/A</v>
      </c>
      <c r="AG242" s="44" t="e">
        <f t="shared" si="126"/>
        <v>#N/A</v>
      </c>
      <c r="AH242" s="52" t="e">
        <f>HLOOKUP(I242,ElecAvoidedCostsWOCC!$A$5:$Q$50,T242+1,FALSE)</f>
        <v>#N/A</v>
      </c>
      <c r="AI242" s="44" t="e">
        <f t="shared" si="127"/>
        <v>#N/A</v>
      </c>
      <c r="AJ242" s="44" t="e">
        <f t="shared" si="128"/>
        <v>#N/A</v>
      </c>
      <c r="AK242" s="44" t="e">
        <f>HLOOKUP(I242,ElecAvoidedCostsWOCC!$A$5:$Q$50,G242+1,FALSE)*J242*L242</f>
        <v>#N/A</v>
      </c>
      <c r="AL242" s="44" t="e">
        <f t="shared" si="129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130"/>
        <v>0</v>
      </c>
      <c r="AO242" s="47">
        <f t="shared" si="131"/>
        <v>0</v>
      </c>
      <c r="AP242" s="47" t="e">
        <f t="shared" si="132"/>
        <v>#DIV/0!</v>
      </c>
    </row>
    <row r="243" spans="2:42">
      <c r="B243" s="97" t="s">
        <v>15</v>
      </c>
      <c r="C243" s="100"/>
      <c r="D243" s="100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114"/>
        <v>0</v>
      </c>
      <c r="U243" s="47">
        <f t="shared" si="115"/>
        <v>0</v>
      </c>
      <c r="V243" s="48">
        <f t="shared" si="116"/>
        <v>0</v>
      </c>
      <c r="W243" s="49">
        <f t="shared" si="117"/>
        <v>0</v>
      </c>
      <c r="X243" s="44">
        <f t="shared" si="118"/>
        <v>0</v>
      </c>
      <c r="Y243" s="44">
        <f t="shared" si="119"/>
        <v>0</v>
      </c>
      <c r="Z243" s="44">
        <f t="shared" si="120"/>
        <v>0</v>
      </c>
      <c r="AA243" s="50">
        <f t="shared" si="121"/>
        <v>0</v>
      </c>
      <c r="AB243" s="51">
        <f t="shared" si="122"/>
        <v>0</v>
      </c>
      <c r="AC243" s="44">
        <f t="shared" si="123"/>
        <v>0</v>
      </c>
      <c r="AD243" s="44">
        <f t="shared" si="124"/>
        <v>0</v>
      </c>
      <c r="AE243" s="44">
        <f t="shared" si="125"/>
        <v>0</v>
      </c>
      <c r="AF243" s="52" t="e">
        <f>HLOOKUP(I243,ElecAvoidedCostsWOCC!$A$5:$Q$50,G243+1,FALSE)</f>
        <v>#N/A</v>
      </c>
      <c r="AG243" s="44" t="e">
        <f t="shared" si="126"/>
        <v>#N/A</v>
      </c>
      <c r="AH243" s="52" t="e">
        <f>HLOOKUP(I243,ElecAvoidedCostsWOCC!$A$5:$Q$50,T243+1,FALSE)</f>
        <v>#N/A</v>
      </c>
      <c r="AI243" s="44" t="e">
        <f t="shared" si="127"/>
        <v>#N/A</v>
      </c>
      <c r="AJ243" s="44" t="e">
        <f t="shared" si="128"/>
        <v>#N/A</v>
      </c>
      <c r="AK243" s="44" t="e">
        <f>HLOOKUP(I243,ElecAvoidedCostsWOCC!$A$5:$Q$50,G243+1,FALSE)*J243*L243</f>
        <v>#N/A</v>
      </c>
      <c r="AL243" s="44" t="e">
        <f t="shared" si="129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130"/>
        <v>0</v>
      </c>
      <c r="AO243" s="47">
        <f t="shared" si="131"/>
        <v>0</v>
      </c>
      <c r="AP243" s="47" t="e">
        <f t="shared" si="132"/>
        <v>#DIV/0!</v>
      </c>
    </row>
    <row r="244" spans="2:42">
      <c r="B244" s="97" t="s">
        <v>15</v>
      </c>
      <c r="C244" s="100"/>
      <c r="D244" s="100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114"/>
        <v>0</v>
      </c>
      <c r="U244" s="47">
        <f t="shared" si="115"/>
        <v>0</v>
      </c>
      <c r="V244" s="48">
        <f t="shared" si="116"/>
        <v>0</v>
      </c>
      <c r="W244" s="49">
        <f t="shared" si="117"/>
        <v>0</v>
      </c>
      <c r="X244" s="44">
        <f t="shared" si="118"/>
        <v>0</v>
      </c>
      <c r="Y244" s="44">
        <f t="shared" si="119"/>
        <v>0</v>
      </c>
      <c r="Z244" s="44">
        <f t="shared" si="120"/>
        <v>0</v>
      </c>
      <c r="AA244" s="50">
        <f t="shared" si="121"/>
        <v>0</v>
      </c>
      <c r="AB244" s="51">
        <f t="shared" si="122"/>
        <v>0</v>
      </c>
      <c r="AC244" s="44">
        <f t="shared" si="123"/>
        <v>0</v>
      </c>
      <c r="AD244" s="44">
        <f t="shared" si="124"/>
        <v>0</v>
      </c>
      <c r="AE244" s="44">
        <f t="shared" si="125"/>
        <v>0</v>
      </c>
      <c r="AF244" s="52" t="e">
        <f>HLOOKUP(I244,ElecAvoidedCostsWOCC!$A$5:$Q$50,G244+1,FALSE)</f>
        <v>#N/A</v>
      </c>
      <c r="AG244" s="44" t="e">
        <f t="shared" si="126"/>
        <v>#N/A</v>
      </c>
      <c r="AH244" s="52" t="e">
        <f>HLOOKUP(I244,ElecAvoidedCostsWOCC!$A$5:$Q$50,T244+1,FALSE)</f>
        <v>#N/A</v>
      </c>
      <c r="AI244" s="44" t="e">
        <f t="shared" si="127"/>
        <v>#N/A</v>
      </c>
      <c r="AJ244" s="44" t="e">
        <f t="shared" si="128"/>
        <v>#N/A</v>
      </c>
      <c r="AK244" s="44" t="e">
        <f>HLOOKUP(I244,ElecAvoidedCostsWOCC!$A$5:$Q$50,G244+1,FALSE)*J244*L244</f>
        <v>#N/A</v>
      </c>
      <c r="AL244" s="44" t="e">
        <f t="shared" si="129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130"/>
        <v>0</v>
      </c>
      <c r="AO244" s="47">
        <f t="shared" si="131"/>
        <v>0</v>
      </c>
      <c r="AP244" s="47" t="e">
        <f t="shared" si="132"/>
        <v>#DIV/0!</v>
      </c>
    </row>
    <row r="245" spans="2:42">
      <c r="B245" s="97" t="s">
        <v>15</v>
      </c>
      <c r="C245" s="100"/>
      <c r="D245" s="100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114"/>
        <v>0</v>
      </c>
      <c r="U245" s="47">
        <f t="shared" si="115"/>
        <v>0</v>
      </c>
      <c r="V245" s="48">
        <f t="shared" si="116"/>
        <v>0</v>
      </c>
      <c r="W245" s="49">
        <f t="shared" si="117"/>
        <v>0</v>
      </c>
      <c r="X245" s="44">
        <f t="shared" si="118"/>
        <v>0</v>
      </c>
      <c r="Y245" s="44">
        <f t="shared" si="119"/>
        <v>0</v>
      </c>
      <c r="Z245" s="44">
        <f t="shared" si="120"/>
        <v>0</v>
      </c>
      <c r="AA245" s="50">
        <f t="shared" si="121"/>
        <v>0</v>
      </c>
      <c r="AB245" s="51">
        <f t="shared" si="122"/>
        <v>0</v>
      </c>
      <c r="AC245" s="44">
        <f t="shared" si="123"/>
        <v>0</v>
      </c>
      <c r="AD245" s="44">
        <f t="shared" si="124"/>
        <v>0</v>
      </c>
      <c r="AE245" s="44">
        <f t="shared" si="125"/>
        <v>0</v>
      </c>
      <c r="AF245" s="52" t="e">
        <f>HLOOKUP(I245,ElecAvoidedCostsWOCC!$A$5:$Q$50,G245+1,FALSE)</f>
        <v>#N/A</v>
      </c>
      <c r="AG245" s="44" t="e">
        <f t="shared" si="126"/>
        <v>#N/A</v>
      </c>
      <c r="AH245" s="52" t="e">
        <f>HLOOKUP(I245,ElecAvoidedCostsWOCC!$A$5:$Q$50,T245+1,FALSE)</f>
        <v>#N/A</v>
      </c>
      <c r="AI245" s="44" t="e">
        <f t="shared" si="127"/>
        <v>#N/A</v>
      </c>
      <c r="AJ245" s="44" t="e">
        <f t="shared" si="128"/>
        <v>#N/A</v>
      </c>
      <c r="AK245" s="44" t="e">
        <f>HLOOKUP(I245,ElecAvoidedCostsWOCC!$A$5:$Q$50,G245+1,FALSE)*J245*L245</f>
        <v>#N/A</v>
      </c>
      <c r="AL245" s="44" t="e">
        <f t="shared" si="129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130"/>
        <v>0</v>
      </c>
      <c r="AO245" s="47">
        <f t="shared" si="131"/>
        <v>0</v>
      </c>
      <c r="AP245" s="47" t="e">
        <f t="shared" si="132"/>
        <v>#DIV/0!</v>
      </c>
    </row>
    <row r="246" spans="2:42">
      <c r="B246" s="97" t="s">
        <v>15</v>
      </c>
      <c r="C246" s="100"/>
      <c r="D246" s="100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114"/>
        <v>0</v>
      </c>
      <c r="U246" s="47">
        <f t="shared" si="115"/>
        <v>0</v>
      </c>
      <c r="V246" s="48">
        <f t="shared" si="116"/>
        <v>0</v>
      </c>
      <c r="W246" s="49">
        <f t="shared" si="117"/>
        <v>0</v>
      </c>
      <c r="X246" s="44">
        <f t="shared" si="118"/>
        <v>0</v>
      </c>
      <c r="Y246" s="44">
        <f t="shared" si="119"/>
        <v>0</v>
      </c>
      <c r="Z246" s="44">
        <f t="shared" si="120"/>
        <v>0</v>
      </c>
      <c r="AA246" s="50">
        <f t="shared" si="121"/>
        <v>0</v>
      </c>
      <c r="AB246" s="51">
        <f t="shared" si="122"/>
        <v>0</v>
      </c>
      <c r="AC246" s="44">
        <f t="shared" si="123"/>
        <v>0</v>
      </c>
      <c r="AD246" s="44">
        <f t="shared" si="124"/>
        <v>0</v>
      </c>
      <c r="AE246" s="44">
        <f t="shared" si="125"/>
        <v>0</v>
      </c>
      <c r="AF246" s="52" t="e">
        <f>HLOOKUP(I246,ElecAvoidedCostsWOCC!$A$5:$Q$50,G246+1,FALSE)</f>
        <v>#N/A</v>
      </c>
      <c r="AG246" s="44" t="e">
        <f t="shared" si="126"/>
        <v>#N/A</v>
      </c>
      <c r="AH246" s="52" t="e">
        <f>HLOOKUP(I246,ElecAvoidedCostsWOCC!$A$5:$Q$50,T246+1,FALSE)</f>
        <v>#N/A</v>
      </c>
      <c r="AI246" s="44" t="e">
        <f t="shared" si="127"/>
        <v>#N/A</v>
      </c>
      <c r="AJ246" s="44" t="e">
        <f t="shared" si="128"/>
        <v>#N/A</v>
      </c>
      <c r="AK246" s="44" t="e">
        <f>HLOOKUP(I246,ElecAvoidedCostsWOCC!$A$5:$Q$50,G246+1,FALSE)*J246*L246</f>
        <v>#N/A</v>
      </c>
      <c r="AL246" s="44" t="e">
        <f t="shared" si="129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130"/>
        <v>0</v>
      </c>
      <c r="AO246" s="47">
        <f t="shared" si="131"/>
        <v>0</v>
      </c>
      <c r="AP246" s="47" t="e">
        <f t="shared" si="132"/>
        <v>#DIV/0!</v>
      </c>
    </row>
    <row r="247" spans="2:42">
      <c r="B247" s="97" t="s">
        <v>15</v>
      </c>
      <c r="C247" s="100"/>
      <c r="D247" s="100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114"/>
        <v>0</v>
      </c>
      <c r="U247" s="47">
        <f t="shared" si="115"/>
        <v>0</v>
      </c>
      <c r="V247" s="48">
        <f t="shared" si="116"/>
        <v>0</v>
      </c>
      <c r="W247" s="49">
        <f t="shared" si="117"/>
        <v>0</v>
      </c>
      <c r="X247" s="44">
        <f t="shared" si="118"/>
        <v>0</v>
      </c>
      <c r="Y247" s="44">
        <f t="shared" si="119"/>
        <v>0</v>
      </c>
      <c r="Z247" s="44">
        <f t="shared" si="120"/>
        <v>0</v>
      </c>
      <c r="AA247" s="50">
        <f t="shared" si="121"/>
        <v>0</v>
      </c>
      <c r="AB247" s="51">
        <f t="shared" si="122"/>
        <v>0</v>
      </c>
      <c r="AC247" s="44">
        <f t="shared" si="123"/>
        <v>0</v>
      </c>
      <c r="AD247" s="44">
        <f t="shared" si="124"/>
        <v>0</v>
      </c>
      <c r="AE247" s="44">
        <f t="shared" si="125"/>
        <v>0</v>
      </c>
      <c r="AF247" s="52" t="e">
        <f>HLOOKUP(I247,ElecAvoidedCostsWOCC!$A$5:$Q$50,G247+1,FALSE)</f>
        <v>#N/A</v>
      </c>
      <c r="AG247" s="44" t="e">
        <f t="shared" si="126"/>
        <v>#N/A</v>
      </c>
      <c r="AH247" s="52" t="e">
        <f>HLOOKUP(I247,ElecAvoidedCostsWOCC!$A$5:$Q$50,T247+1,FALSE)</f>
        <v>#N/A</v>
      </c>
      <c r="AI247" s="44" t="e">
        <f t="shared" si="127"/>
        <v>#N/A</v>
      </c>
      <c r="AJ247" s="44" t="e">
        <f t="shared" si="128"/>
        <v>#N/A</v>
      </c>
      <c r="AK247" s="44" t="e">
        <f>HLOOKUP(I247,ElecAvoidedCostsWOCC!$A$5:$Q$50,G247+1,FALSE)*J247*L247</f>
        <v>#N/A</v>
      </c>
      <c r="AL247" s="44" t="e">
        <f t="shared" si="129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130"/>
        <v>0</v>
      </c>
      <c r="AO247" s="47">
        <f t="shared" si="131"/>
        <v>0</v>
      </c>
      <c r="AP247" s="47" t="e">
        <f t="shared" si="132"/>
        <v>#DIV/0!</v>
      </c>
    </row>
    <row r="248" spans="2:42">
      <c r="B248" s="97" t="s">
        <v>15</v>
      </c>
      <c r="C248" s="100"/>
      <c r="D248" s="100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114"/>
        <v>0</v>
      </c>
      <c r="U248" s="47">
        <f t="shared" si="115"/>
        <v>0</v>
      </c>
      <c r="V248" s="48">
        <f t="shared" si="116"/>
        <v>0</v>
      </c>
      <c r="W248" s="49">
        <f t="shared" si="117"/>
        <v>0</v>
      </c>
      <c r="X248" s="44">
        <f t="shared" si="118"/>
        <v>0</v>
      </c>
      <c r="Y248" s="44">
        <f t="shared" si="119"/>
        <v>0</v>
      </c>
      <c r="Z248" s="44">
        <f t="shared" si="120"/>
        <v>0</v>
      </c>
      <c r="AA248" s="50">
        <f t="shared" si="121"/>
        <v>0</v>
      </c>
      <c r="AB248" s="51">
        <f t="shared" si="122"/>
        <v>0</v>
      </c>
      <c r="AC248" s="44">
        <f t="shared" si="123"/>
        <v>0</v>
      </c>
      <c r="AD248" s="44">
        <f t="shared" si="124"/>
        <v>0</v>
      </c>
      <c r="AE248" s="44">
        <f t="shared" si="125"/>
        <v>0</v>
      </c>
      <c r="AF248" s="52" t="e">
        <f>HLOOKUP(I248,ElecAvoidedCostsWOCC!$A$5:$Q$50,G248+1,FALSE)</f>
        <v>#N/A</v>
      </c>
      <c r="AG248" s="44" t="e">
        <f t="shared" si="126"/>
        <v>#N/A</v>
      </c>
      <c r="AH248" s="52" t="e">
        <f>HLOOKUP(I248,ElecAvoidedCostsWOCC!$A$5:$Q$50,T248+1,FALSE)</f>
        <v>#N/A</v>
      </c>
      <c r="AI248" s="44" t="e">
        <f t="shared" si="127"/>
        <v>#N/A</v>
      </c>
      <c r="AJ248" s="44" t="e">
        <f t="shared" si="128"/>
        <v>#N/A</v>
      </c>
      <c r="AK248" s="44" t="e">
        <f>HLOOKUP(I248,ElecAvoidedCostsWOCC!$A$5:$Q$50,G248+1,FALSE)*J248*L248</f>
        <v>#N/A</v>
      </c>
      <c r="AL248" s="44" t="e">
        <f t="shared" si="129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130"/>
        <v>0</v>
      </c>
      <c r="AO248" s="47">
        <f t="shared" si="131"/>
        <v>0</v>
      </c>
      <c r="AP248" s="47" t="e">
        <f t="shared" si="132"/>
        <v>#DIV/0!</v>
      </c>
    </row>
    <row r="249" spans="2:42">
      <c r="B249" s="97" t="s">
        <v>15</v>
      </c>
      <c r="C249" s="100"/>
      <c r="D249" s="100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114"/>
        <v>0</v>
      </c>
      <c r="U249" s="47">
        <f t="shared" si="115"/>
        <v>0</v>
      </c>
      <c r="V249" s="48">
        <f t="shared" si="116"/>
        <v>0</v>
      </c>
      <c r="W249" s="49">
        <f t="shared" si="117"/>
        <v>0</v>
      </c>
      <c r="X249" s="44">
        <f t="shared" si="118"/>
        <v>0</v>
      </c>
      <c r="Y249" s="44">
        <f t="shared" si="119"/>
        <v>0</v>
      </c>
      <c r="Z249" s="44">
        <f t="shared" si="120"/>
        <v>0</v>
      </c>
      <c r="AA249" s="50">
        <f t="shared" si="121"/>
        <v>0</v>
      </c>
      <c r="AB249" s="51">
        <f t="shared" si="122"/>
        <v>0</v>
      </c>
      <c r="AC249" s="44">
        <f t="shared" si="123"/>
        <v>0</v>
      </c>
      <c r="AD249" s="44">
        <f t="shared" si="124"/>
        <v>0</v>
      </c>
      <c r="AE249" s="44">
        <f t="shared" si="125"/>
        <v>0</v>
      </c>
      <c r="AF249" s="52" t="e">
        <f>HLOOKUP(I249,ElecAvoidedCostsWOCC!$A$5:$Q$50,G249+1,FALSE)</f>
        <v>#N/A</v>
      </c>
      <c r="AG249" s="44" t="e">
        <f t="shared" si="126"/>
        <v>#N/A</v>
      </c>
      <c r="AH249" s="52" t="e">
        <f>HLOOKUP(I249,ElecAvoidedCostsWOCC!$A$5:$Q$50,T249+1,FALSE)</f>
        <v>#N/A</v>
      </c>
      <c r="AI249" s="44" t="e">
        <f t="shared" si="127"/>
        <v>#N/A</v>
      </c>
      <c r="AJ249" s="44" t="e">
        <f t="shared" si="128"/>
        <v>#N/A</v>
      </c>
      <c r="AK249" s="44" t="e">
        <f>HLOOKUP(I249,ElecAvoidedCostsWOCC!$A$5:$Q$50,G249+1,FALSE)*J249*L249</f>
        <v>#N/A</v>
      </c>
      <c r="AL249" s="44" t="e">
        <f t="shared" si="129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130"/>
        <v>0</v>
      </c>
      <c r="AO249" s="47">
        <f t="shared" si="131"/>
        <v>0</v>
      </c>
      <c r="AP249" s="47" t="e">
        <f t="shared" si="132"/>
        <v>#DIV/0!</v>
      </c>
    </row>
    <row r="250" spans="2:42">
      <c r="B250" s="97" t="s">
        <v>15</v>
      </c>
      <c r="C250" s="100"/>
      <c r="D250" s="100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114"/>
        <v>0</v>
      </c>
      <c r="U250" s="47">
        <f t="shared" si="115"/>
        <v>0</v>
      </c>
      <c r="V250" s="48">
        <f t="shared" si="116"/>
        <v>0</v>
      </c>
      <c r="W250" s="49">
        <f t="shared" si="117"/>
        <v>0</v>
      </c>
      <c r="X250" s="44">
        <f t="shared" si="118"/>
        <v>0</v>
      </c>
      <c r="Y250" s="44">
        <f t="shared" si="119"/>
        <v>0</v>
      </c>
      <c r="Z250" s="44">
        <f t="shared" si="120"/>
        <v>0</v>
      </c>
      <c r="AA250" s="50">
        <f t="shared" si="121"/>
        <v>0</v>
      </c>
      <c r="AB250" s="51">
        <f t="shared" si="122"/>
        <v>0</v>
      </c>
      <c r="AC250" s="44">
        <f t="shared" si="123"/>
        <v>0</v>
      </c>
      <c r="AD250" s="44">
        <f t="shared" si="124"/>
        <v>0</v>
      </c>
      <c r="AE250" s="44">
        <f t="shared" si="125"/>
        <v>0</v>
      </c>
      <c r="AF250" s="52" t="e">
        <f>HLOOKUP(I250,ElecAvoidedCostsWOCC!$A$5:$Q$50,G250+1,FALSE)</f>
        <v>#N/A</v>
      </c>
      <c r="AG250" s="44" t="e">
        <f t="shared" si="126"/>
        <v>#N/A</v>
      </c>
      <c r="AH250" s="52" t="e">
        <f>HLOOKUP(I250,ElecAvoidedCostsWOCC!$A$5:$Q$50,T250+1,FALSE)</f>
        <v>#N/A</v>
      </c>
      <c r="AI250" s="44" t="e">
        <f t="shared" si="127"/>
        <v>#N/A</v>
      </c>
      <c r="AJ250" s="44" t="e">
        <f t="shared" si="128"/>
        <v>#N/A</v>
      </c>
      <c r="AK250" s="44" t="e">
        <f>HLOOKUP(I250,ElecAvoidedCostsWOCC!$A$5:$Q$50,G250+1,FALSE)*J250*L250</f>
        <v>#N/A</v>
      </c>
      <c r="AL250" s="44" t="e">
        <f t="shared" si="129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130"/>
        <v>0</v>
      </c>
      <c r="AO250" s="47">
        <f t="shared" si="131"/>
        <v>0</v>
      </c>
      <c r="AP250" s="47" t="e">
        <f t="shared" si="132"/>
        <v>#DIV/0!</v>
      </c>
    </row>
    <row r="251" spans="2:42">
      <c r="B251" s="97" t="s">
        <v>15</v>
      </c>
      <c r="C251" s="100"/>
      <c r="D251" s="100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114"/>
        <v>0</v>
      </c>
      <c r="U251" s="47">
        <f t="shared" si="115"/>
        <v>0</v>
      </c>
      <c r="V251" s="48">
        <f t="shared" si="116"/>
        <v>0</v>
      </c>
      <c r="W251" s="49">
        <f t="shared" si="117"/>
        <v>0</v>
      </c>
      <c r="X251" s="44">
        <f t="shared" si="118"/>
        <v>0</v>
      </c>
      <c r="Y251" s="44">
        <f t="shared" si="119"/>
        <v>0</v>
      </c>
      <c r="Z251" s="44">
        <f t="shared" si="120"/>
        <v>0</v>
      </c>
      <c r="AA251" s="50">
        <f t="shared" si="121"/>
        <v>0</v>
      </c>
      <c r="AB251" s="51">
        <f t="shared" si="122"/>
        <v>0</v>
      </c>
      <c r="AC251" s="44">
        <f t="shared" si="123"/>
        <v>0</v>
      </c>
      <c r="AD251" s="44">
        <f t="shared" si="124"/>
        <v>0</v>
      </c>
      <c r="AE251" s="44">
        <f t="shared" si="125"/>
        <v>0</v>
      </c>
      <c r="AF251" s="52" t="e">
        <f>HLOOKUP(I251,ElecAvoidedCostsWOCC!$A$5:$Q$50,G251+1,FALSE)</f>
        <v>#N/A</v>
      </c>
      <c r="AG251" s="44" t="e">
        <f t="shared" si="126"/>
        <v>#N/A</v>
      </c>
      <c r="AH251" s="52" t="e">
        <f>HLOOKUP(I251,ElecAvoidedCostsWOCC!$A$5:$Q$50,T251+1,FALSE)</f>
        <v>#N/A</v>
      </c>
      <c r="AI251" s="44" t="e">
        <f t="shared" si="127"/>
        <v>#N/A</v>
      </c>
      <c r="AJ251" s="44" t="e">
        <f t="shared" si="128"/>
        <v>#N/A</v>
      </c>
      <c r="AK251" s="44" t="e">
        <f>HLOOKUP(I251,ElecAvoidedCostsWOCC!$A$5:$Q$50,G251+1,FALSE)*J251*L251</f>
        <v>#N/A</v>
      </c>
      <c r="AL251" s="44" t="e">
        <f t="shared" si="129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130"/>
        <v>0</v>
      </c>
      <c r="AO251" s="47">
        <f t="shared" si="131"/>
        <v>0</v>
      </c>
      <c r="AP251" s="47" t="e">
        <f t="shared" si="132"/>
        <v>#DIV/0!</v>
      </c>
    </row>
    <row r="252" spans="2:42">
      <c r="B252" s="97" t="s">
        <v>15</v>
      </c>
      <c r="C252" s="100"/>
      <c r="D252" s="100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114"/>
        <v>0</v>
      </c>
      <c r="U252" s="47">
        <f t="shared" si="115"/>
        <v>0</v>
      </c>
      <c r="V252" s="48">
        <f t="shared" si="116"/>
        <v>0</v>
      </c>
      <c r="W252" s="49">
        <f t="shared" si="117"/>
        <v>0</v>
      </c>
      <c r="X252" s="44">
        <f t="shared" si="118"/>
        <v>0</v>
      </c>
      <c r="Y252" s="44">
        <f t="shared" si="119"/>
        <v>0</v>
      </c>
      <c r="Z252" s="44">
        <f t="shared" si="120"/>
        <v>0</v>
      </c>
      <c r="AA252" s="50">
        <f t="shared" si="121"/>
        <v>0</v>
      </c>
      <c r="AB252" s="51">
        <f t="shared" si="122"/>
        <v>0</v>
      </c>
      <c r="AC252" s="44">
        <f t="shared" si="123"/>
        <v>0</v>
      </c>
      <c r="AD252" s="44">
        <f t="shared" si="124"/>
        <v>0</v>
      </c>
      <c r="AE252" s="44">
        <f t="shared" si="125"/>
        <v>0</v>
      </c>
      <c r="AF252" s="52" t="e">
        <f>HLOOKUP(I252,ElecAvoidedCostsWOCC!$A$5:$Q$50,G252+1,FALSE)</f>
        <v>#N/A</v>
      </c>
      <c r="AG252" s="44" t="e">
        <f t="shared" si="126"/>
        <v>#N/A</v>
      </c>
      <c r="AH252" s="52" t="e">
        <f>HLOOKUP(I252,ElecAvoidedCostsWOCC!$A$5:$Q$50,T252+1,FALSE)</f>
        <v>#N/A</v>
      </c>
      <c r="AI252" s="44" t="e">
        <f t="shared" si="127"/>
        <v>#N/A</v>
      </c>
      <c r="AJ252" s="44" t="e">
        <f t="shared" si="128"/>
        <v>#N/A</v>
      </c>
      <c r="AK252" s="44" t="e">
        <f>HLOOKUP(I252,ElecAvoidedCostsWOCC!$A$5:$Q$50,G252+1,FALSE)*J252*L252</f>
        <v>#N/A</v>
      </c>
      <c r="AL252" s="44" t="e">
        <f t="shared" si="129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130"/>
        <v>0</v>
      </c>
      <c r="AO252" s="47">
        <f t="shared" si="131"/>
        <v>0</v>
      </c>
      <c r="AP252" s="47" t="e">
        <f t="shared" si="132"/>
        <v>#DIV/0!</v>
      </c>
    </row>
    <row r="253" spans="2:42">
      <c r="B253" s="97" t="s">
        <v>15</v>
      </c>
      <c r="C253" s="100"/>
      <c r="D253" s="100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114"/>
        <v>0</v>
      </c>
      <c r="U253" s="47">
        <f t="shared" si="115"/>
        <v>0</v>
      </c>
      <c r="V253" s="48">
        <f t="shared" si="116"/>
        <v>0</v>
      </c>
      <c r="W253" s="49">
        <f t="shared" si="117"/>
        <v>0</v>
      </c>
      <c r="X253" s="44">
        <f t="shared" si="118"/>
        <v>0</v>
      </c>
      <c r="Y253" s="44">
        <f t="shared" si="119"/>
        <v>0</v>
      </c>
      <c r="Z253" s="44">
        <f t="shared" si="120"/>
        <v>0</v>
      </c>
      <c r="AA253" s="50">
        <f t="shared" si="121"/>
        <v>0</v>
      </c>
      <c r="AB253" s="51">
        <f t="shared" si="122"/>
        <v>0</v>
      </c>
      <c r="AC253" s="44">
        <f t="shared" si="123"/>
        <v>0</v>
      </c>
      <c r="AD253" s="44">
        <f t="shared" si="124"/>
        <v>0</v>
      </c>
      <c r="AE253" s="44">
        <f t="shared" si="125"/>
        <v>0</v>
      </c>
      <c r="AF253" s="52" t="e">
        <f>HLOOKUP(I253,ElecAvoidedCostsWOCC!$A$5:$Q$50,G253+1,FALSE)</f>
        <v>#N/A</v>
      </c>
      <c r="AG253" s="44" t="e">
        <f t="shared" si="126"/>
        <v>#N/A</v>
      </c>
      <c r="AH253" s="52" t="e">
        <f>HLOOKUP(I253,ElecAvoidedCostsWOCC!$A$5:$Q$50,T253+1,FALSE)</f>
        <v>#N/A</v>
      </c>
      <c r="AI253" s="44" t="e">
        <f t="shared" si="127"/>
        <v>#N/A</v>
      </c>
      <c r="AJ253" s="44" t="e">
        <f t="shared" si="128"/>
        <v>#N/A</v>
      </c>
      <c r="AK253" s="44" t="e">
        <f>HLOOKUP(I253,ElecAvoidedCostsWOCC!$A$5:$Q$50,G253+1,FALSE)*J253*L253</f>
        <v>#N/A</v>
      </c>
      <c r="AL253" s="44" t="e">
        <f t="shared" si="129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130"/>
        <v>0</v>
      </c>
      <c r="AO253" s="47">
        <f t="shared" si="131"/>
        <v>0</v>
      </c>
      <c r="AP253" s="47" t="e">
        <f t="shared" si="132"/>
        <v>#DIV/0!</v>
      </c>
    </row>
    <row r="254" spans="2:42">
      <c r="B254" s="97" t="s">
        <v>15</v>
      </c>
      <c r="C254" s="100"/>
      <c r="D254" s="100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114"/>
        <v>0</v>
      </c>
      <c r="U254" s="47">
        <f t="shared" si="115"/>
        <v>0</v>
      </c>
      <c r="V254" s="48">
        <f t="shared" si="116"/>
        <v>0</v>
      </c>
      <c r="W254" s="49">
        <f t="shared" si="117"/>
        <v>0</v>
      </c>
      <c r="X254" s="44">
        <f t="shared" si="118"/>
        <v>0</v>
      </c>
      <c r="Y254" s="44">
        <f t="shared" si="119"/>
        <v>0</v>
      </c>
      <c r="Z254" s="44">
        <f t="shared" si="120"/>
        <v>0</v>
      </c>
      <c r="AA254" s="50">
        <f t="shared" si="121"/>
        <v>0</v>
      </c>
      <c r="AB254" s="51">
        <f t="shared" si="122"/>
        <v>0</v>
      </c>
      <c r="AC254" s="44">
        <f t="shared" si="123"/>
        <v>0</v>
      </c>
      <c r="AD254" s="44">
        <f t="shared" si="124"/>
        <v>0</v>
      </c>
      <c r="AE254" s="44">
        <f t="shared" si="125"/>
        <v>0</v>
      </c>
      <c r="AF254" s="52" t="e">
        <f>HLOOKUP(I254,ElecAvoidedCostsWOCC!$A$5:$Q$50,G254+1,FALSE)</f>
        <v>#N/A</v>
      </c>
      <c r="AG254" s="44" t="e">
        <f t="shared" si="126"/>
        <v>#N/A</v>
      </c>
      <c r="AH254" s="52" t="e">
        <f>HLOOKUP(I254,ElecAvoidedCostsWOCC!$A$5:$Q$50,T254+1,FALSE)</f>
        <v>#N/A</v>
      </c>
      <c r="AI254" s="44" t="e">
        <f t="shared" si="127"/>
        <v>#N/A</v>
      </c>
      <c r="AJ254" s="44" t="e">
        <f t="shared" si="128"/>
        <v>#N/A</v>
      </c>
      <c r="AK254" s="44" t="e">
        <f>HLOOKUP(I254,ElecAvoidedCostsWOCC!$A$5:$Q$50,G254+1,FALSE)*J254*L254</f>
        <v>#N/A</v>
      </c>
      <c r="AL254" s="44" t="e">
        <f t="shared" si="129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130"/>
        <v>0</v>
      </c>
      <c r="AO254" s="47">
        <f t="shared" si="131"/>
        <v>0</v>
      </c>
      <c r="AP254" s="47" t="e">
        <f t="shared" si="132"/>
        <v>#DIV/0!</v>
      </c>
    </row>
    <row r="255" spans="2:42">
      <c r="B255" s="97" t="s">
        <v>15</v>
      </c>
      <c r="C255" s="100"/>
      <c r="D255" s="100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114"/>
        <v>0</v>
      </c>
      <c r="U255" s="47">
        <f t="shared" si="115"/>
        <v>0</v>
      </c>
      <c r="V255" s="48">
        <f t="shared" si="116"/>
        <v>0</v>
      </c>
      <c r="W255" s="49">
        <f t="shared" si="117"/>
        <v>0</v>
      </c>
      <c r="X255" s="44">
        <f t="shared" si="118"/>
        <v>0</v>
      </c>
      <c r="Y255" s="44">
        <f t="shared" si="119"/>
        <v>0</v>
      </c>
      <c r="Z255" s="44">
        <f t="shared" si="120"/>
        <v>0</v>
      </c>
      <c r="AA255" s="50">
        <f t="shared" si="121"/>
        <v>0</v>
      </c>
      <c r="AB255" s="51">
        <f t="shared" si="122"/>
        <v>0</v>
      </c>
      <c r="AC255" s="44">
        <f t="shared" si="123"/>
        <v>0</v>
      </c>
      <c r="AD255" s="44">
        <f t="shared" si="124"/>
        <v>0</v>
      </c>
      <c r="AE255" s="44">
        <f t="shared" si="125"/>
        <v>0</v>
      </c>
      <c r="AF255" s="52" t="e">
        <f>HLOOKUP(I255,ElecAvoidedCostsWOCC!$A$5:$Q$50,G255+1,FALSE)</f>
        <v>#N/A</v>
      </c>
      <c r="AG255" s="44" t="e">
        <f t="shared" si="126"/>
        <v>#N/A</v>
      </c>
      <c r="AH255" s="52" t="e">
        <f>HLOOKUP(I255,ElecAvoidedCostsWOCC!$A$5:$Q$50,T255+1,FALSE)</f>
        <v>#N/A</v>
      </c>
      <c r="AI255" s="44" t="e">
        <f t="shared" si="127"/>
        <v>#N/A</v>
      </c>
      <c r="AJ255" s="44" t="e">
        <f t="shared" si="128"/>
        <v>#N/A</v>
      </c>
      <c r="AK255" s="44" t="e">
        <f>HLOOKUP(I255,ElecAvoidedCostsWOCC!$A$5:$Q$50,G255+1,FALSE)*J255*L255</f>
        <v>#N/A</v>
      </c>
      <c r="AL255" s="44" t="e">
        <f t="shared" si="129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130"/>
        <v>0</v>
      </c>
      <c r="AO255" s="47">
        <f t="shared" si="131"/>
        <v>0</v>
      </c>
      <c r="AP255" s="47" t="e">
        <f t="shared" si="132"/>
        <v>#DIV/0!</v>
      </c>
    </row>
    <row r="256" spans="2:42">
      <c r="B256" s="97" t="s">
        <v>15</v>
      </c>
      <c r="C256" s="100"/>
      <c r="D256" s="100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114"/>
        <v>0</v>
      </c>
      <c r="U256" s="47">
        <f t="shared" si="115"/>
        <v>0</v>
      </c>
      <c r="V256" s="48">
        <f t="shared" si="116"/>
        <v>0</v>
      </c>
      <c r="W256" s="49">
        <f t="shared" si="117"/>
        <v>0</v>
      </c>
      <c r="X256" s="44">
        <f t="shared" si="118"/>
        <v>0</v>
      </c>
      <c r="Y256" s="44">
        <f t="shared" si="119"/>
        <v>0</v>
      </c>
      <c r="Z256" s="44">
        <f t="shared" si="120"/>
        <v>0</v>
      </c>
      <c r="AA256" s="50">
        <f t="shared" si="121"/>
        <v>0</v>
      </c>
      <c r="AB256" s="51">
        <f t="shared" si="122"/>
        <v>0</v>
      </c>
      <c r="AC256" s="44">
        <f t="shared" si="123"/>
        <v>0</v>
      </c>
      <c r="AD256" s="44">
        <f t="shared" si="124"/>
        <v>0</v>
      </c>
      <c r="AE256" s="44">
        <f t="shared" si="125"/>
        <v>0</v>
      </c>
      <c r="AF256" s="52" t="e">
        <f>HLOOKUP(I256,ElecAvoidedCostsWOCC!$A$5:$Q$50,G256+1,FALSE)</f>
        <v>#N/A</v>
      </c>
      <c r="AG256" s="44" t="e">
        <f t="shared" si="126"/>
        <v>#N/A</v>
      </c>
      <c r="AH256" s="52" t="e">
        <f>HLOOKUP(I256,ElecAvoidedCostsWOCC!$A$5:$Q$50,T256+1,FALSE)</f>
        <v>#N/A</v>
      </c>
      <c r="AI256" s="44" t="e">
        <f t="shared" si="127"/>
        <v>#N/A</v>
      </c>
      <c r="AJ256" s="44" t="e">
        <f t="shared" si="128"/>
        <v>#N/A</v>
      </c>
      <c r="AK256" s="44" t="e">
        <f>HLOOKUP(I256,ElecAvoidedCostsWOCC!$A$5:$Q$50,G256+1,FALSE)*J256*L256</f>
        <v>#N/A</v>
      </c>
      <c r="AL256" s="44" t="e">
        <f t="shared" si="129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130"/>
        <v>0</v>
      </c>
      <c r="AO256" s="47">
        <f t="shared" si="131"/>
        <v>0</v>
      </c>
      <c r="AP256" s="47" t="e">
        <f t="shared" si="132"/>
        <v>#DIV/0!</v>
      </c>
    </row>
    <row r="257" spans="2:42">
      <c r="B257" s="97" t="s">
        <v>15</v>
      </c>
      <c r="C257" s="100"/>
      <c r="D257" s="100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114"/>
        <v>0</v>
      </c>
      <c r="U257" s="47">
        <f t="shared" si="115"/>
        <v>0</v>
      </c>
      <c r="V257" s="48">
        <f t="shared" si="116"/>
        <v>0</v>
      </c>
      <c r="W257" s="49">
        <f t="shared" si="117"/>
        <v>0</v>
      </c>
      <c r="X257" s="44">
        <f t="shared" si="118"/>
        <v>0</v>
      </c>
      <c r="Y257" s="44">
        <f t="shared" si="119"/>
        <v>0</v>
      </c>
      <c r="Z257" s="44">
        <f t="shared" si="120"/>
        <v>0</v>
      </c>
      <c r="AA257" s="50">
        <f t="shared" si="121"/>
        <v>0</v>
      </c>
      <c r="AB257" s="51">
        <f t="shared" si="122"/>
        <v>0</v>
      </c>
      <c r="AC257" s="44">
        <f t="shared" si="123"/>
        <v>0</v>
      </c>
      <c r="AD257" s="44">
        <f t="shared" si="124"/>
        <v>0</v>
      </c>
      <c r="AE257" s="44">
        <f t="shared" si="125"/>
        <v>0</v>
      </c>
      <c r="AF257" s="52" t="e">
        <f>HLOOKUP(I257,ElecAvoidedCostsWOCC!$A$5:$Q$50,G257+1,FALSE)</f>
        <v>#N/A</v>
      </c>
      <c r="AG257" s="44" t="e">
        <f t="shared" si="126"/>
        <v>#N/A</v>
      </c>
      <c r="AH257" s="52" t="e">
        <f>HLOOKUP(I257,ElecAvoidedCostsWOCC!$A$5:$Q$50,T257+1,FALSE)</f>
        <v>#N/A</v>
      </c>
      <c r="AI257" s="44" t="e">
        <f t="shared" si="127"/>
        <v>#N/A</v>
      </c>
      <c r="AJ257" s="44" t="e">
        <f t="shared" si="128"/>
        <v>#N/A</v>
      </c>
      <c r="AK257" s="44" t="e">
        <f>HLOOKUP(I257,ElecAvoidedCostsWOCC!$A$5:$Q$50,G257+1,FALSE)*J257*L257</f>
        <v>#N/A</v>
      </c>
      <c r="AL257" s="44" t="e">
        <f t="shared" si="129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130"/>
        <v>0</v>
      </c>
      <c r="AO257" s="47">
        <f t="shared" si="131"/>
        <v>0</v>
      </c>
      <c r="AP257" s="47" t="e">
        <f t="shared" si="132"/>
        <v>#DIV/0!</v>
      </c>
    </row>
    <row r="258" spans="2:42">
      <c r="B258" s="97" t="s">
        <v>15</v>
      </c>
      <c r="C258" s="100"/>
      <c r="D258" s="100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114"/>
        <v>0</v>
      </c>
      <c r="U258" s="47">
        <f t="shared" si="115"/>
        <v>0</v>
      </c>
      <c r="V258" s="48">
        <f t="shared" si="116"/>
        <v>0</v>
      </c>
      <c r="W258" s="49">
        <f t="shared" si="117"/>
        <v>0</v>
      </c>
      <c r="X258" s="44">
        <f t="shared" si="118"/>
        <v>0</v>
      </c>
      <c r="Y258" s="44">
        <f t="shared" si="119"/>
        <v>0</v>
      </c>
      <c r="Z258" s="44">
        <f t="shared" si="120"/>
        <v>0</v>
      </c>
      <c r="AA258" s="50">
        <f t="shared" si="121"/>
        <v>0</v>
      </c>
      <c r="AB258" s="51">
        <f t="shared" si="122"/>
        <v>0</v>
      </c>
      <c r="AC258" s="44">
        <f t="shared" si="123"/>
        <v>0</v>
      </c>
      <c r="AD258" s="44">
        <f t="shared" si="124"/>
        <v>0</v>
      </c>
      <c r="AE258" s="44">
        <f t="shared" si="125"/>
        <v>0</v>
      </c>
      <c r="AF258" s="52" t="e">
        <f>HLOOKUP(I258,ElecAvoidedCostsWOCC!$A$5:$Q$50,G258+1,FALSE)</f>
        <v>#N/A</v>
      </c>
      <c r="AG258" s="44" t="e">
        <f t="shared" si="126"/>
        <v>#N/A</v>
      </c>
      <c r="AH258" s="52" t="e">
        <f>HLOOKUP(I258,ElecAvoidedCostsWOCC!$A$5:$Q$50,T258+1,FALSE)</f>
        <v>#N/A</v>
      </c>
      <c r="AI258" s="44" t="e">
        <f t="shared" si="127"/>
        <v>#N/A</v>
      </c>
      <c r="AJ258" s="44" t="e">
        <f t="shared" si="128"/>
        <v>#N/A</v>
      </c>
      <c r="AK258" s="44" t="e">
        <f>HLOOKUP(I258,ElecAvoidedCostsWOCC!$A$5:$Q$50,G258+1,FALSE)*J258*L258</f>
        <v>#N/A</v>
      </c>
      <c r="AL258" s="44" t="e">
        <f t="shared" si="129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130"/>
        <v>0</v>
      </c>
      <c r="AO258" s="47">
        <f t="shared" si="131"/>
        <v>0</v>
      </c>
      <c r="AP258" s="47" t="e">
        <f t="shared" si="132"/>
        <v>#DIV/0!</v>
      </c>
    </row>
    <row r="259" spans="2:42">
      <c r="B259" s="97" t="s">
        <v>15</v>
      </c>
      <c r="C259" s="100"/>
      <c r="D259" s="100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114"/>
        <v>0</v>
      </c>
      <c r="U259" s="47">
        <f t="shared" si="115"/>
        <v>0</v>
      </c>
      <c r="V259" s="48">
        <f t="shared" si="116"/>
        <v>0</v>
      </c>
      <c r="W259" s="49">
        <f t="shared" si="117"/>
        <v>0</v>
      </c>
      <c r="X259" s="44">
        <f t="shared" si="118"/>
        <v>0</v>
      </c>
      <c r="Y259" s="44">
        <f t="shared" si="119"/>
        <v>0</v>
      </c>
      <c r="Z259" s="44">
        <f t="shared" si="120"/>
        <v>0</v>
      </c>
      <c r="AA259" s="50">
        <f t="shared" si="121"/>
        <v>0</v>
      </c>
      <c r="AB259" s="51">
        <f t="shared" si="122"/>
        <v>0</v>
      </c>
      <c r="AC259" s="44">
        <f t="shared" si="123"/>
        <v>0</v>
      </c>
      <c r="AD259" s="44">
        <f t="shared" si="124"/>
        <v>0</v>
      </c>
      <c r="AE259" s="44">
        <f t="shared" si="125"/>
        <v>0</v>
      </c>
      <c r="AF259" s="52" t="e">
        <f>HLOOKUP(I259,ElecAvoidedCostsWOCC!$A$5:$Q$50,G259+1,FALSE)</f>
        <v>#N/A</v>
      </c>
      <c r="AG259" s="44" t="e">
        <f t="shared" si="126"/>
        <v>#N/A</v>
      </c>
      <c r="AH259" s="52" t="e">
        <f>HLOOKUP(I259,ElecAvoidedCostsWOCC!$A$5:$Q$50,T259+1,FALSE)</f>
        <v>#N/A</v>
      </c>
      <c r="AI259" s="44" t="e">
        <f t="shared" si="127"/>
        <v>#N/A</v>
      </c>
      <c r="AJ259" s="44" t="e">
        <f t="shared" si="128"/>
        <v>#N/A</v>
      </c>
      <c r="AK259" s="44" t="e">
        <f>HLOOKUP(I259,ElecAvoidedCostsWOCC!$A$5:$Q$50,G259+1,FALSE)*J259*L259</f>
        <v>#N/A</v>
      </c>
      <c r="AL259" s="44" t="e">
        <f t="shared" si="129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130"/>
        <v>0</v>
      </c>
      <c r="AO259" s="47">
        <f t="shared" si="131"/>
        <v>0</v>
      </c>
      <c r="AP259" s="47" t="e">
        <f t="shared" si="132"/>
        <v>#DIV/0!</v>
      </c>
    </row>
    <row r="260" spans="2:42">
      <c r="B260" s="97" t="s">
        <v>15</v>
      </c>
      <c r="C260" s="100"/>
      <c r="D260" s="100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si="114"/>
        <v>0</v>
      </c>
      <c r="U260" s="47">
        <f t="shared" si="115"/>
        <v>0</v>
      </c>
      <c r="V260" s="48">
        <f t="shared" si="116"/>
        <v>0</v>
      </c>
      <c r="W260" s="49">
        <f t="shared" si="117"/>
        <v>0</v>
      </c>
      <c r="X260" s="44">
        <f t="shared" si="118"/>
        <v>0</v>
      </c>
      <c r="Y260" s="44">
        <f t="shared" si="119"/>
        <v>0</v>
      </c>
      <c r="Z260" s="44">
        <f t="shared" si="120"/>
        <v>0</v>
      </c>
      <c r="AA260" s="50">
        <f t="shared" si="121"/>
        <v>0</v>
      </c>
      <c r="AB260" s="51">
        <f t="shared" si="122"/>
        <v>0</v>
      </c>
      <c r="AC260" s="44">
        <f t="shared" si="123"/>
        <v>0</v>
      </c>
      <c r="AD260" s="44">
        <f t="shared" si="124"/>
        <v>0</v>
      </c>
      <c r="AE260" s="44">
        <f t="shared" si="125"/>
        <v>0</v>
      </c>
      <c r="AF260" s="52" t="e">
        <f>HLOOKUP(I260,ElecAvoidedCostsWOCC!$A$5:$Q$50,G260+1,FALSE)</f>
        <v>#N/A</v>
      </c>
      <c r="AG260" s="44" t="e">
        <f t="shared" si="126"/>
        <v>#N/A</v>
      </c>
      <c r="AH260" s="52" t="e">
        <f>HLOOKUP(I260,ElecAvoidedCostsWOCC!$A$5:$Q$50,T260+1,FALSE)</f>
        <v>#N/A</v>
      </c>
      <c r="AI260" s="44" t="e">
        <f t="shared" si="127"/>
        <v>#N/A</v>
      </c>
      <c r="AJ260" s="44" t="e">
        <f t="shared" si="128"/>
        <v>#N/A</v>
      </c>
      <c r="AK260" s="44" t="e">
        <f>HLOOKUP(I260,ElecAvoidedCostsWOCC!$A$5:$Q$50,G260+1,FALSE)*J260*L260</f>
        <v>#N/A</v>
      </c>
      <c r="AL260" s="44" t="e">
        <f t="shared" si="129"/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si="130"/>
        <v>0</v>
      </c>
      <c r="AO260" s="47">
        <f t="shared" si="131"/>
        <v>0</v>
      </c>
      <c r="AP260" s="47" t="e">
        <f t="shared" si="132"/>
        <v>#DIV/0!</v>
      </c>
    </row>
    <row r="261" spans="2:42">
      <c r="B261" s="97" t="s">
        <v>15</v>
      </c>
      <c r="C261" s="100"/>
      <c r="D261" s="100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114"/>
        <v>0</v>
      </c>
      <c r="U261" s="47">
        <f t="shared" si="115"/>
        <v>0</v>
      </c>
      <c r="V261" s="48">
        <f t="shared" si="116"/>
        <v>0</v>
      </c>
      <c r="W261" s="49">
        <f t="shared" si="117"/>
        <v>0</v>
      </c>
      <c r="X261" s="44">
        <f t="shared" si="118"/>
        <v>0</v>
      </c>
      <c r="Y261" s="44">
        <f t="shared" si="119"/>
        <v>0</v>
      </c>
      <c r="Z261" s="44">
        <f t="shared" si="120"/>
        <v>0</v>
      </c>
      <c r="AA261" s="50">
        <f t="shared" si="121"/>
        <v>0</v>
      </c>
      <c r="AB261" s="51">
        <f t="shared" si="122"/>
        <v>0</v>
      </c>
      <c r="AC261" s="44">
        <f t="shared" si="123"/>
        <v>0</v>
      </c>
      <c r="AD261" s="44">
        <f t="shared" si="124"/>
        <v>0</v>
      </c>
      <c r="AE261" s="44">
        <f t="shared" si="125"/>
        <v>0</v>
      </c>
      <c r="AF261" s="52" t="e">
        <f>HLOOKUP(I261,ElecAvoidedCostsWOCC!$A$5:$Q$50,G261+1,FALSE)</f>
        <v>#N/A</v>
      </c>
      <c r="AG261" s="44" t="e">
        <f t="shared" si="126"/>
        <v>#N/A</v>
      </c>
      <c r="AH261" s="52" t="e">
        <f>HLOOKUP(I261,ElecAvoidedCostsWOCC!$A$5:$Q$50,T261+1,FALSE)</f>
        <v>#N/A</v>
      </c>
      <c r="AI261" s="44" t="e">
        <f t="shared" si="127"/>
        <v>#N/A</v>
      </c>
      <c r="AJ261" s="44" t="e">
        <f t="shared" si="128"/>
        <v>#N/A</v>
      </c>
      <c r="AK261" s="44" t="e">
        <f>HLOOKUP(I261,ElecAvoidedCostsWOCC!$A$5:$Q$50,G261+1,FALSE)*J261*L261</f>
        <v>#N/A</v>
      </c>
      <c r="AL261" s="44" t="e">
        <f t="shared" si="129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30"/>
        <v>0</v>
      </c>
      <c r="AO261" s="47">
        <f t="shared" si="131"/>
        <v>0</v>
      </c>
      <c r="AP261" s="47" t="e">
        <f t="shared" si="132"/>
        <v>#DIV/0!</v>
      </c>
    </row>
    <row r="262" spans="2:42">
      <c r="B262" s="97" t="s">
        <v>15</v>
      </c>
      <c r="C262" s="100"/>
      <c r="D262" s="100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114"/>
        <v>0</v>
      </c>
      <c r="U262" s="47">
        <f t="shared" si="115"/>
        <v>0</v>
      </c>
      <c r="V262" s="48">
        <f t="shared" si="116"/>
        <v>0</v>
      </c>
      <c r="W262" s="49">
        <f t="shared" si="117"/>
        <v>0</v>
      </c>
      <c r="X262" s="44">
        <f t="shared" si="118"/>
        <v>0</v>
      </c>
      <c r="Y262" s="44">
        <f t="shared" si="119"/>
        <v>0</v>
      </c>
      <c r="Z262" s="44">
        <f t="shared" si="120"/>
        <v>0</v>
      </c>
      <c r="AA262" s="50">
        <f t="shared" si="121"/>
        <v>0</v>
      </c>
      <c r="AB262" s="51">
        <f t="shared" si="122"/>
        <v>0</v>
      </c>
      <c r="AC262" s="44">
        <f t="shared" si="123"/>
        <v>0</v>
      </c>
      <c r="AD262" s="44">
        <f t="shared" si="124"/>
        <v>0</v>
      </c>
      <c r="AE262" s="44">
        <f t="shared" si="125"/>
        <v>0</v>
      </c>
      <c r="AF262" s="52" t="e">
        <f>HLOOKUP(I262,ElecAvoidedCostsWOCC!$A$5:$Q$50,G262+1,FALSE)</f>
        <v>#N/A</v>
      </c>
      <c r="AG262" s="44" t="e">
        <f t="shared" si="126"/>
        <v>#N/A</v>
      </c>
      <c r="AH262" s="52" t="e">
        <f>HLOOKUP(I262,ElecAvoidedCostsWOCC!$A$5:$Q$50,T262+1,FALSE)</f>
        <v>#N/A</v>
      </c>
      <c r="AI262" s="44" t="e">
        <f t="shared" si="127"/>
        <v>#N/A</v>
      </c>
      <c r="AJ262" s="44" t="e">
        <f t="shared" si="128"/>
        <v>#N/A</v>
      </c>
      <c r="AK262" s="44" t="e">
        <f>HLOOKUP(I262,ElecAvoidedCostsWOCC!$A$5:$Q$50,G262+1,FALSE)*J262*L262</f>
        <v>#N/A</v>
      </c>
      <c r="AL262" s="44" t="e">
        <f t="shared" si="129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30"/>
        <v>0</v>
      </c>
      <c r="AO262" s="47">
        <f t="shared" si="131"/>
        <v>0</v>
      </c>
      <c r="AP262" s="47" t="e">
        <f t="shared" si="132"/>
        <v>#DIV/0!</v>
      </c>
    </row>
    <row r="263" spans="2:42">
      <c r="B263" s="97" t="s">
        <v>15</v>
      </c>
      <c r="C263" s="100"/>
      <c r="D263" s="100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114"/>
        <v>0</v>
      </c>
      <c r="U263" s="47">
        <f t="shared" si="115"/>
        <v>0</v>
      </c>
      <c r="V263" s="48">
        <f t="shared" si="116"/>
        <v>0</v>
      </c>
      <c r="W263" s="49">
        <f t="shared" si="117"/>
        <v>0</v>
      </c>
      <c r="X263" s="44">
        <f t="shared" si="118"/>
        <v>0</v>
      </c>
      <c r="Y263" s="44">
        <f t="shared" si="119"/>
        <v>0</v>
      </c>
      <c r="Z263" s="44">
        <f t="shared" si="120"/>
        <v>0</v>
      </c>
      <c r="AA263" s="50">
        <f t="shared" si="121"/>
        <v>0</v>
      </c>
      <c r="AB263" s="51">
        <f t="shared" si="122"/>
        <v>0</v>
      </c>
      <c r="AC263" s="44">
        <f t="shared" si="123"/>
        <v>0</v>
      </c>
      <c r="AD263" s="44">
        <f t="shared" si="124"/>
        <v>0</v>
      </c>
      <c r="AE263" s="44">
        <f t="shared" si="125"/>
        <v>0</v>
      </c>
      <c r="AF263" s="52" t="e">
        <f>HLOOKUP(I263,ElecAvoidedCostsWOCC!$A$5:$Q$50,G263+1,FALSE)</f>
        <v>#N/A</v>
      </c>
      <c r="AG263" s="44" t="e">
        <f t="shared" si="126"/>
        <v>#N/A</v>
      </c>
      <c r="AH263" s="52" t="e">
        <f>HLOOKUP(I263,ElecAvoidedCostsWOCC!$A$5:$Q$50,T263+1,FALSE)</f>
        <v>#N/A</v>
      </c>
      <c r="AI263" s="44" t="e">
        <f t="shared" si="127"/>
        <v>#N/A</v>
      </c>
      <c r="AJ263" s="44" t="e">
        <f t="shared" si="128"/>
        <v>#N/A</v>
      </c>
      <c r="AK263" s="44" t="e">
        <f>HLOOKUP(I263,ElecAvoidedCostsWOCC!$A$5:$Q$50,G263+1,FALSE)*J263*L263</f>
        <v>#N/A</v>
      </c>
      <c r="AL263" s="44" t="e">
        <f t="shared" si="129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30"/>
        <v>0</v>
      </c>
      <c r="AO263" s="47">
        <f t="shared" si="131"/>
        <v>0</v>
      </c>
      <c r="AP263" s="47" t="e">
        <f t="shared" si="132"/>
        <v>#DIV/0!</v>
      </c>
    </row>
    <row r="264" spans="2:42">
      <c r="B264" s="97" t="s">
        <v>15</v>
      </c>
      <c r="C264" s="100"/>
      <c r="D264" s="100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114"/>
        <v>0</v>
      </c>
      <c r="U264" s="47">
        <f t="shared" si="115"/>
        <v>0</v>
      </c>
      <c r="V264" s="48">
        <f t="shared" si="116"/>
        <v>0</v>
      </c>
      <c r="W264" s="49">
        <f t="shared" si="117"/>
        <v>0</v>
      </c>
      <c r="X264" s="44">
        <f t="shared" si="118"/>
        <v>0</v>
      </c>
      <c r="Y264" s="44">
        <f t="shared" si="119"/>
        <v>0</v>
      </c>
      <c r="Z264" s="44">
        <f t="shared" si="120"/>
        <v>0</v>
      </c>
      <c r="AA264" s="50">
        <f t="shared" si="121"/>
        <v>0</v>
      </c>
      <c r="AB264" s="51">
        <f t="shared" si="122"/>
        <v>0</v>
      </c>
      <c r="AC264" s="44">
        <f t="shared" si="123"/>
        <v>0</v>
      </c>
      <c r="AD264" s="44">
        <f t="shared" si="124"/>
        <v>0</v>
      </c>
      <c r="AE264" s="44">
        <f t="shared" si="125"/>
        <v>0</v>
      </c>
      <c r="AF264" s="52" t="e">
        <f>HLOOKUP(I264,ElecAvoidedCostsWOCC!$A$5:$Q$50,G264+1,FALSE)</f>
        <v>#N/A</v>
      </c>
      <c r="AG264" s="44" t="e">
        <f t="shared" si="126"/>
        <v>#N/A</v>
      </c>
      <c r="AH264" s="52" t="e">
        <f>HLOOKUP(I264,ElecAvoidedCostsWOCC!$A$5:$Q$50,T264+1,FALSE)</f>
        <v>#N/A</v>
      </c>
      <c r="AI264" s="44" t="e">
        <f t="shared" si="127"/>
        <v>#N/A</v>
      </c>
      <c r="AJ264" s="44" t="e">
        <f t="shared" si="128"/>
        <v>#N/A</v>
      </c>
      <c r="AK264" s="44" t="e">
        <f>HLOOKUP(I264,ElecAvoidedCostsWOCC!$A$5:$Q$50,G264+1,FALSE)*J264*L264</f>
        <v>#N/A</v>
      </c>
      <c r="AL264" s="44" t="e">
        <f t="shared" si="129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30"/>
        <v>0</v>
      </c>
      <c r="AO264" s="47">
        <f t="shared" si="131"/>
        <v>0</v>
      </c>
      <c r="AP264" s="47" t="e">
        <f t="shared" si="132"/>
        <v>#DIV/0!</v>
      </c>
    </row>
    <row r="265" spans="2:42">
      <c r="B265" s="97" t="s">
        <v>15</v>
      </c>
      <c r="C265" s="100"/>
      <c r="D265" s="100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114"/>
        <v>0</v>
      </c>
      <c r="U265" s="47">
        <f t="shared" si="115"/>
        <v>0</v>
      </c>
      <c r="V265" s="48">
        <f t="shared" si="116"/>
        <v>0</v>
      </c>
      <c r="W265" s="49">
        <f t="shared" si="117"/>
        <v>0</v>
      </c>
      <c r="X265" s="44">
        <f t="shared" si="118"/>
        <v>0</v>
      </c>
      <c r="Y265" s="44">
        <f t="shared" si="119"/>
        <v>0</v>
      </c>
      <c r="Z265" s="44">
        <f t="shared" si="120"/>
        <v>0</v>
      </c>
      <c r="AA265" s="50">
        <f t="shared" si="121"/>
        <v>0</v>
      </c>
      <c r="AB265" s="51">
        <f t="shared" si="122"/>
        <v>0</v>
      </c>
      <c r="AC265" s="44">
        <f t="shared" si="123"/>
        <v>0</v>
      </c>
      <c r="AD265" s="44">
        <f t="shared" si="124"/>
        <v>0</v>
      </c>
      <c r="AE265" s="44">
        <f t="shared" si="125"/>
        <v>0</v>
      </c>
      <c r="AF265" s="52" t="e">
        <f>HLOOKUP(I265,ElecAvoidedCostsWOCC!$A$5:$Q$50,G265+1,FALSE)</f>
        <v>#N/A</v>
      </c>
      <c r="AG265" s="44" t="e">
        <f t="shared" si="126"/>
        <v>#N/A</v>
      </c>
      <c r="AH265" s="52" t="e">
        <f>HLOOKUP(I265,ElecAvoidedCostsWOCC!$A$5:$Q$50,T265+1,FALSE)</f>
        <v>#N/A</v>
      </c>
      <c r="AI265" s="44" t="e">
        <f t="shared" si="127"/>
        <v>#N/A</v>
      </c>
      <c r="AJ265" s="44" t="e">
        <f t="shared" si="128"/>
        <v>#N/A</v>
      </c>
      <c r="AK265" s="44" t="e">
        <f>HLOOKUP(I265,ElecAvoidedCostsWOCC!$A$5:$Q$50,G265+1,FALSE)*J265*L265</f>
        <v>#N/A</v>
      </c>
      <c r="AL265" s="44" t="e">
        <f t="shared" si="129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30"/>
        <v>0</v>
      </c>
      <c r="AO265" s="47">
        <f t="shared" si="131"/>
        <v>0</v>
      </c>
      <c r="AP265" s="47" t="e">
        <f t="shared" si="132"/>
        <v>#DIV/0!</v>
      </c>
    </row>
    <row r="266" spans="2:42">
      <c r="B266" s="97" t="s">
        <v>15</v>
      </c>
      <c r="C266" s="100"/>
      <c r="D266" s="100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114"/>
        <v>0</v>
      </c>
      <c r="U266" s="47">
        <f t="shared" si="115"/>
        <v>0</v>
      </c>
      <c r="V266" s="48">
        <f t="shared" si="116"/>
        <v>0</v>
      </c>
      <c r="W266" s="49">
        <f t="shared" si="117"/>
        <v>0</v>
      </c>
      <c r="X266" s="44">
        <f t="shared" si="118"/>
        <v>0</v>
      </c>
      <c r="Y266" s="44">
        <f t="shared" si="119"/>
        <v>0</v>
      </c>
      <c r="Z266" s="44">
        <f t="shared" si="120"/>
        <v>0</v>
      </c>
      <c r="AA266" s="50">
        <f t="shared" si="121"/>
        <v>0</v>
      </c>
      <c r="AB266" s="51">
        <f t="shared" si="122"/>
        <v>0</v>
      </c>
      <c r="AC266" s="44">
        <f t="shared" si="123"/>
        <v>0</v>
      </c>
      <c r="AD266" s="44">
        <f t="shared" si="124"/>
        <v>0</v>
      </c>
      <c r="AE266" s="44">
        <f t="shared" si="125"/>
        <v>0</v>
      </c>
      <c r="AF266" s="52" t="e">
        <f>HLOOKUP(I266,ElecAvoidedCostsWOCC!$A$5:$Q$50,G266+1,FALSE)</f>
        <v>#N/A</v>
      </c>
      <c r="AG266" s="44" t="e">
        <f t="shared" si="126"/>
        <v>#N/A</v>
      </c>
      <c r="AH266" s="52" t="e">
        <f>HLOOKUP(I266,ElecAvoidedCostsWOCC!$A$5:$Q$50,T266+1,FALSE)</f>
        <v>#N/A</v>
      </c>
      <c r="AI266" s="44" t="e">
        <f t="shared" si="127"/>
        <v>#N/A</v>
      </c>
      <c r="AJ266" s="44" t="e">
        <f t="shared" si="128"/>
        <v>#N/A</v>
      </c>
      <c r="AK266" s="44" t="e">
        <f>HLOOKUP(I266,ElecAvoidedCostsWOCC!$A$5:$Q$50,G266+1,FALSE)*J266*L266</f>
        <v>#N/A</v>
      </c>
      <c r="AL266" s="44" t="e">
        <f t="shared" si="129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30"/>
        <v>0</v>
      </c>
      <c r="AO266" s="47">
        <f t="shared" si="131"/>
        <v>0</v>
      </c>
      <c r="AP266" s="47" t="e">
        <f t="shared" si="132"/>
        <v>#DIV/0!</v>
      </c>
    </row>
    <row r="267" spans="2:42">
      <c r="B267" s="97" t="s">
        <v>15</v>
      </c>
      <c r="C267" s="100"/>
      <c r="D267" s="100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114"/>
        <v>0</v>
      </c>
      <c r="U267" s="47">
        <f t="shared" si="115"/>
        <v>0</v>
      </c>
      <c r="V267" s="48">
        <f t="shared" si="116"/>
        <v>0</v>
      </c>
      <c r="W267" s="49">
        <f t="shared" si="117"/>
        <v>0</v>
      </c>
      <c r="X267" s="44">
        <f t="shared" si="118"/>
        <v>0</v>
      </c>
      <c r="Y267" s="44">
        <f t="shared" si="119"/>
        <v>0</v>
      </c>
      <c r="Z267" s="44">
        <f t="shared" si="120"/>
        <v>0</v>
      </c>
      <c r="AA267" s="50">
        <f t="shared" si="121"/>
        <v>0</v>
      </c>
      <c r="AB267" s="51">
        <f t="shared" si="122"/>
        <v>0</v>
      </c>
      <c r="AC267" s="44">
        <f t="shared" si="123"/>
        <v>0</v>
      </c>
      <c r="AD267" s="44">
        <f t="shared" si="124"/>
        <v>0</v>
      </c>
      <c r="AE267" s="44">
        <f t="shared" si="125"/>
        <v>0</v>
      </c>
      <c r="AF267" s="52" t="e">
        <f>HLOOKUP(I267,ElecAvoidedCostsWOCC!$A$5:$Q$50,G267+1,FALSE)</f>
        <v>#N/A</v>
      </c>
      <c r="AG267" s="44" t="e">
        <f t="shared" si="126"/>
        <v>#N/A</v>
      </c>
      <c r="AH267" s="52" t="e">
        <f>HLOOKUP(I267,ElecAvoidedCostsWOCC!$A$5:$Q$50,T267+1,FALSE)</f>
        <v>#N/A</v>
      </c>
      <c r="AI267" s="44" t="e">
        <f t="shared" si="127"/>
        <v>#N/A</v>
      </c>
      <c r="AJ267" s="44" t="e">
        <f t="shared" si="128"/>
        <v>#N/A</v>
      </c>
      <c r="AK267" s="44" t="e">
        <f>HLOOKUP(I267,ElecAvoidedCostsWOCC!$A$5:$Q$50,G267+1,FALSE)*J267*L267</f>
        <v>#N/A</v>
      </c>
      <c r="AL267" s="44" t="e">
        <f t="shared" si="129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30"/>
        <v>0</v>
      </c>
      <c r="AO267" s="47">
        <f t="shared" si="131"/>
        <v>0</v>
      </c>
      <c r="AP267" s="47" t="e">
        <f t="shared" si="132"/>
        <v>#DIV/0!</v>
      </c>
    </row>
    <row r="268" spans="2:42">
      <c r="B268" s="97" t="s">
        <v>15</v>
      </c>
      <c r="C268" s="100"/>
      <c r="D268" s="100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114"/>
        <v>0</v>
      </c>
      <c r="U268" s="47">
        <f t="shared" si="115"/>
        <v>0</v>
      </c>
      <c r="V268" s="48">
        <f t="shared" si="116"/>
        <v>0</v>
      </c>
      <c r="W268" s="49">
        <f t="shared" si="117"/>
        <v>0</v>
      </c>
      <c r="X268" s="44">
        <f t="shared" si="118"/>
        <v>0</v>
      </c>
      <c r="Y268" s="44">
        <f t="shared" si="119"/>
        <v>0</v>
      </c>
      <c r="Z268" s="44">
        <f t="shared" si="120"/>
        <v>0</v>
      </c>
      <c r="AA268" s="50">
        <f t="shared" si="121"/>
        <v>0</v>
      </c>
      <c r="AB268" s="51">
        <f t="shared" si="122"/>
        <v>0</v>
      </c>
      <c r="AC268" s="44">
        <f t="shared" si="123"/>
        <v>0</v>
      </c>
      <c r="AD268" s="44">
        <f t="shared" si="124"/>
        <v>0</v>
      </c>
      <c r="AE268" s="44">
        <f t="shared" si="125"/>
        <v>0</v>
      </c>
      <c r="AF268" s="52" t="e">
        <f>HLOOKUP(I268,ElecAvoidedCostsWOCC!$A$5:$Q$50,G268+1,FALSE)</f>
        <v>#N/A</v>
      </c>
      <c r="AG268" s="44" t="e">
        <f t="shared" si="126"/>
        <v>#N/A</v>
      </c>
      <c r="AH268" s="52" t="e">
        <f>HLOOKUP(I268,ElecAvoidedCostsWOCC!$A$5:$Q$50,T268+1,FALSE)</f>
        <v>#N/A</v>
      </c>
      <c r="AI268" s="44" t="e">
        <f t="shared" si="127"/>
        <v>#N/A</v>
      </c>
      <c r="AJ268" s="44" t="e">
        <f t="shared" si="128"/>
        <v>#N/A</v>
      </c>
      <c r="AK268" s="44" t="e">
        <f>HLOOKUP(I268,ElecAvoidedCostsWOCC!$A$5:$Q$50,G268+1,FALSE)*J268*L268</f>
        <v>#N/A</v>
      </c>
      <c r="AL268" s="44" t="e">
        <f t="shared" si="129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30"/>
        <v>0</v>
      </c>
      <c r="AO268" s="47">
        <f t="shared" si="131"/>
        <v>0</v>
      </c>
      <c r="AP268" s="47" t="e">
        <f t="shared" si="132"/>
        <v>#DIV/0!</v>
      </c>
    </row>
    <row r="269" spans="2:42">
      <c r="B269" s="97" t="s">
        <v>15</v>
      </c>
      <c r="C269" s="100"/>
      <c r="D269" s="100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114"/>
        <v>0</v>
      </c>
      <c r="U269" s="47">
        <f t="shared" si="115"/>
        <v>0</v>
      </c>
      <c r="V269" s="48">
        <f t="shared" si="116"/>
        <v>0</v>
      </c>
      <c r="W269" s="49">
        <f t="shared" si="117"/>
        <v>0</v>
      </c>
      <c r="X269" s="44">
        <f t="shared" si="118"/>
        <v>0</v>
      </c>
      <c r="Y269" s="44">
        <f t="shared" si="119"/>
        <v>0</v>
      </c>
      <c r="Z269" s="44">
        <f t="shared" si="120"/>
        <v>0</v>
      </c>
      <c r="AA269" s="50">
        <f t="shared" si="121"/>
        <v>0</v>
      </c>
      <c r="AB269" s="51">
        <f t="shared" si="122"/>
        <v>0</v>
      </c>
      <c r="AC269" s="44">
        <f t="shared" si="123"/>
        <v>0</v>
      </c>
      <c r="AD269" s="44">
        <f t="shared" si="124"/>
        <v>0</v>
      </c>
      <c r="AE269" s="44">
        <f t="shared" si="125"/>
        <v>0</v>
      </c>
      <c r="AF269" s="52" t="e">
        <f>HLOOKUP(I269,ElecAvoidedCostsWOCC!$A$5:$Q$50,G269+1,FALSE)</f>
        <v>#N/A</v>
      </c>
      <c r="AG269" s="44" t="e">
        <f t="shared" si="126"/>
        <v>#N/A</v>
      </c>
      <c r="AH269" s="52" t="e">
        <f>HLOOKUP(I269,ElecAvoidedCostsWOCC!$A$5:$Q$50,T269+1,FALSE)</f>
        <v>#N/A</v>
      </c>
      <c r="AI269" s="44" t="e">
        <f t="shared" si="127"/>
        <v>#N/A</v>
      </c>
      <c r="AJ269" s="44" t="e">
        <f t="shared" si="128"/>
        <v>#N/A</v>
      </c>
      <c r="AK269" s="44" t="e">
        <f>HLOOKUP(I269,ElecAvoidedCostsWOCC!$A$5:$Q$50,G269+1,FALSE)*J269*L269</f>
        <v>#N/A</v>
      </c>
      <c r="AL269" s="44" t="e">
        <f t="shared" si="129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30"/>
        <v>0</v>
      </c>
      <c r="AO269" s="47">
        <f t="shared" si="131"/>
        <v>0</v>
      </c>
      <c r="AP269" s="47" t="e">
        <f t="shared" si="132"/>
        <v>#DIV/0!</v>
      </c>
    </row>
    <row r="270" spans="2:42">
      <c r="B270" s="97" t="s">
        <v>15</v>
      </c>
      <c r="C270" s="100"/>
      <c r="D270" s="100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114"/>
        <v>0</v>
      </c>
      <c r="U270" s="47">
        <f t="shared" si="115"/>
        <v>0</v>
      </c>
      <c r="V270" s="48">
        <f t="shared" si="116"/>
        <v>0</v>
      </c>
      <c r="W270" s="49">
        <f t="shared" si="117"/>
        <v>0</v>
      </c>
      <c r="X270" s="44">
        <f t="shared" si="118"/>
        <v>0</v>
      </c>
      <c r="Y270" s="44">
        <f t="shared" si="119"/>
        <v>0</v>
      </c>
      <c r="Z270" s="44">
        <f t="shared" si="120"/>
        <v>0</v>
      </c>
      <c r="AA270" s="50">
        <f t="shared" si="121"/>
        <v>0</v>
      </c>
      <c r="AB270" s="51">
        <f t="shared" si="122"/>
        <v>0</v>
      </c>
      <c r="AC270" s="44">
        <f t="shared" si="123"/>
        <v>0</v>
      </c>
      <c r="AD270" s="44">
        <f t="shared" si="124"/>
        <v>0</v>
      </c>
      <c r="AE270" s="44">
        <f t="shared" si="125"/>
        <v>0</v>
      </c>
      <c r="AF270" s="52" t="e">
        <f>HLOOKUP(I270,ElecAvoidedCostsWOCC!$A$5:$Q$50,G270+1,FALSE)</f>
        <v>#N/A</v>
      </c>
      <c r="AG270" s="44" t="e">
        <f t="shared" si="126"/>
        <v>#N/A</v>
      </c>
      <c r="AH270" s="52" t="e">
        <f>HLOOKUP(I270,ElecAvoidedCostsWOCC!$A$5:$Q$50,T270+1,FALSE)</f>
        <v>#N/A</v>
      </c>
      <c r="AI270" s="44" t="e">
        <f t="shared" si="127"/>
        <v>#N/A</v>
      </c>
      <c r="AJ270" s="44" t="e">
        <f t="shared" si="128"/>
        <v>#N/A</v>
      </c>
      <c r="AK270" s="44" t="e">
        <f>HLOOKUP(I270,ElecAvoidedCostsWOCC!$A$5:$Q$50,G270+1,FALSE)*J270*L270</f>
        <v>#N/A</v>
      </c>
      <c r="AL270" s="44" t="e">
        <f t="shared" si="129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30"/>
        <v>0</v>
      </c>
      <c r="AO270" s="47">
        <f t="shared" si="131"/>
        <v>0</v>
      </c>
      <c r="AP270" s="47" t="e">
        <f t="shared" si="132"/>
        <v>#DIV/0!</v>
      </c>
    </row>
    <row r="271" spans="2:42">
      <c r="B271" s="97" t="s">
        <v>15</v>
      </c>
      <c r="C271" s="100"/>
      <c r="D271" s="100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114"/>
        <v>0</v>
      </c>
      <c r="U271" s="47">
        <f t="shared" si="115"/>
        <v>0</v>
      </c>
      <c r="V271" s="48">
        <f t="shared" si="116"/>
        <v>0</v>
      </c>
      <c r="W271" s="49">
        <f t="shared" si="117"/>
        <v>0</v>
      </c>
      <c r="X271" s="44">
        <f t="shared" si="118"/>
        <v>0</v>
      </c>
      <c r="Y271" s="44">
        <f t="shared" si="119"/>
        <v>0</v>
      </c>
      <c r="Z271" s="44">
        <f t="shared" si="120"/>
        <v>0</v>
      </c>
      <c r="AA271" s="50">
        <f t="shared" si="121"/>
        <v>0</v>
      </c>
      <c r="AB271" s="51">
        <f t="shared" si="122"/>
        <v>0</v>
      </c>
      <c r="AC271" s="44">
        <f t="shared" si="123"/>
        <v>0</v>
      </c>
      <c r="AD271" s="44">
        <f t="shared" si="124"/>
        <v>0</v>
      </c>
      <c r="AE271" s="44">
        <f t="shared" si="125"/>
        <v>0</v>
      </c>
      <c r="AF271" s="52" t="e">
        <f>HLOOKUP(I271,ElecAvoidedCostsWOCC!$A$5:$Q$50,G271+1,FALSE)</f>
        <v>#N/A</v>
      </c>
      <c r="AG271" s="44" t="e">
        <f t="shared" si="126"/>
        <v>#N/A</v>
      </c>
      <c r="AH271" s="52" t="e">
        <f>HLOOKUP(I271,ElecAvoidedCostsWOCC!$A$5:$Q$50,T271+1,FALSE)</f>
        <v>#N/A</v>
      </c>
      <c r="AI271" s="44" t="e">
        <f t="shared" si="127"/>
        <v>#N/A</v>
      </c>
      <c r="AJ271" s="44" t="e">
        <f t="shared" si="128"/>
        <v>#N/A</v>
      </c>
      <c r="AK271" s="44" t="e">
        <f>HLOOKUP(I271,ElecAvoidedCostsWOCC!$A$5:$Q$50,G271+1,FALSE)*J271*L271</f>
        <v>#N/A</v>
      </c>
      <c r="AL271" s="44" t="e">
        <f t="shared" si="129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30"/>
        <v>0</v>
      </c>
      <c r="AO271" s="47">
        <f t="shared" si="131"/>
        <v>0</v>
      </c>
      <c r="AP271" s="47" t="e">
        <f t="shared" si="132"/>
        <v>#DIV/0!</v>
      </c>
    </row>
    <row r="272" spans="2:42">
      <c r="B272" s="97" t="s">
        <v>15</v>
      </c>
      <c r="C272" s="100"/>
      <c r="D272" s="100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114"/>
        <v>0</v>
      </c>
      <c r="U272" s="47">
        <f t="shared" si="115"/>
        <v>0</v>
      </c>
      <c r="V272" s="48">
        <f t="shared" si="116"/>
        <v>0</v>
      </c>
      <c r="W272" s="49">
        <f t="shared" si="117"/>
        <v>0</v>
      </c>
      <c r="X272" s="44">
        <f t="shared" si="118"/>
        <v>0</v>
      </c>
      <c r="Y272" s="44">
        <f t="shared" si="119"/>
        <v>0</v>
      </c>
      <c r="Z272" s="44">
        <f t="shared" si="120"/>
        <v>0</v>
      </c>
      <c r="AA272" s="50">
        <f t="shared" si="121"/>
        <v>0</v>
      </c>
      <c r="AB272" s="51">
        <f t="shared" si="122"/>
        <v>0</v>
      </c>
      <c r="AC272" s="44">
        <f t="shared" si="123"/>
        <v>0</v>
      </c>
      <c r="AD272" s="44">
        <f t="shared" si="124"/>
        <v>0</v>
      </c>
      <c r="AE272" s="44">
        <f t="shared" si="125"/>
        <v>0</v>
      </c>
      <c r="AF272" s="52" t="e">
        <f>HLOOKUP(I272,ElecAvoidedCostsWOCC!$A$5:$Q$50,G272+1,FALSE)</f>
        <v>#N/A</v>
      </c>
      <c r="AG272" s="44" t="e">
        <f t="shared" si="126"/>
        <v>#N/A</v>
      </c>
      <c r="AH272" s="52" t="e">
        <f>HLOOKUP(I272,ElecAvoidedCostsWOCC!$A$5:$Q$50,T272+1,FALSE)</f>
        <v>#N/A</v>
      </c>
      <c r="AI272" s="44" t="e">
        <f t="shared" si="127"/>
        <v>#N/A</v>
      </c>
      <c r="AJ272" s="44" t="e">
        <f t="shared" si="128"/>
        <v>#N/A</v>
      </c>
      <c r="AK272" s="44" t="e">
        <f>HLOOKUP(I272,ElecAvoidedCostsWOCC!$A$5:$Q$50,G272+1,FALSE)*J272*L272</f>
        <v>#N/A</v>
      </c>
      <c r="AL272" s="44" t="e">
        <f t="shared" si="129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30"/>
        <v>0</v>
      </c>
      <c r="AO272" s="47">
        <f t="shared" si="131"/>
        <v>0</v>
      </c>
      <c r="AP272" s="47" t="e">
        <f t="shared" si="132"/>
        <v>#DIV/0!</v>
      </c>
    </row>
    <row r="273" spans="2:42">
      <c r="B273" s="97" t="s">
        <v>15</v>
      </c>
      <c r="C273" s="100"/>
      <c r="D273" s="100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114"/>
        <v>0</v>
      </c>
      <c r="U273" s="47">
        <f t="shared" si="115"/>
        <v>0</v>
      </c>
      <c r="V273" s="48">
        <f t="shared" si="116"/>
        <v>0</v>
      </c>
      <c r="W273" s="49">
        <f t="shared" si="117"/>
        <v>0</v>
      </c>
      <c r="X273" s="44">
        <f t="shared" si="118"/>
        <v>0</v>
      </c>
      <c r="Y273" s="44">
        <f t="shared" si="119"/>
        <v>0</v>
      </c>
      <c r="Z273" s="44">
        <f t="shared" si="120"/>
        <v>0</v>
      </c>
      <c r="AA273" s="50">
        <f t="shared" si="121"/>
        <v>0</v>
      </c>
      <c r="AB273" s="51">
        <f t="shared" si="122"/>
        <v>0</v>
      </c>
      <c r="AC273" s="44">
        <f t="shared" si="123"/>
        <v>0</v>
      </c>
      <c r="AD273" s="44">
        <f t="shared" si="124"/>
        <v>0</v>
      </c>
      <c r="AE273" s="44">
        <f t="shared" si="125"/>
        <v>0</v>
      </c>
      <c r="AF273" s="52" t="e">
        <f>HLOOKUP(I273,ElecAvoidedCostsWOCC!$A$5:$Q$50,G273+1,FALSE)</f>
        <v>#N/A</v>
      </c>
      <c r="AG273" s="44" t="e">
        <f t="shared" si="126"/>
        <v>#N/A</v>
      </c>
      <c r="AH273" s="52" t="e">
        <f>HLOOKUP(I273,ElecAvoidedCostsWOCC!$A$5:$Q$50,T273+1,FALSE)</f>
        <v>#N/A</v>
      </c>
      <c r="AI273" s="44" t="e">
        <f t="shared" si="127"/>
        <v>#N/A</v>
      </c>
      <c r="AJ273" s="44" t="e">
        <f t="shared" si="128"/>
        <v>#N/A</v>
      </c>
      <c r="AK273" s="44" t="e">
        <f>HLOOKUP(I273,ElecAvoidedCostsWOCC!$A$5:$Q$50,G273+1,FALSE)*J273*L273</f>
        <v>#N/A</v>
      </c>
      <c r="AL273" s="44" t="e">
        <f t="shared" si="129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30"/>
        <v>0</v>
      </c>
      <c r="AO273" s="47">
        <f t="shared" si="131"/>
        <v>0</v>
      </c>
      <c r="AP273" s="47" t="e">
        <f t="shared" si="132"/>
        <v>#DIV/0!</v>
      </c>
    </row>
    <row r="274" spans="2:42">
      <c r="B274" s="97" t="s">
        <v>15</v>
      </c>
      <c r="C274" s="100"/>
      <c r="D274" s="100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114"/>
        <v>0</v>
      </c>
      <c r="U274" s="47">
        <f t="shared" si="115"/>
        <v>0</v>
      </c>
      <c r="V274" s="48">
        <f t="shared" si="116"/>
        <v>0</v>
      </c>
      <c r="W274" s="49">
        <f t="shared" si="117"/>
        <v>0</v>
      </c>
      <c r="X274" s="44">
        <f t="shared" si="118"/>
        <v>0</v>
      </c>
      <c r="Y274" s="44">
        <f t="shared" si="119"/>
        <v>0</v>
      </c>
      <c r="Z274" s="44">
        <f t="shared" si="120"/>
        <v>0</v>
      </c>
      <c r="AA274" s="50">
        <f t="shared" si="121"/>
        <v>0</v>
      </c>
      <c r="AB274" s="51">
        <f t="shared" si="122"/>
        <v>0</v>
      </c>
      <c r="AC274" s="44">
        <f t="shared" si="123"/>
        <v>0</v>
      </c>
      <c r="AD274" s="44">
        <f t="shared" si="124"/>
        <v>0</v>
      </c>
      <c r="AE274" s="44">
        <f t="shared" si="125"/>
        <v>0</v>
      </c>
      <c r="AF274" s="52" t="e">
        <f>HLOOKUP(I274,ElecAvoidedCostsWOCC!$A$5:$Q$50,G274+1,FALSE)</f>
        <v>#N/A</v>
      </c>
      <c r="AG274" s="44" t="e">
        <f t="shared" si="126"/>
        <v>#N/A</v>
      </c>
      <c r="AH274" s="52" t="e">
        <f>HLOOKUP(I274,ElecAvoidedCostsWOCC!$A$5:$Q$50,T274+1,FALSE)</f>
        <v>#N/A</v>
      </c>
      <c r="AI274" s="44" t="e">
        <f t="shared" si="127"/>
        <v>#N/A</v>
      </c>
      <c r="AJ274" s="44" t="e">
        <f t="shared" si="128"/>
        <v>#N/A</v>
      </c>
      <c r="AK274" s="44" t="e">
        <f>HLOOKUP(I274,ElecAvoidedCostsWOCC!$A$5:$Q$50,G274+1,FALSE)*J274*L274</f>
        <v>#N/A</v>
      </c>
      <c r="AL274" s="44" t="e">
        <f t="shared" si="129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30"/>
        <v>0</v>
      </c>
      <c r="AO274" s="47">
        <f t="shared" si="131"/>
        <v>0</v>
      </c>
      <c r="AP274" s="47" t="e">
        <f t="shared" si="132"/>
        <v>#DIV/0!</v>
      </c>
    </row>
    <row r="275" spans="2:42">
      <c r="B275" s="97" t="s">
        <v>15</v>
      </c>
      <c r="C275" s="100"/>
      <c r="D275" s="100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114"/>
        <v>0</v>
      </c>
      <c r="U275" s="47">
        <f t="shared" si="115"/>
        <v>0</v>
      </c>
      <c r="V275" s="48">
        <f t="shared" si="116"/>
        <v>0</v>
      </c>
      <c r="W275" s="49">
        <f t="shared" si="117"/>
        <v>0</v>
      </c>
      <c r="X275" s="44">
        <f t="shared" si="118"/>
        <v>0</v>
      </c>
      <c r="Y275" s="44">
        <f t="shared" si="119"/>
        <v>0</v>
      </c>
      <c r="Z275" s="44">
        <f t="shared" si="120"/>
        <v>0</v>
      </c>
      <c r="AA275" s="50">
        <f t="shared" si="121"/>
        <v>0</v>
      </c>
      <c r="AB275" s="51">
        <f t="shared" si="122"/>
        <v>0</v>
      </c>
      <c r="AC275" s="44">
        <f t="shared" si="123"/>
        <v>0</v>
      </c>
      <c r="AD275" s="44">
        <f t="shared" si="124"/>
        <v>0</v>
      </c>
      <c r="AE275" s="44">
        <f t="shared" si="125"/>
        <v>0</v>
      </c>
      <c r="AF275" s="52" t="e">
        <f>HLOOKUP(I275,ElecAvoidedCostsWOCC!$A$5:$Q$50,G275+1,FALSE)</f>
        <v>#N/A</v>
      </c>
      <c r="AG275" s="44" t="e">
        <f t="shared" si="126"/>
        <v>#N/A</v>
      </c>
      <c r="AH275" s="52" t="e">
        <f>HLOOKUP(I275,ElecAvoidedCostsWOCC!$A$5:$Q$50,T275+1,FALSE)</f>
        <v>#N/A</v>
      </c>
      <c r="AI275" s="44" t="e">
        <f t="shared" si="127"/>
        <v>#N/A</v>
      </c>
      <c r="AJ275" s="44" t="e">
        <f t="shared" si="128"/>
        <v>#N/A</v>
      </c>
      <c r="AK275" s="44" t="e">
        <f>HLOOKUP(I275,ElecAvoidedCostsWOCC!$A$5:$Q$50,G275+1,FALSE)*J275*L275</f>
        <v>#N/A</v>
      </c>
      <c r="AL275" s="44" t="e">
        <f t="shared" si="129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30"/>
        <v>0</v>
      </c>
      <c r="AO275" s="47">
        <f t="shared" si="131"/>
        <v>0</v>
      </c>
      <c r="AP275" s="47" t="e">
        <f t="shared" si="132"/>
        <v>#DIV/0!</v>
      </c>
    </row>
    <row r="276" spans="2:42">
      <c r="B276" s="97" t="s">
        <v>15</v>
      </c>
      <c r="C276" s="100"/>
      <c r="D276" s="100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114"/>
        <v>0</v>
      </c>
      <c r="U276" s="47">
        <f t="shared" si="115"/>
        <v>0</v>
      </c>
      <c r="V276" s="48">
        <f t="shared" si="116"/>
        <v>0</v>
      </c>
      <c r="W276" s="49">
        <f t="shared" si="117"/>
        <v>0</v>
      </c>
      <c r="X276" s="44">
        <f t="shared" si="118"/>
        <v>0</v>
      </c>
      <c r="Y276" s="44">
        <f t="shared" si="119"/>
        <v>0</v>
      </c>
      <c r="Z276" s="44">
        <f t="shared" si="120"/>
        <v>0</v>
      </c>
      <c r="AA276" s="50">
        <f t="shared" si="121"/>
        <v>0</v>
      </c>
      <c r="AB276" s="51">
        <f t="shared" si="122"/>
        <v>0</v>
      </c>
      <c r="AC276" s="44">
        <f t="shared" si="123"/>
        <v>0</v>
      </c>
      <c r="AD276" s="44">
        <f t="shared" si="124"/>
        <v>0</v>
      </c>
      <c r="AE276" s="44">
        <f t="shared" si="125"/>
        <v>0</v>
      </c>
      <c r="AF276" s="52" t="e">
        <f>HLOOKUP(I276,ElecAvoidedCostsWOCC!$A$5:$Q$50,G276+1,FALSE)</f>
        <v>#N/A</v>
      </c>
      <c r="AG276" s="44" t="e">
        <f t="shared" si="126"/>
        <v>#N/A</v>
      </c>
      <c r="AH276" s="52" t="e">
        <f>HLOOKUP(I276,ElecAvoidedCostsWOCC!$A$5:$Q$50,T276+1,FALSE)</f>
        <v>#N/A</v>
      </c>
      <c r="AI276" s="44" t="e">
        <f t="shared" si="127"/>
        <v>#N/A</v>
      </c>
      <c r="AJ276" s="44" t="e">
        <f t="shared" si="128"/>
        <v>#N/A</v>
      </c>
      <c r="AK276" s="44" t="e">
        <f>HLOOKUP(I276,ElecAvoidedCostsWOCC!$A$5:$Q$50,G276+1,FALSE)*J276*L276</f>
        <v>#N/A</v>
      </c>
      <c r="AL276" s="44" t="e">
        <f t="shared" si="129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30"/>
        <v>0</v>
      </c>
      <c r="AO276" s="47">
        <f t="shared" si="131"/>
        <v>0</v>
      </c>
      <c r="AP276" s="47" t="e">
        <f t="shared" si="132"/>
        <v>#DIV/0!</v>
      </c>
    </row>
    <row r="277" spans="2:42">
      <c r="B277" s="97" t="s">
        <v>15</v>
      </c>
      <c r="C277" s="100"/>
      <c r="D277" s="100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114"/>
        <v>0</v>
      </c>
      <c r="U277" s="47">
        <f t="shared" si="115"/>
        <v>0</v>
      </c>
      <c r="V277" s="48">
        <f t="shared" si="116"/>
        <v>0</v>
      </c>
      <c r="W277" s="49">
        <f t="shared" si="117"/>
        <v>0</v>
      </c>
      <c r="X277" s="44">
        <f t="shared" si="118"/>
        <v>0</v>
      </c>
      <c r="Y277" s="44">
        <f t="shared" si="119"/>
        <v>0</v>
      </c>
      <c r="Z277" s="44">
        <f t="shared" si="120"/>
        <v>0</v>
      </c>
      <c r="AA277" s="50">
        <f t="shared" si="121"/>
        <v>0</v>
      </c>
      <c r="AB277" s="51">
        <f t="shared" si="122"/>
        <v>0</v>
      </c>
      <c r="AC277" s="44">
        <f t="shared" si="123"/>
        <v>0</v>
      </c>
      <c r="AD277" s="44">
        <f t="shared" si="124"/>
        <v>0</v>
      </c>
      <c r="AE277" s="44">
        <f t="shared" si="125"/>
        <v>0</v>
      </c>
      <c r="AF277" s="52" t="e">
        <f>HLOOKUP(I277,ElecAvoidedCostsWOCC!$A$5:$Q$50,G277+1,FALSE)</f>
        <v>#N/A</v>
      </c>
      <c r="AG277" s="44" t="e">
        <f t="shared" si="126"/>
        <v>#N/A</v>
      </c>
      <c r="AH277" s="52" t="e">
        <f>HLOOKUP(I277,ElecAvoidedCostsWOCC!$A$5:$Q$50,T277+1,FALSE)</f>
        <v>#N/A</v>
      </c>
      <c r="AI277" s="44" t="e">
        <f t="shared" si="127"/>
        <v>#N/A</v>
      </c>
      <c r="AJ277" s="44" t="e">
        <f t="shared" si="128"/>
        <v>#N/A</v>
      </c>
      <c r="AK277" s="44" t="e">
        <f>HLOOKUP(I277,ElecAvoidedCostsWOCC!$A$5:$Q$50,G277+1,FALSE)*J277*L277</f>
        <v>#N/A</v>
      </c>
      <c r="AL277" s="44" t="e">
        <f t="shared" si="129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30"/>
        <v>0</v>
      </c>
      <c r="AO277" s="47">
        <f t="shared" si="131"/>
        <v>0</v>
      </c>
      <c r="AP277" s="47" t="e">
        <f t="shared" si="132"/>
        <v>#DIV/0!</v>
      </c>
    </row>
    <row r="278" spans="2:42">
      <c r="B278" s="97" t="s">
        <v>15</v>
      </c>
      <c r="C278" s="100"/>
      <c r="D278" s="100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114"/>
        <v>0</v>
      </c>
      <c r="U278" s="47">
        <f t="shared" si="115"/>
        <v>0</v>
      </c>
      <c r="V278" s="48">
        <f t="shared" si="116"/>
        <v>0</v>
      </c>
      <c r="W278" s="49">
        <f t="shared" si="117"/>
        <v>0</v>
      </c>
      <c r="X278" s="44">
        <f t="shared" si="118"/>
        <v>0</v>
      </c>
      <c r="Y278" s="44">
        <f t="shared" si="119"/>
        <v>0</v>
      </c>
      <c r="Z278" s="44">
        <f t="shared" si="120"/>
        <v>0</v>
      </c>
      <c r="AA278" s="50">
        <f t="shared" si="121"/>
        <v>0</v>
      </c>
      <c r="AB278" s="51">
        <f t="shared" si="122"/>
        <v>0</v>
      </c>
      <c r="AC278" s="44">
        <f t="shared" si="123"/>
        <v>0</v>
      </c>
      <c r="AD278" s="44">
        <f t="shared" si="124"/>
        <v>0</v>
      </c>
      <c r="AE278" s="44">
        <f t="shared" si="125"/>
        <v>0</v>
      </c>
      <c r="AF278" s="52" t="e">
        <f>HLOOKUP(I278,ElecAvoidedCostsWOCC!$A$5:$Q$50,G278+1,FALSE)</f>
        <v>#N/A</v>
      </c>
      <c r="AG278" s="44" t="e">
        <f t="shared" si="126"/>
        <v>#N/A</v>
      </c>
      <c r="AH278" s="52" t="e">
        <f>HLOOKUP(I278,ElecAvoidedCostsWOCC!$A$5:$Q$50,T278+1,FALSE)</f>
        <v>#N/A</v>
      </c>
      <c r="AI278" s="44" t="e">
        <f t="shared" si="127"/>
        <v>#N/A</v>
      </c>
      <c r="AJ278" s="44" t="e">
        <f t="shared" si="128"/>
        <v>#N/A</v>
      </c>
      <c r="AK278" s="44" t="e">
        <f>HLOOKUP(I278,ElecAvoidedCostsWOCC!$A$5:$Q$50,G278+1,FALSE)*J278*L278</f>
        <v>#N/A</v>
      </c>
      <c r="AL278" s="44" t="e">
        <f t="shared" si="129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30"/>
        <v>0</v>
      </c>
      <c r="AO278" s="47">
        <f t="shared" si="131"/>
        <v>0</v>
      </c>
      <c r="AP278" s="47" t="e">
        <f t="shared" si="132"/>
        <v>#DIV/0!</v>
      </c>
    </row>
    <row r="279" spans="2:42">
      <c r="B279" s="97" t="s">
        <v>15</v>
      </c>
      <c r="C279" s="100"/>
      <c r="D279" s="100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114"/>
        <v>0</v>
      </c>
      <c r="U279" s="47">
        <f t="shared" si="115"/>
        <v>0</v>
      </c>
      <c r="V279" s="48">
        <f t="shared" si="116"/>
        <v>0</v>
      </c>
      <c r="W279" s="49">
        <f t="shared" si="117"/>
        <v>0</v>
      </c>
      <c r="X279" s="44">
        <f t="shared" si="118"/>
        <v>0</v>
      </c>
      <c r="Y279" s="44">
        <f t="shared" si="119"/>
        <v>0</v>
      </c>
      <c r="Z279" s="44">
        <f t="shared" si="120"/>
        <v>0</v>
      </c>
      <c r="AA279" s="50">
        <f t="shared" si="121"/>
        <v>0</v>
      </c>
      <c r="AB279" s="51">
        <f t="shared" si="122"/>
        <v>0</v>
      </c>
      <c r="AC279" s="44">
        <f t="shared" si="123"/>
        <v>0</v>
      </c>
      <c r="AD279" s="44">
        <f t="shared" si="124"/>
        <v>0</v>
      </c>
      <c r="AE279" s="44">
        <f t="shared" si="125"/>
        <v>0</v>
      </c>
      <c r="AF279" s="52" t="e">
        <f>HLOOKUP(I279,ElecAvoidedCostsWOCC!$A$5:$Q$50,G279+1,FALSE)</f>
        <v>#N/A</v>
      </c>
      <c r="AG279" s="44" t="e">
        <f t="shared" si="126"/>
        <v>#N/A</v>
      </c>
      <c r="AH279" s="52" t="e">
        <f>HLOOKUP(I279,ElecAvoidedCostsWOCC!$A$5:$Q$50,T279+1,FALSE)</f>
        <v>#N/A</v>
      </c>
      <c r="AI279" s="44" t="e">
        <f t="shared" si="127"/>
        <v>#N/A</v>
      </c>
      <c r="AJ279" s="44" t="e">
        <f t="shared" si="128"/>
        <v>#N/A</v>
      </c>
      <c r="AK279" s="44" t="e">
        <f>HLOOKUP(I279,ElecAvoidedCostsWOCC!$A$5:$Q$50,G279+1,FALSE)*J279*L279</f>
        <v>#N/A</v>
      </c>
      <c r="AL279" s="44" t="e">
        <f t="shared" si="129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30"/>
        <v>0</v>
      </c>
      <c r="AO279" s="47">
        <f t="shared" si="131"/>
        <v>0</v>
      </c>
      <c r="AP279" s="47" t="e">
        <f t="shared" si="132"/>
        <v>#DIV/0!</v>
      </c>
    </row>
    <row r="280" spans="2:42">
      <c r="B280" s="97" t="s">
        <v>15</v>
      </c>
      <c r="C280" s="100"/>
      <c r="D280" s="100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114"/>
        <v>0</v>
      </c>
      <c r="U280" s="47">
        <f t="shared" si="115"/>
        <v>0</v>
      </c>
      <c r="V280" s="48">
        <f t="shared" si="116"/>
        <v>0</v>
      </c>
      <c r="W280" s="49">
        <f t="shared" si="117"/>
        <v>0</v>
      </c>
      <c r="X280" s="44">
        <f t="shared" si="118"/>
        <v>0</v>
      </c>
      <c r="Y280" s="44">
        <f t="shared" si="119"/>
        <v>0</v>
      </c>
      <c r="Z280" s="44">
        <f t="shared" si="120"/>
        <v>0</v>
      </c>
      <c r="AA280" s="50">
        <f t="shared" si="121"/>
        <v>0</v>
      </c>
      <c r="AB280" s="51">
        <f t="shared" si="122"/>
        <v>0</v>
      </c>
      <c r="AC280" s="44">
        <f t="shared" si="123"/>
        <v>0</v>
      </c>
      <c r="AD280" s="44">
        <f t="shared" si="124"/>
        <v>0</v>
      </c>
      <c r="AE280" s="44">
        <f t="shared" si="125"/>
        <v>0</v>
      </c>
      <c r="AF280" s="52" t="e">
        <f>HLOOKUP(I280,ElecAvoidedCostsWOCC!$A$5:$Q$50,G280+1,FALSE)</f>
        <v>#N/A</v>
      </c>
      <c r="AG280" s="44" t="e">
        <f t="shared" si="126"/>
        <v>#N/A</v>
      </c>
      <c r="AH280" s="52" t="e">
        <f>HLOOKUP(I280,ElecAvoidedCostsWOCC!$A$5:$Q$50,T280+1,FALSE)</f>
        <v>#N/A</v>
      </c>
      <c r="AI280" s="44" t="e">
        <f t="shared" si="127"/>
        <v>#N/A</v>
      </c>
      <c r="AJ280" s="44" t="e">
        <f t="shared" si="128"/>
        <v>#N/A</v>
      </c>
      <c r="AK280" s="44" t="e">
        <f>HLOOKUP(I280,ElecAvoidedCostsWOCC!$A$5:$Q$50,G280+1,FALSE)*J280*L280</f>
        <v>#N/A</v>
      </c>
      <c r="AL280" s="44" t="e">
        <f t="shared" si="129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30"/>
        <v>0</v>
      </c>
      <c r="AO280" s="47">
        <f t="shared" si="131"/>
        <v>0</v>
      </c>
      <c r="AP280" s="47" t="e">
        <f t="shared" si="132"/>
        <v>#DIV/0!</v>
      </c>
    </row>
    <row r="281" spans="2:42">
      <c r="B281" s="97" t="s">
        <v>15</v>
      </c>
      <c r="C281" s="100"/>
      <c r="D281" s="100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114"/>
        <v>0</v>
      </c>
      <c r="U281" s="47">
        <f t="shared" si="115"/>
        <v>0</v>
      </c>
      <c r="V281" s="48">
        <f t="shared" si="116"/>
        <v>0</v>
      </c>
      <c r="W281" s="49">
        <f t="shared" si="117"/>
        <v>0</v>
      </c>
      <c r="X281" s="44">
        <f t="shared" si="118"/>
        <v>0</v>
      </c>
      <c r="Y281" s="44">
        <f t="shared" si="119"/>
        <v>0</v>
      </c>
      <c r="Z281" s="44">
        <f t="shared" si="120"/>
        <v>0</v>
      </c>
      <c r="AA281" s="50">
        <f t="shared" si="121"/>
        <v>0</v>
      </c>
      <c r="AB281" s="51">
        <f t="shared" si="122"/>
        <v>0</v>
      </c>
      <c r="AC281" s="44">
        <f t="shared" si="123"/>
        <v>0</v>
      </c>
      <c r="AD281" s="44">
        <f t="shared" si="124"/>
        <v>0</v>
      </c>
      <c r="AE281" s="44">
        <f t="shared" si="125"/>
        <v>0</v>
      </c>
      <c r="AF281" s="52" t="e">
        <f>HLOOKUP(I281,ElecAvoidedCostsWOCC!$A$5:$Q$50,G281+1,FALSE)</f>
        <v>#N/A</v>
      </c>
      <c r="AG281" s="44" t="e">
        <f t="shared" si="126"/>
        <v>#N/A</v>
      </c>
      <c r="AH281" s="52" t="e">
        <f>HLOOKUP(I281,ElecAvoidedCostsWOCC!$A$5:$Q$50,T281+1,FALSE)</f>
        <v>#N/A</v>
      </c>
      <c r="AI281" s="44" t="e">
        <f t="shared" si="127"/>
        <v>#N/A</v>
      </c>
      <c r="AJ281" s="44" t="e">
        <f t="shared" si="128"/>
        <v>#N/A</v>
      </c>
      <c r="AK281" s="44" t="e">
        <f>HLOOKUP(I281,ElecAvoidedCostsWOCC!$A$5:$Q$50,G281+1,FALSE)*J281*L281</f>
        <v>#N/A</v>
      </c>
      <c r="AL281" s="44" t="e">
        <f t="shared" si="129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30"/>
        <v>0</v>
      </c>
      <c r="AO281" s="47">
        <f t="shared" si="131"/>
        <v>0</v>
      </c>
      <c r="AP281" s="47" t="e">
        <f t="shared" si="132"/>
        <v>#DIV/0!</v>
      </c>
    </row>
    <row r="282" spans="2:42">
      <c r="B282" s="97" t="s">
        <v>15</v>
      </c>
      <c r="C282" s="100"/>
      <c r="D282" s="100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114"/>
        <v>0</v>
      </c>
      <c r="U282" s="47">
        <f t="shared" si="115"/>
        <v>0</v>
      </c>
      <c r="V282" s="48">
        <f t="shared" si="116"/>
        <v>0</v>
      </c>
      <c r="W282" s="49">
        <f t="shared" si="117"/>
        <v>0</v>
      </c>
      <c r="X282" s="44">
        <f t="shared" si="118"/>
        <v>0</v>
      </c>
      <c r="Y282" s="44">
        <f t="shared" si="119"/>
        <v>0</v>
      </c>
      <c r="Z282" s="44">
        <f t="shared" si="120"/>
        <v>0</v>
      </c>
      <c r="AA282" s="50">
        <f t="shared" si="121"/>
        <v>0</v>
      </c>
      <c r="AB282" s="51">
        <f t="shared" si="122"/>
        <v>0</v>
      </c>
      <c r="AC282" s="44">
        <f t="shared" si="123"/>
        <v>0</v>
      </c>
      <c r="AD282" s="44">
        <f t="shared" si="124"/>
        <v>0</v>
      </c>
      <c r="AE282" s="44">
        <f t="shared" si="125"/>
        <v>0</v>
      </c>
      <c r="AF282" s="52" t="e">
        <f>HLOOKUP(I282,ElecAvoidedCostsWOCC!$A$5:$Q$50,G282+1,FALSE)</f>
        <v>#N/A</v>
      </c>
      <c r="AG282" s="44" t="e">
        <f t="shared" si="126"/>
        <v>#N/A</v>
      </c>
      <c r="AH282" s="52" t="e">
        <f>HLOOKUP(I282,ElecAvoidedCostsWOCC!$A$5:$Q$50,T282+1,FALSE)</f>
        <v>#N/A</v>
      </c>
      <c r="AI282" s="44" t="e">
        <f t="shared" si="127"/>
        <v>#N/A</v>
      </c>
      <c r="AJ282" s="44" t="e">
        <f t="shared" si="128"/>
        <v>#N/A</v>
      </c>
      <c r="AK282" s="44" t="e">
        <f>HLOOKUP(I282,ElecAvoidedCostsWOCC!$A$5:$Q$50,G282+1,FALSE)*J282*L282</f>
        <v>#N/A</v>
      </c>
      <c r="AL282" s="44" t="e">
        <f t="shared" si="129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30"/>
        <v>0</v>
      </c>
      <c r="AO282" s="47">
        <f t="shared" si="131"/>
        <v>0</v>
      </c>
      <c r="AP282" s="47" t="e">
        <f t="shared" si="132"/>
        <v>#DIV/0!</v>
      </c>
    </row>
    <row r="283" spans="2:42">
      <c r="B283" s="97" t="s">
        <v>15</v>
      </c>
      <c r="C283" s="100"/>
      <c r="D283" s="100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114"/>
        <v>0</v>
      </c>
      <c r="U283" s="47">
        <f t="shared" si="115"/>
        <v>0</v>
      </c>
      <c r="V283" s="48">
        <f t="shared" si="116"/>
        <v>0</v>
      </c>
      <c r="W283" s="49">
        <f t="shared" si="117"/>
        <v>0</v>
      </c>
      <c r="X283" s="44">
        <f t="shared" si="118"/>
        <v>0</v>
      </c>
      <c r="Y283" s="44">
        <f t="shared" si="119"/>
        <v>0</v>
      </c>
      <c r="Z283" s="44">
        <f t="shared" si="120"/>
        <v>0</v>
      </c>
      <c r="AA283" s="50">
        <f t="shared" si="121"/>
        <v>0</v>
      </c>
      <c r="AB283" s="51">
        <f t="shared" si="122"/>
        <v>0</v>
      </c>
      <c r="AC283" s="44">
        <f t="shared" si="123"/>
        <v>0</v>
      </c>
      <c r="AD283" s="44">
        <f t="shared" si="124"/>
        <v>0</v>
      </c>
      <c r="AE283" s="44">
        <f t="shared" si="125"/>
        <v>0</v>
      </c>
      <c r="AF283" s="52" t="e">
        <f>HLOOKUP(I283,ElecAvoidedCostsWOCC!$A$5:$Q$50,G283+1,FALSE)</f>
        <v>#N/A</v>
      </c>
      <c r="AG283" s="44" t="e">
        <f t="shared" si="126"/>
        <v>#N/A</v>
      </c>
      <c r="AH283" s="52" t="e">
        <f>HLOOKUP(I283,ElecAvoidedCostsWOCC!$A$5:$Q$50,T283+1,FALSE)</f>
        <v>#N/A</v>
      </c>
      <c r="AI283" s="44" t="e">
        <f t="shared" si="127"/>
        <v>#N/A</v>
      </c>
      <c r="AJ283" s="44" t="e">
        <f t="shared" si="128"/>
        <v>#N/A</v>
      </c>
      <c r="AK283" s="44" t="e">
        <f>HLOOKUP(I283,ElecAvoidedCostsWOCC!$A$5:$Q$50,G283+1,FALSE)*J283*L283</f>
        <v>#N/A</v>
      </c>
      <c r="AL283" s="44" t="e">
        <f t="shared" si="129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30"/>
        <v>0</v>
      </c>
      <c r="AO283" s="47">
        <f t="shared" si="131"/>
        <v>0</v>
      </c>
      <c r="AP283" s="47" t="e">
        <f t="shared" si="132"/>
        <v>#DIV/0!</v>
      </c>
    </row>
    <row r="284" spans="2:42">
      <c r="B284" s="97" t="s">
        <v>15</v>
      </c>
      <c r="C284" s="100"/>
      <c r="D284" s="100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114"/>
        <v>0</v>
      </c>
      <c r="U284" s="47">
        <f t="shared" si="115"/>
        <v>0</v>
      </c>
      <c r="V284" s="48">
        <f t="shared" si="116"/>
        <v>0</v>
      </c>
      <c r="W284" s="49">
        <f t="shared" si="117"/>
        <v>0</v>
      </c>
      <c r="X284" s="44">
        <f t="shared" si="118"/>
        <v>0</v>
      </c>
      <c r="Y284" s="44">
        <f t="shared" si="119"/>
        <v>0</v>
      </c>
      <c r="Z284" s="44">
        <f t="shared" si="120"/>
        <v>0</v>
      </c>
      <c r="AA284" s="50">
        <f t="shared" si="121"/>
        <v>0</v>
      </c>
      <c r="AB284" s="51">
        <f t="shared" si="122"/>
        <v>0</v>
      </c>
      <c r="AC284" s="44">
        <f t="shared" si="123"/>
        <v>0</v>
      </c>
      <c r="AD284" s="44">
        <f t="shared" si="124"/>
        <v>0</v>
      </c>
      <c r="AE284" s="44">
        <f t="shared" si="125"/>
        <v>0</v>
      </c>
      <c r="AF284" s="52" t="e">
        <f>HLOOKUP(I284,ElecAvoidedCostsWOCC!$A$5:$Q$50,G284+1,FALSE)</f>
        <v>#N/A</v>
      </c>
      <c r="AG284" s="44" t="e">
        <f t="shared" si="126"/>
        <v>#N/A</v>
      </c>
      <c r="AH284" s="52" t="e">
        <f>HLOOKUP(I284,ElecAvoidedCostsWOCC!$A$5:$Q$50,T284+1,FALSE)</f>
        <v>#N/A</v>
      </c>
      <c r="AI284" s="44" t="e">
        <f t="shared" si="127"/>
        <v>#N/A</v>
      </c>
      <c r="AJ284" s="44" t="e">
        <f t="shared" si="128"/>
        <v>#N/A</v>
      </c>
      <c r="AK284" s="44" t="e">
        <f>HLOOKUP(I284,ElecAvoidedCostsWOCC!$A$5:$Q$50,G284+1,FALSE)*J284*L284</f>
        <v>#N/A</v>
      </c>
      <c r="AL284" s="44" t="e">
        <f t="shared" si="129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30"/>
        <v>0</v>
      </c>
      <c r="AO284" s="47">
        <f t="shared" si="131"/>
        <v>0</v>
      </c>
      <c r="AP284" s="47" t="e">
        <f t="shared" si="132"/>
        <v>#DIV/0!</v>
      </c>
    </row>
    <row r="285" spans="2:42">
      <c r="B285" s="97" t="s">
        <v>15</v>
      </c>
      <c r="C285" s="100"/>
      <c r="D285" s="100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114"/>
        <v>0</v>
      </c>
      <c r="U285" s="47">
        <f t="shared" si="115"/>
        <v>0</v>
      </c>
      <c r="V285" s="48">
        <f t="shared" si="116"/>
        <v>0</v>
      </c>
      <c r="W285" s="49">
        <f t="shared" si="117"/>
        <v>0</v>
      </c>
      <c r="X285" s="44">
        <f t="shared" si="118"/>
        <v>0</v>
      </c>
      <c r="Y285" s="44">
        <f t="shared" si="119"/>
        <v>0</v>
      </c>
      <c r="Z285" s="44">
        <f t="shared" si="120"/>
        <v>0</v>
      </c>
      <c r="AA285" s="50">
        <f t="shared" si="121"/>
        <v>0</v>
      </c>
      <c r="AB285" s="51">
        <f t="shared" si="122"/>
        <v>0</v>
      </c>
      <c r="AC285" s="44">
        <f t="shared" si="123"/>
        <v>0</v>
      </c>
      <c r="AD285" s="44">
        <f t="shared" si="124"/>
        <v>0</v>
      </c>
      <c r="AE285" s="44">
        <f t="shared" si="125"/>
        <v>0</v>
      </c>
      <c r="AF285" s="52" t="e">
        <f>HLOOKUP(I285,ElecAvoidedCostsWOCC!$A$5:$Q$50,G285+1,FALSE)</f>
        <v>#N/A</v>
      </c>
      <c r="AG285" s="44" t="e">
        <f t="shared" si="126"/>
        <v>#N/A</v>
      </c>
      <c r="AH285" s="52" t="e">
        <f>HLOOKUP(I285,ElecAvoidedCostsWOCC!$A$5:$Q$50,T285+1,FALSE)</f>
        <v>#N/A</v>
      </c>
      <c r="AI285" s="44" t="e">
        <f t="shared" si="127"/>
        <v>#N/A</v>
      </c>
      <c r="AJ285" s="44" t="e">
        <f t="shared" si="128"/>
        <v>#N/A</v>
      </c>
      <c r="AK285" s="44" t="e">
        <f>HLOOKUP(I285,ElecAvoidedCostsWOCC!$A$5:$Q$50,G285+1,FALSE)*J285*L285</f>
        <v>#N/A</v>
      </c>
      <c r="AL285" s="44" t="e">
        <f t="shared" si="129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30"/>
        <v>0</v>
      </c>
      <c r="AO285" s="47">
        <f t="shared" si="131"/>
        <v>0</v>
      </c>
      <c r="AP285" s="47" t="e">
        <f t="shared" si="132"/>
        <v>#DIV/0!</v>
      </c>
    </row>
    <row r="286" spans="2:42">
      <c r="B286" s="97" t="s">
        <v>15</v>
      </c>
      <c r="C286" s="100"/>
      <c r="D286" s="100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114"/>
        <v>0</v>
      </c>
      <c r="U286" s="47">
        <f t="shared" si="115"/>
        <v>0</v>
      </c>
      <c r="V286" s="48">
        <f t="shared" si="116"/>
        <v>0</v>
      </c>
      <c r="W286" s="49">
        <f t="shared" si="117"/>
        <v>0</v>
      </c>
      <c r="X286" s="44">
        <f t="shared" si="118"/>
        <v>0</v>
      </c>
      <c r="Y286" s="44">
        <f t="shared" si="119"/>
        <v>0</v>
      </c>
      <c r="Z286" s="44">
        <f t="shared" si="120"/>
        <v>0</v>
      </c>
      <c r="AA286" s="50">
        <f t="shared" si="121"/>
        <v>0</v>
      </c>
      <c r="AB286" s="51">
        <f t="shared" si="122"/>
        <v>0</v>
      </c>
      <c r="AC286" s="44">
        <f t="shared" si="123"/>
        <v>0</v>
      </c>
      <c r="AD286" s="44">
        <f t="shared" si="124"/>
        <v>0</v>
      </c>
      <c r="AE286" s="44">
        <f t="shared" si="125"/>
        <v>0</v>
      </c>
      <c r="AF286" s="52" t="e">
        <f>HLOOKUP(I286,ElecAvoidedCostsWOCC!$A$5:$Q$50,G286+1,FALSE)</f>
        <v>#N/A</v>
      </c>
      <c r="AG286" s="44" t="e">
        <f t="shared" si="126"/>
        <v>#N/A</v>
      </c>
      <c r="AH286" s="52" t="e">
        <f>HLOOKUP(I286,ElecAvoidedCostsWOCC!$A$5:$Q$50,T286+1,FALSE)</f>
        <v>#N/A</v>
      </c>
      <c r="AI286" s="44" t="e">
        <f t="shared" si="127"/>
        <v>#N/A</v>
      </c>
      <c r="AJ286" s="44" t="e">
        <f t="shared" si="128"/>
        <v>#N/A</v>
      </c>
      <c r="AK286" s="44" t="e">
        <f>HLOOKUP(I286,ElecAvoidedCostsWOCC!$A$5:$Q$50,G286+1,FALSE)*J286*L286</f>
        <v>#N/A</v>
      </c>
      <c r="AL286" s="44" t="e">
        <f t="shared" si="129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30"/>
        <v>0</v>
      </c>
      <c r="AO286" s="47">
        <f t="shared" si="131"/>
        <v>0</v>
      </c>
      <c r="AP286" s="47" t="e">
        <f t="shared" si="132"/>
        <v>#DIV/0!</v>
      </c>
    </row>
    <row r="287" spans="2:42">
      <c r="B287" s="97" t="s">
        <v>15</v>
      </c>
      <c r="C287" s="100"/>
      <c r="D287" s="100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114"/>
        <v>0</v>
      </c>
      <c r="U287" s="47">
        <f t="shared" si="115"/>
        <v>0</v>
      </c>
      <c r="V287" s="48">
        <f t="shared" si="116"/>
        <v>0</v>
      </c>
      <c r="W287" s="49">
        <f t="shared" si="117"/>
        <v>0</v>
      </c>
      <c r="X287" s="44">
        <f t="shared" si="118"/>
        <v>0</v>
      </c>
      <c r="Y287" s="44">
        <f t="shared" si="119"/>
        <v>0</v>
      </c>
      <c r="Z287" s="44">
        <f t="shared" si="120"/>
        <v>0</v>
      </c>
      <c r="AA287" s="50">
        <f t="shared" si="121"/>
        <v>0</v>
      </c>
      <c r="AB287" s="51">
        <f t="shared" si="122"/>
        <v>0</v>
      </c>
      <c r="AC287" s="44">
        <f t="shared" si="123"/>
        <v>0</v>
      </c>
      <c r="AD287" s="44">
        <f t="shared" si="124"/>
        <v>0</v>
      </c>
      <c r="AE287" s="44">
        <f t="shared" si="125"/>
        <v>0</v>
      </c>
      <c r="AF287" s="52" t="e">
        <f>HLOOKUP(I287,ElecAvoidedCostsWOCC!$A$5:$Q$50,G287+1,FALSE)</f>
        <v>#N/A</v>
      </c>
      <c r="AG287" s="44" t="e">
        <f t="shared" si="126"/>
        <v>#N/A</v>
      </c>
      <c r="AH287" s="52" t="e">
        <f>HLOOKUP(I287,ElecAvoidedCostsWOCC!$A$5:$Q$50,T287+1,FALSE)</f>
        <v>#N/A</v>
      </c>
      <c r="AI287" s="44" t="e">
        <f t="shared" si="127"/>
        <v>#N/A</v>
      </c>
      <c r="AJ287" s="44" t="e">
        <f t="shared" si="128"/>
        <v>#N/A</v>
      </c>
      <c r="AK287" s="44" t="e">
        <f>HLOOKUP(I287,ElecAvoidedCostsWOCC!$A$5:$Q$50,G287+1,FALSE)*J287*L287</f>
        <v>#N/A</v>
      </c>
      <c r="AL287" s="44" t="e">
        <f t="shared" si="129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30"/>
        <v>0</v>
      </c>
      <c r="AO287" s="47">
        <f t="shared" si="131"/>
        <v>0</v>
      </c>
      <c r="AP287" s="47" t="e">
        <f t="shared" si="132"/>
        <v>#DIV/0!</v>
      </c>
    </row>
    <row r="288" spans="2:42">
      <c r="B288" s="97" t="s">
        <v>15</v>
      </c>
      <c r="C288" s="100"/>
      <c r="D288" s="100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114"/>
        <v>0</v>
      </c>
      <c r="U288" s="47">
        <f t="shared" si="115"/>
        <v>0</v>
      </c>
      <c r="V288" s="48">
        <f t="shared" si="116"/>
        <v>0</v>
      </c>
      <c r="W288" s="49">
        <f t="shared" si="117"/>
        <v>0</v>
      </c>
      <c r="X288" s="44">
        <f t="shared" si="118"/>
        <v>0</v>
      </c>
      <c r="Y288" s="44">
        <f t="shared" si="119"/>
        <v>0</v>
      </c>
      <c r="Z288" s="44">
        <f t="shared" si="120"/>
        <v>0</v>
      </c>
      <c r="AA288" s="50">
        <f t="shared" si="121"/>
        <v>0</v>
      </c>
      <c r="AB288" s="51">
        <f t="shared" si="122"/>
        <v>0</v>
      </c>
      <c r="AC288" s="44">
        <f t="shared" si="123"/>
        <v>0</v>
      </c>
      <c r="AD288" s="44">
        <f t="shared" si="124"/>
        <v>0</v>
      </c>
      <c r="AE288" s="44">
        <f t="shared" si="125"/>
        <v>0</v>
      </c>
      <c r="AF288" s="52" t="e">
        <f>HLOOKUP(I288,ElecAvoidedCostsWOCC!$A$5:$Q$50,G288+1,FALSE)</f>
        <v>#N/A</v>
      </c>
      <c r="AG288" s="44" t="e">
        <f t="shared" si="126"/>
        <v>#N/A</v>
      </c>
      <c r="AH288" s="52" t="e">
        <f>HLOOKUP(I288,ElecAvoidedCostsWOCC!$A$5:$Q$50,T288+1,FALSE)</f>
        <v>#N/A</v>
      </c>
      <c r="AI288" s="44" t="e">
        <f t="shared" si="127"/>
        <v>#N/A</v>
      </c>
      <c r="AJ288" s="44" t="e">
        <f t="shared" si="128"/>
        <v>#N/A</v>
      </c>
      <c r="AK288" s="44" t="e">
        <f>HLOOKUP(I288,ElecAvoidedCostsWOCC!$A$5:$Q$50,G288+1,FALSE)*J288*L288</f>
        <v>#N/A</v>
      </c>
      <c r="AL288" s="44" t="e">
        <f t="shared" si="129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30"/>
        <v>0</v>
      </c>
      <c r="AO288" s="47">
        <f t="shared" si="131"/>
        <v>0</v>
      </c>
      <c r="AP288" s="47" t="e">
        <f t="shared" si="132"/>
        <v>#DIV/0!</v>
      </c>
    </row>
    <row r="289" spans="2:42">
      <c r="B289" s="97" t="s">
        <v>15</v>
      </c>
      <c r="C289" s="100"/>
      <c r="D289" s="100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114"/>
        <v>0</v>
      </c>
      <c r="U289" s="47">
        <f t="shared" si="115"/>
        <v>0</v>
      </c>
      <c r="V289" s="48">
        <f t="shared" si="116"/>
        <v>0</v>
      </c>
      <c r="W289" s="49">
        <f t="shared" si="117"/>
        <v>0</v>
      </c>
      <c r="X289" s="44">
        <f t="shared" si="118"/>
        <v>0</v>
      </c>
      <c r="Y289" s="44">
        <f t="shared" si="119"/>
        <v>0</v>
      </c>
      <c r="Z289" s="44">
        <f t="shared" si="120"/>
        <v>0</v>
      </c>
      <c r="AA289" s="50">
        <f t="shared" si="121"/>
        <v>0</v>
      </c>
      <c r="AB289" s="51">
        <f t="shared" si="122"/>
        <v>0</v>
      </c>
      <c r="AC289" s="44">
        <f t="shared" si="123"/>
        <v>0</v>
      </c>
      <c r="AD289" s="44">
        <f t="shared" si="124"/>
        <v>0</v>
      </c>
      <c r="AE289" s="44">
        <f t="shared" si="125"/>
        <v>0</v>
      </c>
      <c r="AF289" s="52" t="e">
        <f>HLOOKUP(I289,ElecAvoidedCostsWOCC!$A$5:$Q$50,G289+1,FALSE)</f>
        <v>#N/A</v>
      </c>
      <c r="AG289" s="44" t="e">
        <f t="shared" si="126"/>
        <v>#N/A</v>
      </c>
      <c r="AH289" s="52" t="e">
        <f>HLOOKUP(I289,ElecAvoidedCostsWOCC!$A$5:$Q$50,T289+1,FALSE)</f>
        <v>#N/A</v>
      </c>
      <c r="AI289" s="44" t="e">
        <f t="shared" si="127"/>
        <v>#N/A</v>
      </c>
      <c r="AJ289" s="44" t="e">
        <f t="shared" si="128"/>
        <v>#N/A</v>
      </c>
      <c r="AK289" s="44" t="e">
        <f>HLOOKUP(I289,ElecAvoidedCostsWOCC!$A$5:$Q$50,G289+1,FALSE)*J289*L289</f>
        <v>#N/A</v>
      </c>
      <c r="AL289" s="44" t="e">
        <f t="shared" si="129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30"/>
        <v>0</v>
      </c>
      <c r="AO289" s="47">
        <f t="shared" si="131"/>
        <v>0</v>
      </c>
      <c r="AP289" s="47" t="e">
        <f t="shared" si="132"/>
        <v>#DIV/0!</v>
      </c>
    </row>
    <row r="290" spans="2:42">
      <c r="B290" s="97" t="s">
        <v>15</v>
      </c>
      <c r="C290" s="100"/>
      <c r="D290" s="100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114"/>
        <v>0</v>
      </c>
      <c r="U290" s="47">
        <f t="shared" si="115"/>
        <v>0</v>
      </c>
      <c r="V290" s="48">
        <f t="shared" si="116"/>
        <v>0</v>
      </c>
      <c r="W290" s="49">
        <f t="shared" si="117"/>
        <v>0</v>
      </c>
      <c r="X290" s="44">
        <f t="shared" si="118"/>
        <v>0</v>
      </c>
      <c r="Y290" s="44">
        <f t="shared" si="119"/>
        <v>0</v>
      </c>
      <c r="Z290" s="44">
        <f t="shared" si="120"/>
        <v>0</v>
      </c>
      <c r="AA290" s="50">
        <f t="shared" si="121"/>
        <v>0</v>
      </c>
      <c r="AB290" s="51">
        <f t="shared" si="122"/>
        <v>0</v>
      </c>
      <c r="AC290" s="44">
        <f t="shared" si="123"/>
        <v>0</v>
      </c>
      <c r="AD290" s="44">
        <f t="shared" si="124"/>
        <v>0</v>
      </c>
      <c r="AE290" s="44">
        <f t="shared" si="125"/>
        <v>0</v>
      </c>
      <c r="AF290" s="52" t="e">
        <f>HLOOKUP(I290,ElecAvoidedCostsWOCC!$A$5:$Q$50,G290+1,FALSE)</f>
        <v>#N/A</v>
      </c>
      <c r="AG290" s="44" t="e">
        <f t="shared" si="126"/>
        <v>#N/A</v>
      </c>
      <c r="AH290" s="52" t="e">
        <f>HLOOKUP(I290,ElecAvoidedCostsWOCC!$A$5:$Q$50,T290+1,FALSE)</f>
        <v>#N/A</v>
      </c>
      <c r="AI290" s="44" t="e">
        <f t="shared" si="127"/>
        <v>#N/A</v>
      </c>
      <c r="AJ290" s="44" t="e">
        <f t="shared" si="128"/>
        <v>#N/A</v>
      </c>
      <c r="AK290" s="44" t="e">
        <f>HLOOKUP(I290,ElecAvoidedCostsWOCC!$A$5:$Q$50,G290+1,FALSE)*J290*L290</f>
        <v>#N/A</v>
      </c>
      <c r="AL290" s="44" t="e">
        <f t="shared" si="129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30"/>
        <v>0</v>
      </c>
      <c r="AO290" s="47">
        <f t="shared" si="131"/>
        <v>0</v>
      </c>
      <c r="AP290" s="47" t="e">
        <f t="shared" si="132"/>
        <v>#DIV/0!</v>
      </c>
    </row>
    <row r="291" spans="2:42">
      <c r="B291" s="97" t="s">
        <v>15</v>
      </c>
      <c r="C291" s="100"/>
      <c r="D291" s="100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114"/>
        <v>0</v>
      </c>
      <c r="U291" s="47">
        <f t="shared" si="115"/>
        <v>0</v>
      </c>
      <c r="V291" s="48">
        <f t="shared" si="116"/>
        <v>0</v>
      </c>
      <c r="W291" s="49">
        <f t="shared" si="117"/>
        <v>0</v>
      </c>
      <c r="X291" s="44">
        <f t="shared" si="118"/>
        <v>0</v>
      </c>
      <c r="Y291" s="44">
        <f t="shared" si="119"/>
        <v>0</v>
      </c>
      <c r="Z291" s="44">
        <f t="shared" si="120"/>
        <v>0</v>
      </c>
      <c r="AA291" s="50">
        <f t="shared" si="121"/>
        <v>0</v>
      </c>
      <c r="AB291" s="51">
        <f t="shared" si="122"/>
        <v>0</v>
      </c>
      <c r="AC291" s="44">
        <f t="shared" si="123"/>
        <v>0</v>
      </c>
      <c r="AD291" s="44">
        <f t="shared" si="124"/>
        <v>0</v>
      </c>
      <c r="AE291" s="44">
        <f t="shared" si="125"/>
        <v>0</v>
      </c>
      <c r="AF291" s="52" t="e">
        <f>HLOOKUP(I291,ElecAvoidedCostsWOCC!$A$5:$Q$50,G291+1,FALSE)</f>
        <v>#N/A</v>
      </c>
      <c r="AG291" s="44" t="e">
        <f t="shared" si="126"/>
        <v>#N/A</v>
      </c>
      <c r="AH291" s="52" t="e">
        <f>HLOOKUP(I291,ElecAvoidedCostsWOCC!$A$5:$Q$50,T291+1,FALSE)</f>
        <v>#N/A</v>
      </c>
      <c r="AI291" s="44" t="e">
        <f t="shared" si="127"/>
        <v>#N/A</v>
      </c>
      <c r="AJ291" s="44" t="e">
        <f t="shared" si="128"/>
        <v>#N/A</v>
      </c>
      <c r="AK291" s="44" t="e">
        <f>HLOOKUP(I291,ElecAvoidedCostsWOCC!$A$5:$Q$50,G291+1,FALSE)*J291*L291</f>
        <v>#N/A</v>
      </c>
      <c r="AL291" s="44" t="e">
        <f t="shared" si="129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30"/>
        <v>0</v>
      </c>
      <c r="AO291" s="47">
        <f t="shared" si="131"/>
        <v>0</v>
      </c>
      <c r="AP291" s="47" t="e">
        <f t="shared" si="132"/>
        <v>#DIV/0!</v>
      </c>
    </row>
    <row r="292" spans="2:42">
      <c r="B292" s="97" t="s">
        <v>15</v>
      </c>
      <c r="C292" s="100"/>
      <c r="D292" s="100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114"/>
        <v>0</v>
      </c>
      <c r="U292" s="47">
        <f t="shared" si="115"/>
        <v>0</v>
      </c>
      <c r="V292" s="48">
        <f t="shared" si="116"/>
        <v>0</v>
      </c>
      <c r="W292" s="49">
        <f t="shared" si="117"/>
        <v>0</v>
      </c>
      <c r="X292" s="44">
        <f t="shared" si="118"/>
        <v>0</v>
      </c>
      <c r="Y292" s="44">
        <f t="shared" si="119"/>
        <v>0</v>
      </c>
      <c r="Z292" s="44">
        <f t="shared" si="120"/>
        <v>0</v>
      </c>
      <c r="AA292" s="50">
        <f t="shared" si="121"/>
        <v>0</v>
      </c>
      <c r="AB292" s="51">
        <f t="shared" si="122"/>
        <v>0</v>
      </c>
      <c r="AC292" s="44">
        <f t="shared" si="123"/>
        <v>0</v>
      </c>
      <c r="AD292" s="44">
        <f t="shared" si="124"/>
        <v>0</v>
      </c>
      <c r="AE292" s="44">
        <f t="shared" si="125"/>
        <v>0</v>
      </c>
      <c r="AF292" s="52" t="e">
        <f>HLOOKUP(I292,ElecAvoidedCostsWOCC!$A$5:$Q$50,G292+1,FALSE)</f>
        <v>#N/A</v>
      </c>
      <c r="AG292" s="44" t="e">
        <f t="shared" si="126"/>
        <v>#N/A</v>
      </c>
      <c r="AH292" s="52" t="e">
        <f>HLOOKUP(I292,ElecAvoidedCostsWOCC!$A$5:$Q$50,T292+1,FALSE)</f>
        <v>#N/A</v>
      </c>
      <c r="AI292" s="44" t="e">
        <f t="shared" si="127"/>
        <v>#N/A</v>
      </c>
      <c r="AJ292" s="44" t="e">
        <f t="shared" si="128"/>
        <v>#N/A</v>
      </c>
      <c r="AK292" s="44" t="e">
        <f>HLOOKUP(I292,ElecAvoidedCostsWOCC!$A$5:$Q$50,G292+1,FALSE)*J292*L292</f>
        <v>#N/A</v>
      </c>
      <c r="AL292" s="44" t="e">
        <f t="shared" si="129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30"/>
        <v>0</v>
      </c>
      <c r="AO292" s="47">
        <f t="shared" si="131"/>
        <v>0</v>
      </c>
      <c r="AP292" s="47" t="e">
        <f t="shared" si="132"/>
        <v>#DIV/0!</v>
      </c>
    </row>
    <row r="293" spans="2:42">
      <c r="B293" s="97" t="s">
        <v>15</v>
      </c>
      <c r="C293" s="100"/>
      <c r="D293" s="100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114"/>
        <v>0</v>
      </c>
      <c r="U293" s="47">
        <f t="shared" si="115"/>
        <v>0</v>
      </c>
      <c r="V293" s="48">
        <f t="shared" si="116"/>
        <v>0</v>
      </c>
      <c r="W293" s="49">
        <f t="shared" si="117"/>
        <v>0</v>
      </c>
      <c r="X293" s="44">
        <f t="shared" si="118"/>
        <v>0</v>
      </c>
      <c r="Y293" s="44">
        <f t="shared" si="119"/>
        <v>0</v>
      </c>
      <c r="Z293" s="44">
        <f t="shared" si="120"/>
        <v>0</v>
      </c>
      <c r="AA293" s="50">
        <f t="shared" si="121"/>
        <v>0</v>
      </c>
      <c r="AB293" s="51">
        <f t="shared" si="122"/>
        <v>0</v>
      </c>
      <c r="AC293" s="44">
        <f t="shared" si="123"/>
        <v>0</v>
      </c>
      <c r="AD293" s="44">
        <f t="shared" si="124"/>
        <v>0</v>
      </c>
      <c r="AE293" s="44">
        <f t="shared" si="125"/>
        <v>0</v>
      </c>
      <c r="AF293" s="52" t="e">
        <f>HLOOKUP(I293,ElecAvoidedCostsWOCC!$A$5:$Q$50,G293+1,FALSE)</f>
        <v>#N/A</v>
      </c>
      <c r="AG293" s="44" t="e">
        <f t="shared" si="126"/>
        <v>#N/A</v>
      </c>
      <c r="AH293" s="52" t="e">
        <f>HLOOKUP(I293,ElecAvoidedCostsWOCC!$A$5:$Q$50,T293+1,FALSE)</f>
        <v>#N/A</v>
      </c>
      <c r="AI293" s="44" t="e">
        <f t="shared" si="127"/>
        <v>#N/A</v>
      </c>
      <c r="AJ293" s="44" t="e">
        <f t="shared" si="128"/>
        <v>#N/A</v>
      </c>
      <c r="AK293" s="44" t="e">
        <f>HLOOKUP(I293,ElecAvoidedCostsWOCC!$A$5:$Q$50,G293+1,FALSE)*J293*L293</f>
        <v>#N/A</v>
      </c>
      <c r="AL293" s="44" t="e">
        <f t="shared" si="129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30"/>
        <v>0</v>
      </c>
      <c r="AO293" s="47">
        <f t="shared" si="131"/>
        <v>0</v>
      </c>
      <c r="AP293" s="47" t="e">
        <f t="shared" si="132"/>
        <v>#DIV/0!</v>
      </c>
    </row>
    <row r="294" spans="2:42">
      <c r="B294" s="97" t="s">
        <v>15</v>
      </c>
      <c r="C294" s="100"/>
      <c r="D294" s="100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114"/>
        <v>0</v>
      </c>
      <c r="U294" s="47">
        <f t="shared" si="115"/>
        <v>0</v>
      </c>
      <c r="V294" s="48">
        <f t="shared" si="116"/>
        <v>0</v>
      </c>
      <c r="W294" s="49">
        <f t="shared" si="117"/>
        <v>0</v>
      </c>
      <c r="X294" s="44">
        <f t="shared" si="118"/>
        <v>0</v>
      </c>
      <c r="Y294" s="44">
        <f t="shared" si="119"/>
        <v>0</v>
      </c>
      <c r="Z294" s="44">
        <f t="shared" si="120"/>
        <v>0</v>
      </c>
      <c r="AA294" s="50">
        <f t="shared" si="121"/>
        <v>0</v>
      </c>
      <c r="AB294" s="51">
        <f t="shared" si="122"/>
        <v>0</v>
      </c>
      <c r="AC294" s="44">
        <f t="shared" si="123"/>
        <v>0</v>
      </c>
      <c r="AD294" s="44">
        <f t="shared" si="124"/>
        <v>0</v>
      </c>
      <c r="AE294" s="44">
        <f t="shared" si="125"/>
        <v>0</v>
      </c>
      <c r="AF294" s="52" t="e">
        <f>HLOOKUP(I294,ElecAvoidedCostsWOCC!$A$5:$Q$50,G294+1,FALSE)</f>
        <v>#N/A</v>
      </c>
      <c r="AG294" s="44" t="e">
        <f t="shared" si="126"/>
        <v>#N/A</v>
      </c>
      <c r="AH294" s="52" t="e">
        <f>HLOOKUP(I294,ElecAvoidedCostsWOCC!$A$5:$Q$50,T294+1,FALSE)</f>
        <v>#N/A</v>
      </c>
      <c r="AI294" s="44" t="e">
        <f t="shared" si="127"/>
        <v>#N/A</v>
      </c>
      <c r="AJ294" s="44" t="e">
        <f t="shared" si="128"/>
        <v>#N/A</v>
      </c>
      <c r="AK294" s="44" t="e">
        <f>HLOOKUP(I294,ElecAvoidedCostsWOCC!$A$5:$Q$50,G294+1,FALSE)*J294*L294</f>
        <v>#N/A</v>
      </c>
      <c r="AL294" s="44" t="e">
        <f t="shared" si="129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30"/>
        <v>0</v>
      </c>
      <c r="AO294" s="47">
        <f t="shared" si="131"/>
        <v>0</v>
      </c>
      <c r="AP294" s="47" t="e">
        <f t="shared" si="132"/>
        <v>#DIV/0!</v>
      </c>
    </row>
    <row r="295" spans="2:42">
      <c r="B295" s="97" t="s">
        <v>15</v>
      </c>
      <c r="C295" s="100"/>
      <c r="D295" s="100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ref="T295:T351" si="133">G295+H295</f>
        <v>0</v>
      </c>
      <c r="U295" s="47">
        <f t="shared" ref="U295:U351" si="134">(O295/$A$10)*T295</f>
        <v>0</v>
      </c>
      <c r="V295" s="48">
        <f t="shared" ref="V295:V351" si="135">N295-M295</f>
        <v>0</v>
      </c>
      <c r="W295" s="49">
        <f t="shared" ref="W295:W351" si="136">(O295/A$10)</f>
        <v>0</v>
      </c>
      <c r="X295" s="44">
        <f t="shared" ref="X295:X351" si="137">W295*A$8</f>
        <v>0</v>
      </c>
      <c r="Y295" s="44">
        <f t="shared" ref="Y295:Y351" si="138">Q295-P295</f>
        <v>0</v>
      </c>
      <c r="Z295" s="44">
        <f t="shared" ref="Z295:Z351" si="139">X295+(A$6*W295)</f>
        <v>0</v>
      </c>
      <c r="AA295" s="50">
        <f t="shared" ref="AA295:AA351" si="140">Q295+X295</f>
        <v>0</v>
      </c>
      <c r="AB295" s="51">
        <f t="shared" ref="AB295:AB351" si="141">Z295/(1+ElecDiscountRate)^1</f>
        <v>0</v>
      </c>
      <c r="AC295" s="44">
        <f t="shared" ref="AC295:AC351" si="142">AA295/(1+ElecDiscountRate)^1</f>
        <v>0</v>
      </c>
      <c r="AD295" s="44">
        <f t="shared" ref="AD295:AD351" si="143">-PV(ElecDiscountRate,T295,R295)*J295</f>
        <v>0</v>
      </c>
      <c r="AE295" s="44">
        <f t="shared" ref="AE295:AE351" si="144">-PV(ElecDiscountRate,T295,S295)*J295</f>
        <v>0</v>
      </c>
      <c r="AF295" s="52" t="e">
        <f>HLOOKUP(I295,ElecAvoidedCostsWOCC!$A$5:$Q$50,G295+1,FALSE)</f>
        <v>#N/A</v>
      </c>
      <c r="AG295" s="44" t="e">
        <f t="shared" ref="AG295:AG351" si="145">AF295*J295*K295</f>
        <v>#N/A</v>
      </c>
      <c r="AH295" s="52" t="e">
        <f>HLOOKUP(I295,ElecAvoidedCostsWOCC!$A$5:$Q$50,T295+1,FALSE)</f>
        <v>#N/A</v>
      </c>
      <c r="AI295" s="44" t="e">
        <f t="shared" ref="AI295:AI351" si="146">AH295*J295*L295</f>
        <v>#N/A</v>
      </c>
      <c r="AJ295" s="44" t="e">
        <f t="shared" ref="AJ295:AJ351" si="147">AG295+AI295</f>
        <v>#N/A</v>
      </c>
      <c r="AK295" s="44" t="e">
        <f>HLOOKUP(I295,ElecAvoidedCostsWOCC!$A$5:$Q$50,G295+1,FALSE)*J295*L295</f>
        <v>#N/A</v>
      </c>
      <c r="AL295" s="44" t="e">
        <f t="shared" ref="AL295:AL351" si="148">AG295+AI295-AK295</f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ref="AN295:AN351" si="149">AM295*1.1+AD295+AE295</f>
        <v>0</v>
      </c>
      <c r="AO295" s="47">
        <f t="shared" ref="AO295:AO351" si="150">IFERROR(AM295/AB295,0)</f>
        <v>0</v>
      </c>
      <c r="AP295" s="47" t="e">
        <f t="shared" ref="AP295:AP351" si="151">AN295/AC295</f>
        <v>#DIV/0!</v>
      </c>
    </row>
    <row r="296" spans="2:42">
      <c r="B296" s="97" t="s">
        <v>15</v>
      </c>
      <c r="C296" s="100"/>
      <c r="D296" s="100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133"/>
        <v>0</v>
      </c>
      <c r="U296" s="47">
        <f t="shared" si="134"/>
        <v>0</v>
      </c>
      <c r="V296" s="48">
        <f t="shared" si="135"/>
        <v>0</v>
      </c>
      <c r="W296" s="49">
        <f t="shared" si="136"/>
        <v>0</v>
      </c>
      <c r="X296" s="44">
        <f t="shared" si="137"/>
        <v>0</v>
      </c>
      <c r="Y296" s="44">
        <f t="shared" si="138"/>
        <v>0</v>
      </c>
      <c r="Z296" s="44">
        <f t="shared" si="139"/>
        <v>0</v>
      </c>
      <c r="AA296" s="50">
        <f t="shared" si="140"/>
        <v>0</v>
      </c>
      <c r="AB296" s="51">
        <f t="shared" si="141"/>
        <v>0</v>
      </c>
      <c r="AC296" s="44">
        <f t="shared" si="142"/>
        <v>0</v>
      </c>
      <c r="AD296" s="44">
        <f t="shared" si="143"/>
        <v>0</v>
      </c>
      <c r="AE296" s="44">
        <f t="shared" si="144"/>
        <v>0</v>
      </c>
      <c r="AF296" s="52" t="e">
        <f>HLOOKUP(I296,ElecAvoidedCostsWOCC!$A$5:$Q$50,G296+1,FALSE)</f>
        <v>#N/A</v>
      </c>
      <c r="AG296" s="44" t="e">
        <f t="shared" si="145"/>
        <v>#N/A</v>
      </c>
      <c r="AH296" s="52" t="e">
        <f>HLOOKUP(I296,ElecAvoidedCostsWOCC!$A$5:$Q$50,T296+1,FALSE)</f>
        <v>#N/A</v>
      </c>
      <c r="AI296" s="44" t="e">
        <f t="shared" si="146"/>
        <v>#N/A</v>
      </c>
      <c r="AJ296" s="44" t="e">
        <f t="shared" si="147"/>
        <v>#N/A</v>
      </c>
      <c r="AK296" s="44" t="e">
        <f>HLOOKUP(I296,ElecAvoidedCostsWOCC!$A$5:$Q$50,G296+1,FALSE)*J296*L296</f>
        <v>#N/A</v>
      </c>
      <c r="AL296" s="44" t="e">
        <f t="shared" si="148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49"/>
        <v>0</v>
      </c>
      <c r="AO296" s="47">
        <f t="shared" si="150"/>
        <v>0</v>
      </c>
      <c r="AP296" s="47" t="e">
        <f t="shared" si="151"/>
        <v>#DIV/0!</v>
      </c>
    </row>
    <row r="297" spans="2:42">
      <c r="B297" s="97" t="s">
        <v>15</v>
      </c>
      <c r="C297" s="100"/>
      <c r="D297" s="100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133"/>
        <v>0</v>
      </c>
      <c r="U297" s="47">
        <f t="shared" si="134"/>
        <v>0</v>
      </c>
      <c r="V297" s="48">
        <f t="shared" si="135"/>
        <v>0</v>
      </c>
      <c r="W297" s="49">
        <f t="shared" si="136"/>
        <v>0</v>
      </c>
      <c r="X297" s="44">
        <f t="shared" si="137"/>
        <v>0</v>
      </c>
      <c r="Y297" s="44">
        <f t="shared" si="138"/>
        <v>0</v>
      </c>
      <c r="Z297" s="44">
        <f t="shared" si="139"/>
        <v>0</v>
      </c>
      <c r="AA297" s="50">
        <f t="shared" si="140"/>
        <v>0</v>
      </c>
      <c r="AB297" s="51">
        <f t="shared" si="141"/>
        <v>0</v>
      </c>
      <c r="AC297" s="44">
        <f t="shared" si="142"/>
        <v>0</v>
      </c>
      <c r="AD297" s="44">
        <f t="shared" si="143"/>
        <v>0</v>
      </c>
      <c r="AE297" s="44">
        <f t="shared" si="144"/>
        <v>0</v>
      </c>
      <c r="AF297" s="52" t="e">
        <f>HLOOKUP(I297,ElecAvoidedCostsWOCC!$A$5:$Q$50,G297+1,FALSE)</f>
        <v>#N/A</v>
      </c>
      <c r="AG297" s="44" t="e">
        <f t="shared" si="145"/>
        <v>#N/A</v>
      </c>
      <c r="AH297" s="52" t="e">
        <f>HLOOKUP(I297,ElecAvoidedCostsWOCC!$A$5:$Q$50,T297+1,FALSE)</f>
        <v>#N/A</v>
      </c>
      <c r="AI297" s="44" t="e">
        <f t="shared" si="146"/>
        <v>#N/A</v>
      </c>
      <c r="AJ297" s="44" t="e">
        <f t="shared" si="147"/>
        <v>#N/A</v>
      </c>
      <c r="AK297" s="44" t="e">
        <f>HLOOKUP(I297,ElecAvoidedCostsWOCC!$A$5:$Q$50,G297+1,FALSE)*J297*L297</f>
        <v>#N/A</v>
      </c>
      <c r="AL297" s="44" t="e">
        <f t="shared" si="148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49"/>
        <v>0</v>
      </c>
      <c r="AO297" s="47">
        <f t="shared" si="150"/>
        <v>0</v>
      </c>
      <c r="AP297" s="47" t="e">
        <f t="shared" si="151"/>
        <v>#DIV/0!</v>
      </c>
    </row>
    <row r="298" spans="2:42">
      <c r="B298" s="97" t="s">
        <v>15</v>
      </c>
      <c r="C298" s="100"/>
      <c r="D298" s="100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133"/>
        <v>0</v>
      </c>
      <c r="U298" s="47">
        <f t="shared" si="134"/>
        <v>0</v>
      </c>
      <c r="V298" s="48">
        <f t="shared" si="135"/>
        <v>0</v>
      </c>
      <c r="W298" s="49">
        <f t="shared" si="136"/>
        <v>0</v>
      </c>
      <c r="X298" s="44">
        <f t="shared" si="137"/>
        <v>0</v>
      </c>
      <c r="Y298" s="44">
        <f t="shared" si="138"/>
        <v>0</v>
      </c>
      <c r="Z298" s="44">
        <f t="shared" si="139"/>
        <v>0</v>
      </c>
      <c r="AA298" s="50">
        <f t="shared" si="140"/>
        <v>0</v>
      </c>
      <c r="AB298" s="51">
        <f t="shared" si="141"/>
        <v>0</v>
      </c>
      <c r="AC298" s="44">
        <f t="shared" si="142"/>
        <v>0</v>
      </c>
      <c r="AD298" s="44">
        <f t="shared" si="143"/>
        <v>0</v>
      </c>
      <c r="AE298" s="44">
        <f t="shared" si="144"/>
        <v>0</v>
      </c>
      <c r="AF298" s="52" t="e">
        <f>HLOOKUP(I298,ElecAvoidedCostsWOCC!$A$5:$Q$50,G298+1,FALSE)</f>
        <v>#N/A</v>
      </c>
      <c r="AG298" s="44" t="e">
        <f t="shared" si="145"/>
        <v>#N/A</v>
      </c>
      <c r="AH298" s="52" t="e">
        <f>HLOOKUP(I298,ElecAvoidedCostsWOCC!$A$5:$Q$50,T298+1,FALSE)</f>
        <v>#N/A</v>
      </c>
      <c r="AI298" s="44" t="e">
        <f t="shared" si="146"/>
        <v>#N/A</v>
      </c>
      <c r="AJ298" s="44" t="e">
        <f t="shared" si="147"/>
        <v>#N/A</v>
      </c>
      <c r="AK298" s="44" t="e">
        <f>HLOOKUP(I298,ElecAvoidedCostsWOCC!$A$5:$Q$50,G298+1,FALSE)*J298*L298</f>
        <v>#N/A</v>
      </c>
      <c r="AL298" s="44" t="e">
        <f t="shared" si="148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49"/>
        <v>0</v>
      </c>
      <c r="AO298" s="47">
        <f t="shared" si="150"/>
        <v>0</v>
      </c>
      <c r="AP298" s="47" t="e">
        <f t="shared" si="151"/>
        <v>#DIV/0!</v>
      </c>
    </row>
    <row r="299" spans="2:42">
      <c r="B299" s="97" t="s">
        <v>15</v>
      </c>
      <c r="C299" s="100"/>
      <c r="D299" s="100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133"/>
        <v>0</v>
      </c>
      <c r="U299" s="47">
        <f t="shared" si="134"/>
        <v>0</v>
      </c>
      <c r="V299" s="48">
        <f t="shared" si="135"/>
        <v>0</v>
      </c>
      <c r="W299" s="49">
        <f t="shared" si="136"/>
        <v>0</v>
      </c>
      <c r="X299" s="44">
        <f t="shared" si="137"/>
        <v>0</v>
      </c>
      <c r="Y299" s="44">
        <f t="shared" si="138"/>
        <v>0</v>
      </c>
      <c r="Z299" s="44">
        <f t="shared" si="139"/>
        <v>0</v>
      </c>
      <c r="AA299" s="50">
        <f t="shared" si="140"/>
        <v>0</v>
      </c>
      <c r="AB299" s="51">
        <f t="shared" si="141"/>
        <v>0</v>
      </c>
      <c r="AC299" s="44">
        <f t="shared" si="142"/>
        <v>0</v>
      </c>
      <c r="AD299" s="44">
        <f t="shared" si="143"/>
        <v>0</v>
      </c>
      <c r="AE299" s="44">
        <f t="shared" si="144"/>
        <v>0</v>
      </c>
      <c r="AF299" s="52" t="e">
        <f>HLOOKUP(I299,ElecAvoidedCostsWOCC!$A$5:$Q$50,G299+1,FALSE)</f>
        <v>#N/A</v>
      </c>
      <c r="AG299" s="44" t="e">
        <f t="shared" si="145"/>
        <v>#N/A</v>
      </c>
      <c r="AH299" s="52" t="e">
        <f>HLOOKUP(I299,ElecAvoidedCostsWOCC!$A$5:$Q$50,T299+1,FALSE)</f>
        <v>#N/A</v>
      </c>
      <c r="AI299" s="44" t="e">
        <f t="shared" si="146"/>
        <v>#N/A</v>
      </c>
      <c r="AJ299" s="44" t="e">
        <f t="shared" si="147"/>
        <v>#N/A</v>
      </c>
      <c r="AK299" s="44" t="e">
        <f>HLOOKUP(I299,ElecAvoidedCostsWOCC!$A$5:$Q$50,G299+1,FALSE)*J299*L299</f>
        <v>#N/A</v>
      </c>
      <c r="AL299" s="44" t="e">
        <f t="shared" si="148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49"/>
        <v>0</v>
      </c>
      <c r="AO299" s="47">
        <f t="shared" si="150"/>
        <v>0</v>
      </c>
      <c r="AP299" s="47" t="e">
        <f t="shared" si="151"/>
        <v>#DIV/0!</v>
      </c>
    </row>
    <row r="300" spans="2:42">
      <c r="B300" s="97" t="s">
        <v>15</v>
      </c>
      <c r="C300" s="100"/>
      <c r="D300" s="100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133"/>
        <v>0</v>
      </c>
      <c r="U300" s="47">
        <f t="shared" si="134"/>
        <v>0</v>
      </c>
      <c r="V300" s="48">
        <f t="shared" si="135"/>
        <v>0</v>
      </c>
      <c r="W300" s="49">
        <f t="shared" si="136"/>
        <v>0</v>
      </c>
      <c r="X300" s="44">
        <f t="shared" si="137"/>
        <v>0</v>
      </c>
      <c r="Y300" s="44">
        <f t="shared" si="138"/>
        <v>0</v>
      </c>
      <c r="Z300" s="44">
        <f t="shared" si="139"/>
        <v>0</v>
      </c>
      <c r="AA300" s="50">
        <f t="shared" si="140"/>
        <v>0</v>
      </c>
      <c r="AB300" s="51">
        <f t="shared" si="141"/>
        <v>0</v>
      </c>
      <c r="AC300" s="44">
        <f t="shared" si="142"/>
        <v>0</v>
      </c>
      <c r="AD300" s="44">
        <f t="shared" si="143"/>
        <v>0</v>
      </c>
      <c r="AE300" s="44">
        <f t="shared" si="144"/>
        <v>0</v>
      </c>
      <c r="AF300" s="52" t="e">
        <f>HLOOKUP(I300,ElecAvoidedCostsWOCC!$A$5:$Q$50,G300+1,FALSE)</f>
        <v>#N/A</v>
      </c>
      <c r="AG300" s="44" t="e">
        <f t="shared" si="145"/>
        <v>#N/A</v>
      </c>
      <c r="AH300" s="52" t="e">
        <f>HLOOKUP(I300,ElecAvoidedCostsWOCC!$A$5:$Q$50,T300+1,FALSE)</f>
        <v>#N/A</v>
      </c>
      <c r="AI300" s="44" t="e">
        <f t="shared" si="146"/>
        <v>#N/A</v>
      </c>
      <c r="AJ300" s="44" t="e">
        <f t="shared" si="147"/>
        <v>#N/A</v>
      </c>
      <c r="AK300" s="44" t="e">
        <f>HLOOKUP(I300,ElecAvoidedCostsWOCC!$A$5:$Q$50,G300+1,FALSE)*J300*L300</f>
        <v>#N/A</v>
      </c>
      <c r="AL300" s="44" t="e">
        <f t="shared" si="148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49"/>
        <v>0</v>
      </c>
      <c r="AO300" s="47">
        <f t="shared" si="150"/>
        <v>0</v>
      </c>
      <c r="AP300" s="47" t="e">
        <f t="shared" si="151"/>
        <v>#DIV/0!</v>
      </c>
    </row>
    <row r="301" spans="2:42">
      <c r="B301" s="97" t="s">
        <v>15</v>
      </c>
      <c r="C301" s="100"/>
      <c r="D301" s="100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133"/>
        <v>0</v>
      </c>
      <c r="U301" s="47">
        <f t="shared" si="134"/>
        <v>0</v>
      </c>
      <c r="V301" s="48">
        <f t="shared" si="135"/>
        <v>0</v>
      </c>
      <c r="W301" s="49">
        <f t="shared" si="136"/>
        <v>0</v>
      </c>
      <c r="X301" s="44">
        <f t="shared" si="137"/>
        <v>0</v>
      </c>
      <c r="Y301" s="44">
        <f t="shared" si="138"/>
        <v>0</v>
      </c>
      <c r="Z301" s="44">
        <f t="shared" si="139"/>
        <v>0</v>
      </c>
      <c r="AA301" s="50">
        <f t="shared" si="140"/>
        <v>0</v>
      </c>
      <c r="AB301" s="51">
        <f t="shared" si="141"/>
        <v>0</v>
      </c>
      <c r="AC301" s="44">
        <f t="shared" si="142"/>
        <v>0</v>
      </c>
      <c r="AD301" s="44">
        <f t="shared" si="143"/>
        <v>0</v>
      </c>
      <c r="AE301" s="44">
        <f t="shared" si="144"/>
        <v>0</v>
      </c>
      <c r="AF301" s="52" t="e">
        <f>HLOOKUP(I301,ElecAvoidedCostsWOCC!$A$5:$Q$50,G301+1,FALSE)</f>
        <v>#N/A</v>
      </c>
      <c r="AG301" s="44" t="e">
        <f t="shared" si="145"/>
        <v>#N/A</v>
      </c>
      <c r="AH301" s="52" t="e">
        <f>HLOOKUP(I301,ElecAvoidedCostsWOCC!$A$5:$Q$50,T301+1,FALSE)</f>
        <v>#N/A</v>
      </c>
      <c r="AI301" s="44" t="e">
        <f t="shared" si="146"/>
        <v>#N/A</v>
      </c>
      <c r="AJ301" s="44" t="e">
        <f t="shared" si="147"/>
        <v>#N/A</v>
      </c>
      <c r="AK301" s="44" t="e">
        <f>HLOOKUP(I301,ElecAvoidedCostsWOCC!$A$5:$Q$50,G301+1,FALSE)*J301*L301</f>
        <v>#N/A</v>
      </c>
      <c r="AL301" s="44" t="e">
        <f t="shared" si="148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49"/>
        <v>0</v>
      </c>
      <c r="AO301" s="47">
        <f t="shared" si="150"/>
        <v>0</v>
      </c>
      <c r="AP301" s="47" t="e">
        <f t="shared" si="151"/>
        <v>#DIV/0!</v>
      </c>
    </row>
    <row r="302" spans="2:42">
      <c r="B302" s="97" t="s">
        <v>15</v>
      </c>
      <c r="C302" s="100"/>
      <c r="D302" s="100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133"/>
        <v>0</v>
      </c>
      <c r="U302" s="47">
        <f t="shared" si="134"/>
        <v>0</v>
      </c>
      <c r="V302" s="48">
        <f t="shared" si="135"/>
        <v>0</v>
      </c>
      <c r="W302" s="49">
        <f t="shared" si="136"/>
        <v>0</v>
      </c>
      <c r="X302" s="44">
        <f t="shared" si="137"/>
        <v>0</v>
      </c>
      <c r="Y302" s="44">
        <f t="shared" si="138"/>
        <v>0</v>
      </c>
      <c r="Z302" s="44">
        <f t="shared" si="139"/>
        <v>0</v>
      </c>
      <c r="AA302" s="50">
        <f t="shared" si="140"/>
        <v>0</v>
      </c>
      <c r="AB302" s="51">
        <f t="shared" si="141"/>
        <v>0</v>
      </c>
      <c r="AC302" s="44">
        <f t="shared" si="142"/>
        <v>0</v>
      </c>
      <c r="AD302" s="44">
        <f t="shared" si="143"/>
        <v>0</v>
      </c>
      <c r="AE302" s="44">
        <f t="shared" si="144"/>
        <v>0</v>
      </c>
      <c r="AF302" s="52" t="e">
        <f>HLOOKUP(I302,ElecAvoidedCostsWOCC!$A$5:$Q$50,G302+1,FALSE)</f>
        <v>#N/A</v>
      </c>
      <c r="AG302" s="44" t="e">
        <f t="shared" si="145"/>
        <v>#N/A</v>
      </c>
      <c r="AH302" s="52" t="e">
        <f>HLOOKUP(I302,ElecAvoidedCostsWOCC!$A$5:$Q$50,T302+1,FALSE)</f>
        <v>#N/A</v>
      </c>
      <c r="AI302" s="44" t="e">
        <f t="shared" si="146"/>
        <v>#N/A</v>
      </c>
      <c r="AJ302" s="44" t="e">
        <f t="shared" si="147"/>
        <v>#N/A</v>
      </c>
      <c r="AK302" s="44" t="e">
        <f>HLOOKUP(I302,ElecAvoidedCostsWOCC!$A$5:$Q$50,G302+1,FALSE)*J302*L302</f>
        <v>#N/A</v>
      </c>
      <c r="AL302" s="44" t="e">
        <f t="shared" si="148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49"/>
        <v>0</v>
      </c>
      <c r="AO302" s="47">
        <f t="shared" si="150"/>
        <v>0</v>
      </c>
      <c r="AP302" s="47" t="e">
        <f t="shared" si="151"/>
        <v>#DIV/0!</v>
      </c>
    </row>
    <row r="303" spans="2:42">
      <c r="B303" s="97" t="s">
        <v>15</v>
      </c>
      <c r="C303" s="100"/>
      <c r="D303" s="100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133"/>
        <v>0</v>
      </c>
      <c r="U303" s="47">
        <f t="shared" si="134"/>
        <v>0</v>
      </c>
      <c r="V303" s="48">
        <f t="shared" si="135"/>
        <v>0</v>
      </c>
      <c r="W303" s="49">
        <f t="shared" si="136"/>
        <v>0</v>
      </c>
      <c r="X303" s="44">
        <f t="shared" si="137"/>
        <v>0</v>
      </c>
      <c r="Y303" s="44">
        <f t="shared" si="138"/>
        <v>0</v>
      </c>
      <c r="Z303" s="44">
        <f t="shared" si="139"/>
        <v>0</v>
      </c>
      <c r="AA303" s="50">
        <f t="shared" si="140"/>
        <v>0</v>
      </c>
      <c r="AB303" s="51">
        <f t="shared" si="141"/>
        <v>0</v>
      </c>
      <c r="AC303" s="44">
        <f t="shared" si="142"/>
        <v>0</v>
      </c>
      <c r="AD303" s="44">
        <f t="shared" si="143"/>
        <v>0</v>
      </c>
      <c r="AE303" s="44">
        <f t="shared" si="144"/>
        <v>0</v>
      </c>
      <c r="AF303" s="52" t="e">
        <f>HLOOKUP(I303,ElecAvoidedCostsWOCC!$A$5:$Q$50,G303+1,FALSE)</f>
        <v>#N/A</v>
      </c>
      <c r="AG303" s="44" t="e">
        <f t="shared" si="145"/>
        <v>#N/A</v>
      </c>
      <c r="AH303" s="52" t="e">
        <f>HLOOKUP(I303,ElecAvoidedCostsWOCC!$A$5:$Q$50,T303+1,FALSE)</f>
        <v>#N/A</v>
      </c>
      <c r="AI303" s="44" t="e">
        <f t="shared" si="146"/>
        <v>#N/A</v>
      </c>
      <c r="AJ303" s="44" t="e">
        <f t="shared" si="147"/>
        <v>#N/A</v>
      </c>
      <c r="AK303" s="44" t="e">
        <f>HLOOKUP(I303,ElecAvoidedCostsWOCC!$A$5:$Q$50,G303+1,FALSE)*J303*L303</f>
        <v>#N/A</v>
      </c>
      <c r="AL303" s="44" t="e">
        <f t="shared" si="148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49"/>
        <v>0</v>
      </c>
      <c r="AO303" s="47">
        <f t="shared" si="150"/>
        <v>0</v>
      </c>
      <c r="AP303" s="47" t="e">
        <f t="shared" si="151"/>
        <v>#DIV/0!</v>
      </c>
    </row>
    <row r="304" spans="2:42">
      <c r="B304" s="97" t="s">
        <v>15</v>
      </c>
      <c r="C304" s="100"/>
      <c r="D304" s="100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133"/>
        <v>0</v>
      </c>
      <c r="U304" s="47">
        <f t="shared" si="134"/>
        <v>0</v>
      </c>
      <c r="V304" s="48">
        <f t="shared" si="135"/>
        <v>0</v>
      </c>
      <c r="W304" s="49">
        <f t="shared" si="136"/>
        <v>0</v>
      </c>
      <c r="X304" s="44">
        <f t="shared" si="137"/>
        <v>0</v>
      </c>
      <c r="Y304" s="44">
        <f t="shared" si="138"/>
        <v>0</v>
      </c>
      <c r="Z304" s="44">
        <f t="shared" si="139"/>
        <v>0</v>
      </c>
      <c r="AA304" s="50">
        <f t="shared" si="140"/>
        <v>0</v>
      </c>
      <c r="AB304" s="51">
        <f t="shared" si="141"/>
        <v>0</v>
      </c>
      <c r="AC304" s="44">
        <f t="shared" si="142"/>
        <v>0</v>
      </c>
      <c r="AD304" s="44">
        <f t="shared" si="143"/>
        <v>0</v>
      </c>
      <c r="AE304" s="44">
        <f t="shared" si="144"/>
        <v>0</v>
      </c>
      <c r="AF304" s="52" t="e">
        <f>HLOOKUP(I304,ElecAvoidedCostsWOCC!$A$5:$Q$50,G304+1,FALSE)</f>
        <v>#N/A</v>
      </c>
      <c r="AG304" s="44" t="e">
        <f t="shared" si="145"/>
        <v>#N/A</v>
      </c>
      <c r="AH304" s="52" t="e">
        <f>HLOOKUP(I304,ElecAvoidedCostsWOCC!$A$5:$Q$50,T304+1,FALSE)</f>
        <v>#N/A</v>
      </c>
      <c r="AI304" s="44" t="e">
        <f t="shared" si="146"/>
        <v>#N/A</v>
      </c>
      <c r="AJ304" s="44" t="e">
        <f t="shared" si="147"/>
        <v>#N/A</v>
      </c>
      <c r="AK304" s="44" t="e">
        <f>HLOOKUP(I304,ElecAvoidedCostsWOCC!$A$5:$Q$50,G304+1,FALSE)*J304*L304</f>
        <v>#N/A</v>
      </c>
      <c r="AL304" s="44" t="e">
        <f t="shared" si="148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49"/>
        <v>0</v>
      </c>
      <c r="AO304" s="47">
        <f t="shared" si="150"/>
        <v>0</v>
      </c>
      <c r="AP304" s="47" t="e">
        <f t="shared" si="151"/>
        <v>#DIV/0!</v>
      </c>
    </row>
    <row r="305" spans="2:42">
      <c r="B305" s="97" t="s">
        <v>15</v>
      </c>
      <c r="C305" s="100"/>
      <c r="D305" s="100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133"/>
        <v>0</v>
      </c>
      <c r="U305" s="47">
        <f t="shared" si="134"/>
        <v>0</v>
      </c>
      <c r="V305" s="48">
        <f t="shared" si="135"/>
        <v>0</v>
      </c>
      <c r="W305" s="49">
        <f t="shared" si="136"/>
        <v>0</v>
      </c>
      <c r="X305" s="44">
        <f t="shared" si="137"/>
        <v>0</v>
      </c>
      <c r="Y305" s="44">
        <f t="shared" si="138"/>
        <v>0</v>
      </c>
      <c r="Z305" s="44">
        <f t="shared" si="139"/>
        <v>0</v>
      </c>
      <c r="AA305" s="50">
        <f t="shared" si="140"/>
        <v>0</v>
      </c>
      <c r="AB305" s="51">
        <f t="shared" si="141"/>
        <v>0</v>
      </c>
      <c r="AC305" s="44">
        <f t="shared" si="142"/>
        <v>0</v>
      </c>
      <c r="AD305" s="44">
        <f t="shared" si="143"/>
        <v>0</v>
      </c>
      <c r="AE305" s="44">
        <f t="shared" si="144"/>
        <v>0</v>
      </c>
      <c r="AF305" s="52" t="e">
        <f>HLOOKUP(I305,ElecAvoidedCostsWOCC!$A$5:$Q$50,G305+1,FALSE)</f>
        <v>#N/A</v>
      </c>
      <c r="AG305" s="44" t="e">
        <f t="shared" si="145"/>
        <v>#N/A</v>
      </c>
      <c r="AH305" s="52" t="e">
        <f>HLOOKUP(I305,ElecAvoidedCostsWOCC!$A$5:$Q$50,T305+1,FALSE)</f>
        <v>#N/A</v>
      </c>
      <c r="AI305" s="44" t="e">
        <f t="shared" si="146"/>
        <v>#N/A</v>
      </c>
      <c r="AJ305" s="44" t="e">
        <f t="shared" si="147"/>
        <v>#N/A</v>
      </c>
      <c r="AK305" s="44" t="e">
        <f>HLOOKUP(I305,ElecAvoidedCostsWOCC!$A$5:$Q$50,G305+1,FALSE)*J305*L305</f>
        <v>#N/A</v>
      </c>
      <c r="AL305" s="44" t="e">
        <f t="shared" si="148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49"/>
        <v>0</v>
      </c>
      <c r="AO305" s="47">
        <f t="shared" si="150"/>
        <v>0</v>
      </c>
      <c r="AP305" s="47" t="e">
        <f t="shared" si="151"/>
        <v>#DIV/0!</v>
      </c>
    </row>
    <row r="306" spans="2:42">
      <c r="B306" s="97" t="s">
        <v>15</v>
      </c>
      <c r="C306" s="100"/>
      <c r="D306" s="100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133"/>
        <v>0</v>
      </c>
      <c r="U306" s="47">
        <f t="shared" si="134"/>
        <v>0</v>
      </c>
      <c r="V306" s="48">
        <f t="shared" si="135"/>
        <v>0</v>
      </c>
      <c r="W306" s="49">
        <f t="shared" si="136"/>
        <v>0</v>
      </c>
      <c r="X306" s="44">
        <f t="shared" si="137"/>
        <v>0</v>
      </c>
      <c r="Y306" s="44">
        <f t="shared" si="138"/>
        <v>0</v>
      </c>
      <c r="Z306" s="44">
        <f t="shared" si="139"/>
        <v>0</v>
      </c>
      <c r="AA306" s="50">
        <f t="shared" si="140"/>
        <v>0</v>
      </c>
      <c r="AB306" s="51">
        <f t="shared" si="141"/>
        <v>0</v>
      </c>
      <c r="AC306" s="44">
        <f t="shared" si="142"/>
        <v>0</v>
      </c>
      <c r="AD306" s="44">
        <f t="shared" si="143"/>
        <v>0</v>
      </c>
      <c r="AE306" s="44">
        <f t="shared" si="144"/>
        <v>0</v>
      </c>
      <c r="AF306" s="52" t="e">
        <f>HLOOKUP(I306,ElecAvoidedCostsWOCC!$A$5:$Q$50,G306+1,FALSE)</f>
        <v>#N/A</v>
      </c>
      <c r="AG306" s="44" t="e">
        <f t="shared" si="145"/>
        <v>#N/A</v>
      </c>
      <c r="AH306" s="52" t="e">
        <f>HLOOKUP(I306,ElecAvoidedCostsWOCC!$A$5:$Q$50,T306+1,FALSE)</f>
        <v>#N/A</v>
      </c>
      <c r="AI306" s="44" t="e">
        <f t="shared" si="146"/>
        <v>#N/A</v>
      </c>
      <c r="AJ306" s="44" t="e">
        <f t="shared" si="147"/>
        <v>#N/A</v>
      </c>
      <c r="AK306" s="44" t="e">
        <f>HLOOKUP(I306,ElecAvoidedCostsWOCC!$A$5:$Q$50,G306+1,FALSE)*J306*L306</f>
        <v>#N/A</v>
      </c>
      <c r="AL306" s="44" t="e">
        <f t="shared" si="148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49"/>
        <v>0</v>
      </c>
      <c r="AO306" s="47">
        <f t="shared" si="150"/>
        <v>0</v>
      </c>
      <c r="AP306" s="47" t="e">
        <f t="shared" si="151"/>
        <v>#DIV/0!</v>
      </c>
    </row>
    <row r="307" spans="2:42">
      <c r="B307" s="97" t="s">
        <v>15</v>
      </c>
      <c r="C307" s="100"/>
      <c r="D307" s="100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133"/>
        <v>0</v>
      </c>
      <c r="U307" s="47">
        <f t="shared" si="134"/>
        <v>0</v>
      </c>
      <c r="V307" s="48">
        <f t="shared" si="135"/>
        <v>0</v>
      </c>
      <c r="W307" s="49">
        <f t="shared" si="136"/>
        <v>0</v>
      </c>
      <c r="X307" s="44">
        <f t="shared" si="137"/>
        <v>0</v>
      </c>
      <c r="Y307" s="44">
        <f t="shared" si="138"/>
        <v>0</v>
      </c>
      <c r="Z307" s="44">
        <f t="shared" si="139"/>
        <v>0</v>
      </c>
      <c r="AA307" s="50">
        <f t="shared" si="140"/>
        <v>0</v>
      </c>
      <c r="AB307" s="51">
        <f t="shared" si="141"/>
        <v>0</v>
      </c>
      <c r="AC307" s="44">
        <f t="shared" si="142"/>
        <v>0</v>
      </c>
      <c r="AD307" s="44">
        <f t="shared" si="143"/>
        <v>0</v>
      </c>
      <c r="AE307" s="44">
        <f t="shared" si="144"/>
        <v>0</v>
      </c>
      <c r="AF307" s="52" t="e">
        <f>HLOOKUP(I307,ElecAvoidedCostsWOCC!$A$5:$Q$50,G307+1,FALSE)</f>
        <v>#N/A</v>
      </c>
      <c r="AG307" s="44" t="e">
        <f t="shared" si="145"/>
        <v>#N/A</v>
      </c>
      <c r="AH307" s="52" t="e">
        <f>HLOOKUP(I307,ElecAvoidedCostsWOCC!$A$5:$Q$50,T307+1,FALSE)</f>
        <v>#N/A</v>
      </c>
      <c r="AI307" s="44" t="e">
        <f t="shared" si="146"/>
        <v>#N/A</v>
      </c>
      <c r="AJ307" s="44" t="e">
        <f t="shared" si="147"/>
        <v>#N/A</v>
      </c>
      <c r="AK307" s="44" t="e">
        <f>HLOOKUP(I307,ElecAvoidedCostsWOCC!$A$5:$Q$50,G307+1,FALSE)*J307*L307</f>
        <v>#N/A</v>
      </c>
      <c r="AL307" s="44" t="e">
        <f t="shared" si="148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49"/>
        <v>0</v>
      </c>
      <c r="AO307" s="47">
        <f t="shared" si="150"/>
        <v>0</v>
      </c>
      <c r="AP307" s="47" t="e">
        <f t="shared" si="151"/>
        <v>#DIV/0!</v>
      </c>
    </row>
    <row r="308" spans="2:42">
      <c r="B308" s="97" t="s">
        <v>15</v>
      </c>
      <c r="C308" s="100"/>
      <c r="D308" s="100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133"/>
        <v>0</v>
      </c>
      <c r="U308" s="47">
        <f t="shared" si="134"/>
        <v>0</v>
      </c>
      <c r="V308" s="48">
        <f t="shared" si="135"/>
        <v>0</v>
      </c>
      <c r="W308" s="49">
        <f t="shared" si="136"/>
        <v>0</v>
      </c>
      <c r="X308" s="44">
        <f t="shared" si="137"/>
        <v>0</v>
      </c>
      <c r="Y308" s="44">
        <f t="shared" si="138"/>
        <v>0</v>
      </c>
      <c r="Z308" s="44">
        <f t="shared" si="139"/>
        <v>0</v>
      </c>
      <c r="AA308" s="50">
        <f t="shared" si="140"/>
        <v>0</v>
      </c>
      <c r="AB308" s="51">
        <f t="shared" si="141"/>
        <v>0</v>
      </c>
      <c r="AC308" s="44">
        <f t="shared" si="142"/>
        <v>0</v>
      </c>
      <c r="AD308" s="44">
        <f t="shared" si="143"/>
        <v>0</v>
      </c>
      <c r="AE308" s="44">
        <f t="shared" si="144"/>
        <v>0</v>
      </c>
      <c r="AF308" s="52" t="e">
        <f>HLOOKUP(I308,ElecAvoidedCostsWOCC!$A$5:$Q$50,G308+1,FALSE)</f>
        <v>#N/A</v>
      </c>
      <c r="AG308" s="44" t="e">
        <f t="shared" si="145"/>
        <v>#N/A</v>
      </c>
      <c r="AH308" s="52" t="e">
        <f>HLOOKUP(I308,ElecAvoidedCostsWOCC!$A$5:$Q$50,T308+1,FALSE)</f>
        <v>#N/A</v>
      </c>
      <c r="AI308" s="44" t="e">
        <f t="shared" si="146"/>
        <v>#N/A</v>
      </c>
      <c r="AJ308" s="44" t="e">
        <f t="shared" si="147"/>
        <v>#N/A</v>
      </c>
      <c r="AK308" s="44" t="e">
        <f>HLOOKUP(I308,ElecAvoidedCostsWOCC!$A$5:$Q$50,G308+1,FALSE)*J308*L308</f>
        <v>#N/A</v>
      </c>
      <c r="AL308" s="44" t="e">
        <f t="shared" si="148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49"/>
        <v>0</v>
      </c>
      <c r="AO308" s="47">
        <f t="shared" si="150"/>
        <v>0</v>
      </c>
      <c r="AP308" s="47" t="e">
        <f t="shared" si="151"/>
        <v>#DIV/0!</v>
      </c>
    </row>
    <row r="309" spans="2:42">
      <c r="B309" s="97" t="s">
        <v>15</v>
      </c>
      <c r="C309" s="100"/>
      <c r="D309" s="100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133"/>
        <v>0</v>
      </c>
      <c r="U309" s="47">
        <f t="shared" si="134"/>
        <v>0</v>
      </c>
      <c r="V309" s="48">
        <f t="shared" si="135"/>
        <v>0</v>
      </c>
      <c r="W309" s="49">
        <f t="shared" si="136"/>
        <v>0</v>
      </c>
      <c r="X309" s="44">
        <f t="shared" si="137"/>
        <v>0</v>
      </c>
      <c r="Y309" s="44">
        <f t="shared" si="138"/>
        <v>0</v>
      </c>
      <c r="Z309" s="44">
        <f t="shared" si="139"/>
        <v>0</v>
      </c>
      <c r="AA309" s="50">
        <f t="shared" si="140"/>
        <v>0</v>
      </c>
      <c r="AB309" s="51">
        <f t="shared" si="141"/>
        <v>0</v>
      </c>
      <c r="AC309" s="44">
        <f t="shared" si="142"/>
        <v>0</v>
      </c>
      <c r="AD309" s="44">
        <f t="shared" si="143"/>
        <v>0</v>
      </c>
      <c r="AE309" s="44">
        <f t="shared" si="144"/>
        <v>0</v>
      </c>
      <c r="AF309" s="52" t="e">
        <f>HLOOKUP(I309,ElecAvoidedCostsWOCC!$A$5:$Q$50,G309+1,FALSE)</f>
        <v>#N/A</v>
      </c>
      <c r="AG309" s="44" t="e">
        <f t="shared" si="145"/>
        <v>#N/A</v>
      </c>
      <c r="AH309" s="52" t="e">
        <f>HLOOKUP(I309,ElecAvoidedCostsWOCC!$A$5:$Q$50,T309+1,FALSE)</f>
        <v>#N/A</v>
      </c>
      <c r="AI309" s="44" t="e">
        <f t="shared" si="146"/>
        <v>#N/A</v>
      </c>
      <c r="AJ309" s="44" t="e">
        <f t="shared" si="147"/>
        <v>#N/A</v>
      </c>
      <c r="AK309" s="44" t="e">
        <f>HLOOKUP(I309,ElecAvoidedCostsWOCC!$A$5:$Q$50,G309+1,FALSE)*J309*L309</f>
        <v>#N/A</v>
      </c>
      <c r="AL309" s="44" t="e">
        <f t="shared" si="148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49"/>
        <v>0</v>
      </c>
      <c r="AO309" s="47">
        <f t="shared" si="150"/>
        <v>0</v>
      </c>
      <c r="AP309" s="47" t="e">
        <f t="shared" si="151"/>
        <v>#DIV/0!</v>
      </c>
    </row>
    <row r="310" spans="2:42">
      <c r="B310" s="97" t="s">
        <v>15</v>
      </c>
      <c r="C310" s="100"/>
      <c r="D310" s="100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133"/>
        <v>0</v>
      </c>
      <c r="U310" s="47">
        <f t="shared" si="134"/>
        <v>0</v>
      </c>
      <c r="V310" s="48">
        <f t="shared" si="135"/>
        <v>0</v>
      </c>
      <c r="W310" s="49">
        <f t="shared" si="136"/>
        <v>0</v>
      </c>
      <c r="X310" s="44">
        <f t="shared" si="137"/>
        <v>0</v>
      </c>
      <c r="Y310" s="44">
        <f t="shared" si="138"/>
        <v>0</v>
      </c>
      <c r="Z310" s="44">
        <f t="shared" si="139"/>
        <v>0</v>
      </c>
      <c r="AA310" s="50">
        <f t="shared" si="140"/>
        <v>0</v>
      </c>
      <c r="AB310" s="51">
        <f t="shared" si="141"/>
        <v>0</v>
      </c>
      <c r="AC310" s="44">
        <f t="shared" si="142"/>
        <v>0</v>
      </c>
      <c r="AD310" s="44">
        <f t="shared" si="143"/>
        <v>0</v>
      </c>
      <c r="AE310" s="44">
        <f t="shared" si="144"/>
        <v>0</v>
      </c>
      <c r="AF310" s="52" t="e">
        <f>HLOOKUP(I310,ElecAvoidedCostsWOCC!$A$5:$Q$50,G310+1,FALSE)</f>
        <v>#N/A</v>
      </c>
      <c r="AG310" s="44" t="e">
        <f t="shared" si="145"/>
        <v>#N/A</v>
      </c>
      <c r="AH310" s="52" t="e">
        <f>HLOOKUP(I310,ElecAvoidedCostsWOCC!$A$5:$Q$50,T310+1,FALSE)</f>
        <v>#N/A</v>
      </c>
      <c r="AI310" s="44" t="e">
        <f t="shared" si="146"/>
        <v>#N/A</v>
      </c>
      <c r="AJ310" s="44" t="e">
        <f t="shared" si="147"/>
        <v>#N/A</v>
      </c>
      <c r="AK310" s="44" t="e">
        <f>HLOOKUP(I310,ElecAvoidedCostsWOCC!$A$5:$Q$50,G310+1,FALSE)*J310*L310</f>
        <v>#N/A</v>
      </c>
      <c r="AL310" s="44" t="e">
        <f t="shared" si="148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49"/>
        <v>0</v>
      </c>
      <c r="AO310" s="47">
        <f t="shared" si="150"/>
        <v>0</v>
      </c>
      <c r="AP310" s="47" t="e">
        <f t="shared" si="151"/>
        <v>#DIV/0!</v>
      </c>
    </row>
    <row r="311" spans="2:42">
      <c r="B311" s="97" t="s">
        <v>15</v>
      </c>
      <c r="C311" s="100"/>
      <c r="D311" s="100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133"/>
        <v>0</v>
      </c>
      <c r="U311" s="47">
        <f t="shared" si="134"/>
        <v>0</v>
      </c>
      <c r="V311" s="48">
        <f t="shared" si="135"/>
        <v>0</v>
      </c>
      <c r="W311" s="49">
        <f t="shared" si="136"/>
        <v>0</v>
      </c>
      <c r="X311" s="44">
        <f t="shared" si="137"/>
        <v>0</v>
      </c>
      <c r="Y311" s="44">
        <f t="shared" si="138"/>
        <v>0</v>
      </c>
      <c r="Z311" s="44">
        <f t="shared" si="139"/>
        <v>0</v>
      </c>
      <c r="AA311" s="50">
        <f t="shared" si="140"/>
        <v>0</v>
      </c>
      <c r="AB311" s="51">
        <f t="shared" si="141"/>
        <v>0</v>
      </c>
      <c r="AC311" s="44">
        <f t="shared" si="142"/>
        <v>0</v>
      </c>
      <c r="AD311" s="44">
        <f t="shared" si="143"/>
        <v>0</v>
      </c>
      <c r="AE311" s="44">
        <f t="shared" si="144"/>
        <v>0</v>
      </c>
      <c r="AF311" s="52" t="e">
        <f>HLOOKUP(I311,ElecAvoidedCostsWOCC!$A$5:$Q$50,G311+1,FALSE)</f>
        <v>#N/A</v>
      </c>
      <c r="AG311" s="44" t="e">
        <f t="shared" si="145"/>
        <v>#N/A</v>
      </c>
      <c r="AH311" s="52" t="e">
        <f>HLOOKUP(I311,ElecAvoidedCostsWOCC!$A$5:$Q$50,T311+1,FALSE)</f>
        <v>#N/A</v>
      </c>
      <c r="AI311" s="44" t="e">
        <f t="shared" si="146"/>
        <v>#N/A</v>
      </c>
      <c r="AJ311" s="44" t="e">
        <f t="shared" si="147"/>
        <v>#N/A</v>
      </c>
      <c r="AK311" s="44" t="e">
        <f>HLOOKUP(I311,ElecAvoidedCostsWOCC!$A$5:$Q$50,G311+1,FALSE)*J311*L311</f>
        <v>#N/A</v>
      </c>
      <c r="AL311" s="44" t="e">
        <f t="shared" si="148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49"/>
        <v>0</v>
      </c>
      <c r="AO311" s="47">
        <f t="shared" si="150"/>
        <v>0</v>
      </c>
      <c r="AP311" s="47" t="e">
        <f t="shared" si="151"/>
        <v>#DIV/0!</v>
      </c>
    </row>
    <row r="312" spans="2:42">
      <c r="B312" s="97" t="s">
        <v>15</v>
      </c>
      <c r="C312" s="100"/>
      <c r="D312" s="100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133"/>
        <v>0</v>
      </c>
      <c r="U312" s="47">
        <f t="shared" si="134"/>
        <v>0</v>
      </c>
      <c r="V312" s="48">
        <f t="shared" si="135"/>
        <v>0</v>
      </c>
      <c r="W312" s="49">
        <f t="shared" si="136"/>
        <v>0</v>
      </c>
      <c r="X312" s="44">
        <f t="shared" si="137"/>
        <v>0</v>
      </c>
      <c r="Y312" s="44">
        <f t="shared" si="138"/>
        <v>0</v>
      </c>
      <c r="Z312" s="44">
        <f t="shared" si="139"/>
        <v>0</v>
      </c>
      <c r="AA312" s="50">
        <f t="shared" si="140"/>
        <v>0</v>
      </c>
      <c r="AB312" s="51">
        <f t="shared" si="141"/>
        <v>0</v>
      </c>
      <c r="AC312" s="44">
        <f t="shared" si="142"/>
        <v>0</v>
      </c>
      <c r="AD312" s="44">
        <f t="shared" si="143"/>
        <v>0</v>
      </c>
      <c r="AE312" s="44">
        <f t="shared" si="144"/>
        <v>0</v>
      </c>
      <c r="AF312" s="52" t="e">
        <f>HLOOKUP(I312,ElecAvoidedCostsWOCC!$A$5:$Q$50,G312+1,FALSE)</f>
        <v>#N/A</v>
      </c>
      <c r="AG312" s="44" t="e">
        <f t="shared" si="145"/>
        <v>#N/A</v>
      </c>
      <c r="AH312" s="52" t="e">
        <f>HLOOKUP(I312,ElecAvoidedCostsWOCC!$A$5:$Q$50,T312+1,FALSE)</f>
        <v>#N/A</v>
      </c>
      <c r="AI312" s="44" t="e">
        <f t="shared" si="146"/>
        <v>#N/A</v>
      </c>
      <c r="AJ312" s="44" t="e">
        <f t="shared" si="147"/>
        <v>#N/A</v>
      </c>
      <c r="AK312" s="44" t="e">
        <f>HLOOKUP(I312,ElecAvoidedCostsWOCC!$A$5:$Q$50,G312+1,FALSE)*J312*L312</f>
        <v>#N/A</v>
      </c>
      <c r="AL312" s="44" t="e">
        <f t="shared" si="148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49"/>
        <v>0</v>
      </c>
      <c r="AO312" s="47">
        <f t="shared" si="150"/>
        <v>0</v>
      </c>
      <c r="AP312" s="47" t="e">
        <f t="shared" si="151"/>
        <v>#DIV/0!</v>
      </c>
    </row>
    <row r="313" spans="2:42">
      <c r="B313" s="97" t="s">
        <v>15</v>
      </c>
      <c r="C313" s="100"/>
      <c r="D313" s="100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133"/>
        <v>0</v>
      </c>
      <c r="U313" s="47">
        <f t="shared" si="134"/>
        <v>0</v>
      </c>
      <c r="V313" s="48">
        <f t="shared" si="135"/>
        <v>0</v>
      </c>
      <c r="W313" s="49">
        <f t="shared" si="136"/>
        <v>0</v>
      </c>
      <c r="X313" s="44">
        <f t="shared" si="137"/>
        <v>0</v>
      </c>
      <c r="Y313" s="44">
        <f t="shared" si="138"/>
        <v>0</v>
      </c>
      <c r="Z313" s="44">
        <f t="shared" si="139"/>
        <v>0</v>
      </c>
      <c r="AA313" s="50">
        <f t="shared" si="140"/>
        <v>0</v>
      </c>
      <c r="AB313" s="51">
        <f t="shared" si="141"/>
        <v>0</v>
      </c>
      <c r="AC313" s="44">
        <f t="shared" si="142"/>
        <v>0</v>
      </c>
      <c r="AD313" s="44">
        <f t="shared" si="143"/>
        <v>0</v>
      </c>
      <c r="AE313" s="44">
        <f t="shared" si="144"/>
        <v>0</v>
      </c>
      <c r="AF313" s="52" t="e">
        <f>HLOOKUP(I313,ElecAvoidedCostsWOCC!$A$5:$Q$50,G313+1,FALSE)</f>
        <v>#N/A</v>
      </c>
      <c r="AG313" s="44" t="e">
        <f t="shared" si="145"/>
        <v>#N/A</v>
      </c>
      <c r="AH313" s="52" t="e">
        <f>HLOOKUP(I313,ElecAvoidedCostsWOCC!$A$5:$Q$50,T313+1,FALSE)</f>
        <v>#N/A</v>
      </c>
      <c r="AI313" s="44" t="e">
        <f t="shared" si="146"/>
        <v>#N/A</v>
      </c>
      <c r="AJ313" s="44" t="e">
        <f t="shared" si="147"/>
        <v>#N/A</v>
      </c>
      <c r="AK313" s="44" t="e">
        <f>HLOOKUP(I313,ElecAvoidedCostsWOCC!$A$5:$Q$50,G313+1,FALSE)*J313*L313</f>
        <v>#N/A</v>
      </c>
      <c r="AL313" s="44" t="e">
        <f t="shared" si="148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49"/>
        <v>0</v>
      </c>
      <c r="AO313" s="47">
        <f t="shared" si="150"/>
        <v>0</v>
      </c>
      <c r="AP313" s="47" t="e">
        <f t="shared" si="151"/>
        <v>#DIV/0!</v>
      </c>
    </row>
    <row r="314" spans="2:42">
      <c r="B314" s="97" t="s">
        <v>15</v>
      </c>
      <c r="C314" s="100"/>
      <c r="D314" s="100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133"/>
        <v>0</v>
      </c>
      <c r="U314" s="47">
        <f t="shared" si="134"/>
        <v>0</v>
      </c>
      <c r="V314" s="48">
        <f t="shared" si="135"/>
        <v>0</v>
      </c>
      <c r="W314" s="49">
        <f t="shared" si="136"/>
        <v>0</v>
      </c>
      <c r="X314" s="44">
        <f t="shared" si="137"/>
        <v>0</v>
      </c>
      <c r="Y314" s="44">
        <f t="shared" si="138"/>
        <v>0</v>
      </c>
      <c r="Z314" s="44">
        <f t="shared" si="139"/>
        <v>0</v>
      </c>
      <c r="AA314" s="50">
        <f t="shared" si="140"/>
        <v>0</v>
      </c>
      <c r="AB314" s="51">
        <f t="shared" si="141"/>
        <v>0</v>
      </c>
      <c r="AC314" s="44">
        <f t="shared" si="142"/>
        <v>0</v>
      </c>
      <c r="AD314" s="44">
        <f t="shared" si="143"/>
        <v>0</v>
      </c>
      <c r="AE314" s="44">
        <f t="shared" si="144"/>
        <v>0</v>
      </c>
      <c r="AF314" s="52" t="e">
        <f>HLOOKUP(I314,ElecAvoidedCostsWOCC!$A$5:$Q$50,G314+1,FALSE)</f>
        <v>#N/A</v>
      </c>
      <c r="AG314" s="44" t="e">
        <f t="shared" si="145"/>
        <v>#N/A</v>
      </c>
      <c r="AH314" s="52" t="e">
        <f>HLOOKUP(I314,ElecAvoidedCostsWOCC!$A$5:$Q$50,T314+1,FALSE)</f>
        <v>#N/A</v>
      </c>
      <c r="AI314" s="44" t="e">
        <f t="shared" si="146"/>
        <v>#N/A</v>
      </c>
      <c r="AJ314" s="44" t="e">
        <f t="shared" si="147"/>
        <v>#N/A</v>
      </c>
      <c r="AK314" s="44" t="e">
        <f>HLOOKUP(I314,ElecAvoidedCostsWOCC!$A$5:$Q$50,G314+1,FALSE)*J314*L314</f>
        <v>#N/A</v>
      </c>
      <c r="AL314" s="44" t="e">
        <f t="shared" si="148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49"/>
        <v>0</v>
      </c>
      <c r="AO314" s="47">
        <f t="shared" si="150"/>
        <v>0</v>
      </c>
      <c r="AP314" s="47" t="e">
        <f t="shared" si="151"/>
        <v>#DIV/0!</v>
      </c>
    </row>
    <row r="315" spans="2:42">
      <c r="B315" s="97" t="s">
        <v>15</v>
      </c>
      <c r="C315" s="100"/>
      <c r="D315" s="100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133"/>
        <v>0</v>
      </c>
      <c r="U315" s="47">
        <f t="shared" si="134"/>
        <v>0</v>
      </c>
      <c r="V315" s="48">
        <f t="shared" si="135"/>
        <v>0</v>
      </c>
      <c r="W315" s="49">
        <f t="shared" si="136"/>
        <v>0</v>
      </c>
      <c r="X315" s="44">
        <f t="shared" si="137"/>
        <v>0</v>
      </c>
      <c r="Y315" s="44">
        <f t="shared" si="138"/>
        <v>0</v>
      </c>
      <c r="Z315" s="44">
        <f t="shared" si="139"/>
        <v>0</v>
      </c>
      <c r="AA315" s="50">
        <f t="shared" si="140"/>
        <v>0</v>
      </c>
      <c r="AB315" s="51">
        <f t="shared" si="141"/>
        <v>0</v>
      </c>
      <c r="AC315" s="44">
        <f t="shared" si="142"/>
        <v>0</v>
      </c>
      <c r="AD315" s="44">
        <f t="shared" si="143"/>
        <v>0</v>
      </c>
      <c r="AE315" s="44">
        <f t="shared" si="144"/>
        <v>0</v>
      </c>
      <c r="AF315" s="52" t="e">
        <f>HLOOKUP(I315,ElecAvoidedCostsWOCC!$A$5:$Q$50,G315+1,FALSE)</f>
        <v>#N/A</v>
      </c>
      <c r="AG315" s="44" t="e">
        <f t="shared" si="145"/>
        <v>#N/A</v>
      </c>
      <c r="AH315" s="52" t="e">
        <f>HLOOKUP(I315,ElecAvoidedCostsWOCC!$A$5:$Q$50,T315+1,FALSE)</f>
        <v>#N/A</v>
      </c>
      <c r="AI315" s="44" t="e">
        <f t="shared" si="146"/>
        <v>#N/A</v>
      </c>
      <c r="AJ315" s="44" t="e">
        <f t="shared" si="147"/>
        <v>#N/A</v>
      </c>
      <c r="AK315" s="44" t="e">
        <f>HLOOKUP(I315,ElecAvoidedCostsWOCC!$A$5:$Q$50,G315+1,FALSE)*J315*L315</f>
        <v>#N/A</v>
      </c>
      <c r="AL315" s="44" t="e">
        <f t="shared" si="148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49"/>
        <v>0</v>
      </c>
      <c r="AO315" s="47">
        <f t="shared" si="150"/>
        <v>0</v>
      </c>
      <c r="AP315" s="47" t="e">
        <f t="shared" si="151"/>
        <v>#DIV/0!</v>
      </c>
    </row>
    <row r="316" spans="2:42">
      <c r="B316" s="97" t="s">
        <v>15</v>
      </c>
      <c r="C316" s="100"/>
      <c r="D316" s="100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133"/>
        <v>0</v>
      </c>
      <c r="U316" s="47">
        <f t="shared" si="134"/>
        <v>0</v>
      </c>
      <c r="V316" s="48">
        <f t="shared" si="135"/>
        <v>0</v>
      </c>
      <c r="W316" s="49">
        <f t="shared" si="136"/>
        <v>0</v>
      </c>
      <c r="X316" s="44">
        <f t="shared" si="137"/>
        <v>0</v>
      </c>
      <c r="Y316" s="44">
        <f t="shared" si="138"/>
        <v>0</v>
      </c>
      <c r="Z316" s="44">
        <f t="shared" si="139"/>
        <v>0</v>
      </c>
      <c r="AA316" s="50">
        <f t="shared" si="140"/>
        <v>0</v>
      </c>
      <c r="AB316" s="51">
        <f t="shared" si="141"/>
        <v>0</v>
      </c>
      <c r="AC316" s="44">
        <f t="shared" si="142"/>
        <v>0</v>
      </c>
      <c r="AD316" s="44">
        <f t="shared" si="143"/>
        <v>0</v>
      </c>
      <c r="AE316" s="44">
        <f t="shared" si="144"/>
        <v>0</v>
      </c>
      <c r="AF316" s="52" t="e">
        <f>HLOOKUP(I316,ElecAvoidedCostsWOCC!$A$5:$Q$50,G316+1,FALSE)</f>
        <v>#N/A</v>
      </c>
      <c r="AG316" s="44" t="e">
        <f t="shared" si="145"/>
        <v>#N/A</v>
      </c>
      <c r="AH316" s="52" t="e">
        <f>HLOOKUP(I316,ElecAvoidedCostsWOCC!$A$5:$Q$50,T316+1,FALSE)</f>
        <v>#N/A</v>
      </c>
      <c r="AI316" s="44" t="e">
        <f t="shared" si="146"/>
        <v>#N/A</v>
      </c>
      <c r="AJ316" s="44" t="e">
        <f t="shared" si="147"/>
        <v>#N/A</v>
      </c>
      <c r="AK316" s="44" t="e">
        <f>HLOOKUP(I316,ElecAvoidedCostsWOCC!$A$5:$Q$50,G316+1,FALSE)*J316*L316</f>
        <v>#N/A</v>
      </c>
      <c r="AL316" s="44" t="e">
        <f t="shared" si="148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49"/>
        <v>0</v>
      </c>
      <c r="AO316" s="47">
        <f t="shared" si="150"/>
        <v>0</v>
      </c>
      <c r="AP316" s="47" t="e">
        <f t="shared" si="151"/>
        <v>#DIV/0!</v>
      </c>
    </row>
    <row r="317" spans="2:42">
      <c r="B317" s="97" t="s">
        <v>15</v>
      </c>
      <c r="C317" s="100"/>
      <c r="D317" s="100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133"/>
        <v>0</v>
      </c>
      <c r="U317" s="47">
        <f t="shared" si="134"/>
        <v>0</v>
      </c>
      <c r="V317" s="48">
        <f t="shared" si="135"/>
        <v>0</v>
      </c>
      <c r="W317" s="49">
        <f t="shared" si="136"/>
        <v>0</v>
      </c>
      <c r="X317" s="44">
        <f t="shared" si="137"/>
        <v>0</v>
      </c>
      <c r="Y317" s="44">
        <f t="shared" si="138"/>
        <v>0</v>
      </c>
      <c r="Z317" s="44">
        <f t="shared" si="139"/>
        <v>0</v>
      </c>
      <c r="AA317" s="50">
        <f t="shared" si="140"/>
        <v>0</v>
      </c>
      <c r="AB317" s="51">
        <f t="shared" si="141"/>
        <v>0</v>
      </c>
      <c r="AC317" s="44">
        <f t="shared" si="142"/>
        <v>0</v>
      </c>
      <c r="AD317" s="44">
        <f t="shared" si="143"/>
        <v>0</v>
      </c>
      <c r="AE317" s="44">
        <f t="shared" si="144"/>
        <v>0</v>
      </c>
      <c r="AF317" s="52" t="e">
        <f>HLOOKUP(I317,ElecAvoidedCostsWOCC!$A$5:$Q$50,G317+1,FALSE)</f>
        <v>#N/A</v>
      </c>
      <c r="AG317" s="44" t="e">
        <f t="shared" si="145"/>
        <v>#N/A</v>
      </c>
      <c r="AH317" s="52" t="e">
        <f>HLOOKUP(I317,ElecAvoidedCostsWOCC!$A$5:$Q$50,T317+1,FALSE)</f>
        <v>#N/A</v>
      </c>
      <c r="AI317" s="44" t="e">
        <f t="shared" si="146"/>
        <v>#N/A</v>
      </c>
      <c r="AJ317" s="44" t="e">
        <f t="shared" si="147"/>
        <v>#N/A</v>
      </c>
      <c r="AK317" s="44" t="e">
        <f>HLOOKUP(I317,ElecAvoidedCostsWOCC!$A$5:$Q$50,G317+1,FALSE)*J317*L317</f>
        <v>#N/A</v>
      </c>
      <c r="AL317" s="44" t="e">
        <f t="shared" si="148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49"/>
        <v>0</v>
      </c>
      <c r="AO317" s="47">
        <f t="shared" si="150"/>
        <v>0</v>
      </c>
      <c r="AP317" s="47" t="e">
        <f t="shared" si="151"/>
        <v>#DIV/0!</v>
      </c>
    </row>
    <row r="318" spans="2:42">
      <c r="B318" s="97" t="s">
        <v>15</v>
      </c>
      <c r="C318" s="100"/>
      <c r="D318" s="100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133"/>
        <v>0</v>
      </c>
      <c r="U318" s="47">
        <f t="shared" si="134"/>
        <v>0</v>
      </c>
      <c r="V318" s="48">
        <f t="shared" si="135"/>
        <v>0</v>
      </c>
      <c r="W318" s="49">
        <f t="shared" si="136"/>
        <v>0</v>
      </c>
      <c r="X318" s="44">
        <f t="shared" si="137"/>
        <v>0</v>
      </c>
      <c r="Y318" s="44">
        <f t="shared" si="138"/>
        <v>0</v>
      </c>
      <c r="Z318" s="44">
        <f t="shared" si="139"/>
        <v>0</v>
      </c>
      <c r="AA318" s="50">
        <f t="shared" si="140"/>
        <v>0</v>
      </c>
      <c r="AB318" s="51">
        <f t="shared" si="141"/>
        <v>0</v>
      </c>
      <c r="AC318" s="44">
        <f t="shared" si="142"/>
        <v>0</v>
      </c>
      <c r="AD318" s="44">
        <f t="shared" si="143"/>
        <v>0</v>
      </c>
      <c r="AE318" s="44">
        <f t="shared" si="144"/>
        <v>0</v>
      </c>
      <c r="AF318" s="52" t="e">
        <f>HLOOKUP(I318,ElecAvoidedCostsWOCC!$A$5:$Q$50,G318+1,FALSE)</f>
        <v>#N/A</v>
      </c>
      <c r="AG318" s="44" t="e">
        <f t="shared" si="145"/>
        <v>#N/A</v>
      </c>
      <c r="AH318" s="52" t="e">
        <f>HLOOKUP(I318,ElecAvoidedCostsWOCC!$A$5:$Q$50,T318+1,FALSE)</f>
        <v>#N/A</v>
      </c>
      <c r="AI318" s="44" t="e">
        <f t="shared" si="146"/>
        <v>#N/A</v>
      </c>
      <c r="AJ318" s="44" t="e">
        <f t="shared" si="147"/>
        <v>#N/A</v>
      </c>
      <c r="AK318" s="44" t="e">
        <f>HLOOKUP(I318,ElecAvoidedCostsWOCC!$A$5:$Q$50,G318+1,FALSE)*J318*L318</f>
        <v>#N/A</v>
      </c>
      <c r="AL318" s="44" t="e">
        <f t="shared" si="148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49"/>
        <v>0</v>
      </c>
      <c r="AO318" s="47">
        <f t="shared" si="150"/>
        <v>0</v>
      </c>
      <c r="AP318" s="47" t="e">
        <f t="shared" si="151"/>
        <v>#DIV/0!</v>
      </c>
    </row>
    <row r="319" spans="2:42">
      <c r="B319" s="97" t="s">
        <v>15</v>
      </c>
      <c r="C319" s="100"/>
      <c r="D319" s="100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133"/>
        <v>0</v>
      </c>
      <c r="U319" s="47">
        <f t="shared" si="134"/>
        <v>0</v>
      </c>
      <c r="V319" s="48">
        <f t="shared" si="135"/>
        <v>0</v>
      </c>
      <c r="W319" s="49">
        <f t="shared" si="136"/>
        <v>0</v>
      </c>
      <c r="X319" s="44">
        <f t="shared" si="137"/>
        <v>0</v>
      </c>
      <c r="Y319" s="44">
        <f t="shared" si="138"/>
        <v>0</v>
      </c>
      <c r="Z319" s="44">
        <f t="shared" si="139"/>
        <v>0</v>
      </c>
      <c r="AA319" s="50">
        <f t="shared" si="140"/>
        <v>0</v>
      </c>
      <c r="AB319" s="51">
        <f t="shared" si="141"/>
        <v>0</v>
      </c>
      <c r="AC319" s="44">
        <f t="shared" si="142"/>
        <v>0</v>
      </c>
      <c r="AD319" s="44">
        <f t="shared" si="143"/>
        <v>0</v>
      </c>
      <c r="AE319" s="44">
        <f t="shared" si="144"/>
        <v>0</v>
      </c>
      <c r="AF319" s="52" t="e">
        <f>HLOOKUP(I319,ElecAvoidedCostsWOCC!$A$5:$Q$50,G319+1,FALSE)</f>
        <v>#N/A</v>
      </c>
      <c r="AG319" s="44" t="e">
        <f t="shared" si="145"/>
        <v>#N/A</v>
      </c>
      <c r="AH319" s="52" t="e">
        <f>HLOOKUP(I319,ElecAvoidedCostsWOCC!$A$5:$Q$50,T319+1,FALSE)</f>
        <v>#N/A</v>
      </c>
      <c r="AI319" s="44" t="e">
        <f t="shared" si="146"/>
        <v>#N/A</v>
      </c>
      <c r="AJ319" s="44" t="e">
        <f t="shared" si="147"/>
        <v>#N/A</v>
      </c>
      <c r="AK319" s="44" t="e">
        <f>HLOOKUP(I319,ElecAvoidedCostsWOCC!$A$5:$Q$50,G319+1,FALSE)*J319*L319</f>
        <v>#N/A</v>
      </c>
      <c r="AL319" s="44" t="e">
        <f t="shared" si="148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49"/>
        <v>0</v>
      </c>
      <c r="AO319" s="47">
        <f t="shared" si="150"/>
        <v>0</v>
      </c>
      <c r="AP319" s="47" t="e">
        <f t="shared" si="151"/>
        <v>#DIV/0!</v>
      </c>
    </row>
    <row r="320" spans="2:42">
      <c r="B320" s="97" t="s">
        <v>15</v>
      </c>
      <c r="C320" s="100"/>
      <c r="D320" s="100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133"/>
        <v>0</v>
      </c>
      <c r="U320" s="47">
        <f t="shared" si="134"/>
        <v>0</v>
      </c>
      <c r="V320" s="48">
        <f t="shared" si="135"/>
        <v>0</v>
      </c>
      <c r="W320" s="49">
        <f t="shared" si="136"/>
        <v>0</v>
      </c>
      <c r="X320" s="44">
        <f t="shared" si="137"/>
        <v>0</v>
      </c>
      <c r="Y320" s="44">
        <f t="shared" si="138"/>
        <v>0</v>
      </c>
      <c r="Z320" s="44">
        <f t="shared" si="139"/>
        <v>0</v>
      </c>
      <c r="AA320" s="50">
        <f t="shared" si="140"/>
        <v>0</v>
      </c>
      <c r="AB320" s="51">
        <f t="shared" si="141"/>
        <v>0</v>
      </c>
      <c r="AC320" s="44">
        <f t="shared" si="142"/>
        <v>0</v>
      </c>
      <c r="AD320" s="44">
        <f t="shared" si="143"/>
        <v>0</v>
      </c>
      <c r="AE320" s="44">
        <f t="shared" si="144"/>
        <v>0</v>
      </c>
      <c r="AF320" s="52" t="e">
        <f>HLOOKUP(I320,ElecAvoidedCostsWOCC!$A$5:$Q$50,G320+1,FALSE)</f>
        <v>#N/A</v>
      </c>
      <c r="AG320" s="44" t="e">
        <f t="shared" si="145"/>
        <v>#N/A</v>
      </c>
      <c r="AH320" s="52" t="e">
        <f>HLOOKUP(I320,ElecAvoidedCostsWOCC!$A$5:$Q$50,T320+1,FALSE)</f>
        <v>#N/A</v>
      </c>
      <c r="AI320" s="44" t="e">
        <f t="shared" si="146"/>
        <v>#N/A</v>
      </c>
      <c r="AJ320" s="44" t="e">
        <f t="shared" si="147"/>
        <v>#N/A</v>
      </c>
      <c r="AK320" s="44" t="e">
        <f>HLOOKUP(I320,ElecAvoidedCostsWOCC!$A$5:$Q$50,G320+1,FALSE)*J320*L320</f>
        <v>#N/A</v>
      </c>
      <c r="AL320" s="44" t="e">
        <f t="shared" si="148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49"/>
        <v>0</v>
      </c>
      <c r="AO320" s="47">
        <f t="shared" si="150"/>
        <v>0</v>
      </c>
      <c r="AP320" s="47" t="e">
        <f t="shared" si="151"/>
        <v>#DIV/0!</v>
      </c>
    </row>
    <row r="321" spans="2:42">
      <c r="B321" s="97" t="s">
        <v>15</v>
      </c>
      <c r="C321" s="100"/>
      <c r="D321" s="100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133"/>
        <v>0</v>
      </c>
      <c r="U321" s="47">
        <f t="shared" si="134"/>
        <v>0</v>
      </c>
      <c r="V321" s="48">
        <f t="shared" si="135"/>
        <v>0</v>
      </c>
      <c r="W321" s="49">
        <f t="shared" si="136"/>
        <v>0</v>
      </c>
      <c r="X321" s="44">
        <f t="shared" si="137"/>
        <v>0</v>
      </c>
      <c r="Y321" s="44">
        <f t="shared" si="138"/>
        <v>0</v>
      </c>
      <c r="Z321" s="44">
        <f t="shared" si="139"/>
        <v>0</v>
      </c>
      <c r="AA321" s="50">
        <f t="shared" si="140"/>
        <v>0</v>
      </c>
      <c r="AB321" s="51">
        <f t="shared" si="141"/>
        <v>0</v>
      </c>
      <c r="AC321" s="44">
        <f t="shared" si="142"/>
        <v>0</v>
      </c>
      <c r="AD321" s="44">
        <f t="shared" si="143"/>
        <v>0</v>
      </c>
      <c r="AE321" s="44">
        <f t="shared" si="144"/>
        <v>0</v>
      </c>
      <c r="AF321" s="52" t="e">
        <f>HLOOKUP(I321,ElecAvoidedCostsWOCC!$A$5:$Q$50,G321+1,FALSE)</f>
        <v>#N/A</v>
      </c>
      <c r="AG321" s="44" t="e">
        <f t="shared" si="145"/>
        <v>#N/A</v>
      </c>
      <c r="AH321" s="52" t="e">
        <f>HLOOKUP(I321,ElecAvoidedCostsWOCC!$A$5:$Q$50,T321+1,FALSE)</f>
        <v>#N/A</v>
      </c>
      <c r="AI321" s="44" t="e">
        <f t="shared" si="146"/>
        <v>#N/A</v>
      </c>
      <c r="AJ321" s="44" t="e">
        <f t="shared" si="147"/>
        <v>#N/A</v>
      </c>
      <c r="AK321" s="44" t="e">
        <f>HLOOKUP(I321,ElecAvoidedCostsWOCC!$A$5:$Q$50,G321+1,FALSE)*J321*L321</f>
        <v>#N/A</v>
      </c>
      <c r="AL321" s="44" t="e">
        <f t="shared" si="148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49"/>
        <v>0</v>
      </c>
      <c r="AO321" s="47">
        <f t="shared" si="150"/>
        <v>0</v>
      </c>
      <c r="AP321" s="47" t="e">
        <f t="shared" si="151"/>
        <v>#DIV/0!</v>
      </c>
    </row>
    <row r="322" spans="2:42">
      <c r="B322" s="97" t="s">
        <v>15</v>
      </c>
      <c r="C322" s="100"/>
      <c r="D322" s="100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133"/>
        <v>0</v>
      </c>
      <c r="U322" s="47">
        <f t="shared" si="134"/>
        <v>0</v>
      </c>
      <c r="V322" s="48">
        <f t="shared" si="135"/>
        <v>0</v>
      </c>
      <c r="W322" s="49">
        <f t="shared" si="136"/>
        <v>0</v>
      </c>
      <c r="X322" s="44">
        <f t="shared" si="137"/>
        <v>0</v>
      </c>
      <c r="Y322" s="44">
        <f t="shared" si="138"/>
        <v>0</v>
      </c>
      <c r="Z322" s="44">
        <f t="shared" si="139"/>
        <v>0</v>
      </c>
      <c r="AA322" s="50">
        <f t="shared" si="140"/>
        <v>0</v>
      </c>
      <c r="AB322" s="51">
        <f t="shared" si="141"/>
        <v>0</v>
      </c>
      <c r="AC322" s="44">
        <f t="shared" si="142"/>
        <v>0</v>
      </c>
      <c r="AD322" s="44">
        <f t="shared" si="143"/>
        <v>0</v>
      </c>
      <c r="AE322" s="44">
        <f t="shared" si="144"/>
        <v>0</v>
      </c>
      <c r="AF322" s="52" t="e">
        <f>HLOOKUP(I322,ElecAvoidedCostsWOCC!$A$5:$Q$50,G322+1,FALSE)</f>
        <v>#N/A</v>
      </c>
      <c r="AG322" s="44" t="e">
        <f t="shared" si="145"/>
        <v>#N/A</v>
      </c>
      <c r="AH322" s="52" t="e">
        <f>HLOOKUP(I322,ElecAvoidedCostsWOCC!$A$5:$Q$50,T322+1,FALSE)</f>
        <v>#N/A</v>
      </c>
      <c r="AI322" s="44" t="e">
        <f t="shared" si="146"/>
        <v>#N/A</v>
      </c>
      <c r="AJ322" s="44" t="e">
        <f t="shared" si="147"/>
        <v>#N/A</v>
      </c>
      <c r="AK322" s="44" t="e">
        <f>HLOOKUP(I322,ElecAvoidedCostsWOCC!$A$5:$Q$50,G322+1,FALSE)*J322*L322</f>
        <v>#N/A</v>
      </c>
      <c r="AL322" s="44" t="e">
        <f t="shared" si="148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49"/>
        <v>0</v>
      </c>
      <c r="AO322" s="47">
        <f t="shared" si="150"/>
        <v>0</v>
      </c>
      <c r="AP322" s="47" t="e">
        <f t="shared" si="151"/>
        <v>#DIV/0!</v>
      </c>
    </row>
    <row r="323" spans="2:42">
      <c r="B323" s="97" t="s">
        <v>15</v>
      </c>
      <c r="C323" s="100"/>
      <c r="D323" s="100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133"/>
        <v>0</v>
      </c>
      <c r="U323" s="47">
        <f t="shared" si="134"/>
        <v>0</v>
      </c>
      <c r="V323" s="48">
        <f t="shared" si="135"/>
        <v>0</v>
      </c>
      <c r="W323" s="49">
        <f t="shared" si="136"/>
        <v>0</v>
      </c>
      <c r="X323" s="44">
        <f t="shared" si="137"/>
        <v>0</v>
      </c>
      <c r="Y323" s="44">
        <f t="shared" si="138"/>
        <v>0</v>
      </c>
      <c r="Z323" s="44">
        <f t="shared" si="139"/>
        <v>0</v>
      </c>
      <c r="AA323" s="50">
        <f t="shared" si="140"/>
        <v>0</v>
      </c>
      <c r="AB323" s="51">
        <f t="shared" si="141"/>
        <v>0</v>
      </c>
      <c r="AC323" s="44">
        <f t="shared" si="142"/>
        <v>0</v>
      </c>
      <c r="AD323" s="44">
        <f t="shared" si="143"/>
        <v>0</v>
      </c>
      <c r="AE323" s="44">
        <f t="shared" si="144"/>
        <v>0</v>
      </c>
      <c r="AF323" s="52" t="e">
        <f>HLOOKUP(I323,ElecAvoidedCostsWOCC!$A$5:$Q$50,G323+1,FALSE)</f>
        <v>#N/A</v>
      </c>
      <c r="AG323" s="44" t="e">
        <f t="shared" si="145"/>
        <v>#N/A</v>
      </c>
      <c r="AH323" s="52" t="e">
        <f>HLOOKUP(I323,ElecAvoidedCostsWOCC!$A$5:$Q$50,T323+1,FALSE)</f>
        <v>#N/A</v>
      </c>
      <c r="AI323" s="44" t="e">
        <f t="shared" si="146"/>
        <v>#N/A</v>
      </c>
      <c r="AJ323" s="44" t="e">
        <f t="shared" si="147"/>
        <v>#N/A</v>
      </c>
      <c r="AK323" s="44" t="e">
        <f>HLOOKUP(I323,ElecAvoidedCostsWOCC!$A$5:$Q$50,G323+1,FALSE)*J323*L323</f>
        <v>#N/A</v>
      </c>
      <c r="AL323" s="44" t="e">
        <f t="shared" si="148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49"/>
        <v>0</v>
      </c>
      <c r="AO323" s="47">
        <f t="shared" si="150"/>
        <v>0</v>
      </c>
      <c r="AP323" s="47" t="e">
        <f t="shared" si="151"/>
        <v>#DIV/0!</v>
      </c>
    </row>
    <row r="324" spans="2:42">
      <c r="B324" s="97" t="s">
        <v>15</v>
      </c>
      <c r="C324" s="100"/>
      <c r="D324" s="100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si="133"/>
        <v>0</v>
      </c>
      <c r="U324" s="47">
        <f t="shared" si="134"/>
        <v>0</v>
      </c>
      <c r="V324" s="48">
        <f t="shared" si="135"/>
        <v>0</v>
      </c>
      <c r="W324" s="49">
        <f t="shared" si="136"/>
        <v>0</v>
      </c>
      <c r="X324" s="44">
        <f t="shared" si="137"/>
        <v>0</v>
      </c>
      <c r="Y324" s="44">
        <f t="shared" si="138"/>
        <v>0</v>
      </c>
      <c r="Z324" s="44">
        <f t="shared" si="139"/>
        <v>0</v>
      </c>
      <c r="AA324" s="50">
        <f t="shared" si="140"/>
        <v>0</v>
      </c>
      <c r="AB324" s="51">
        <f t="shared" si="141"/>
        <v>0</v>
      </c>
      <c r="AC324" s="44">
        <f t="shared" si="142"/>
        <v>0</v>
      </c>
      <c r="AD324" s="44">
        <f t="shared" si="143"/>
        <v>0</v>
      </c>
      <c r="AE324" s="44">
        <f t="shared" si="144"/>
        <v>0</v>
      </c>
      <c r="AF324" s="52" t="e">
        <f>HLOOKUP(I324,ElecAvoidedCostsWOCC!$A$5:$Q$50,G324+1,FALSE)</f>
        <v>#N/A</v>
      </c>
      <c r="AG324" s="44" t="e">
        <f t="shared" si="145"/>
        <v>#N/A</v>
      </c>
      <c r="AH324" s="52" t="e">
        <f>HLOOKUP(I324,ElecAvoidedCostsWOCC!$A$5:$Q$50,T324+1,FALSE)</f>
        <v>#N/A</v>
      </c>
      <c r="AI324" s="44" t="e">
        <f t="shared" si="146"/>
        <v>#N/A</v>
      </c>
      <c r="AJ324" s="44" t="e">
        <f t="shared" si="147"/>
        <v>#N/A</v>
      </c>
      <c r="AK324" s="44" t="e">
        <f>HLOOKUP(I324,ElecAvoidedCostsWOCC!$A$5:$Q$50,G324+1,FALSE)*J324*L324</f>
        <v>#N/A</v>
      </c>
      <c r="AL324" s="44" t="e">
        <f t="shared" si="148"/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si="149"/>
        <v>0</v>
      </c>
      <c r="AO324" s="47">
        <f t="shared" si="150"/>
        <v>0</v>
      </c>
      <c r="AP324" s="47" t="e">
        <f t="shared" si="151"/>
        <v>#DIV/0!</v>
      </c>
    </row>
    <row r="325" spans="2:42">
      <c r="B325" s="97" t="s">
        <v>15</v>
      </c>
      <c r="C325" s="100"/>
      <c r="D325" s="100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33"/>
        <v>0</v>
      </c>
      <c r="U325" s="47">
        <f t="shared" si="134"/>
        <v>0</v>
      </c>
      <c r="V325" s="48">
        <f t="shared" si="135"/>
        <v>0</v>
      </c>
      <c r="W325" s="49">
        <f t="shared" si="136"/>
        <v>0</v>
      </c>
      <c r="X325" s="44">
        <f t="shared" si="137"/>
        <v>0</v>
      </c>
      <c r="Y325" s="44">
        <f t="shared" si="138"/>
        <v>0</v>
      </c>
      <c r="Z325" s="44">
        <f t="shared" si="139"/>
        <v>0</v>
      </c>
      <c r="AA325" s="50">
        <f t="shared" si="140"/>
        <v>0</v>
      </c>
      <c r="AB325" s="51">
        <f t="shared" si="141"/>
        <v>0</v>
      </c>
      <c r="AC325" s="44">
        <f t="shared" si="142"/>
        <v>0</v>
      </c>
      <c r="AD325" s="44">
        <f t="shared" si="143"/>
        <v>0</v>
      </c>
      <c r="AE325" s="44">
        <f t="shared" si="144"/>
        <v>0</v>
      </c>
      <c r="AF325" s="52" t="e">
        <f>HLOOKUP(I325,ElecAvoidedCostsWOCC!$A$5:$Q$50,G325+1,FALSE)</f>
        <v>#N/A</v>
      </c>
      <c r="AG325" s="44" t="e">
        <f t="shared" si="145"/>
        <v>#N/A</v>
      </c>
      <c r="AH325" s="52" t="e">
        <f>HLOOKUP(I325,ElecAvoidedCostsWOCC!$A$5:$Q$50,T325+1,FALSE)</f>
        <v>#N/A</v>
      </c>
      <c r="AI325" s="44" t="e">
        <f t="shared" si="146"/>
        <v>#N/A</v>
      </c>
      <c r="AJ325" s="44" t="e">
        <f t="shared" si="147"/>
        <v>#N/A</v>
      </c>
      <c r="AK325" s="44" t="e">
        <f>HLOOKUP(I325,ElecAvoidedCostsWOCC!$A$5:$Q$50,G325+1,FALSE)*J325*L325</f>
        <v>#N/A</v>
      </c>
      <c r="AL325" s="44" t="e">
        <f t="shared" si="148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49"/>
        <v>0</v>
      </c>
      <c r="AO325" s="47">
        <f t="shared" si="150"/>
        <v>0</v>
      </c>
      <c r="AP325" s="47" t="e">
        <f t="shared" si="151"/>
        <v>#DIV/0!</v>
      </c>
    </row>
    <row r="326" spans="2:42">
      <c r="B326" s="97" t="s">
        <v>15</v>
      </c>
      <c r="C326" s="100"/>
      <c r="D326" s="100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33"/>
        <v>0</v>
      </c>
      <c r="U326" s="47">
        <f t="shared" si="134"/>
        <v>0</v>
      </c>
      <c r="V326" s="48">
        <f t="shared" si="135"/>
        <v>0</v>
      </c>
      <c r="W326" s="49">
        <f t="shared" si="136"/>
        <v>0</v>
      </c>
      <c r="X326" s="44">
        <f t="shared" si="137"/>
        <v>0</v>
      </c>
      <c r="Y326" s="44">
        <f t="shared" si="138"/>
        <v>0</v>
      </c>
      <c r="Z326" s="44">
        <f t="shared" si="139"/>
        <v>0</v>
      </c>
      <c r="AA326" s="50">
        <f t="shared" si="140"/>
        <v>0</v>
      </c>
      <c r="AB326" s="51">
        <f t="shared" si="141"/>
        <v>0</v>
      </c>
      <c r="AC326" s="44">
        <f t="shared" si="142"/>
        <v>0</v>
      </c>
      <c r="AD326" s="44">
        <f t="shared" si="143"/>
        <v>0</v>
      </c>
      <c r="AE326" s="44">
        <f t="shared" si="144"/>
        <v>0</v>
      </c>
      <c r="AF326" s="52" t="e">
        <f>HLOOKUP(I326,ElecAvoidedCostsWOCC!$A$5:$Q$50,G326+1,FALSE)</f>
        <v>#N/A</v>
      </c>
      <c r="AG326" s="44" t="e">
        <f t="shared" si="145"/>
        <v>#N/A</v>
      </c>
      <c r="AH326" s="52" t="e">
        <f>HLOOKUP(I326,ElecAvoidedCostsWOCC!$A$5:$Q$50,T326+1,FALSE)</f>
        <v>#N/A</v>
      </c>
      <c r="AI326" s="44" t="e">
        <f t="shared" si="146"/>
        <v>#N/A</v>
      </c>
      <c r="AJ326" s="44" t="e">
        <f t="shared" si="147"/>
        <v>#N/A</v>
      </c>
      <c r="AK326" s="44" t="e">
        <f>HLOOKUP(I326,ElecAvoidedCostsWOCC!$A$5:$Q$50,G326+1,FALSE)*J326*L326</f>
        <v>#N/A</v>
      </c>
      <c r="AL326" s="44" t="e">
        <f t="shared" si="148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49"/>
        <v>0</v>
      </c>
      <c r="AO326" s="47">
        <f t="shared" si="150"/>
        <v>0</v>
      </c>
      <c r="AP326" s="47" t="e">
        <f t="shared" si="151"/>
        <v>#DIV/0!</v>
      </c>
    </row>
    <row r="327" spans="2:42">
      <c r="B327" s="97" t="s">
        <v>15</v>
      </c>
      <c r="C327" s="100"/>
      <c r="D327" s="100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33"/>
        <v>0</v>
      </c>
      <c r="U327" s="47">
        <f t="shared" si="134"/>
        <v>0</v>
      </c>
      <c r="V327" s="48">
        <f t="shared" si="135"/>
        <v>0</v>
      </c>
      <c r="W327" s="49">
        <f t="shared" si="136"/>
        <v>0</v>
      </c>
      <c r="X327" s="44">
        <f t="shared" si="137"/>
        <v>0</v>
      </c>
      <c r="Y327" s="44">
        <f t="shared" si="138"/>
        <v>0</v>
      </c>
      <c r="Z327" s="44">
        <f t="shared" si="139"/>
        <v>0</v>
      </c>
      <c r="AA327" s="50">
        <f t="shared" si="140"/>
        <v>0</v>
      </c>
      <c r="AB327" s="51">
        <f t="shared" si="141"/>
        <v>0</v>
      </c>
      <c r="AC327" s="44">
        <f t="shared" si="142"/>
        <v>0</v>
      </c>
      <c r="AD327" s="44">
        <f t="shared" si="143"/>
        <v>0</v>
      </c>
      <c r="AE327" s="44">
        <f t="shared" si="144"/>
        <v>0</v>
      </c>
      <c r="AF327" s="52" t="e">
        <f>HLOOKUP(I327,ElecAvoidedCostsWOCC!$A$5:$Q$50,G327+1,FALSE)</f>
        <v>#N/A</v>
      </c>
      <c r="AG327" s="44" t="e">
        <f t="shared" si="145"/>
        <v>#N/A</v>
      </c>
      <c r="AH327" s="52" t="e">
        <f>HLOOKUP(I327,ElecAvoidedCostsWOCC!$A$5:$Q$50,T327+1,FALSE)</f>
        <v>#N/A</v>
      </c>
      <c r="AI327" s="44" t="e">
        <f t="shared" si="146"/>
        <v>#N/A</v>
      </c>
      <c r="AJ327" s="44" t="e">
        <f t="shared" si="147"/>
        <v>#N/A</v>
      </c>
      <c r="AK327" s="44" t="e">
        <f>HLOOKUP(I327,ElecAvoidedCostsWOCC!$A$5:$Q$50,G327+1,FALSE)*J327*L327</f>
        <v>#N/A</v>
      </c>
      <c r="AL327" s="44" t="e">
        <f t="shared" si="148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49"/>
        <v>0</v>
      </c>
      <c r="AO327" s="47">
        <f t="shared" si="150"/>
        <v>0</v>
      </c>
      <c r="AP327" s="47" t="e">
        <f t="shared" si="151"/>
        <v>#DIV/0!</v>
      </c>
    </row>
    <row r="328" spans="2:42">
      <c r="B328" s="97" t="s">
        <v>15</v>
      </c>
      <c r="C328" s="100"/>
      <c r="D328" s="100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33"/>
        <v>0</v>
      </c>
      <c r="U328" s="47">
        <f t="shared" si="134"/>
        <v>0</v>
      </c>
      <c r="V328" s="48">
        <f t="shared" si="135"/>
        <v>0</v>
      </c>
      <c r="W328" s="49">
        <f t="shared" si="136"/>
        <v>0</v>
      </c>
      <c r="X328" s="44">
        <f t="shared" si="137"/>
        <v>0</v>
      </c>
      <c r="Y328" s="44">
        <f t="shared" si="138"/>
        <v>0</v>
      </c>
      <c r="Z328" s="44">
        <f t="shared" si="139"/>
        <v>0</v>
      </c>
      <c r="AA328" s="50">
        <f t="shared" si="140"/>
        <v>0</v>
      </c>
      <c r="AB328" s="51">
        <f t="shared" si="141"/>
        <v>0</v>
      </c>
      <c r="AC328" s="44">
        <f t="shared" si="142"/>
        <v>0</v>
      </c>
      <c r="AD328" s="44">
        <f t="shared" si="143"/>
        <v>0</v>
      </c>
      <c r="AE328" s="44">
        <f t="shared" si="144"/>
        <v>0</v>
      </c>
      <c r="AF328" s="52" t="e">
        <f>HLOOKUP(I328,ElecAvoidedCostsWOCC!$A$5:$Q$50,G328+1,FALSE)</f>
        <v>#N/A</v>
      </c>
      <c r="AG328" s="44" t="e">
        <f t="shared" si="145"/>
        <v>#N/A</v>
      </c>
      <c r="AH328" s="52" t="e">
        <f>HLOOKUP(I328,ElecAvoidedCostsWOCC!$A$5:$Q$50,T328+1,FALSE)</f>
        <v>#N/A</v>
      </c>
      <c r="AI328" s="44" t="e">
        <f t="shared" si="146"/>
        <v>#N/A</v>
      </c>
      <c r="AJ328" s="44" t="e">
        <f t="shared" si="147"/>
        <v>#N/A</v>
      </c>
      <c r="AK328" s="44" t="e">
        <f>HLOOKUP(I328,ElecAvoidedCostsWOCC!$A$5:$Q$50,G328+1,FALSE)*J328*L328</f>
        <v>#N/A</v>
      </c>
      <c r="AL328" s="44" t="e">
        <f t="shared" si="148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49"/>
        <v>0</v>
      </c>
      <c r="AO328" s="47">
        <f t="shared" si="150"/>
        <v>0</v>
      </c>
      <c r="AP328" s="47" t="e">
        <f t="shared" si="151"/>
        <v>#DIV/0!</v>
      </c>
    </row>
    <row r="329" spans="2:42">
      <c r="B329" s="97" t="s">
        <v>15</v>
      </c>
      <c r="C329" s="100"/>
      <c r="D329" s="100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33"/>
        <v>0</v>
      </c>
      <c r="U329" s="47">
        <f t="shared" si="134"/>
        <v>0</v>
      </c>
      <c r="V329" s="48">
        <f t="shared" si="135"/>
        <v>0</v>
      </c>
      <c r="W329" s="49">
        <f t="shared" si="136"/>
        <v>0</v>
      </c>
      <c r="X329" s="44">
        <f t="shared" si="137"/>
        <v>0</v>
      </c>
      <c r="Y329" s="44">
        <f t="shared" si="138"/>
        <v>0</v>
      </c>
      <c r="Z329" s="44">
        <f t="shared" si="139"/>
        <v>0</v>
      </c>
      <c r="AA329" s="50">
        <f t="shared" si="140"/>
        <v>0</v>
      </c>
      <c r="AB329" s="51">
        <f t="shared" si="141"/>
        <v>0</v>
      </c>
      <c r="AC329" s="44">
        <f t="shared" si="142"/>
        <v>0</v>
      </c>
      <c r="AD329" s="44">
        <f t="shared" si="143"/>
        <v>0</v>
      </c>
      <c r="AE329" s="44">
        <f t="shared" si="144"/>
        <v>0</v>
      </c>
      <c r="AF329" s="52" t="e">
        <f>HLOOKUP(I329,ElecAvoidedCostsWOCC!$A$5:$Q$50,G329+1,FALSE)</f>
        <v>#N/A</v>
      </c>
      <c r="AG329" s="44" t="e">
        <f t="shared" si="145"/>
        <v>#N/A</v>
      </c>
      <c r="AH329" s="52" t="e">
        <f>HLOOKUP(I329,ElecAvoidedCostsWOCC!$A$5:$Q$50,T329+1,FALSE)</f>
        <v>#N/A</v>
      </c>
      <c r="AI329" s="44" t="e">
        <f t="shared" si="146"/>
        <v>#N/A</v>
      </c>
      <c r="AJ329" s="44" t="e">
        <f t="shared" si="147"/>
        <v>#N/A</v>
      </c>
      <c r="AK329" s="44" t="e">
        <f>HLOOKUP(I329,ElecAvoidedCostsWOCC!$A$5:$Q$50,G329+1,FALSE)*J329*L329</f>
        <v>#N/A</v>
      </c>
      <c r="AL329" s="44" t="e">
        <f t="shared" si="148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49"/>
        <v>0</v>
      </c>
      <c r="AO329" s="47">
        <f t="shared" si="150"/>
        <v>0</v>
      </c>
      <c r="AP329" s="47" t="e">
        <f t="shared" si="151"/>
        <v>#DIV/0!</v>
      </c>
    </row>
    <row r="330" spans="2:42">
      <c r="B330" s="97" t="s">
        <v>15</v>
      </c>
      <c r="C330" s="100"/>
      <c r="D330" s="100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33"/>
        <v>0</v>
      </c>
      <c r="U330" s="47">
        <f t="shared" si="134"/>
        <v>0</v>
      </c>
      <c r="V330" s="48">
        <f t="shared" si="135"/>
        <v>0</v>
      </c>
      <c r="W330" s="49">
        <f t="shared" si="136"/>
        <v>0</v>
      </c>
      <c r="X330" s="44">
        <f t="shared" si="137"/>
        <v>0</v>
      </c>
      <c r="Y330" s="44">
        <f t="shared" si="138"/>
        <v>0</v>
      </c>
      <c r="Z330" s="44">
        <f t="shared" si="139"/>
        <v>0</v>
      </c>
      <c r="AA330" s="50">
        <f t="shared" si="140"/>
        <v>0</v>
      </c>
      <c r="AB330" s="51">
        <f t="shared" si="141"/>
        <v>0</v>
      </c>
      <c r="AC330" s="44">
        <f t="shared" si="142"/>
        <v>0</v>
      </c>
      <c r="AD330" s="44">
        <f t="shared" si="143"/>
        <v>0</v>
      </c>
      <c r="AE330" s="44">
        <f t="shared" si="144"/>
        <v>0</v>
      </c>
      <c r="AF330" s="52" t="e">
        <f>HLOOKUP(I330,ElecAvoidedCostsWOCC!$A$5:$Q$50,G330+1,FALSE)</f>
        <v>#N/A</v>
      </c>
      <c r="AG330" s="44" t="e">
        <f t="shared" si="145"/>
        <v>#N/A</v>
      </c>
      <c r="AH330" s="52" t="e">
        <f>HLOOKUP(I330,ElecAvoidedCostsWOCC!$A$5:$Q$50,T330+1,FALSE)</f>
        <v>#N/A</v>
      </c>
      <c r="AI330" s="44" t="e">
        <f t="shared" si="146"/>
        <v>#N/A</v>
      </c>
      <c r="AJ330" s="44" t="e">
        <f t="shared" si="147"/>
        <v>#N/A</v>
      </c>
      <c r="AK330" s="44" t="e">
        <f>HLOOKUP(I330,ElecAvoidedCostsWOCC!$A$5:$Q$50,G330+1,FALSE)*J330*L330</f>
        <v>#N/A</v>
      </c>
      <c r="AL330" s="44" t="e">
        <f t="shared" si="148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49"/>
        <v>0</v>
      </c>
      <c r="AO330" s="47">
        <f t="shared" si="150"/>
        <v>0</v>
      </c>
      <c r="AP330" s="47" t="e">
        <f t="shared" si="151"/>
        <v>#DIV/0!</v>
      </c>
    </row>
    <row r="331" spans="2:42">
      <c r="B331" s="97" t="s">
        <v>15</v>
      </c>
      <c r="C331" s="100"/>
      <c r="D331" s="100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33"/>
        <v>0</v>
      </c>
      <c r="U331" s="47">
        <f t="shared" si="134"/>
        <v>0</v>
      </c>
      <c r="V331" s="48">
        <f t="shared" si="135"/>
        <v>0</v>
      </c>
      <c r="W331" s="49">
        <f t="shared" si="136"/>
        <v>0</v>
      </c>
      <c r="X331" s="44">
        <f t="shared" si="137"/>
        <v>0</v>
      </c>
      <c r="Y331" s="44">
        <f t="shared" si="138"/>
        <v>0</v>
      </c>
      <c r="Z331" s="44">
        <f t="shared" si="139"/>
        <v>0</v>
      </c>
      <c r="AA331" s="50">
        <f t="shared" si="140"/>
        <v>0</v>
      </c>
      <c r="AB331" s="51">
        <f t="shared" si="141"/>
        <v>0</v>
      </c>
      <c r="AC331" s="44">
        <f t="shared" si="142"/>
        <v>0</v>
      </c>
      <c r="AD331" s="44">
        <f t="shared" si="143"/>
        <v>0</v>
      </c>
      <c r="AE331" s="44">
        <f t="shared" si="144"/>
        <v>0</v>
      </c>
      <c r="AF331" s="52" t="e">
        <f>HLOOKUP(I331,ElecAvoidedCostsWOCC!$A$5:$Q$50,G331+1,FALSE)</f>
        <v>#N/A</v>
      </c>
      <c r="AG331" s="44" t="e">
        <f t="shared" si="145"/>
        <v>#N/A</v>
      </c>
      <c r="AH331" s="52" t="e">
        <f>HLOOKUP(I331,ElecAvoidedCostsWOCC!$A$5:$Q$50,T331+1,FALSE)</f>
        <v>#N/A</v>
      </c>
      <c r="AI331" s="44" t="e">
        <f t="shared" si="146"/>
        <v>#N/A</v>
      </c>
      <c r="AJ331" s="44" t="e">
        <f t="shared" si="147"/>
        <v>#N/A</v>
      </c>
      <c r="AK331" s="44" t="e">
        <f>HLOOKUP(I331,ElecAvoidedCostsWOCC!$A$5:$Q$50,G331+1,FALSE)*J331*L331</f>
        <v>#N/A</v>
      </c>
      <c r="AL331" s="44" t="e">
        <f t="shared" si="148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49"/>
        <v>0</v>
      </c>
      <c r="AO331" s="47">
        <f t="shared" si="150"/>
        <v>0</v>
      </c>
      <c r="AP331" s="47" t="e">
        <f t="shared" si="151"/>
        <v>#DIV/0!</v>
      </c>
    </row>
    <row r="332" spans="2:42">
      <c r="B332" s="97" t="s">
        <v>15</v>
      </c>
      <c r="C332" s="100"/>
      <c r="D332" s="100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33"/>
        <v>0</v>
      </c>
      <c r="U332" s="47">
        <f t="shared" si="134"/>
        <v>0</v>
      </c>
      <c r="V332" s="48">
        <f t="shared" si="135"/>
        <v>0</v>
      </c>
      <c r="W332" s="49">
        <f t="shared" si="136"/>
        <v>0</v>
      </c>
      <c r="X332" s="44">
        <f t="shared" si="137"/>
        <v>0</v>
      </c>
      <c r="Y332" s="44">
        <f t="shared" si="138"/>
        <v>0</v>
      </c>
      <c r="Z332" s="44">
        <f t="shared" si="139"/>
        <v>0</v>
      </c>
      <c r="AA332" s="50">
        <f t="shared" si="140"/>
        <v>0</v>
      </c>
      <c r="AB332" s="51">
        <f t="shared" si="141"/>
        <v>0</v>
      </c>
      <c r="AC332" s="44">
        <f t="shared" si="142"/>
        <v>0</v>
      </c>
      <c r="AD332" s="44">
        <f t="shared" si="143"/>
        <v>0</v>
      </c>
      <c r="AE332" s="44">
        <f t="shared" si="144"/>
        <v>0</v>
      </c>
      <c r="AF332" s="52" t="e">
        <f>HLOOKUP(I332,ElecAvoidedCostsWOCC!$A$5:$Q$50,G332+1,FALSE)</f>
        <v>#N/A</v>
      </c>
      <c r="AG332" s="44" t="e">
        <f t="shared" si="145"/>
        <v>#N/A</v>
      </c>
      <c r="AH332" s="52" t="e">
        <f>HLOOKUP(I332,ElecAvoidedCostsWOCC!$A$5:$Q$50,T332+1,FALSE)</f>
        <v>#N/A</v>
      </c>
      <c r="AI332" s="44" t="e">
        <f t="shared" si="146"/>
        <v>#N/A</v>
      </c>
      <c r="AJ332" s="44" t="e">
        <f t="shared" si="147"/>
        <v>#N/A</v>
      </c>
      <c r="AK332" s="44" t="e">
        <f>HLOOKUP(I332,ElecAvoidedCostsWOCC!$A$5:$Q$50,G332+1,FALSE)*J332*L332</f>
        <v>#N/A</v>
      </c>
      <c r="AL332" s="44" t="e">
        <f t="shared" si="148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49"/>
        <v>0</v>
      </c>
      <c r="AO332" s="47">
        <f t="shared" si="150"/>
        <v>0</v>
      </c>
      <c r="AP332" s="47" t="e">
        <f t="shared" si="151"/>
        <v>#DIV/0!</v>
      </c>
    </row>
    <row r="333" spans="2:42">
      <c r="B333" s="97" t="s">
        <v>15</v>
      </c>
      <c r="C333" s="100"/>
      <c r="D333" s="100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33"/>
        <v>0</v>
      </c>
      <c r="U333" s="47">
        <f t="shared" si="134"/>
        <v>0</v>
      </c>
      <c r="V333" s="48">
        <f t="shared" si="135"/>
        <v>0</v>
      </c>
      <c r="W333" s="49">
        <f t="shared" si="136"/>
        <v>0</v>
      </c>
      <c r="X333" s="44">
        <f t="shared" si="137"/>
        <v>0</v>
      </c>
      <c r="Y333" s="44">
        <f t="shared" si="138"/>
        <v>0</v>
      </c>
      <c r="Z333" s="44">
        <f t="shared" si="139"/>
        <v>0</v>
      </c>
      <c r="AA333" s="50">
        <f t="shared" si="140"/>
        <v>0</v>
      </c>
      <c r="AB333" s="51">
        <f t="shared" si="141"/>
        <v>0</v>
      </c>
      <c r="AC333" s="44">
        <f t="shared" si="142"/>
        <v>0</v>
      </c>
      <c r="AD333" s="44">
        <f t="shared" si="143"/>
        <v>0</v>
      </c>
      <c r="AE333" s="44">
        <f t="shared" si="144"/>
        <v>0</v>
      </c>
      <c r="AF333" s="52" t="e">
        <f>HLOOKUP(I333,ElecAvoidedCostsWOCC!$A$5:$Q$50,G333+1,FALSE)</f>
        <v>#N/A</v>
      </c>
      <c r="AG333" s="44" t="e">
        <f t="shared" si="145"/>
        <v>#N/A</v>
      </c>
      <c r="AH333" s="52" t="e">
        <f>HLOOKUP(I333,ElecAvoidedCostsWOCC!$A$5:$Q$50,T333+1,FALSE)</f>
        <v>#N/A</v>
      </c>
      <c r="AI333" s="44" t="e">
        <f t="shared" si="146"/>
        <v>#N/A</v>
      </c>
      <c r="AJ333" s="44" t="e">
        <f t="shared" si="147"/>
        <v>#N/A</v>
      </c>
      <c r="AK333" s="44" t="e">
        <f>HLOOKUP(I333,ElecAvoidedCostsWOCC!$A$5:$Q$50,G333+1,FALSE)*J333*L333</f>
        <v>#N/A</v>
      </c>
      <c r="AL333" s="44" t="e">
        <f t="shared" si="148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49"/>
        <v>0</v>
      </c>
      <c r="AO333" s="47">
        <f t="shared" si="150"/>
        <v>0</v>
      </c>
      <c r="AP333" s="47" t="e">
        <f t="shared" si="151"/>
        <v>#DIV/0!</v>
      </c>
    </row>
    <row r="334" spans="2:42">
      <c r="B334" s="97" t="s">
        <v>15</v>
      </c>
      <c r="C334" s="100"/>
      <c r="D334" s="100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33"/>
        <v>0</v>
      </c>
      <c r="U334" s="47">
        <f t="shared" si="134"/>
        <v>0</v>
      </c>
      <c r="V334" s="48">
        <f t="shared" si="135"/>
        <v>0</v>
      </c>
      <c r="W334" s="49">
        <f t="shared" si="136"/>
        <v>0</v>
      </c>
      <c r="X334" s="44">
        <f t="shared" si="137"/>
        <v>0</v>
      </c>
      <c r="Y334" s="44">
        <f t="shared" si="138"/>
        <v>0</v>
      </c>
      <c r="Z334" s="44">
        <f t="shared" si="139"/>
        <v>0</v>
      </c>
      <c r="AA334" s="50">
        <f t="shared" si="140"/>
        <v>0</v>
      </c>
      <c r="AB334" s="51">
        <f t="shared" si="141"/>
        <v>0</v>
      </c>
      <c r="AC334" s="44">
        <f t="shared" si="142"/>
        <v>0</v>
      </c>
      <c r="AD334" s="44">
        <f t="shared" si="143"/>
        <v>0</v>
      </c>
      <c r="AE334" s="44">
        <f t="shared" si="144"/>
        <v>0</v>
      </c>
      <c r="AF334" s="52" t="e">
        <f>HLOOKUP(I334,ElecAvoidedCostsWOCC!$A$5:$Q$50,G334+1,FALSE)</f>
        <v>#N/A</v>
      </c>
      <c r="AG334" s="44" t="e">
        <f t="shared" si="145"/>
        <v>#N/A</v>
      </c>
      <c r="AH334" s="52" t="e">
        <f>HLOOKUP(I334,ElecAvoidedCostsWOCC!$A$5:$Q$50,T334+1,FALSE)</f>
        <v>#N/A</v>
      </c>
      <c r="AI334" s="44" t="e">
        <f t="shared" si="146"/>
        <v>#N/A</v>
      </c>
      <c r="AJ334" s="44" t="e">
        <f t="shared" si="147"/>
        <v>#N/A</v>
      </c>
      <c r="AK334" s="44" t="e">
        <f>HLOOKUP(I334,ElecAvoidedCostsWOCC!$A$5:$Q$50,G334+1,FALSE)*J334*L334</f>
        <v>#N/A</v>
      </c>
      <c r="AL334" s="44" t="e">
        <f t="shared" si="148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49"/>
        <v>0</v>
      </c>
      <c r="AO334" s="47">
        <f t="shared" si="150"/>
        <v>0</v>
      </c>
      <c r="AP334" s="47" t="e">
        <f t="shared" si="151"/>
        <v>#DIV/0!</v>
      </c>
    </row>
    <row r="335" spans="2:42">
      <c r="B335" s="97" t="s">
        <v>15</v>
      </c>
      <c r="C335" s="100"/>
      <c r="D335" s="100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33"/>
        <v>0</v>
      </c>
      <c r="U335" s="47">
        <f t="shared" si="134"/>
        <v>0</v>
      </c>
      <c r="V335" s="48">
        <f t="shared" si="135"/>
        <v>0</v>
      </c>
      <c r="W335" s="49">
        <f t="shared" si="136"/>
        <v>0</v>
      </c>
      <c r="X335" s="44">
        <f t="shared" si="137"/>
        <v>0</v>
      </c>
      <c r="Y335" s="44">
        <f t="shared" si="138"/>
        <v>0</v>
      </c>
      <c r="Z335" s="44">
        <f t="shared" si="139"/>
        <v>0</v>
      </c>
      <c r="AA335" s="50">
        <f t="shared" si="140"/>
        <v>0</v>
      </c>
      <c r="AB335" s="51">
        <f t="shared" si="141"/>
        <v>0</v>
      </c>
      <c r="AC335" s="44">
        <f t="shared" si="142"/>
        <v>0</v>
      </c>
      <c r="AD335" s="44">
        <f t="shared" si="143"/>
        <v>0</v>
      </c>
      <c r="AE335" s="44">
        <f t="shared" si="144"/>
        <v>0</v>
      </c>
      <c r="AF335" s="52" t="e">
        <f>HLOOKUP(I335,ElecAvoidedCostsWOCC!$A$5:$Q$50,G335+1,FALSE)</f>
        <v>#N/A</v>
      </c>
      <c r="AG335" s="44" t="e">
        <f t="shared" si="145"/>
        <v>#N/A</v>
      </c>
      <c r="AH335" s="52" t="e">
        <f>HLOOKUP(I335,ElecAvoidedCostsWOCC!$A$5:$Q$50,T335+1,FALSE)</f>
        <v>#N/A</v>
      </c>
      <c r="AI335" s="44" t="e">
        <f t="shared" si="146"/>
        <v>#N/A</v>
      </c>
      <c r="AJ335" s="44" t="e">
        <f t="shared" si="147"/>
        <v>#N/A</v>
      </c>
      <c r="AK335" s="44" t="e">
        <f>HLOOKUP(I335,ElecAvoidedCostsWOCC!$A$5:$Q$50,G335+1,FALSE)*J335*L335</f>
        <v>#N/A</v>
      </c>
      <c r="AL335" s="44" t="e">
        <f t="shared" si="148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49"/>
        <v>0</v>
      </c>
      <c r="AO335" s="47">
        <f t="shared" si="150"/>
        <v>0</v>
      </c>
      <c r="AP335" s="47" t="e">
        <f t="shared" si="151"/>
        <v>#DIV/0!</v>
      </c>
    </row>
    <row r="336" spans="2:42">
      <c r="B336" s="97" t="s">
        <v>15</v>
      </c>
      <c r="C336" s="100"/>
      <c r="D336" s="100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33"/>
        <v>0</v>
      </c>
      <c r="U336" s="47">
        <f t="shared" si="134"/>
        <v>0</v>
      </c>
      <c r="V336" s="48">
        <f t="shared" si="135"/>
        <v>0</v>
      </c>
      <c r="W336" s="49">
        <f t="shared" si="136"/>
        <v>0</v>
      </c>
      <c r="X336" s="44">
        <f t="shared" si="137"/>
        <v>0</v>
      </c>
      <c r="Y336" s="44">
        <f t="shared" si="138"/>
        <v>0</v>
      </c>
      <c r="Z336" s="44">
        <f t="shared" si="139"/>
        <v>0</v>
      </c>
      <c r="AA336" s="50">
        <f t="shared" si="140"/>
        <v>0</v>
      </c>
      <c r="AB336" s="51">
        <f t="shared" si="141"/>
        <v>0</v>
      </c>
      <c r="AC336" s="44">
        <f t="shared" si="142"/>
        <v>0</v>
      </c>
      <c r="AD336" s="44">
        <f t="shared" si="143"/>
        <v>0</v>
      </c>
      <c r="AE336" s="44">
        <f t="shared" si="144"/>
        <v>0</v>
      </c>
      <c r="AF336" s="52" t="e">
        <f>HLOOKUP(I336,ElecAvoidedCostsWOCC!$A$5:$Q$50,G336+1,FALSE)</f>
        <v>#N/A</v>
      </c>
      <c r="AG336" s="44" t="e">
        <f t="shared" si="145"/>
        <v>#N/A</v>
      </c>
      <c r="AH336" s="52" t="e">
        <f>HLOOKUP(I336,ElecAvoidedCostsWOCC!$A$5:$Q$50,T336+1,FALSE)</f>
        <v>#N/A</v>
      </c>
      <c r="AI336" s="44" t="e">
        <f t="shared" si="146"/>
        <v>#N/A</v>
      </c>
      <c r="AJ336" s="44" t="e">
        <f t="shared" si="147"/>
        <v>#N/A</v>
      </c>
      <c r="AK336" s="44" t="e">
        <f>HLOOKUP(I336,ElecAvoidedCostsWOCC!$A$5:$Q$50,G336+1,FALSE)*J336*L336</f>
        <v>#N/A</v>
      </c>
      <c r="AL336" s="44" t="e">
        <f t="shared" si="148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49"/>
        <v>0</v>
      </c>
      <c r="AO336" s="47">
        <f t="shared" si="150"/>
        <v>0</v>
      </c>
      <c r="AP336" s="47" t="e">
        <f t="shared" si="151"/>
        <v>#DIV/0!</v>
      </c>
    </row>
    <row r="337" spans="2:42">
      <c r="B337" s="97" t="s">
        <v>15</v>
      </c>
      <c r="C337" s="100"/>
      <c r="D337" s="100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33"/>
        <v>0</v>
      </c>
      <c r="U337" s="47">
        <f t="shared" si="134"/>
        <v>0</v>
      </c>
      <c r="V337" s="48">
        <f t="shared" si="135"/>
        <v>0</v>
      </c>
      <c r="W337" s="49">
        <f t="shared" si="136"/>
        <v>0</v>
      </c>
      <c r="X337" s="44">
        <f t="shared" si="137"/>
        <v>0</v>
      </c>
      <c r="Y337" s="44">
        <f t="shared" si="138"/>
        <v>0</v>
      </c>
      <c r="Z337" s="44">
        <f t="shared" si="139"/>
        <v>0</v>
      </c>
      <c r="AA337" s="50">
        <f t="shared" si="140"/>
        <v>0</v>
      </c>
      <c r="AB337" s="51">
        <f t="shared" si="141"/>
        <v>0</v>
      </c>
      <c r="AC337" s="44">
        <f t="shared" si="142"/>
        <v>0</v>
      </c>
      <c r="AD337" s="44">
        <f t="shared" si="143"/>
        <v>0</v>
      </c>
      <c r="AE337" s="44">
        <f t="shared" si="144"/>
        <v>0</v>
      </c>
      <c r="AF337" s="52" t="e">
        <f>HLOOKUP(I337,ElecAvoidedCostsWOCC!$A$5:$Q$50,G337+1,FALSE)</f>
        <v>#N/A</v>
      </c>
      <c r="AG337" s="44" t="e">
        <f t="shared" si="145"/>
        <v>#N/A</v>
      </c>
      <c r="AH337" s="52" t="e">
        <f>HLOOKUP(I337,ElecAvoidedCostsWOCC!$A$5:$Q$50,T337+1,FALSE)</f>
        <v>#N/A</v>
      </c>
      <c r="AI337" s="44" t="e">
        <f t="shared" si="146"/>
        <v>#N/A</v>
      </c>
      <c r="AJ337" s="44" t="e">
        <f t="shared" si="147"/>
        <v>#N/A</v>
      </c>
      <c r="AK337" s="44" t="e">
        <f>HLOOKUP(I337,ElecAvoidedCostsWOCC!$A$5:$Q$50,G337+1,FALSE)*J337*L337</f>
        <v>#N/A</v>
      </c>
      <c r="AL337" s="44" t="e">
        <f t="shared" si="148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49"/>
        <v>0</v>
      </c>
      <c r="AO337" s="47">
        <f t="shared" si="150"/>
        <v>0</v>
      </c>
      <c r="AP337" s="47" t="e">
        <f t="shared" si="151"/>
        <v>#DIV/0!</v>
      </c>
    </row>
    <row r="338" spans="2:42">
      <c r="B338" s="97" t="s">
        <v>15</v>
      </c>
      <c r="C338" s="100"/>
      <c r="D338" s="100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33"/>
        <v>0</v>
      </c>
      <c r="U338" s="47">
        <f t="shared" si="134"/>
        <v>0</v>
      </c>
      <c r="V338" s="48">
        <f t="shared" si="135"/>
        <v>0</v>
      </c>
      <c r="W338" s="49">
        <f t="shared" si="136"/>
        <v>0</v>
      </c>
      <c r="X338" s="44">
        <f t="shared" si="137"/>
        <v>0</v>
      </c>
      <c r="Y338" s="44">
        <f t="shared" si="138"/>
        <v>0</v>
      </c>
      <c r="Z338" s="44">
        <f t="shared" si="139"/>
        <v>0</v>
      </c>
      <c r="AA338" s="50">
        <f t="shared" si="140"/>
        <v>0</v>
      </c>
      <c r="AB338" s="51">
        <f t="shared" si="141"/>
        <v>0</v>
      </c>
      <c r="AC338" s="44">
        <f t="shared" si="142"/>
        <v>0</v>
      </c>
      <c r="AD338" s="44">
        <f t="shared" si="143"/>
        <v>0</v>
      </c>
      <c r="AE338" s="44">
        <f t="shared" si="144"/>
        <v>0</v>
      </c>
      <c r="AF338" s="52" t="e">
        <f>HLOOKUP(I338,ElecAvoidedCostsWOCC!$A$5:$Q$50,G338+1,FALSE)</f>
        <v>#N/A</v>
      </c>
      <c r="AG338" s="44" t="e">
        <f t="shared" si="145"/>
        <v>#N/A</v>
      </c>
      <c r="AH338" s="52" t="e">
        <f>HLOOKUP(I338,ElecAvoidedCostsWOCC!$A$5:$Q$50,T338+1,FALSE)</f>
        <v>#N/A</v>
      </c>
      <c r="AI338" s="44" t="e">
        <f t="shared" si="146"/>
        <v>#N/A</v>
      </c>
      <c r="AJ338" s="44" t="e">
        <f t="shared" si="147"/>
        <v>#N/A</v>
      </c>
      <c r="AK338" s="44" t="e">
        <f>HLOOKUP(I338,ElecAvoidedCostsWOCC!$A$5:$Q$50,G338+1,FALSE)*J338*L338</f>
        <v>#N/A</v>
      </c>
      <c r="AL338" s="44" t="e">
        <f t="shared" si="148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49"/>
        <v>0</v>
      </c>
      <c r="AO338" s="47">
        <f t="shared" si="150"/>
        <v>0</v>
      </c>
      <c r="AP338" s="47" t="e">
        <f t="shared" si="151"/>
        <v>#DIV/0!</v>
      </c>
    </row>
    <row r="339" spans="2:42">
      <c r="B339" s="97" t="s">
        <v>15</v>
      </c>
      <c r="C339" s="100"/>
      <c r="D339" s="100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33"/>
        <v>0</v>
      </c>
      <c r="U339" s="47">
        <f t="shared" si="134"/>
        <v>0</v>
      </c>
      <c r="V339" s="48">
        <f t="shared" si="135"/>
        <v>0</v>
      </c>
      <c r="W339" s="49">
        <f t="shared" si="136"/>
        <v>0</v>
      </c>
      <c r="X339" s="44">
        <f t="shared" si="137"/>
        <v>0</v>
      </c>
      <c r="Y339" s="44">
        <f t="shared" si="138"/>
        <v>0</v>
      </c>
      <c r="Z339" s="44">
        <f t="shared" si="139"/>
        <v>0</v>
      </c>
      <c r="AA339" s="50">
        <f t="shared" si="140"/>
        <v>0</v>
      </c>
      <c r="AB339" s="51">
        <f t="shared" si="141"/>
        <v>0</v>
      </c>
      <c r="AC339" s="44">
        <f t="shared" si="142"/>
        <v>0</v>
      </c>
      <c r="AD339" s="44">
        <f t="shared" si="143"/>
        <v>0</v>
      </c>
      <c r="AE339" s="44">
        <f t="shared" si="144"/>
        <v>0</v>
      </c>
      <c r="AF339" s="52" t="e">
        <f>HLOOKUP(I339,ElecAvoidedCostsWOCC!$A$5:$Q$50,G339+1,FALSE)</f>
        <v>#N/A</v>
      </c>
      <c r="AG339" s="44" t="e">
        <f t="shared" si="145"/>
        <v>#N/A</v>
      </c>
      <c r="AH339" s="52" t="e">
        <f>HLOOKUP(I339,ElecAvoidedCostsWOCC!$A$5:$Q$50,T339+1,FALSE)</f>
        <v>#N/A</v>
      </c>
      <c r="AI339" s="44" t="e">
        <f t="shared" si="146"/>
        <v>#N/A</v>
      </c>
      <c r="AJ339" s="44" t="e">
        <f t="shared" si="147"/>
        <v>#N/A</v>
      </c>
      <c r="AK339" s="44" t="e">
        <f>HLOOKUP(I339,ElecAvoidedCostsWOCC!$A$5:$Q$50,G339+1,FALSE)*J339*L339</f>
        <v>#N/A</v>
      </c>
      <c r="AL339" s="44" t="e">
        <f t="shared" si="148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49"/>
        <v>0</v>
      </c>
      <c r="AO339" s="47">
        <f t="shared" si="150"/>
        <v>0</v>
      </c>
      <c r="AP339" s="47" t="e">
        <f t="shared" si="151"/>
        <v>#DIV/0!</v>
      </c>
    </row>
    <row r="340" spans="2:42">
      <c r="B340" s="97" t="s">
        <v>15</v>
      </c>
      <c r="C340" s="100"/>
      <c r="D340" s="100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33"/>
        <v>0</v>
      </c>
      <c r="U340" s="47">
        <f t="shared" si="134"/>
        <v>0</v>
      </c>
      <c r="V340" s="48">
        <f t="shared" si="135"/>
        <v>0</v>
      </c>
      <c r="W340" s="49">
        <f t="shared" si="136"/>
        <v>0</v>
      </c>
      <c r="X340" s="44">
        <f t="shared" si="137"/>
        <v>0</v>
      </c>
      <c r="Y340" s="44">
        <f t="shared" si="138"/>
        <v>0</v>
      </c>
      <c r="Z340" s="44">
        <f t="shared" si="139"/>
        <v>0</v>
      </c>
      <c r="AA340" s="50">
        <f t="shared" si="140"/>
        <v>0</v>
      </c>
      <c r="AB340" s="51">
        <f t="shared" si="141"/>
        <v>0</v>
      </c>
      <c r="AC340" s="44">
        <f t="shared" si="142"/>
        <v>0</v>
      </c>
      <c r="AD340" s="44">
        <f t="shared" si="143"/>
        <v>0</v>
      </c>
      <c r="AE340" s="44">
        <f t="shared" si="144"/>
        <v>0</v>
      </c>
      <c r="AF340" s="52" t="e">
        <f>HLOOKUP(I340,ElecAvoidedCostsWOCC!$A$5:$Q$50,G340+1,FALSE)</f>
        <v>#N/A</v>
      </c>
      <c r="AG340" s="44" t="e">
        <f t="shared" si="145"/>
        <v>#N/A</v>
      </c>
      <c r="AH340" s="52" t="e">
        <f>HLOOKUP(I340,ElecAvoidedCostsWOCC!$A$5:$Q$50,T340+1,FALSE)</f>
        <v>#N/A</v>
      </c>
      <c r="AI340" s="44" t="e">
        <f t="shared" si="146"/>
        <v>#N/A</v>
      </c>
      <c r="AJ340" s="44" t="e">
        <f t="shared" si="147"/>
        <v>#N/A</v>
      </c>
      <c r="AK340" s="44" t="e">
        <f>HLOOKUP(I340,ElecAvoidedCostsWOCC!$A$5:$Q$50,G340+1,FALSE)*J340*L340</f>
        <v>#N/A</v>
      </c>
      <c r="AL340" s="44" t="e">
        <f t="shared" si="148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49"/>
        <v>0</v>
      </c>
      <c r="AO340" s="47">
        <f t="shared" si="150"/>
        <v>0</v>
      </c>
      <c r="AP340" s="47" t="e">
        <f t="shared" si="151"/>
        <v>#DIV/0!</v>
      </c>
    </row>
    <row r="341" spans="2:42">
      <c r="B341" s="97" t="s">
        <v>15</v>
      </c>
      <c r="C341" s="100"/>
      <c r="D341" s="100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33"/>
        <v>0</v>
      </c>
      <c r="U341" s="47">
        <f t="shared" si="134"/>
        <v>0</v>
      </c>
      <c r="V341" s="48">
        <f t="shared" si="135"/>
        <v>0</v>
      </c>
      <c r="W341" s="49">
        <f t="shared" si="136"/>
        <v>0</v>
      </c>
      <c r="X341" s="44">
        <f t="shared" si="137"/>
        <v>0</v>
      </c>
      <c r="Y341" s="44">
        <f t="shared" si="138"/>
        <v>0</v>
      </c>
      <c r="Z341" s="44">
        <f t="shared" si="139"/>
        <v>0</v>
      </c>
      <c r="AA341" s="50">
        <f t="shared" si="140"/>
        <v>0</v>
      </c>
      <c r="AB341" s="51">
        <f t="shared" si="141"/>
        <v>0</v>
      </c>
      <c r="AC341" s="44">
        <f t="shared" si="142"/>
        <v>0</v>
      </c>
      <c r="AD341" s="44">
        <f t="shared" si="143"/>
        <v>0</v>
      </c>
      <c r="AE341" s="44">
        <f t="shared" si="144"/>
        <v>0</v>
      </c>
      <c r="AF341" s="52" t="e">
        <f>HLOOKUP(I341,ElecAvoidedCostsWOCC!$A$5:$Q$50,G341+1,FALSE)</f>
        <v>#N/A</v>
      </c>
      <c r="AG341" s="44" t="e">
        <f t="shared" si="145"/>
        <v>#N/A</v>
      </c>
      <c r="AH341" s="52" t="e">
        <f>HLOOKUP(I341,ElecAvoidedCostsWOCC!$A$5:$Q$50,T341+1,FALSE)</f>
        <v>#N/A</v>
      </c>
      <c r="AI341" s="44" t="e">
        <f t="shared" si="146"/>
        <v>#N/A</v>
      </c>
      <c r="AJ341" s="44" t="e">
        <f t="shared" si="147"/>
        <v>#N/A</v>
      </c>
      <c r="AK341" s="44" t="e">
        <f>HLOOKUP(I341,ElecAvoidedCostsWOCC!$A$5:$Q$50,G341+1,FALSE)*J341*L341</f>
        <v>#N/A</v>
      </c>
      <c r="AL341" s="44" t="e">
        <f t="shared" si="148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49"/>
        <v>0</v>
      </c>
      <c r="AO341" s="47">
        <f t="shared" si="150"/>
        <v>0</v>
      </c>
      <c r="AP341" s="47" t="e">
        <f t="shared" si="151"/>
        <v>#DIV/0!</v>
      </c>
    </row>
    <row r="342" spans="2:42">
      <c r="B342" s="97" t="s">
        <v>15</v>
      </c>
      <c r="C342" s="100"/>
      <c r="D342" s="100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33"/>
        <v>0</v>
      </c>
      <c r="U342" s="47">
        <f t="shared" si="134"/>
        <v>0</v>
      </c>
      <c r="V342" s="48">
        <f t="shared" si="135"/>
        <v>0</v>
      </c>
      <c r="W342" s="49">
        <f t="shared" si="136"/>
        <v>0</v>
      </c>
      <c r="X342" s="44">
        <f t="shared" si="137"/>
        <v>0</v>
      </c>
      <c r="Y342" s="44">
        <f t="shared" si="138"/>
        <v>0</v>
      </c>
      <c r="Z342" s="44">
        <f t="shared" si="139"/>
        <v>0</v>
      </c>
      <c r="AA342" s="50">
        <f t="shared" si="140"/>
        <v>0</v>
      </c>
      <c r="AB342" s="51">
        <f t="shared" si="141"/>
        <v>0</v>
      </c>
      <c r="AC342" s="44">
        <f t="shared" si="142"/>
        <v>0</v>
      </c>
      <c r="AD342" s="44">
        <f t="shared" si="143"/>
        <v>0</v>
      </c>
      <c r="AE342" s="44">
        <f t="shared" si="144"/>
        <v>0</v>
      </c>
      <c r="AF342" s="52" t="e">
        <f>HLOOKUP(I342,ElecAvoidedCostsWOCC!$A$5:$Q$50,G342+1,FALSE)</f>
        <v>#N/A</v>
      </c>
      <c r="AG342" s="44" t="e">
        <f t="shared" si="145"/>
        <v>#N/A</v>
      </c>
      <c r="AH342" s="52" t="e">
        <f>HLOOKUP(I342,ElecAvoidedCostsWOCC!$A$5:$Q$50,T342+1,FALSE)</f>
        <v>#N/A</v>
      </c>
      <c r="AI342" s="44" t="e">
        <f t="shared" si="146"/>
        <v>#N/A</v>
      </c>
      <c r="AJ342" s="44" t="e">
        <f t="shared" si="147"/>
        <v>#N/A</v>
      </c>
      <c r="AK342" s="44" t="e">
        <f>HLOOKUP(I342,ElecAvoidedCostsWOCC!$A$5:$Q$50,G342+1,FALSE)*J342*L342</f>
        <v>#N/A</v>
      </c>
      <c r="AL342" s="44" t="e">
        <f t="shared" si="148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49"/>
        <v>0</v>
      </c>
      <c r="AO342" s="47">
        <f t="shared" si="150"/>
        <v>0</v>
      </c>
      <c r="AP342" s="47" t="e">
        <f t="shared" si="151"/>
        <v>#DIV/0!</v>
      </c>
    </row>
    <row r="343" spans="2:42">
      <c r="B343" s="97" t="s">
        <v>15</v>
      </c>
      <c r="C343" s="100"/>
      <c r="D343" s="100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33"/>
        <v>0</v>
      </c>
      <c r="U343" s="47">
        <f t="shared" si="134"/>
        <v>0</v>
      </c>
      <c r="V343" s="48">
        <f t="shared" si="135"/>
        <v>0</v>
      </c>
      <c r="W343" s="49">
        <f t="shared" si="136"/>
        <v>0</v>
      </c>
      <c r="X343" s="44">
        <f t="shared" si="137"/>
        <v>0</v>
      </c>
      <c r="Y343" s="44">
        <f t="shared" si="138"/>
        <v>0</v>
      </c>
      <c r="Z343" s="44">
        <f t="shared" si="139"/>
        <v>0</v>
      </c>
      <c r="AA343" s="50">
        <f t="shared" si="140"/>
        <v>0</v>
      </c>
      <c r="AB343" s="51">
        <f t="shared" si="141"/>
        <v>0</v>
      </c>
      <c r="AC343" s="44">
        <f t="shared" si="142"/>
        <v>0</v>
      </c>
      <c r="AD343" s="44">
        <f t="shared" si="143"/>
        <v>0</v>
      </c>
      <c r="AE343" s="44">
        <f t="shared" si="144"/>
        <v>0</v>
      </c>
      <c r="AF343" s="52" t="e">
        <f>HLOOKUP(I343,ElecAvoidedCostsWOCC!$A$5:$Q$50,G343+1,FALSE)</f>
        <v>#N/A</v>
      </c>
      <c r="AG343" s="44" t="e">
        <f t="shared" si="145"/>
        <v>#N/A</v>
      </c>
      <c r="AH343" s="52" t="e">
        <f>HLOOKUP(I343,ElecAvoidedCostsWOCC!$A$5:$Q$50,T343+1,FALSE)</f>
        <v>#N/A</v>
      </c>
      <c r="AI343" s="44" t="e">
        <f t="shared" si="146"/>
        <v>#N/A</v>
      </c>
      <c r="AJ343" s="44" t="e">
        <f t="shared" si="147"/>
        <v>#N/A</v>
      </c>
      <c r="AK343" s="44" t="e">
        <f>HLOOKUP(I343,ElecAvoidedCostsWOCC!$A$5:$Q$50,G343+1,FALSE)*J343*L343</f>
        <v>#N/A</v>
      </c>
      <c r="AL343" s="44" t="e">
        <f t="shared" si="148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49"/>
        <v>0</v>
      </c>
      <c r="AO343" s="47">
        <f t="shared" si="150"/>
        <v>0</v>
      </c>
      <c r="AP343" s="47" t="e">
        <f t="shared" si="151"/>
        <v>#DIV/0!</v>
      </c>
    </row>
    <row r="344" spans="2:42">
      <c r="B344" s="97" t="s">
        <v>15</v>
      </c>
      <c r="C344" s="100"/>
      <c r="D344" s="100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33"/>
        <v>0</v>
      </c>
      <c r="U344" s="47">
        <f t="shared" si="134"/>
        <v>0</v>
      </c>
      <c r="V344" s="48">
        <f t="shared" si="135"/>
        <v>0</v>
      </c>
      <c r="W344" s="49">
        <f t="shared" si="136"/>
        <v>0</v>
      </c>
      <c r="X344" s="44">
        <f t="shared" si="137"/>
        <v>0</v>
      </c>
      <c r="Y344" s="44">
        <f t="shared" si="138"/>
        <v>0</v>
      </c>
      <c r="Z344" s="44">
        <f t="shared" si="139"/>
        <v>0</v>
      </c>
      <c r="AA344" s="50">
        <f t="shared" si="140"/>
        <v>0</v>
      </c>
      <c r="AB344" s="51">
        <f t="shared" si="141"/>
        <v>0</v>
      </c>
      <c r="AC344" s="44">
        <f t="shared" si="142"/>
        <v>0</v>
      </c>
      <c r="AD344" s="44">
        <f t="shared" si="143"/>
        <v>0</v>
      </c>
      <c r="AE344" s="44">
        <f t="shared" si="144"/>
        <v>0</v>
      </c>
      <c r="AF344" s="52" t="e">
        <f>HLOOKUP(I344,ElecAvoidedCostsWOCC!$A$5:$Q$50,G344+1,FALSE)</f>
        <v>#N/A</v>
      </c>
      <c r="AG344" s="44" t="e">
        <f t="shared" si="145"/>
        <v>#N/A</v>
      </c>
      <c r="AH344" s="52" t="e">
        <f>HLOOKUP(I344,ElecAvoidedCostsWOCC!$A$5:$Q$50,T344+1,FALSE)</f>
        <v>#N/A</v>
      </c>
      <c r="AI344" s="44" t="e">
        <f t="shared" si="146"/>
        <v>#N/A</v>
      </c>
      <c r="AJ344" s="44" t="e">
        <f t="shared" si="147"/>
        <v>#N/A</v>
      </c>
      <c r="AK344" s="44" t="e">
        <f>HLOOKUP(I344,ElecAvoidedCostsWOCC!$A$5:$Q$50,G344+1,FALSE)*J344*L344</f>
        <v>#N/A</v>
      </c>
      <c r="AL344" s="44" t="e">
        <f t="shared" si="148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49"/>
        <v>0</v>
      </c>
      <c r="AO344" s="47">
        <f t="shared" si="150"/>
        <v>0</v>
      </c>
      <c r="AP344" s="47" t="e">
        <f t="shared" si="151"/>
        <v>#DIV/0!</v>
      </c>
    </row>
    <row r="345" spans="2:42">
      <c r="B345" s="97" t="s">
        <v>15</v>
      </c>
      <c r="C345" s="100"/>
      <c r="D345" s="100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33"/>
        <v>0</v>
      </c>
      <c r="U345" s="47">
        <f t="shared" si="134"/>
        <v>0</v>
      </c>
      <c r="V345" s="48">
        <f t="shared" si="135"/>
        <v>0</v>
      </c>
      <c r="W345" s="49">
        <f t="shared" si="136"/>
        <v>0</v>
      </c>
      <c r="X345" s="44">
        <f t="shared" si="137"/>
        <v>0</v>
      </c>
      <c r="Y345" s="44">
        <f t="shared" si="138"/>
        <v>0</v>
      </c>
      <c r="Z345" s="44">
        <f t="shared" si="139"/>
        <v>0</v>
      </c>
      <c r="AA345" s="50">
        <f t="shared" si="140"/>
        <v>0</v>
      </c>
      <c r="AB345" s="51">
        <f t="shared" si="141"/>
        <v>0</v>
      </c>
      <c r="AC345" s="44">
        <f t="shared" si="142"/>
        <v>0</v>
      </c>
      <c r="AD345" s="44">
        <f t="shared" si="143"/>
        <v>0</v>
      </c>
      <c r="AE345" s="44">
        <f t="shared" si="144"/>
        <v>0</v>
      </c>
      <c r="AF345" s="52" t="e">
        <f>HLOOKUP(I345,ElecAvoidedCostsWOCC!$A$5:$Q$50,G345+1,FALSE)</f>
        <v>#N/A</v>
      </c>
      <c r="AG345" s="44" t="e">
        <f t="shared" si="145"/>
        <v>#N/A</v>
      </c>
      <c r="AH345" s="52" t="e">
        <f>HLOOKUP(I345,ElecAvoidedCostsWOCC!$A$5:$Q$50,T345+1,FALSE)</f>
        <v>#N/A</v>
      </c>
      <c r="AI345" s="44" t="e">
        <f t="shared" si="146"/>
        <v>#N/A</v>
      </c>
      <c r="AJ345" s="44" t="e">
        <f t="shared" si="147"/>
        <v>#N/A</v>
      </c>
      <c r="AK345" s="44" t="e">
        <f>HLOOKUP(I345,ElecAvoidedCostsWOCC!$A$5:$Q$50,G345+1,FALSE)*J345*L345</f>
        <v>#N/A</v>
      </c>
      <c r="AL345" s="44" t="e">
        <f t="shared" si="148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49"/>
        <v>0</v>
      </c>
      <c r="AO345" s="47">
        <f t="shared" si="150"/>
        <v>0</v>
      </c>
      <c r="AP345" s="47" t="e">
        <f t="shared" si="151"/>
        <v>#DIV/0!</v>
      </c>
    </row>
    <row r="346" spans="2:42">
      <c r="B346" s="97" t="s">
        <v>15</v>
      </c>
      <c r="C346" s="100"/>
      <c r="D346" s="100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33"/>
        <v>0</v>
      </c>
      <c r="U346" s="47">
        <f t="shared" si="134"/>
        <v>0</v>
      </c>
      <c r="V346" s="48">
        <f t="shared" si="135"/>
        <v>0</v>
      </c>
      <c r="W346" s="49">
        <f t="shared" si="136"/>
        <v>0</v>
      </c>
      <c r="X346" s="44">
        <f t="shared" si="137"/>
        <v>0</v>
      </c>
      <c r="Y346" s="44">
        <f t="shared" si="138"/>
        <v>0</v>
      </c>
      <c r="Z346" s="44">
        <f t="shared" si="139"/>
        <v>0</v>
      </c>
      <c r="AA346" s="50">
        <f t="shared" si="140"/>
        <v>0</v>
      </c>
      <c r="AB346" s="51">
        <f t="shared" si="141"/>
        <v>0</v>
      </c>
      <c r="AC346" s="44">
        <f t="shared" si="142"/>
        <v>0</v>
      </c>
      <c r="AD346" s="44">
        <f t="shared" si="143"/>
        <v>0</v>
      </c>
      <c r="AE346" s="44">
        <f t="shared" si="144"/>
        <v>0</v>
      </c>
      <c r="AF346" s="52" t="e">
        <f>HLOOKUP(I346,ElecAvoidedCostsWOCC!$A$5:$Q$50,G346+1,FALSE)</f>
        <v>#N/A</v>
      </c>
      <c r="AG346" s="44" t="e">
        <f t="shared" si="145"/>
        <v>#N/A</v>
      </c>
      <c r="AH346" s="52" t="e">
        <f>HLOOKUP(I346,ElecAvoidedCostsWOCC!$A$5:$Q$50,T346+1,FALSE)</f>
        <v>#N/A</v>
      </c>
      <c r="AI346" s="44" t="e">
        <f t="shared" si="146"/>
        <v>#N/A</v>
      </c>
      <c r="AJ346" s="44" t="e">
        <f t="shared" si="147"/>
        <v>#N/A</v>
      </c>
      <c r="AK346" s="44" t="e">
        <f>HLOOKUP(I346,ElecAvoidedCostsWOCC!$A$5:$Q$50,G346+1,FALSE)*J346*L346</f>
        <v>#N/A</v>
      </c>
      <c r="AL346" s="44" t="e">
        <f t="shared" si="148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49"/>
        <v>0</v>
      </c>
      <c r="AO346" s="47">
        <f t="shared" si="150"/>
        <v>0</v>
      </c>
      <c r="AP346" s="47" t="e">
        <f t="shared" si="151"/>
        <v>#DIV/0!</v>
      </c>
    </row>
    <row r="347" spans="2:42">
      <c r="B347" s="97" t="s">
        <v>15</v>
      </c>
      <c r="C347" s="100"/>
      <c r="D347" s="100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33"/>
        <v>0</v>
      </c>
      <c r="U347" s="47">
        <f t="shared" si="134"/>
        <v>0</v>
      </c>
      <c r="V347" s="48">
        <f t="shared" si="135"/>
        <v>0</v>
      </c>
      <c r="W347" s="49">
        <f t="shared" si="136"/>
        <v>0</v>
      </c>
      <c r="X347" s="44">
        <f t="shared" si="137"/>
        <v>0</v>
      </c>
      <c r="Y347" s="44">
        <f t="shared" si="138"/>
        <v>0</v>
      </c>
      <c r="Z347" s="44">
        <f t="shared" si="139"/>
        <v>0</v>
      </c>
      <c r="AA347" s="50">
        <f t="shared" si="140"/>
        <v>0</v>
      </c>
      <c r="AB347" s="51">
        <f t="shared" si="141"/>
        <v>0</v>
      </c>
      <c r="AC347" s="44">
        <f t="shared" si="142"/>
        <v>0</v>
      </c>
      <c r="AD347" s="44">
        <f t="shared" si="143"/>
        <v>0</v>
      </c>
      <c r="AE347" s="44">
        <f t="shared" si="144"/>
        <v>0</v>
      </c>
      <c r="AF347" s="52" t="e">
        <f>HLOOKUP(I347,ElecAvoidedCostsWOCC!$A$5:$Q$50,G347+1,FALSE)</f>
        <v>#N/A</v>
      </c>
      <c r="AG347" s="44" t="e">
        <f t="shared" si="145"/>
        <v>#N/A</v>
      </c>
      <c r="AH347" s="52" t="e">
        <f>HLOOKUP(I347,ElecAvoidedCostsWOCC!$A$5:$Q$50,T347+1,FALSE)</f>
        <v>#N/A</v>
      </c>
      <c r="AI347" s="44" t="e">
        <f t="shared" si="146"/>
        <v>#N/A</v>
      </c>
      <c r="AJ347" s="44" t="e">
        <f t="shared" si="147"/>
        <v>#N/A</v>
      </c>
      <c r="AK347" s="44" t="e">
        <f>HLOOKUP(I347,ElecAvoidedCostsWOCC!$A$5:$Q$50,G347+1,FALSE)*J347*L347</f>
        <v>#N/A</v>
      </c>
      <c r="AL347" s="44" t="e">
        <f t="shared" si="148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49"/>
        <v>0</v>
      </c>
      <c r="AO347" s="47">
        <f t="shared" si="150"/>
        <v>0</v>
      </c>
      <c r="AP347" s="47" t="e">
        <f t="shared" si="151"/>
        <v>#DIV/0!</v>
      </c>
    </row>
    <row r="348" spans="2:42">
      <c r="B348" s="97" t="s">
        <v>15</v>
      </c>
      <c r="C348" s="100"/>
      <c r="D348" s="100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33"/>
        <v>0</v>
      </c>
      <c r="U348" s="47">
        <f t="shared" si="134"/>
        <v>0</v>
      </c>
      <c r="V348" s="48">
        <f t="shared" si="135"/>
        <v>0</v>
      </c>
      <c r="W348" s="49">
        <f t="shared" si="136"/>
        <v>0</v>
      </c>
      <c r="X348" s="44">
        <f t="shared" si="137"/>
        <v>0</v>
      </c>
      <c r="Y348" s="44">
        <f t="shared" si="138"/>
        <v>0</v>
      </c>
      <c r="Z348" s="44">
        <f t="shared" si="139"/>
        <v>0</v>
      </c>
      <c r="AA348" s="50">
        <f t="shared" si="140"/>
        <v>0</v>
      </c>
      <c r="AB348" s="51">
        <f t="shared" si="141"/>
        <v>0</v>
      </c>
      <c r="AC348" s="44">
        <f t="shared" si="142"/>
        <v>0</v>
      </c>
      <c r="AD348" s="44">
        <f t="shared" si="143"/>
        <v>0</v>
      </c>
      <c r="AE348" s="44">
        <f t="shared" si="144"/>
        <v>0</v>
      </c>
      <c r="AF348" s="52" t="e">
        <f>HLOOKUP(I348,ElecAvoidedCostsWOCC!$A$5:$Q$50,G348+1,FALSE)</f>
        <v>#N/A</v>
      </c>
      <c r="AG348" s="44" t="e">
        <f t="shared" si="145"/>
        <v>#N/A</v>
      </c>
      <c r="AH348" s="52" t="e">
        <f>HLOOKUP(I348,ElecAvoidedCostsWOCC!$A$5:$Q$50,T348+1,FALSE)</f>
        <v>#N/A</v>
      </c>
      <c r="AI348" s="44" t="e">
        <f t="shared" si="146"/>
        <v>#N/A</v>
      </c>
      <c r="AJ348" s="44" t="e">
        <f t="shared" si="147"/>
        <v>#N/A</v>
      </c>
      <c r="AK348" s="44" t="e">
        <f>HLOOKUP(I348,ElecAvoidedCostsWOCC!$A$5:$Q$50,G348+1,FALSE)*J348*L348</f>
        <v>#N/A</v>
      </c>
      <c r="AL348" s="44" t="e">
        <f t="shared" si="148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49"/>
        <v>0</v>
      </c>
      <c r="AO348" s="47">
        <f t="shared" si="150"/>
        <v>0</v>
      </c>
      <c r="AP348" s="47" t="e">
        <f t="shared" si="151"/>
        <v>#DIV/0!</v>
      </c>
    </row>
    <row r="349" spans="2:42">
      <c r="B349" s="97" t="s">
        <v>15</v>
      </c>
      <c r="C349" s="100"/>
      <c r="D349" s="100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33"/>
        <v>0</v>
      </c>
      <c r="U349" s="47">
        <f t="shared" si="134"/>
        <v>0</v>
      </c>
      <c r="V349" s="48">
        <f t="shared" si="135"/>
        <v>0</v>
      </c>
      <c r="W349" s="49">
        <f t="shared" si="136"/>
        <v>0</v>
      </c>
      <c r="X349" s="44">
        <f t="shared" si="137"/>
        <v>0</v>
      </c>
      <c r="Y349" s="44">
        <f t="shared" si="138"/>
        <v>0</v>
      </c>
      <c r="Z349" s="44">
        <f t="shared" si="139"/>
        <v>0</v>
      </c>
      <c r="AA349" s="50">
        <f t="shared" si="140"/>
        <v>0</v>
      </c>
      <c r="AB349" s="51">
        <f t="shared" si="141"/>
        <v>0</v>
      </c>
      <c r="AC349" s="44">
        <f t="shared" si="142"/>
        <v>0</v>
      </c>
      <c r="AD349" s="44">
        <f t="shared" si="143"/>
        <v>0</v>
      </c>
      <c r="AE349" s="44">
        <f t="shared" si="144"/>
        <v>0</v>
      </c>
      <c r="AF349" s="52" t="e">
        <f>HLOOKUP(I349,ElecAvoidedCostsWOCC!$A$5:$Q$50,G349+1,FALSE)</f>
        <v>#N/A</v>
      </c>
      <c r="AG349" s="44" t="e">
        <f t="shared" si="145"/>
        <v>#N/A</v>
      </c>
      <c r="AH349" s="52" t="e">
        <f>HLOOKUP(I349,ElecAvoidedCostsWOCC!$A$5:$Q$50,T349+1,FALSE)</f>
        <v>#N/A</v>
      </c>
      <c r="AI349" s="44" t="e">
        <f t="shared" si="146"/>
        <v>#N/A</v>
      </c>
      <c r="AJ349" s="44" t="e">
        <f t="shared" si="147"/>
        <v>#N/A</v>
      </c>
      <c r="AK349" s="44" t="e">
        <f>HLOOKUP(I349,ElecAvoidedCostsWOCC!$A$5:$Q$50,G349+1,FALSE)*J349*L349</f>
        <v>#N/A</v>
      </c>
      <c r="AL349" s="44" t="e">
        <f t="shared" si="148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49"/>
        <v>0</v>
      </c>
      <c r="AO349" s="47">
        <f t="shared" si="150"/>
        <v>0</v>
      </c>
      <c r="AP349" s="47" t="e">
        <f t="shared" si="151"/>
        <v>#DIV/0!</v>
      </c>
    </row>
    <row r="350" spans="2:42">
      <c r="B350" s="97" t="s">
        <v>15</v>
      </c>
      <c r="C350" s="100"/>
      <c r="D350" s="100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33"/>
        <v>0</v>
      </c>
      <c r="U350" s="47">
        <f t="shared" si="134"/>
        <v>0</v>
      </c>
      <c r="V350" s="48">
        <f t="shared" si="135"/>
        <v>0</v>
      </c>
      <c r="W350" s="49">
        <f t="shared" si="136"/>
        <v>0</v>
      </c>
      <c r="X350" s="44">
        <f t="shared" si="137"/>
        <v>0</v>
      </c>
      <c r="Y350" s="44">
        <f t="shared" si="138"/>
        <v>0</v>
      </c>
      <c r="Z350" s="44">
        <f t="shared" si="139"/>
        <v>0</v>
      </c>
      <c r="AA350" s="50">
        <f t="shared" si="140"/>
        <v>0</v>
      </c>
      <c r="AB350" s="51">
        <f t="shared" si="141"/>
        <v>0</v>
      </c>
      <c r="AC350" s="44">
        <f t="shared" si="142"/>
        <v>0</v>
      </c>
      <c r="AD350" s="44">
        <f t="shared" si="143"/>
        <v>0</v>
      </c>
      <c r="AE350" s="44">
        <f t="shared" si="144"/>
        <v>0</v>
      </c>
      <c r="AF350" s="52" t="e">
        <f>HLOOKUP(I350,ElecAvoidedCostsWOCC!$A$5:$Q$50,G350+1,FALSE)</f>
        <v>#N/A</v>
      </c>
      <c r="AG350" s="44" t="e">
        <f t="shared" si="145"/>
        <v>#N/A</v>
      </c>
      <c r="AH350" s="52" t="e">
        <f>HLOOKUP(I350,ElecAvoidedCostsWOCC!$A$5:$Q$50,T350+1,FALSE)</f>
        <v>#N/A</v>
      </c>
      <c r="AI350" s="44" t="e">
        <f t="shared" si="146"/>
        <v>#N/A</v>
      </c>
      <c r="AJ350" s="44" t="e">
        <f t="shared" si="147"/>
        <v>#N/A</v>
      </c>
      <c r="AK350" s="44" t="e">
        <f>HLOOKUP(I350,ElecAvoidedCostsWOCC!$A$5:$Q$50,G350+1,FALSE)*J350*L350</f>
        <v>#N/A</v>
      </c>
      <c r="AL350" s="44" t="e">
        <f t="shared" si="148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49"/>
        <v>0</v>
      </c>
      <c r="AO350" s="47">
        <f t="shared" si="150"/>
        <v>0</v>
      </c>
      <c r="AP350" s="47" t="e">
        <f t="shared" si="151"/>
        <v>#DIV/0!</v>
      </c>
    </row>
    <row r="351" spans="2:42">
      <c r="B351" s="97" t="s">
        <v>15</v>
      </c>
      <c r="C351" s="100"/>
      <c r="D351" s="100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33"/>
        <v>0</v>
      </c>
      <c r="U351" s="47">
        <f t="shared" si="134"/>
        <v>0</v>
      </c>
      <c r="V351" s="48">
        <f t="shared" si="135"/>
        <v>0</v>
      </c>
      <c r="W351" s="49">
        <f t="shared" si="136"/>
        <v>0</v>
      </c>
      <c r="X351" s="44">
        <f t="shared" si="137"/>
        <v>0</v>
      </c>
      <c r="Y351" s="44">
        <f t="shared" si="138"/>
        <v>0</v>
      </c>
      <c r="Z351" s="44">
        <f t="shared" si="139"/>
        <v>0</v>
      </c>
      <c r="AA351" s="50">
        <f t="shared" si="140"/>
        <v>0</v>
      </c>
      <c r="AB351" s="51">
        <f t="shared" si="141"/>
        <v>0</v>
      </c>
      <c r="AC351" s="44">
        <f t="shared" si="142"/>
        <v>0</v>
      </c>
      <c r="AD351" s="44">
        <f t="shared" si="143"/>
        <v>0</v>
      </c>
      <c r="AE351" s="44">
        <f t="shared" si="144"/>
        <v>0</v>
      </c>
      <c r="AF351" s="52" t="e">
        <f>HLOOKUP(I351,ElecAvoidedCostsWOCC!$A$5:$Q$50,G351+1,FALSE)</f>
        <v>#N/A</v>
      </c>
      <c r="AG351" s="44" t="e">
        <f t="shared" si="145"/>
        <v>#N/A</v>
      </c>
      <c r="AH351" s="52" t="e">
        <f>HLOOKUP(I351,ElecAvoidedCostsWOCC!$A$5:$Q$50,T351+1,FALSE)</f>
        <v>#N/A</v>
      </c>
      <c r="AI351" s="44" t="e">
        <f t="shared" si="146"/>
        <v>#N/A</v>
      </c>
      <c r="AJ351" s="44" t="e">
        <f t="shared" si="147"/>
        <v>#N/A</v>
      </c>
      <c r="AK351" s="44" t="e">
        <f>HLOOKUP(I351,ElecAvoidedCostsWOCC!$A$5:$Q$50,G351+1,FALSE)*J351*L351</f>
        <v>#N/A</v>
      </c>
      <c r="AL351" s="44" t="e">
        <f t="shared" si="148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49"/>
        <v>0</v>
      </c>
      <c r="AO351" s="47">
        <f t="shared" si="150"/>
        <v>0</v>
      </c>
      <c r="AP351" s="47" t="e">
        <f t="shared" si="151"/>
        <v>#DIV/0!</v>
      </c>
    </row>
  </sheetData>
  <conditionalFormatting sqref="R5:S351">
    <cfRule type="expression" dxfId="319" priority="1">
      <formula>"istext($AB17)"</formula>
    </cfRule>
  </conditionalFormatting>
  <conditionalFormatting sqref="J5:L351">
    <cfRule type="expression" dxfId="318" priority="4">
      <formula>ISTEXT(J5)</formula>
    </cfRule>
    <cfRule type="notContainsBlanks" dxfId="317" priority="5">
      <formula>LEN(TRIM(J5))&gt;0</formula>
    </cfRule>
  </conditionalFormatting>
  <conditionalFormatting sqref="M5:N351 R5:S351">
    <cfRule type="expression" dxfId="316" priority="2">
      <formula>ISTEXT(M5)</formula>
    </cfRule>
  </conditionalFormatting>
  <conditionalFormatting sqref="M5:N351 R5:S351">
    <cfRule type="notContainsBlanks" dxfId="315" priority="3">
      <formula>LEN(TRIM(M5))&gt;0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84"/>
  <sheetViews>
    <sheetView zoomScale="85" zoomScaleNormal="85" workbookViewId="0">
      <selection activeCell="A32" sqref="A3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543</v>
      </c>
      <c r="F5" s="39" t="s">
        <v>544</v>
      </c>
      <c r="G5" s="39">
        <v>15</v>
      </c>
      <c r="H5" s="39"/>
      <c r="I5" s="40" t="s">
        <v>268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5.3239559014884317E-4</v>
      </c>
      <c r="V5" s="48">
        <f t="shared" ref="V5:V24" si="2">N5-M5</f>
        <v>886</v>
      </c>
      <c r="W5" s="49">
        <f t="shared" ref="W5:W24" si="3">(O5/A$10)</f>
        <v>3.5493039343256213E-5</v>
      </c>
      <c r="X5" s="44">
        <f t="shared" ref="X5:X24" si="4">W5*A$8</f>
        <v>44.72526584093697</v>
      </c>
      <c r="Y5" s="44">
        <f t="shared" ref="Y5:Y24" si="5">Q5-P5</f>
        <v>886</v>
      </c>
      <c r="Z5" s="44">
        <f t="shared" ref="Z5:Z24" si="6">X5+(A$6*W5)</f>
        <v>457.8355721643274</v>
      </c>
      <c r="AA5" s="50">
        <f t="shared" ref="AA5:AA24" si="7">Q5+X5</f>
        <v>1730.725265840937</v>
      </c>
      <c r="AB5" s="51">
        <f t="shared" ref="AB5:AC20" si="8">Z5/(1+ElecDiscountRate)^1</f>
        <v>428.00371334423426</v>
      </c>
      <c r="AC5" s="44">
        <f t="shared" si="8"/>
        <v>1617.9538803785517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3.063023657371402</v>
      </c>
      <c r="AP5" s="47">
        <f>AN5/AC5</f>
        <v>0.89130108518322781</v>
      </c>
      <c r="AQ5">
        <v>2021</v>
      </c>
    </row>
    <row r="6" spans="1:43" ht="13.5" customHeight="1">
      <c r="A6" s="53">
        <f>SUMIF('Program Costs'!D:D,C2,'Program Costs'!L:L)</f>
        <v>11639192.189999999</v>
      </c>
      <c r="B6" s="97" t="s">
        <v>15</v>
      </c>
      <c r="C6" s="100">
        <v>18230628</v>
      </c>
      <c r="D6" s="100" t="s">
        <v>81</v>
      </c>
      <c r="E6" s="38" t="s">
        <v>545</v>
      </c>
      <c r="F6" s="39" t="s">
        <v>546</v>
      </c>
      <c r="G6" s="39">
        <v>15</v>
      </c>
      <c r="H6" s="39"/>
      <c r="I6" s="40" t="s">
        <v>268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6.7935718436245357E-3</v>
      </c>
      <c r="V6" s="48">
        <f t="shared" si="2"/>
        <v>1553.13</v>
      </c>
      <c r="W6" s="49">
        <f t="shared" si="3"/>
        <v>4.5290478957496906E-4</v>
      </c>
      <c r="X6" s="44">
        <f t="shared" si="4"/>
        <v>570.71153919713174</v>
      </c>
      <c r="Y6" s="44">
        <f t="shared" si="5"/>
        <v>9524.9999999999982</v>
      </c>
      <c r="Z6" s="44">
        <f t="shared" si="6"/>
        <v>5842.1574288317051</v>
      </c>
      <c r="AA6" s="50">
        <f t="shared" si="7"/>
        <v>24289.49153919713</v>
      </c>
      <c r="AB6" s="51">
        <f t="shared" si="8"/>
        <v>5461.4914731529443</v>
      </c>
      <c r="AC6" s="44">
        <f t="shared" si="8"/>
        <v>22706.825782179236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3.063023657371402</v>
      </c>
      <c r="AP6" s="47">
        <f t="shared" ref="AP6:AP24" si="16">AN6/AC6</f>
        <v>0.81039708156485357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547</v>
      </c>
      <c r="F7" s="39" t="s">
        <v>546</v>
      </c>
      <c r="G7" s="39">
        <v>15</v>
      </c>
      <c r="H7" s="39"/>
      <c r="I7" s="40" t="s">
        <v>268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2.292873020832718E-2</v>
      </c>
      <c r="V7" s="48">
        <f t="shared" si="2"/>
        <v>1244.31</v>
      </c>
      <c r="W7" s="49">
        <f t="shared" si="3"/>
        <v>1.5285820138884786E-3</v>
      </c>
      <c r="X7" s="44">
        <f t="shared" si="4"/>
        <v>1926.1871678461034</v>
      </c>
      <c r="Y7" s="44">
        <f t="shared" si="5"/>
        <v>31148.46</v>
      </c>
      <c r="Z7" s="44">
        <f t="shared" si="6"/>
        <v>19717.647005671355</v>
      </c>
      <c r="AA7" s="50">
        <f t="shared" si="7"/>
        <v>89389.627167846105</v>
      </c>
      <c r="AB7" s="51">
        <f t="shared" si="8"/>
        <v>18432.875577892264</v>
      </c>
      <c r="AC7" s="44">
        <f t="shared" si="8"/>
        <v>83565.137111195756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3.0630236573714011</v>
      </c>
      <c r="AP7" s="47">
        <f t="shared" si="16"/>
        <v>0.84872113460572096</v>
      </c>
      <c r="AQ7">
        <v>2021</v>
      </c>
    </row>
    <row r="8" spans="1:43" ht="13.5" customHeight="1">
      <c r="A8" s="53">
        <f>SUMIF('Program Costs'!D:D,C2,'Program Costs'!O:O)</f>
        <v>1260113.7200000007</v>
      </c>
      <c r="B8" s="97" t="s">
        <v>15</v>
      </c>
      <c r="C8" s="100">
        <v>18230628</v>
      </c>
      <c r="D8" s="100" t="s">
        <v>81</v>
      </c>
      <c r="E8" s="38" t="s">
        <v>548</v>
      </c>
      <c r="F8" s="39" t="s">
        <v>549</v>
      </c>
      <c r="G8" s="39">
        <v>15</v>
      </c>
      <c r="H8" s="39"/>
      <c r="I8" s="40" t="s">
        <v>268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0.2536266821619827</v>
      </c>
      <c r="V8" s="48">
        <f t="shared" si="2"/>
        <v>3153.13</v>
      </c>
      <c r="W8" s="49">
        <f t="shared" si="3"/>
        <v>1.6908445477465513E-2</v>
      </c>
      <c r="X8" s="44">
        <f t="shared" si="4"/>
        <v>21306.564130026254</v>
      </c>
      <c r="Y8" s="44">
        <f t="shared" si="5"/>
        <v>706648.55000000098</v>
      </c>
      <c r="Z8" s="44">
        <f t="shared" si="6"/>
        <v>218107.21067638366</v>
      </c>
      <c r="AA8" s="50">
        <f t="shared" si="7"/>
        <v>906807.68413002731</v>
      </c>
      <c r="AB8" s="51">
        <f t="shared" si="8"/>
        <v>203895.68166437661</v>
      </c>
      <c r="AC8" s="44">
        <f t="shared" si="8"/>
        <v>847721.49586802581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3.063023657371402</v>
      </c>
      <c r="AP8" s="47">
        <f t="shared" si="16"/>
        <v>0.81039708156485268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18230628</v>
      </c>
      <c r="D9" s="100" t="s">
        <v>81</v>
      </c>
      <c r="E9" s="38" t="s">
        <v>550</v>
      </c>
      <c r="F9" s="39" t="s">
        <v>549</v>
      </c>
      <c r="G9" s="39">
        <v>15</v>
      </c>
      <c r="H9" s="39"/>
      <c r="I9" s="40" t="s">
        <v>268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1.0002658553382731</v>
      </c>
      <c r="V9" s="48">
        <f t="shared" si="2"/>
        <v>2844.31</v>
      </c>
      <c r="W9" s="49">
        <f t="shared" si="3"/>
        <v>6.6684390355884873E-2</v>
      </c>
      <c r="X9" s="44">
        <f t="shared" si="4"/>
        <v>84029.91519728626</v>
      </c>
      <c r="Y9" s="44">
        <f t="shared" si="5"/>
        <v>2977994.5700000501</v>
      </c>
      <c r="Z9" s="44">
        <f t="shared" si="6"/>
        <v>860182.35062241275</v>
      </c>
      <c r="AA9" s="50">
        <f t="shared" si="7"/>
        <v>3899622.4851973364</v>
      </c>
      <c r="AB9" s="51">
        <f t="shared" si="8"/>
        <v>804134.19708554982</v>
      </c>
      <c r="AC9" s="44">
        <f t="shared" si="8"/>
        <v>3645529.1064759614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3.063023657371402</v>
      </c>
      <c r="AP9" s="47">
        <f t="shared" si="16"/>
        <v>0.84872113460570997</v>
      </c>
      <c r="AQ9">
        <v>2021</v>
      </c>
    </row>
    <row r="10" spans="1:43" ht="13.5" customHeight="1">
      <c r="A10" s="54">
        <f>SUM(O5:O999)</f>
        <v>26455891.559999999</v>
      </c>
      <c r="B10" s="97" t="s">
        <v>15</v>
      </c>
      <c r="C10" s="100">
        <v>18230628</v>
      </c>
      <c r="D10" s="100" t="s">
        <v>81</v>
      </c>
      <c r="E10" s="38" t="s">
        <v>551</v>
      </c>
      <c r="F10" s="39" t="s">
        <v>552</v>
      </c>
      <c r="G10" s="39">
        <v>15</v>
      </c>
      <c r="H10" s="39"/>
      <c r="I10" s="40" t="s">
        <v>268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0.28753330738251637</v>
      </c>
      <c r="V10" s="48">
        <f t="shared" si="2"/>
        <v>1495.1599999999999</v>
      </c>
      <c r="W10" s="49">
        <f t="shared" si="3"/>
        <v>1.9168887158834424E-2</v>
      </c>
      <c r="X10" s="44">
        <f t="shared" si="4"/>
        <v>24154.97770597909</v>
      </c>
      <c r="Y10" s="44">
        <f t="shared" si="5"/>
        <v>252136.05999999901</v>
      </c>
      <c r="Z10" s="44">
        <f t="shared" si="6"/>
        <v>247265.33941607599</v>
      </c>
      <c r="AA10" s="50">
        <f t="shared" si="7"/>
        <v>670751.53770597815</v>
      </c>
      <c r="AB10" s="51">
        <f t="shared" si="8"/>
        <v>231153.9117659867</v>
      </c>
      <c r="AC10" s="44">
        <f t="shared" si="8"/>
        <v>627046.40338971501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3.063023657371402</v>
      </c>
      <c r="AP10" s="47">
        <f t="shared" si="16"/>
        <v>1.2420657961615376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18230628</v>
      </c>
      <c r="D11" s="100" t="s">
        <v>81</v>
      </c>
      <c r="E11" s="38" t="s">
        <v>553</v>
      </c>
      <c r="F11" s="39" t="s">
        <v>554</v>
      </c>
      <c r="G11" s="39">
        <v>15</v>
      </c>
      <c r="H11" s="39"/>
      <c r="I11" s="40" t="s">
        <v>268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0.18506274826899088</v>
      </c>
      <c r="V11" s="48">
        <f t="shared" si="2"/>
        <v>3239.18</v>
      </c>
      <c r="W11" s="49">
        <f t="shared" si="3"/>
        <v>1.2337516551266059E-2</v>
      </c>
      <c r="X11" s="44">
        <f t="shared" si="4"/>
        <v>15546.673876977453</v>
      </c>
      <c r="Y11" s="44">
        <f t="shared" si="5"/>
        <v>414615.03999999899</v>
      </c>
      <c r="Z11" s="44">
        <f t="shared" si="6"/>
        <v>159145.40016446909</v>
      </c>
      <c r="AA11" s="50">
        <f t="shared" si="7"/>
        <v>532561.7138769764</v>
      </c>
      <c r="AB11" s="51">
        <f t="shared" si="8"/>
        <v>148775.73166726099</v>
      </c>
      <c r="AC11" s="44">
        <f t="shared" si="8"/>
        <v>497860.81506681908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3.0630236573714016</v>
      </c>
      <c r="AP11" s="47">
        <f t="shared" si="16"/>
        <v>1.0068555892398139</v>
      </c>
      <c r="AQ11">
        <v>2021</v>
      </c>
    </row>
    <row r="12" spans="1:43" ht="13.5" customHeight="1">
      <c r="A12" s="55">
        <f>SUM(P5:P1000)</f>
        <v>9779012.8900000006</v>
      </c>
      <c r="B12" s="97" t="s">
        <v>15</v>
      </c>
      <c r="C12" s="100">
        <v>18230628</v>
      </c>
      <c r="D12" s="100" t="s">
        <v>81</v>
      </c>
      <c r="E12" s="38" t="s">
        <v>555</v>
      </c>
      <c r="F12" s="39" t="s">
        <v>556</v>
      </c>
      <c r="G12" s="39">
        <v>15</v>
      </c>
      <c r="H12" s="39"/>
      <c r="I12" s="40" t="s">
        <v>268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0.12363257509511807</v>
      </c>
      <c r="V12" s="48">
        <f t="shared" si="2"/>
        <v>3456.6800000000003</v>
      </c>
      <c r="W12" s="49">
        <f t="shared" si="3"/>
        <v>8.2421716730078712E-3</v>
      </c>
      <c r="X12" s="44">
        <f t="shared" si="4"/>
        <v>10386.073607752578</v>
      </c>
      <c r="Y12" s="44">
        <f t="shared" si="5"/>
        <v>214314.15999999997</v>
      </c>
      <c r="Z12" s="44">
        <f t="shared" si="6"/>
        <v>106318.29377286503</v>
      </c>
      <c r="AA12" s="50">
        <f t="shared" si="7"/>
        <v>317700.23360775254</v>
      </c>
      <c r="AB12" s="51">
        <f t="shared" si="8"/>
        <v>99390.75794415726</v>
      </c>
      <c r="AC12" s="44">
        <f t="shared" si="8"/>
        <v>296999.37702884222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3.063023657371402</v>
      </c>
      <c r="AP12" s="47">
        <f t="shared" si="16"/>
        <v>1.1275440054718038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18230628</v>
      </c>
      <c r="D13" s="100" t="s">
        <v>81</v>
      </c>
      <c r="E13" s="38" t="s">
        <v>557</v>
      </c>
      <c r="F13" s="39" t="s">
        <v>556</v>
      </c>
      <c r="G13" s="39">
        <v>10</v>
      </c>
      <c r="H13" s="39">
        <v>8</v>
      </c>
      <c r="I13" s="40" t="s">
        <v>268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1.2776949861371445</v>
      </c>
      <c r="V13" s="48">
        <f t="shared" si="2"/>
        <v>3192.1000000000004</v>
      </c>
      <c r="W13" s="49">
        <f t="shared" si="3"/>
        <v>7.0983054785396918E-2</v>
      </c>
      <c r="X13" s="44">
        <f t="shared" si="4"/>
        <v>89446.721222590364</v>
      </c>
      <c r="Y13" s="44">
        <f t="shared" si="5"/>
        <v>1404524.00000002</v>
      </c>
      <c r="Z13" s="44">
        <f t="shared" si="6"/>
        <v>915632.13810312422</v>
      </c>
      <c r="AA13" s="50">
        <f t="shared" si="7"/>
        <v>2153970.7212226102</v>
      </c>
      <c r="AB13" s="51">
        <f t="shared" si="8"/>
        <v>855970.96204835386</v>
      </c>
      <c r="AC13" s="44">
        <f t="shared" si="8"/>
        <v>2013621.3155301581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3.178734234516003</v>
      </c>
      <c r="AP13" s="47">
        <f t="shared" si="16"/>
        <v>1.4863741249720321</v>
      </c>
      <c r="AQ13">
        <v>2021</v>
      </c>
    </row>
    <row r="14" spans="1:43" ht="13.5" customHeight="1">
      <c r="A14" s="55">
        <f>SUM(Y5:Y1000)</f>
        <v>14872481.839999977</v>
      </c>
      <c r="B14" s="97" t="s">
        <v>15</v>
      </c>
      <c r="C14" s="100">
        <v>18230628</v>
      </c>
      <c r="D14" s="100" t="s">
        <v>81</v>
      </c>
      <c r="E14" s="38" t="s">
        <v>558</v>
      </c>
      <c r="F14" s="39" t="s">
        <v>559</v>
      </c>
      <c r="G14" s="39">
        <v>15</v>
      </c>
      <c r="H14" s="39"/>
      <c r="I14" s="40" t="s">
        <v>268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9.5887904372707528E-2</v>
      </c>
      <c r="V14" s="48">
        <f t="shared" si="2"/>
        <v>2234</v>
      </c>
      <c r="W14" s="49">
        <f t="shared" si="3"/>
        <v>6.3925269581805019E-3</v>
      </c>
      <c r="X14" s="44">
        <f t="shared" si="4"/>
        <v>8055.3109254731207</v>
      </c>
      <c r="Y14" s="44">
        <f t="shared" si="5"/>
        <v>126010.23000000001</v>
      </c>
      <c r="Z14" s="44">
        <f t="shared" si="6"/>
        <v>82459.160771492068</v>
      </c>
      <c r="AA14" s="50">
        <f t="shared" si="7"/>
        <v>267559.31092547311</v>
      </c>
      <c r="AB14" s="51">
        <f t="shared" si="8"/>
        <v>77086.249202105319</v>
      </c>
      <c r="AC14" s="44">
        <f t="shared" si="8"/>
        <v>250125.55943299344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3.0630236573714025</v>
      </c>
      <c r="AP14" s="47">
        <f t="shared" si="16"/>
        <v>1.0383933015452695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18230628</v>
      </c>
      <c r="D15" s="100" t="s">
        <v>81</v>
      </c>
      <c r="E15" s="38" t="s">
        <v>560</v>
      </c>
      <c r="F15" s="39" t="s">
        <v>559</v>
      </c>
      <c r="G15" s="39">
        <v>10</v>
      </c>
      <c r="H15" s="39">
        <v>8</v>
      </c>
      <c r="I15" s="40" t="s">
        <v>268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0.75431031892239886</v>
      </c>
      <c r="V15" s="48">
        <f t="shared" si="2"/>
        <v>1858.1099999999997</v>
      </c>
      <c r="W15" s="49">
        <f t="shared" si="3"/>
        <v>4.1906128829022157E-2</v>
      </c>
      <c r="X15" s="44">
        <f t="shared" si="4"/>
        <v>52806.487889538381</v>
      </c>
      <c r="Y15" s="44">
        <f t="shared" si="5"/>
        <v>521438.02</v>
      </c>
      <c r="Z15" s="44">
        <f t="shared" si="6"/>
        <v>540559.97526942694</v>
      </c>
      <c r="AA15" s="50">
        <f t="shared" si="7"/>
        <v>1236561.0678895384</v>
      </c>
      <c r="AB15" s="51">
        <f t="shared" si="8"/>
        <v>505337.92209911835</v>
      </c>
      <c r="AC15" s="44">
        <f t="shared" si="8"/>
        <v>1155988.6583991195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3.178734234516003</v>
      </c>
      <c r="AP15" s="47">
        <f t="shared" si="16"/>
        <v>1.5285344154848495</v>
      </c>
      <c r="AQ15">
        <v>2021</v>
      </c>
    </row>
    <row r="16" spans="1:43" ht="13.5" customHeight="1">
      <c r="A16" s="54">
        <f>SUM(U5:U999)</f>
        <v>15.37804578603285</v>
      </c>
      <c r="B16" s="97" t="s">
        <v>15</v>
      </c>
      <c r="C16" s="100">
        <v>18230628</v>
      </c>
      <c r="D16" s="100" t="s">
        <v>81</v>
      </c>
      <c r="E16" s="38" t="s">
        <v>561</v>
      </c>
      <c r="F16" s="39" t="s">
        <v>562</v>
      </c>
      <c r="G16" s="39">
        <v>15</v>
      </c>
      <c r="H16" s="39"/>
      <c r="I16" s="40" t="s">
        <v>268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1.1322619739374228E-3</v>
      </c>
      <c r="V16" s="48">
        <f t="shared" si="2"/>
        <v>2353.13</v>
      </c>
      <c r="W16" s="49">
        <f t="shared" si="3"/>
        <v>7.5484131595828186E-5</v>
      </c>
      <c r="X16" s="44">
        <f t="shared" si="4"/>
        <v>95.118589866188643</v>
      </c>
      <c r="Y16" s="44">
        <f t="shared" si="5"/>
        <v>2353.13</v>
      </c>
      <c r="Z16" s="44">
        <f t="shared" si="6"/>
        <v>973.69290480528434</v>
      </c>
      <c r="AA16" s="50">
        <f t="shared" si="7"/>
        <v>4048.2485898661889</v>
      </c>
      <c r="AB16" s="51">
        <f t="shared" si="8"/>
        <v>910.2485788588242</v>
      </c>
      <c r="AC16" s="44">
        <f t="shared" si="8"/>
        <v>3784.4709636965399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3.0630236573714016</v>
      </c>
      <c r="AP16" s="47">
        <f t="shared" si="16"/>
        <v>0.81039708156485346</v>
      </c>
      <c r="AQ16">
        <v>2021</v>
      </c>
    </row>
    <row r="17" spans="1:43" ht="13.5" customHeight="1">
      <c r="A17" s="58" t="s">
        <v>254</v>
      </c>
      <c r="B17" s="97" t="s">
        <v>15</v>
      </c>
      <c r="C17" s="100">
        <v>18230628</v>
      </c>
      <c r="D17" s="100" t="s">
        <v>81</v>
      </c>
      <c r="E17" s="38" t="s">
        <v>563</v>
      </c>
      <c r="F17" s="39" t="s">
        <v>562</v>
      </c>
      <c r="G17" s="39">
        <v>15</v>
      </c>
      <c r="H17" s="39"/>
      <c r="I17" s="40" t="s">
        <v>268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1.6241183897565084E-2</v>
      </c>
      <c r="V17" s="48">
        <f t="shared" si="2"/>
        <v>2044.31</v>
      </c>
      <c r="W17" s="49">
        <f t="shared" si="3"/>
        <v>1.0827455931710056E-3</v>
      </c>
      <c r="X17" s="44">
        <f t="shared" si="4"/>
        <v>1364.3825772243231</v>
      </c>
      <c r="Y17" s="44">
        <f t="shared" si="5"/>
        <v>34753.269999999997</v>
      </c>
      <c r="Z17" s="44">
        <f t="shared" si="6"/>
        <v>13966.666629017209</v>
      </c>
      <c r="AA17" s="50">
        <f t="shared" si="7"/>
        <v>63317.652577224319</v>
      </c>
      <c r="AB17" s="51">
        <f t="shared" si="8"/>
        <v>13056.620201007019</v>
      </c>
      <c r="AC17" s="44">
        <f t="shared" si="8"/>
        <v>59191.972120430321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3.0630236573714016</v>
      </c>
      <c r="AP17" s="47">
        <f t="shared" si="16"/>
        <v>0.84872113460572107</v>
      </c>
      <c r="AQ17">
        <v>2021</v>
      </c>
    </row>
    <row r="18" spans="1:43" ht="13.5" customHeight="1">
      <c r="A18" s="59">
        <f>A6+A8</f>
        <v>12899305.91</v>
      </c>
      <c r="B18" s="97" t="s">
        <v>15</v>
      </c>
      <c r="C18" s="100">
        <v>18230628</v>
      </c>
      <c r="D18" s="100" t="s">
        <v>81</v>
      </c>
      <c r="E18" s="38" t="s">
        <v>564</v>
      </c>
      <c r="F18" s="39" t="s">
        <v>565</v>
      </c>
      <c r="G18" s="39">
        <v>15</v>
      </c>
      <c r="H18" s="39"/>
      <c r="I18" s="40" t="s">
        <v>268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1.4458027208514913E-3</v>
      </c>
      <c r="V18" s="48">
        <f t="shared" si="2"/>
        <v>2439.1799999999998</v>
      </c>
      <c r="W18" s="49">
        <f t="shared" si="3"/>
        <v>9.6386848056766083E-5</v>
      </c>
      <c r="X18" s="44">
        <f t="shared" si="4"/>
        <v>121.45838966388635</v>
      </c>
      <c r="Y18" s="44">
        <f t="shared" si="5"/>
        <v>2439.1799999999998</v>
      </c>
      <c r="Z18" s="44">
        <f t="shared" si="6"/>
        <v>1243.3234387849147</v>
      </c>
      <c r="AA18" s="50">
        <f t="shared" si="7"/>
        <v>4160.6383896638863</v>
      </c>
      <c r="AB18" s="51">
        <f t="shared" si="8"/>
        <v>1162.3104036504765</v>
      </c>
      <c r="AC18" s="44">
        <f t="shared" si="8"/>
        <v>3889.5376177095318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3.0630236573714016</v>
      </c>
      <c r="AP18" s="47">
        <f t="shared" si="16"/>
        <v>1.0068555892398119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566</v>
      </c>
      <c r="F19" s="39" t="s">
        <v>567</v>
      </c>
      <c r="G19" s="39">
        <v>10</v>
      </c>
      <c r="H19" s="39">
        <v>8</v>
      </c>
      <c r="I19" s="40" t="s">
        <v>268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8.7115567236623493E-3</v>
      </c>
      <c r="V19" s="48">
        <f t="shared" si="2"/>
        <v>3092.1000000000004</v>
      </c>
      <c r="W19" s="49">
        <f t="shared" si="3"/>
        <v>4.8397537353679718E-4</v>
      </c>
      <c r="X19" s="44">
        <f t="shared" si="4"/>
        <v>609.86400833584344</v>
      </c>
      <c r="Y19" s="44">
        <f t="shared" si="5"/>
        <v>9276.2999999999993</v>
      </c>
      <c r="Z19" s="44">
        <f t="shared" si="6"/>
        <v>6242.9463961576657</v>
      </c>
      <c r="AA19" s="50">
        <f t="shared" si="7"/>
        <v>14686.164008335843</v>
      </c>
      <c r="AB19" s="51">
        <f t="shared" si="8"/>
        <v>5836.1656503296863</v>
      </c>
      <c r="AC19" s="44">
        <f t="shared" si="8"/>
        <v>13729.23624225095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3.1787342345160026</v>
      </c>
      <c r="AP19" s="47">
        <f t="shared" si="16"/>
        <v>1.4863741249720461</v>
      </c>
      <c r="AQ19">
        <v>2021</v>
      </c>
    </row>
    <row r="20" spans="1:43" ht="13.5" customHeight="1">
      <c r="A20" s="59">
        <f>A8+SUM(Q5:Q906)</f>
        <v>25911608.449999981</v>
      </c>
      <c r="B20" s="97" t="s">
        <v>15</v>
      </c>
      <c r="C20" s="100">
        <v>18230628</v>
      </c>
      <c r="D20" s="100" t="s">
        <v>81</v>
      </c>
      <c r="E20" s="38" t="s">
        <v>568</v>
      </c>
      <c r="F20" s="39" t="s">
        <v>569</v>
      </c>
      <c r="G20" s="39">
        <v>6</v>
      </c>
      <c r="H20" s="39">
        <v>12</v>
      </c>
      <c r="I20" s="40" t="s">
        <v>268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6.2762126017725489E-2</v>
      </c>
      <c r="V20" s="48">
        <f t="shared" si="2"/>
        <v>3429.66</v>
      </c>
      <c r="W20" s="49">
        <f t="shared" si="3"/>
        <v>3.4867847787625268E-3</v>
      </c>
      <c r="X20" s="44">
        <f t="shared" si="4"/>
        <v>4393.7453384058272</v>
      </c>
      <c r="Y20" s="44">
        <f t="shared" si="5"/>
        <v>75452.52</v>
      </c>
      <c r="Z20" s="44">
        <f t="shared" si="6"/>
        <v>44977.103503589504</v>
      </c>
      <c r="AA20" s="50">
        <f t="shared" si="7"/>
        <v>132646.26533840582</v>
      </c>
      <c r="AB20" s="51">
        <f t="shared" si="8"/>
        <v>42046.464900055624</v>
      </c>
      <c r="AC20" s="44">
        <f t="shared" si="8"/>
        <v>124003.23954230701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2.4312624640118283</v>
      </c>
      <c r="AP20" s="47">
        <f t="shared" si="16"/>
        <v>0.90681978516473249</v>
      </c>
      <c r="AQ20">
        <v>2021</v>
      </c>
    </row>
    <row r="21" spans="1:43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570</v>
      </c>
      <c r="F21" s="39" t="s">
        <v>571</v>
      </c>
      <c r="G21" s="39">
        <v>15</v>
      </c>
      <c r="H21" s="39"/>
      <c r="I21" s="40" t="s">
        <v>268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1.4728477364533015E-2</v>
      </c>
      <c r="V21" s="48">
        <f t="shared" si="2"/>
        <v>1690.37</v>
      </c>
      <c r="W21" s="49">
        <f t="shared" si="3"/>
        <v>9.818984909688677E-4</v>
      </c>
      <c r="X21" s="44">
        <f t="shared" si="4"/>
        <v>1237.303760117167</v>
      </c>
      <c r="Y21" s="44">
        <f t="shared" si="5"/>
        <v>11832.59</v>
      </c>
      <c r="Z21" s="44">
        <f t="shared" si="6"/>
        <v>12665.809007574797</v>
      </c>
      <c r="AA21" s="50">
        <f t="shared" si="7"/>
        <v>23569.893760117167</v>
      </c>
      <c r="AB21" s="51">
        <f t="shared" ref="AB21:AC24" si="18">Z21/(1+ElecDiscountRate)^1</f>
        <v>11840.524453187618</v>
      </c>
      <c r="AC21" s="44">
        <f t="shared" si="18"/>
        <v>22034.11588306737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3.063023657371402</v>
      </c>
      <c r="AP21" s="47">
        <f t="shared" si="16"/>
        <v>1.8105826155718827</v>
      </c>
      <c r="AQ21">
        <v>2021</v>
      </c>
    </row>
    <row r="22" spans="1:43" ht="13.5" customHeight="1">
      <c r="A22" s="60">
        <f>(SUM(AM5:AM1000)/(SUM(AB5:AB1000)))</f>
        <v>1.8729283413695716</v>
      </c>
      <c r="B22" s="97" t="s">
        <v>15</v>
      </c>
      <c r="C22" s="100">
        <v>18230628</v>
      </c>
      <c r="D22" s="100" t="s">
        <v>81</v>
      </c>
      <c r="E22" s="38" t="s">
        <v>572</v>
      </c>
      <c r="F22" s="39" t="s">
        <v>571</v>
      </c>
      <c r="G22" s="39">
        <v>6</v>
      </c>
      <c r="H22" s="39">
        <v>12</v>
      </c>
      <c r="I22" s="40" t="s">
        <v>268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0.22056894158209955</v>
      </c>
      <c r="V22" s="48">
        <f t="shared" si="2"/>
        <v>4953.87</v>
      </c>
      <c r="W22" s="49">
        <f t="shared" si="3"/>
        <v>1.2253830087894419E-2</v>
      </c>
      <c r="X22" s="44">
        <f t="shared" si="4"/>
        <v>15441.219416304571</v>
      </c>
      <c r="Y22" s="44">
        <f t="shared" si="5"/>
        <v>351724.77</v>
      </c>
      <c r="Z22" s="44">
        <f t="shared" si="6"/>
        <v>158065.90287291232</v>
      </c>
      <c r="AA22" s="50">
        <f t="shared" si="7"/>
        <v>473665.98941630457</v>
      </c>
      <c r="AB22" s="51">
        <f t="shared" si="18"/>
        <v>147766.57275209154</v>
      </c>
      <c r="AC22" s="44">
        <f t="shared" si="18"/>
        <v>442802.64505590778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2.4315217770186415</v>
      </c>
      <c r="AP22" s="47">
        <f t="shared" si="16"/>
        <v>0.8925588135735526</v>
      </c>
      <c r="AQ22">
        <v>2021</v>
      </c>
    </row>
    <row r="23" spans="1:43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573</v>
      </c>
      <c r="F23" s="39" t="s">
        <v>574</v>
      </c>
      <c r="G23" s="39">
        <v>15</v>
      </c>
      <c r="H23" s="39"/>
      <c r="I23" s="40" t="s">
        <v>268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0.55157770687505803</v>
      </c>
      <c r="V23" s="48">
        <f t="shared" si="2"/>
        <v>100</v>
      </c>
      <c r="W23" s="49">
        <f t="shared" si="3"/>
        <v>3.6771847125003865E-2</v>
      </c>
      <c r="X23" s="44">
        <f t="shared" si="4"/>
        <v>46336.709071959951</v>
      </c>
      <c r="Y23" s="44">
        <f t="shared" si="5"/>
        <v>85600</v>
      </c>
      <c r="Z23" s="44">
        <f t="shared" si="6"/>
        <v>474331.30494117888</v>
      </c>
      <c r="AA23" s="50">
        <f t="shared" si="7"/>
        <v>474336.70907195995</v>
      </c>
      <c r="AB23" s="51">
        <f t="shared" si="18"/>
        <v>443424.60964866675</v>
      </c>
      <c r="AC23" s="44">
        <f t="shared" si="18"/>
        <v>443429.66165463207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  <c r="AQ23">
        <v>2021</v>
      </c>
    </row>
    <row r="24" spans="1:43" ht="13.5" customHeight="1">
      <c r="A24" s="60">
        <f>(SUM(AN5:AN1000)/SUM(AC5:AC1000))</f>
        <v>1.0445533531388334</v>
      </c>
      <c r="B24" s="97" t="s">
        <v>15</v>
      </c>
      <c r="C24" s="100">
        <v>18230628</v>
      </c>
      <c r="D24" s="100" t="s">
        <v>81</v>
      </c>
      <c r="E24" s="38" t="s">
        <v>575</v>
      </c>
      <c r="F24" s="39" t="s">
        <v>576</v>
      </c>
      <c r="G24" s="39">
        <v>15</v>
      </c>
      <c r="H24" s="39"/>
      <c r="I24" s="40" t="s">
        <v>268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0.14060743300083289</v>
      </c>
      <c r="V24" s="48">
        <f t="shared" si="2"/>
        <v>100</v>
      </c>
      <c r="W24" s="49">
        <f t="shared" si="3"/>
        <v>9.373828866722193E-3</v>
      </c>
      <c r="X24" s="44">
        <f t="shared" si="4"/>
        <v>11812.090363888694</v>
      </c>
      <c r="Y24" s="44">
        <f t="shared" si="5"/>
        <v>21700</v>
      </c>
      <c r="Z24" s="44">
        <f t="shared" si="6"/>
        <v>120915.88609983819</v>
      </c>
      <c r="AA24" s="50">
        <f t="shared" si="7"/>
        <v>124312.0903638887</v>
      </c>
      <c r="AB24" s="51">
        <f t="shared" si="18"/>
        <v>113037.19369901672</v>
      </c>
      <c r="AC24" s="44">
        <f t="shared" si="18"/>
        <v>116212.1065381777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  <c r="AQ24">
        <v>2021</v>
      </c>
    </row>
    <row r="25" spans="1:43" ht="13.5" customHeight="1">
      <c r="B25" s="97" t="s">
        <v>15</v>
      </c>
      <c r="C25" s="100">
        <v>18230628</v>
      </c>
      <c r="D25" s="100" t="s">
        <v>81</v>
      </c>
      <c r="E25" s="38" t="s">
        <v>577</v>
      </c>
      <c r="F25" s="39" t="s">
        <v>578</v>
      </c>
      <c r="G25" s="39">
        <v>15</v>
      </c>
      <c r="H25" s="39"/>
      <c r="I25" s="40" t="s">
        <v>268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1.494085160968962</v>
      </c>
      <c r="V25" s="48">
        <f t="shared" ref="V25:V52" si="21">N25-M25</f>
        <v>240</v>
      </c>
      <c r="W25" s="49">
        <f t="shared" ref="W25:W52" si="22">(O25/A$10)</f>
        <v>9.9605677397930803E-2</v>
      </c>
      <c r="X25" s="44">
        <f t="shared" ref="X25:X52" si="23">W25*A$8</f>
        <v>125514.48067902657</v>
      </c>
      <c r="Y25" s="44">
        <f t="shared" ref="Y25:Y52" si="24">Q25-P25</f>
        <v>408240</v>
      </c>
      <c r="Z25" s="44">
        <f t="shared" ref="Z25:Z52" si="25">X25+(A$6*W25)</f>
        <v>1284844.1031286824</v>
      </c>
      <c r="AA25" s="50">
        <f t="shared" ref="AA25:AA52" si="26">Q25+X25</f>
        <v>1554354.4806790266</v>
      </c>
      <c r="AB25" s="51">
        <f t="shared" ref="AB25:AB52" si="27">Z25/(1+ElecDiscountRate)^1</f>
        <v>1201125.6456283838</v>
      </c>
      <c r="AC25" s="44">
        <f t="shared" ref="AC25:AC52" si="28">AA25/(1+ElecDiscountRate)^1</f>
        <v>1453075.1431981176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  <c r="AQ25">
        <v>2021</v>
      </c>
    </row>
    <row r="26" spans="1:43" ht="13.5" customHeight="1">
      <c r="B26" s="97" t="s">
        <v>15</v>
      </c>
      <c r="C26" s="100">
        <v>18230628</v>
      </c>
      <c r="D26" s="100" t="s">
        <v>81</v>
      </c>
      <c r="E26" s="38" t="s">
        <v>579</v>
      </c>
      <c r="F26" s="39" t="s">
        <v>580</v>
      </c>
      <c r="G26" s="39">
        <v>15</v>
      </c>
      <c r="H26" s="39"/>
      <c r="I26" s="40" t="s">
        <v>268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0.257023468083795</v>
      </c>
      <c r="V26" s="48">
        <f t="shared" si="21"/>
        <v>240</v>
      </c>
      <c r="W26" s="49">
        <f t="shared" si="22"/>
        <v>1.7134897872252999E-2</v>
      </c>
      <c r="X26" s="44">
        <f t="shared" si="23"/>
        <v>21591.919899624823</v>
      </c>
      <c r="Y26" s="44">
        <f t="shared" si="24"/>
        <v>52080</v>
      </c>
      <c r="Z26" s="44">
        <f t="shared" si="25"/>
        <v>221028.28939079953</v>
      </c>
      <c r="AA26" s="50">
        <f t="shared" si="26"/>
        <v>254271.91989962483</v>
      </c>
      <c r="AB26" s="51">
        <f t="shared" si="27"/>
        <v>206626.42740095308</v>
      </c>
      <c r="AC26" s="44">
        <f t="shared" si="28"/>
        <v>237703.95428589772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2021</v>
      </c>
    </row>
    <row r="27" spans="1:43" ht="13.5" customHeight="1">
      <c r="B27" s="97" t="s">
        <v>15</v>
      </c>
      <c r="C27" s="100">
        <v>18230628</v>
      </c>
      <c r="D27" s="100" t="s">
        <v>81</v>
      </c>
      <c r="E27" s="38" t="s">
        <v>581</v>
      </c>
      <c r="F27" s="39" t="s">
        <v>582</v>
      </c>
      <c r="G27" s="39">
        <v>15</v>
      </c>
      <c r="H27" s="39"/>
      <c r="I27" s="40" t="s">
        <v>268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9.6738376561443691E-3</v>
      </c>
      <c r="V27" s="48">
        <f t="shared" si="21"/>
        <v>92</v>
      </c>
      <c r="W27" s="49">
        <f t="shared" si="22"/>
        <v>6.4492251040962464E-4</v>
      </c>
      <c r="X27" s="44">
        <f t="shared" si="23"/>
        <v>812.67570370401131</v>
      </c>
      <c r="Y27" s="44">
        <f t="shared" si="24"/>
        <v>184</v>
      </c>
      <c r="Z27" s="44">
        <f t="shared" si="25"/>
        <v>8319.0527500189073</v>
      </c>
      <c r="AA27" s="50">
        <f t="shared" si="26"/>
        <v>1996.6757037040113</v>
      </c>
      <c r="AB27" s="51">
        <f t="shared" si="27"/>
        <v>7776.9961204252659</v>
      </c>
      <c r="AC27" s="44">
        <f t="shared" si="28"/>
        <v>1866.5753984332159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2021</v>
      </c>
    </row>
    <row r="28" spans="1:43" ht="13.5" customHeight="1">
      <c r="B28" s="97" t="s">
        <v>15</v>
      </c>
      <c r="C28" s="100">
        <v>18230628</v>
      </c>
      <c r="D28" s="100" t="s">
        <v>81</v>
      </c>
      <c r="E28" s="38" t="s">
        <v>583</v>
      </c>
      <c r="F28" s="39" t="s">
        <v>584</v>
      </c>
      <c r="G28" s="39">
        <v>15</v>
      </c>
      <c r="H28" s="39"/>
      <c r="I28" s="40" t="s">
        <v>268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1.514942707906987</v>
      </c>
      <c r="V28" s="48">
        <f t="shared" si="21"/>
        <v>150</v>
      </c>
      <c r="W28" s="49">
        <f t="shared" si="22"/>
        <v>0.10099618052713247</v>
      </c>
      <c r="X28" s="44">
        <f t="shared" si="23"/>
        <v>127266.67274983652</v>
      </c>
      <c r="Y28" s="44">
        <f t="shared" si="24"/>
        <v>90450</v>
      </c>
      <c r="Z28" s="44">
        <f t="shared" si="25"/>
        <v>1302780.6283610668</v>
      </c>
      <c r="AA28" s="50">
        <f t="shared" si="26"/>
        <v>398616.67274983652</v>
      </c>
      <c r="AB28" s="51">
        <f t="shared" si="27"/>
        <v>1217893.4545770464</v>
      </c>
      <c r="AC28" s="44">
        <f t="shared" si="28"/>
        <v>372643.42596039682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15</v>
      </c>
      <c r="C29" s="100">
        <v>18230628</v>
      </c>
      <c r="D29" s="100" t="s">
        <v>81</v>
      </c>
      <c r="E29" s="38" t="s">
        <v>585</v>
      </c>
      <c r="F29" s="39" t="s">
        <v>586</v>
      </c>
      <c r="G29" s="39">
        <v>15</v>
      </c>
      <c r="H29" s="39"/>
      <c r="I29" s="40" t="s">
        <v>268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6.0162402631196762E-3</v>
      </c>
      <c r="V29" s="48">
        <f t="shared" si="21"/>
        <v>150</v>
      </c>
      <c r="W29" s="49">
        <f t="shared" si="22"/>
        <v>4.0108268420797839E-4</v>
      </c>
      <c r="X29" s="44">
        <f t="shared" si="23"/>
        <v>505.40979322490119</v>
      </c>
      <c r="Y29" s="44">
        <f t="shared" si="24"/>
        <v>5250</v>
      </c>
      <c r="Z29" s="44">
        <f t="shared" si="25"/>
        <v>5173.6882388026397</v>
      </c>
      <c r="AA29" s="50">
        <f t="shared" si="26"/>
        <v>16255.409793224901</v>
      </c>
      <c r="AB29" s="51">
        <f t="shared" si="27"/>
        <v>4836.5787031902773</v>
      </c>
      <c r="AC29" s="44">
        <f t="shared" si="28"/>
        <v>15196.232395274281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  <c r="AQ29">
        <v>2021</v>
      </c>
    </row>
    <row r="30" spans="1:43">
      <c r="B30" s="97" t="s">
        <v>15</v>
      </c>
      <c r="C30" s="100">
        <v>18230628</v>
      </c>
      <c r="D30" s="100" t="s">
        <v>81</v>
      </c>
      <c r="E30" s="38" t="s">
        <v>587</v>
      </c>
      <c r="F30" s="39" t="s">
        <v>588</v>
      </c>
      <c r="G30" s="39">
        <v>15</v>
      </c>
      <c r="H30" s="39"/>
      <c r="I30" s="40" t="s">
        <v>268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1.81892471440112</v>
      </c>
      <c r="V30" s="48">
        <f t="shared" si="21"/>
        <v>232</v>
      </c>
      <c r="W30" s="49">
        <f t="shared" si="22"/>
        <v>0.12126164762674134</v>
      </c>
      <c r="X30" s="44">
        <f t="shared" si="23"/>
        <v>152803.46588426229</v>
      </c>
      <c r="Y30" s="44">
        <f t="shared" si="24"/>
        <v>127832</v>
      </c>
      <c r="Z30" s="44">
        <f t="shared" si="25"/>
        <v>1564191.0878879621</v>
      </c>
      <c r="AA30" s="50">
        <f t="shared" si="26"/>
        <v>556135.46588426223</v>
      </c>
      <c r="AB30" s="51">
        <f t="shared" si="27"/>
        <v>1462270.8122725643</v>
      </c>
      <c r="AC30" s="44">
        <f t="shared" si="28"/>
        <v>519898.5377996281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  <c r="AQ30">
        <v>2021</v>
      </c>
    </row>
    <row r="31" spans="1:43">
      <c r="B31" s="97" t="s">
        <v>15</v>
      </c>
      <c r="C31" s="100">
        <v>18230628</v>
      </c>
      <c r="D31" s="100" t="s">
        <v>81</v>
      </c>
      <c r="E31" s="38" t="s">
        <v>589</v>
      </c>
      <c r="F31" s="39" t="s">
        <v>590</v>
      </c>
      <c r="G31" s="39">
        <v>15</v>
      </c>
      <c r="H31" s="39"/>
      <c r="I31" s="40" t="s">
        <v>268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3.6547057875829909E-2</v>
      </c>
      <c r="V31" s="48">
        <f t="shared" si="21"/>
        <v>232</v>
      </c>
      <c r="W31" s="49">
        <f t="shared" si="22"/>
        <v>2.4364705250553274E-3</v>
      </c>
      <c r="X31" s="44">
        <f t="shared" si="23"/>
        <v>3070.2299369978236</v>
      </c>
      <c r="Y31" s="44">
        <f t="shared" si="24"/>
        <v>12064</v>
      </c>
      <c r="Z31" s="44">
        <f t="shared" si="25"/>
        <v>31428.778643386988</v>
      </c>
      <c r="AA31" s="50">
        <f t="shared" si="26"/>
        <v>41134.229936997821</v>
      </c>
      <c r="AB31" s="51">
        <f t="shared" si="27"/>
        <v>29380.927964276885</v>
      </c>
      <c r="AC31" s="44">
        <f t="shared" si="28"/>
        <v>38453.987040289627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  <c r="AQ31">
        <v>2021</v>
      </c>
    </row>
    <row r="32" spans="1:43">
      <c r="B32" s="97" t="s">
        <v>15</v>
      </c>
      <c r="C32" s="100">
        <v>18230628</v>
      </c>
      <c r="D32" s="100" t="s">
        <v>81</v>
      </c>
      <c r="E32" s="38" t="s">
        <v>591</v>
      </c>
      <c r="F32" s="39" t="s">
        <v>592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  <c r="AQ32">
        <v>2021</v>
      </c>
    </row>
    <row r="33" spans="2:43">
      <c r="B33" s="97" t="s">
        <v>15</v>
      </c>
      <c r="C33" s="100">
        <v>18230628</v>
      </c>
      <c r="D33" s="100" t="s">
        <v>81</v>
      </c>
      <c r="E33" s="38" t="s">
        <v>593</v>
      </c>
      <c r="F33" s="39" t="s">
        <v>592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15</v>
      </c>
      <c r="C34" s="61">
        <v>18230628</v>
      </c>
      <c r="D34" s="61" t="s">
        <v>81</v>
      </c>
      <c r="E34" s="38" t="s">
        <v>1862</v>
      </c>
      <c r="F34" s="39" t="s">
        <v>1863</v>
      </c>
      <c r="G34" s="39">
        <v>15</v>
      </c>
      <c r="H34" s="39"/>
      <c r="I34" s="40" t="s">
        <v>268</v>
      </c>
      <c r="J34" s="41">
        <v>4</v>
      </c>
      <c r="K34" s="41">
        <v>2659</v>
      </c>
      <c r="L34" s="41"/>
      <c r="M34" s="42">
        <v>800</v>
      </c>
      <c r="N34" s="42">
        <v>3978</v>
      </c>
      <c r="O34" s="43">
        <v>10636</v>
      </c>
      <c r="P34" s="44">
        <v>3200</v>
      </c>
      <c r="Q34" s="44">
        <v>15912</v>
      </c>
      <c r="R34" s="45">
        <v>159.04</v>
      </c>
      <c r="S34" s="46">
        <v>0</v>
      </c>
      <c r="T34" s="39">
        <f t="shared" si="19"/>
        <v>15</v>
      </c>
      <c r="U34" s="47">
        <f t="shared" si="20"/>
        <v>6.0304147995986126E-3</v>
      </c>
      <c r="V34" s="48">
        <f t="shared" si="21"/>
        <v>3178</v>
      </c>
      <c r="W34" s="49">
        <f t="shared" si="22"/>
        <v>4.0202765330657415E-4</v>
      </c>
      <c r="X34" s="44">
        <f t="shared" si="23"/>
        <v>506.60056175101772</v>
      </c>
      <c r="Y34" s="44">
        <f t="shared" si="24"/>
        <v>12712</v>
      </c>
      <c r="Z34" s="44">
        <f t="shared" si="25"/>
        <v>5185.8776842809239</v>
      </c>
      <c r="AA34" s="50">
        <f t="shared" si="26"/>
        <v>16418.600561751016</v>
      </c>
      <c r="AB34" s="51">
        <f t="shared" si="27"/>
        <v>4847.9739032260668</v>
      </c>
      <c r="AC34" s="44">
        <f t="shared" si="28"/>
        <v>15348.789905348242</v>
      </c>
      <c r="AD34" s="44">
        <f t="shared" si="29"/>
        <v>5805.0854999034964</v>
      </c>
      <c r="AE34" s="44">
        <f t="shared" si="30"/>
        <v>0</v>
      </c>
      <c r="AF34" s="52">
        <f>HLOOKUP(I34,ElecAvoidedCostsWOCC!$A$5:$Q$50,G34+1,FALSE)</f>
        <v>1.3961506916040443</v>
      </c>
      <c r="AG34" s="44">
        <f t="shared" si="31"/>
        <v>14849.458755900614</v>
      </c>
      <c r="AH34" s="52">
        <f>HLOOKUP(I34,ElecAvoidedCostsWOCC!$A$5:$Q$50,T34+1,FALSE)</f>
        <v>1.3961506916040443</v>
      </c>
      <c r="AI34" s="44">
        <f t="shared" si="32"/>
        <v>0</v>
      </c>
      <c r="AJ34" s="44">
        <f t="shared" si="33"/>
        <v>14849.458755900614</v>
      </c>
      <c r="AK34" s="44">
        <f>HLOOKUP(I34,ElecAvoidedCostsWOCC!$A$5:$Q$50,G34+1,FALSE)*J34*L34</f>
        <v>0</v>
      </c>
      <c r="AL34" s="44">
        <f t="shared" si="34"/>
        <v>14849.458755900614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14849.458755900614</v>
      </c>
      <c r="AN34" s="48">
        <f t="shared" si="35"/>
        <v>22139.490131394174</v>
      </c>
      <c r="AO34" s="47">
        <f t="shared" si="36"/>
        <v>3.0630236573714011</v>
      </c>
      <c r="AP34" s="47">
        <f t="shared" si="37"/>
        <v>1.442425772189359</v>
      </c>
      <c r="AQ34">
        <v>2020</v>
      </c>
    </row>
    <row r="35" spans="2:43">
      <c r="B35" s="97" t="s">
        <v>15</v>
      </c>
      <c r="C35" s="61">
        <v>18230629</v>
      </c>
      <c r="D35" s="61" t="s">
        <v>81</v>
      </c>
      <c r="E35" s="38" t="s">
        <v>1864</v>
      </c>
      <c r="F35" s="39" t="s">
        <v>1865</v>
      </c>
      <c r="G35" s="39">
        <v>15</v>
      </c>
      <c r="H35" s="39"/>
      <c r="I35" s="40" t="s">
        <v>268</v>
      </c>
      <c r="J35" s="41">
        <v>1</v>
      </c>
      <c r="K35" s="41">
        <v>3528</v>
      </c>
      <c r="L35" s="41"/>
      <c r="M35" s="42">
        <v>1500</v>
      </c>
      <c r="N35" s="42">
        <v>4859</v>
      </c>
      <c r="O35" s="43">
        <v>3528</v>
      </c>
      <c r="P35" s="44">
        <v>1500</v>
      </c>
      <c r="Q35" s="44">
        <v>4859</v>
      </c>
      <c r="R35" s="45">
        <v>0</v>
      </c>
      <c r="S35" s="46">
        <v>0</v>
      </c>
      <c r="T35" s="39">
        <f t="shared" si="19"/>
        <v>15</v>
      </c>
      <c r="U35" s="47">
        <f t="shared" si="20"/>
        <v>2.0003105879074748E-3</v>
      </c>
      <c r="V35" s="48">
        <f t="shared" si="21"/>
        <v>3359</v>
      </c>
      <c r="W35" s="49">
        <f t="shared" si="22"/>
        <v>1.3335403919383166E-4</v>
      </c>
      <c r="X35" s="44">
        <f t="shared" si="23"/>
        <v>168.0412544055651</v>
      </c>
      <c r="Y35" s="44">
        <f t="shared" si="24"/>
        <v>3359</v>
      </c>
      <c r="Z35" s="44">
        <f t="shared" si="25"/>
        <v>1720.1745458953644</v>
      </c>
      <c r="AA35" s="50">
        <f t="shared" si="26"/>
        <v>5027.0412544055653</v>
      </c>
      <c r="AB35" s="51">
        <f t="shared" si="27"/>
        <v>1608.0906290505416</v>
      </c>
      <c r="AC35" s="44">
        <f t="shared" si="28"/>
        <v>4699.4870098210386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1.3961506916040443</v>
      </c>
      <c r="AG35" s="44">
        <f t="shared" si="31"/>
        <v>4925.6196399790679</v>
      </c>
      <c r="AH35" s="52">
        <f>HLOOKUP(I35,ElecAvoidedCostsWOCC!$A$5:$Q$50,T35+1,FALSE)</f>
        <v>1.3961506916040443</v>
      </c>
      <c r="AI35" s="44">
        <f t="shared" si="32"/>
        <v>0</v>
      </c>
      <c r="AJ35" s="44">
        <f t="shared" si="33"/>
        <v>4925.6196399790679</v>
      </c>
      <c r="AK35" s="44">
        <f>HLOOKUP(I35,ElecAvoidedCostsWOCC!$A$5:$Q$50,G35+1,FALSE)*J35*L35</f>
        <v>0</v>
      </c>
      <c r="AL35" s="44">
        <f t="shared" si="34"/>
        <v>4925.6196399790679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4925.6196399790679</v>
      </c>
      <c r="AN35" s="48">
        <f t="shared" si="35"/>
        <v>5418.1816039769747</v>
      </c>
      <c r="AO35" s="47">
        <f t="shared" si="36"/>
        <v>3.0630236573714016</v>
      </c>
      <c r="AP35" s="47">
        <f t="shared" si="37"/>
        <v>1.1529304353121947</v>
      </c>
      <c r="AQ35">
        <v>2020</v>
      </c>
    </row>
    <row r="36" spans="2:43">
      <c r="B36" s="97" t="s">
        <v>15</v>
      </c>
      <c r="C36" s="61">
        <v>18230630</v>
      </c>
      <c r="D36" s="61" t="s">
        <v>81</v>
      </c>
      <c r="E36" s="38" t="s">
        <v>543</v>
      </c>
      <c r="F36" s="39" t="s">
        <v>544</v>
      </c>
      <c r="G36" s="39">
        <v>15</v>
      </c>
      <c r="H36" s="39"/>
      <c r="I36" s="40" t="s">
        <v>268</v>
      </c>
      <c r="J36" s="41">
        <v>588</v>
      </c>
      <c r="K36" s="41">
        <v>939</v>
      </c>
      <c r="L36" s="41"/>
      <c r="M36" s="42">
        <v>800</v>
      </c>
      <c r="N36" s="42">
        <v>1686</v>
      </c>
      <c r="O36" s="43">
        <v>552132</v>
      </c>
      <c r="P36" s="44">
        <v>470328</v>
      </c>
      <c r="Q36" s="44">
        <v>991368</v>
      </c>
      <c r="R36" s="45">
        <v>0</v>
      </c>
      <c r="S36" s="46">
        <v>0</v>
      </c>
      <c r="T36" s="39">
        <f t="shared" si="19"/>
        <v>15</v>
      </c>
      <c r="U36" s="47">
        <f t="shared" si="20"/>
        <v>0.31304860700751985</v>
      </c>
      <c r="V36" s="48">
        <f t="shared" si="21"/>
        <v>886</v>
      </c>
      <c r="W36" s="49">
        <f t="shared" si="22"/>
        <v>2.0869907133834655E-2</v>
      </c>
      <c r="X36" s="44">
        <f t="shared" si="23"/>
        <v>26298.456314470939</v>
      </c>
      <c r="Y36" s="44">
        <f t="shared" si="24"/>
        <v>521040</v>
      </c>
      <c r="Z36" s="44">
        <f t="shared" si="25"/>
        <v>269207.31643262453</v>
      </c>
      <c r="AA36" s="50">
        <f t="shared" si="26"/>
        <v>1017666.456314471</v>
      </c>
      <c r="AB36" s="51">
        <f t="shared" si="27"/>
        <v>251666.18344640973</v>
      </c>
      <c r="AC36" s="44">
        <f t="shared" si="28"/>
        <v>951356.88166258845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1.3961506916040443</v>
      </c>
      <c r="AG36" s="44">
        <f t="shared" si="31"/>
        <v>770859.47365672421</v>
      </c>
      <c r="AH36" s="52">
        <f>HLOOKUP(I36,ElecAvoidedCostsWOCC!$A$5:$Q$50,T36+1,FALSE)</f>
        <v>1.3961506916040443</v>
      </c>
      <c r="AI36" s="44">
        <f t="shared" si="32"/>
        <v>0</v>
      </c>
      <c r="AJ36" s="44">
        <f t="shared" si="33"/>
        <v>770859.47365672421</v>
      </c>
      <c r="AK36" s="44">
        <f>HLOOKUP(I36,ElecAvoidedCostsWOCC!$A$5:$Q$50,G36+1,FALSE)*J36*L36</f>
        <v>0</v>
      </c>
      <c r="AL36" s="44">
        <f t="shared" si="34"/>
        <v>770859.47365672421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770859.47365672421</v>
      </c>
      <c r="AN36" s="48">
        <f t="shared" si="35"/>
        <v>847945.42102239665</v>
      </c>
      <c r="AO36" s="47">
        <f t="shared" si="36"/>
        <v>3.0630236573714025</v>
      </c>
      <c r="AP36" s="47">
        <f t="shared" si="37"/>
        <v>0.8913010851832277</v>
      </c>
      <c r="AQ36">
        <v>2020</v>
      </c>
    </row>
    <row r="37" spans="2:43">
      <c r="B37" s="97" t="s">
        <v>15</v>
      </c>
      <c r="C37" s="61">
        <v>18230631</v>
      </c>
      <c r="D37" s="61" t="s">
        <v>81</v>
      </c>
      <c r="E37" s="38" t="s">
        <v>545</v>
      </c>
      <c r="F37" s="39" t="s">
        <v>546</v>
      </c>
      <c r="G37" s="39">
        <v>15</v>
      </c>
      <c r="H37" s="39"/>
      <c r="I37" s="40" t="s">
        <v>268</v>
      </c>
      <c r="J37" s="41">
        <v>21</v>
      </c>
      <c r="K37" s="41">
        <v>1997</v>
      </c>
      <c r="L37" s="41"/>
      <c r="M37" s="42">
        <v>2400</v>
      </c>
      <c r="N37" s="42">
        <v>3953.13</v>
      </c>
      <c r="O37" s="43">
        <v>41937</v>
      </c>
      <c r="P37" s="44">
        <v>49658.91</v>
      </c>
      <c r="Q37" s="44">
        <v>83015.73</v>
      </c>
      <c r="R37" s="45">
        <v>0</v>
      </c>
      <c r="S37" s="46">
        <v>0</v>
      </c>
      <c r="T37" s="39">
        <f t="shared" si="19"/>
        <v>15</v>
      </c>
      <c r="U37" s="47">
        <f t="shared" si="20"/>
        <v>2.3777501452685878E-2</v>
      </c>
      <c r="V37" s="48">
        <f t="shared" si="21"/>
        <v>1553.13</v>
      </c>
      <c r="W37" s="49">
        <f t="shared" si="22"/>
        <v>1.5851667635123918E-3</v>
      </c>
      <c r="X37" s="44">
        <f t="shared" si="23"/>
        <v>1997.4903871899614</v>
      </c>
      <c r="Y37" s="44">
        <f t="shared" si="24"/>
        <v>33356.819999999992</v>
      </c>
      <c r="Z37" s="44">
        <f t="shared" si="25"/>
        <v>20447.551000910968</v>
      </c>
      <c r="AA37" s="50">
        <f t="shared" si="26"/>
        <v>85013.220387189955</v>
      </c>
      <c r="AB37" s="51">
        <f t="shared" si="27"/>
        <v>19115.220156035306</v>
      </c>
      <c r="AC37" s="44">
        <f t="shared" si="28"/>
        <v>79473.890237627318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1.3961506916040443</v>
      </c>
      <c r="AG37" s="44">
        <f t="shared" si="31"/>
        <v>58550.371553798803</v>
      </c>
      <c r="AH37" s="52">
        <f>HLOOKUP(I37,ElecAvoidedCostsWOCC!$A$5:$Q$50,T37+1,FALSE)</f>
        <v>1.3961506916040443</v>
      </c>
      <c r="AI37" s="44">
        <f t="shared" si="32"/>
        <v>0</v>
      </c>
      <c r="AJ37" s="44">
        <f t="shared" si="33"/>
        <v>58550.371553798803</v>
      </c>
      <c r="AK37" s="44">
        <f>HLOOKUP(I37,ElecAvoidedCostsWOCC!$A$5:$Q$50,G37+1,FALSE)*J37*L37</f>
        <v>0</v>
      </c>
      <c r="AL37" s="44">
        <f t="shared" si="34"/>
        <v>58550.371553798803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58550.37155379881</v>
      </c>
      <c r="AN37" s="48">
        <f t="shared" si="35"/>
        <v>64405.408709178693</v>
      </c>
      <c r="AO37" s="47">
        <f t="shared" si="36"/>
        <v>3.0630236573714025</v>
      </c>
      <c r="AP37" s="47">
        <f t="shared" si="37"/>
        <v>0.81039708156485368</v>
      </c>
      <c r="AQ37">
        <v>2020</v>
      </c>
    </row>
    <row r="38" spans="2:43">
      <c r="B38" s="97" t="s">
        <v>15</v>
      </c>
      <c r="C38" s="61">
        <v>18230632</v>
      </c>
      <c r="D38" s="61" t="s">
        <v>81</v>
      </c>
      <c r="E38" s="38" t="s">
        <v>548</v>
      </c>
      <c r="F38" s="39" t="s">
        <v>549</v>
      </c>
      <c r="G38" s="39">
        <v>15</v>
      </c>
      <c r="H38" s="39"/>
      <c r="I38" s="40" t="s">
        <v>268</v>
      </c>
      <c r="J38" s="41">
        <v>1015</v>
      </c>
      <c r="K38" s="41">
        <v>1997</v>
      </c>
      <c r="L38" s="41"/>
      <c r="M38" s="42">
        <v>800</v>
      </c>
      <c r="N38" s="42">
        <v>3953.13</v>
      </c>
      <c r="O38" s="43">
        <v>2026955</v>
      </c>
      <c r="P38" s="44">
        <v>810802.15</v>
      </c>
      <c r="Q38" s="44">
        <v>4012426.9499999201</v>
      </c>
      <c r="R38" s="45">
        <v>0</v>
      </c>
      <c r="S38" s="46">
        <v>0</v>
      </c>
      <c r="T38" s="39">
        <f t="shared" si="19"/>
        <v>15</v>
      </c>
      <c r="U38" s="47">
        <f t="shared" si="20"/>
        <v>1.1492459035464839</v>
      </c>
      <c r="V38" s="48">
        <f t="shared" si="21"/>
        <v>3153.13</v>
      </c>
      <c r="W38" s="49">
        <f t="shared" si="22"/>
        <v>7.6616393569765601E-2</v>
      </c>
      <c r="X38" s="44">
        <f t="shared" si="23"/>
        <v>96545.368714181459</v>
      </c>
      <c r="Y38" s="44">
        <f t="shared" si="24"/>
        <v>3201624.7999999202</v>
      </c>
      <c r="Z38" s="44">
        <f t="shared" si="25"/>
        <v>988298.29837736348</v>
      </c>
      <c r="AA38" s="50">
        <f t="shared" si="26"/>
        <v>4108972.3187141013</v>
      </c>
      <c r="AB38" s="51">
        <f t="shared" si="27"/>
        <v>923902.30754170648</v>
      </c>
      <c r="AC38" s="44">
        <f t="shared" si="28"/>
        <v>3841238.0281519126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1.3961506916040443</v>
      </c>
      <c r="AG38" s="44">
        <f t="shared" si="31"/>
        <v>2829934.6251002755</v>
      </c>
      <c r="AH38" s="52">
        <f>HLOOKUP(I38,ElecAvoidedCostsWOCC!$A$5:$Q$50,T38+1,FALSE)</f>
        <v>1.3961506916040443</v>
      </c>
      <c r="AI38" s="44">
        <f t="shared" si="32"/>
        <v>0</v>
      </c>
      <c r="AJ38" s="44">
        <f t="shared" si="33"/>
        <v>2829934.6251002755</v>
      </c>
      <c r="AK38" s="44">
        <f>HLOOKUP(I38,ElecAvoidedCostsWOCC!$A$5:$Q$50,G38+1,FALSE)*J38*L38</f>
        <v>0</v>
      </c>
      <c r="AL38" s="44">
        <f t="shared" si="34"/>
        <v>2829934.6251002755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2829934.6251002755</v>
      </c>
      <c r="AN38" s="48">
        <f t="shared" si="35"/>
        <v>3112928.0876103034</v>
      </c>
      <c r="AO38" s="47">
        <f t="shared" si="36"/>
        <v>3.063023657371402</v>
      </c>
      <c r="AP38" s="47">
        <f t="shared" si="37"/>
        <v>0.81039708156486934</v>
      </c>
      <c r="AQ38">
        <v>2020</v>
      </c>
    </row>
    <row r="39" spans="2:43">
      <c r="B39" s="97" t="s">
        <v>15</v>
      </c>
      <c r="C39" s="61">
        <v>18230633</v>
      </c>
      <c r="D39" s="61" t="s">
        <v>81</v>
      </c>
      <c r="E39" s="38" t="s">
        <v>1866</v>
      </c>
      <c r="F39" s="39" t="s">
        <v>552</v>
      </c>
      <c r="G39" s="39">
        <v>15</v>
      </c>
      <c r="H39" s="39"/>
      <c r="I39" s="40" t="s">
        <v>268</v>
      </c>
      <c r="J39" s="41">
        <v>44</v>
      </c>
      <c r="K39" s="41">
        <v>5736</v>
      </c>
      <c r="L39" s="41"/>
      <c r="M39" s="42">
        <v>2400</v>
      </c>
      <c r="N39" s="42">
        <v>4023.66</v>
      </c>
      <c r="O39" s="43">
        <v>252384</v>
      </c>
      <c r="P39" s="44">
        <v>101899.97</v>
      </c>
      <c r="Q39" s="44">
        <v>177041.04</v>
      </c>
      <c r="R39" s="45">
        <v>0</v>
      </c>
      <c r="S39" s="46">
        <v>0</v>
      </c>
      <c r="T39" s="39">
        <f t="shared" si="19"/>
        <v>15</v>
      </c>
      <c r="U39" s="47">
        <f t="shared" si="20"/>
        <v>0.14309704858799321</v>
      </c>
      <c r="V39" s="48">
        <f t="shared" si="21"/>
        <v>1623.6599999999999</v>
      </c>
      <c r="W39" s="49">
        <f t="shared" si="22"/>
        <v>9.5398032391995485E-3</v>
      </c>
      <c r="X39" s="44">
        <f t="shared" si="23"/>
        <v>12021.2369478158</v>
      </c>
      <c r="Y39" s="44">
        <f t="shared" si="24"/>
        <v>75141.070000000007</v>
      </c>
      <c r="Z39" s="44">
        <f t="shared" si="25"/>
        <v>123056.84030364387</v>
      </c>
      <c r="AA39" s="50">
        <f t="shared" si="26"/>
        <v>189062.27694781582</v>
      </c>
      <c r="AB39" s="51">
        <f t="shared" si="27"/>
        <v>115038.64663330266</v>
      </c>
      <c r="AC39" s="44">
        <f t="shared" si="28"/>
        <v>176743.27096177975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1.3961506916040443</v>
      </c>
      <c r="AG39" s="44">
        <f t="shared" si="31"/>
        <v>352366.09614979511</v>
      </c>
      <c r="AH39" s="52">
        <f>HLOOKUP(I39,ElecAvoidedCostsWOCC!$A$5:$Q$50,T39+1,FALSE)</f>
        <v>1.3961506916040443</v>
      </c>
      <c r="AI39" s="44">
        <f t="shared" si="32"/>
        <v>0</v>
      </c>
      <c r="AJ39" s="44">
        <f t="shared" si="33"/>
        <v>352366.09614979511</v>
      </c>
      <c r="AK39" s="44">
        <f>HLOOKUP(I39,ElecAvoidedCostsWOCC!$A$5:$Q$50,G39+1,FALSE)*J39*L39</f>
        <v>0</v>
      </c>
      <c r="AL39" s="44">
        <f t="shared" si="34"/>
        <v>352366.09614979511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352366.09614979511</v>
      </c>
      <c r="AN39" s="48">
        <f t="shared" si="35"/>
        <v>387602.70576477464</v>
      </c>
      <c r="AO39" s="47">
        <f t="shared" si="36"/>
        <v>3.0630236573714025</v>
      </c>
      <c r="AP39" s="47">
        <f t="shared" si="37"/>
        <v>2.1930266632249475</v>
      </c>
      <c r="AQ39">
        <v>2020</v>
      </c>
    </row>
    <row r="40" spans="2:43">
      <c r="B40" s="97" t="s">
        <v>15</v>
      </c>
      <c r="C40" s="61">
        <v>18230634</v>
      </c>
      <c r="D40" s="61" t="s">
        <v>81</v>
      </c>
      <c r="E40" s="38" t="s">
        <v>551</v>
      </c>
      <c r="F40" s="39" t="s">
        <v>552</v>
      </c>
      <c r="G40" s="39">
        <v>15</v>
      </c>
      <c r="H40" s="39"/>
      <c r="I40" s="40" t="s">
        <v>268</v>
      </c>
      <c r="J40" s="41">
        <v>145</v>
      </c>
      <c r="K40" s="41">
        <v>3055</v>
      </c>
      <c r="L40" s="41"/>
      <c r="M40" s="42">
        <v>2400</v>
      </c>
      <c r="N40" s="42">
        <v>3895.16</v>
      </c>
      <c r="O40" s="43">
        <v>442975</v>
      </c>
      <c r="P40" s="44">
        <v>339455.25</v>
      </c>
      <c r="Q40" s="44">
        <v>564798.19999999902</v>
      </c>
      <c r="R40" s="45">
        <v>0</v>
      </c>
      <c r="S40" s="46">
        <v>0</v>
      </c>
      <c r="T40" s="39">
        <f t="shared" si="19"/>
        <v>15</v>
      </c>
      <c r="U40" s="47">
        <f t="shared" si="20"/>
        <v>0.25115861187027033</v>
      </c>
      <c r="V40" s="48">
        <f t="shared" si="21"/>
        <v>1495.1599999999999</v>
      </c>
      <c r="W40" s="49">
        <f t="shared" si="22"/>
        <v>1.6743907458018022E-2</v>
      </c>
      <c r="X40" s="44">
        <f t="shared" si="23"/>
        <v>21099.227514258844</v>
      </c>
      <c r="Y40" s="44">
        <f t="shared" si="24"/>
        <v>225342.94999999902</v>
      </c>
      <c r="Z40" s="44">
        <f t="shared" si="25"/>
        <v>215984.78442970495</v>
      </c>
      <c r="AA40" s="50">
        <f t="shared" si="26"/>
        <v>585897.42751425784</v>
      </c>
      <c r="AB40" s="51">
        <f t="shared" si="27"/>
        <v>201911.54943414501</v>
      </c>
      <c r="AC40" s="44">
        <f t="shared" si="28"/>
        <v>547721.25597294362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1.3961506916040443</v>
      </c>
      <c r="AG40" s="44">
        <f t="shared" si="31"/>
        <v>618459.85261330148</v>
      </c>
      <c r="AH40" s="52">
        <f>HLOOKUP(I40,ElecAvoidedCostsWOCC!$A$5:$Q$50,T40+1,FALSE)</f>
        <v>1.3961506916040443</v>
      </c>
      <c r="AI40" s="44">
        <f t="shared" si="32"/>
        <v>0</v>
      </c>
      <c r="AJ40" s="44">
        <f t="shared" si="33"/>
        <v>618459.85261330148</v>
      </c>
      <c r="AK40" s="44">
        <f>HLOOKUP(I40,ElecAvoidedCostsWOCC!$A$5:$Q$50,G40+1,FALSE)*J40*L40</f>
        <v>0</v>
      </c>
      <c r="AL40" s="44">
        <f t="shared" si="34"/>
        <v>618459.85261330148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618459.85261330148</v>
      </c>
      <c r="AN40" s="48">
        <f t="shared" si="35"/>
        <v>680305.83787463163</v>
      </c>
      <c r="AO40" s="47">
        <f t="shared" si="36"/>
        <v>3.063023657371402</v>
      </c>
      <c r="AP40" s="47">
        <f t="shared" si="37"/>
        <v>1.2420657961615378</v>
      </c>
      <c r="AQ40">
        <v>2020</v>
      </c>
    </row>
    <row r="41" spans="2:43">
      <c r="B41" s="97" t="s">
        <v>15</v>
      </c>
      <c r="C41" s="61">
        <v>18230635</v>
      </c>
      <c r="D41" s="61" t="s">
        <v>81</v>
      </c>
      <c r="E41" s="38" t="s">
        <v>1867</v>
      </c>
      <c r="F41" s="39" t="s">
        <v>554</v>
      </c>
      <c r="G41" s="39">
        <v>15</v>
      </c>
      <c r="H41" s="39"/>
      <c r="I41" s="40" t="s">
        <v>268</v>
      </c>
      <c r="J41" s="41">
        <v>36</v>
      </c>
      <c r="K41" s="41">
        <v>3836</v>
      </c>
      <c r="L41" s="41"/>
      <c r="M41" s="42">
        <v>800</v>
      </c>
      <c r="N41" s="42">
        <v>4023.66</v>
      </c>
      <c r="O41" s="43">
        <v>138096</v>
      </c>
      <c r="P41" s="44">
        <v>28800</v>
      </c>
      <c r="Q41" s="44">
        <v>144851.76</v>
      </c>
      <c r="R41" s="45">
        <v>0</v>
      </c>
      <c r="S41" s="46">
        <v>0</v>
      </c>
      <c r="T41" s="39">
        <f t="shared" si="19"/>
        <v>15</v>
      </c>
      <c r="U41" s="47">
        <f t="shared" si="20"/>
        <v>7.8297871583806869E-2</v>
      </c>
      <c r="V41" s="48">
        <f t="shared" si="21"/>
        <v>3223.66</v>
      </c>
      <c r="W41" s="49">
        <f t="shared" si="22"/>
        <v>5.2198581055871249E-3</v>
      </c>
      <c r="X41" s="44">
        <f t="shared" si="23"/>
        <v>6577.6148153035483</v>
      </c>
      <c r="Y41" s="44">
        <f t="shared" si="24"/>
        <v>116051.76000000001</v>
      </c>
      <c r="Z41" s="44">
        <f t="shared" si="25"/>
        <v>67332.546510761415</v>
      </c>
      <c r="AA41" s="50">
        <f t="shared" si="26"/>
        <v>151429.37481530357</v>
      </c>
      <c r="AB41" s="51">
        <f t="shared" si="27"/>
        <v>62945.26176569263</v>
      </c>
      <c r="AC41" s="44">
        <f t="shared" si="28"/>
        <v>141562.47061353983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1.3961506916040443</v>
      </c>
      <c r="AG41" s="44">
        <f t="shared" si="31"/>
        <v>192802.82590775209</v>
      </c>
      <c r="AH41" s="52">
        <f>HLOOKUP(I41,ElecAvoidedCostsWOCC!$A$5:$Q$50,T41+1,FALSE)</f>
        <v>1.3961506916040443</v>
      </c>
      <c r="AI41" s="44">
        <f t="shared" si="32"/>
        <v>0</v>
      </c>
      <c r="AJ41" s="44">
        <f t="shared" si="33"/>
        <v>192802.82590775209</v>
      </c>
      <c r="AK41" s="44">
        <f>HLOOKUP(I41,ElecAvoidedCostsWOCC!$A$5:$Q$50,G41+1,FALSE)*J41*L41</f>
        <v>0</v>
      </c>
      <c r="AL41" s="44">
        <f t="shared" si="34"/>
        <v>192802.82590775209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192802.82590775209</v>
      </c>
      <c r="AN41" s="48">
        <f t="shared" si="35"/>
        <v>212083.10849852732</v>
      </c>
      <c r="AO41" s="47">
        <f t="shared" si="36"/>
        <v>3.0630236573714016</v>
      </c>
      <c r="AP41" s="47">
        <f t="shared" si="37"/>
        <v>1.4981591348282282</v>
      </c>
      <c r="AQ41">
        <v>2020</v>
      </c>
    </row>
    <row r="42" spans="2:43">
      <c r="B42" s="97" t="s">
        <v>15</v>
      </c>
      <c r="C42" s="61">
        <v>18230635</v>
      </c>
      <c r="D42" s="61" t="s">
        <v>81</v>
      </c>
      <c r="E42" s="38" t="s">
        <v>553</v>
      </c>
      <c r="F42" s="39" t="s">
        <v>554</v>
      </c>
      <c r="G42" s="39">
        <v>15</v>
      </c>
      <c r="H42" s="39"/>
      <c r="I42" s="40" t="s">
        <v>268</v>
      </c>
      <c r="J42" s="41">
        <v>91</v>
      </c>
      <c r="K42" s="41">
        <v>2550</v>
      </c>
      <c r="L42" s="41"/>
      <c r="M42" s="42">
        <v>800</v>
      </c>
      <c r="N42" s="42">
        <v>4039.18</v>
      </c>
      <c r="O42" s="43">
        <v>232050</v>
      </c>
      <c r="P42" s="44">
        <v>72800</v>
      </c>
      <c r="Q42" s="44">
        <v>367549.86</v>
      </c>
      <c r="R42" s="45">
        <v>0</v>
      </c>
      <c r="S42" s="46">
        <v>0</v>
      </c>
      <c r="T42" s="39">
        <f t="shared" si="19"/>
        <v>15</v>
      </c>
      <c r="U42" s="47">
        <f t="shared" si="20"/>
        <v>0.13156804759748569</v>
      </c>
      <c r="V42" s="48">
        <f t="shared" si="21"/>
        <v>3239.18</v>
      </c>
      <c r="W42" s="49">
        <f t="shared" si="22"/>
        <v>8.7712031731657127E-3</v>
      </c>
      <c r="X42" s="44">
        <f t="shared" si="23"/>
        <v>11052.713459413657</v>
      </c>
      <c r="Y42" s="44">
        <f t="shared" si="24"/>
        <v>294749.86</v>
      </c>
      <c r="Z42" s="44">
        <f t="shared" si="25"/>
        <v>113142.43292942723</v>
      </c>
      <c r="AA42" s="50">
        <f t="shared" si="26"/>
        <v>378602.57345941366</v>
      </c>
      <c r="AB42" s="51">
        <f t="shared" si="27"/>
        <v>105770.24673219335</v>
      </c>
      <c r="AC42" s="44">
        <f t="shared" si="28"/>
        <v>353933.41447079892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1.3961506916040443</v>
      </c>
      <c r="AG42" s="44">
        <f t="shared" si="31"/>
        <v>323976.76798671851</v>
      </c>
      <c r="AH42" s="52">
        <f>HLOOKUP(I42,ElecAvoidedCostsWOCC!$A$5:$Q$50,T42+1,FALSE)</f>
        <v>1.3961506916040443</v>
      </c>
      <c r="AI42" s="44">
        <f t="shared" si="32"/>
        <v>0</v>
      </c>
      <c r="AJ42" s="44">
        <f t="shared" si="33"/>
        <v>323976.76798671851</v>
      </c>
      <c r="AK42" s="44">
        <f>HLOOKUP(I42,ElecAvoidedCostsWOCC!$A$5:$Q$50,G42+1,FALSE)*J42*L42</f>
        <v>0</v>
      </c>
      <c r="AL42" s="44">
        <f t="shared" si="34"/>
        <v>323976.76798671851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323976.76798671845</v>
      </c>
      <c r="AN42" s="48">
        <f t="shared" si="35"/>
        <v>356374.44478539034</v>
      </c>
      <c r="AO42" s="47">
        <f t="shared" si="36"/>
        <v>3.063023657371402</v>
      </c>
      <c r="AP42" s="47">
        <f t="shared" si="37"/>
        <v>1.0068968631239332</v>
      </c>
      <c r="AQ42">
        <v>2020</v>
      </c>
    </row>
    <row r="43" spans="2:43">
      <c r="B43" s="97" t="s">
        <v>15</v>
      </c>
      <c r="C43" s="61">
        <v>18230635</v>
      </c>
      <c r="D43" s="61" t="s">
        <v>81</v>
      </c>
      <c r="E43" s="38" t="s">
        <v>555</v>
      </c>
      <c r="F43" s="39" t="s">
        <v>556</v>
      </c>
      <c r="G43" s="39">
        <v>15</v>
      </c>
      <c r="H43" s="39"/>
      <c r="I43" s="40" t="s">
        <v>268</v>
      </c>
      <c r="J43" s="41">
        <v>438</v>
      </c>
      <c r="K43" s="41">
        <v>3517</v>
      </c>
      <c r="L43" s="41"/>
      <c r="M43" s="42">
        <v>1500</v>
      </c>
      <c r="N43" s="42">
        <v>4956.68</v>
      </c>
      <c r="O43" s="43">
        <v>1540446</v>
      </c>
      <c r="P43" s="44">
        <v>657000</v>
      </c>
      <c r="Q43" s="44">
        <v>2171025.8399999901</v>
      </c>
      <c r="R43" s="45">
        <v>0</v>
      </c>
      <c r="S43" s="46">
        <v>0</v>
      </c>
      <c r="T43" s="39">
        <f t="shared" si="19"/>
        <v>15</v>
      </c>
      <c r="U43" s="47">
        <f t="shared" si="20"/>
        <v>0.87340432083325337</v>
      </c>
      <c r="V43" s="48">
        <f t="shared" si="21"/>
        <v>3456.6800000000003</v>
      </c>
      <c r="W43" s="49">
        <f t="shared" si="22"/>
        <v>5.8226954722216895E-2</v>
      </c>
      <c r="X43" s="44">
        <f t="shared" si="23"/>
        <v>73372.584519284341</v>
      </c>
      <c r="Y43" s="44">
        <f t="shared" si="24"/>
        <v>1514025.8399999901</v>
      </c>
      <c r="Z43" s="44">
        <f t="shared" si="25"/>
        <v>751087.30116959475</v>
      </c>
      <c r="AA43" s="50">
        <f t="shared" si="26"/>
        <v>2244398.4245192744</v>
      </c>
      <c r="AB43" s="51">
        <f t="shared" si="27"/>
        <v>702147.61257323984</v>
      </c>
      <c r="AC43" s="44">
        <f t="shared" si="28"/>
        <v>2098156.8893327797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1.3961506916040443</v>
      </c>
      <c r="AG43" s="44">
        <f t="shared" si="31"/>
        <v>2150694.7482786835</v>
      </c>
      <c r="AH43" s="52">
        <f>HLOOKUP(I43,ElecAvoidedCostsWOCC!$A$5:$Q$50,T43+1,FALSE)</f>
        <v>1.3961506916040443</v>
      </c>
      <c r="AI43" s="44">
        <f t="shared" si="32"/>
        <v>0</v>
      </c>
      <c r="AJ43" s="44">
        <f t="shared" si="33"/>
        <v>2150694.7482786835</v>
      </c>
      <c r="AK43" s="44">
        <f>HLOOKUP(I43,ElecAvoidedCostsWOCC!$A$5:$Q$50,G43+1,FALSE)*J43*L43</f>
        <v>0</v>
      </c>
      <c r="AL43" s="44">
        <f t="shared" si="34"/>
        <v>2150694.7482786835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2150694.7482786835</v>
      </c>
      <c r="AN43" s="48">
        <f t="shared" si="35"/>
        <v>2365764.2231065519</v>
      </c>
      <c r="AO43" s="47">
        <f t="shared" si="36"/>
        <v>3.0630236573714025</v>
      </c>
      <c r="AP43" s="47">
        <f t="shared" si="37"/>
        <v>1.1275440054718082</v>
      </c>
      <c r="AQ43">
        <v>2020</v>
      </c>
    </row>
    <row r="44" spans="2:43">
      <c r="B44" s="97" t="s">
        <v>15</v>
      </c>
      <c r="C44" s="61">
        <v>18230635</v>
      </c>
      <c r="D44" s="61" t="s">
        <v>81</v>
      </c>
      <c r="E44" s="38" t="s">
        <v>1868</v>
      </c>
      <c r="F44" s="39" t="s">
        <v>1869</v>
      </c>
      <c r="G44" s="39">
        <v>15</v>
      </c>
      <c r="H44" s="39"/>
      <c r="I44" s="40" t="s">
        <v>268</v>
      </c>
      <c r="J44" s="41">
        <v>14</v>
      </c>
      <c r="K44" s="41">
        <v>3711</v>
      </c>
      <c r="L44" s="41"/>
      <c r="M44" s="42">
        <v>1500</v>
      </c>
      <c r="N44" s="42">
        <v>3190.37</v>
      </c>
      <c r="O44" s="43">
        <v>51954</v>
      </c>
      <c r="P44" s="44">
        <v>21000</v>
      </c>
      <c r="Q44" s="44">
        <v>44665.18</v>
      </c>
      <c r="R44" s="45">
        <v>0</v>
      </c>
      <c r="S44" s="46">
        <v>0</v>
      </c>
      <c r="T44" s="39">
        <f t="shared" si="19"/>
        <v>15</v>
      </c>
      <c r="U44" s="47">
        <f t="shared" si="20"/>
        <v>2.945695472906603E-2</v>
      </c>
      <c r="V44" s="48">
        <f t="shared" si="21"/>
        <v>1690.37</v>
      </c>
      <c r="W44" s="49">
        <f t="shared" si="22"/>
        <v>1.9637969819377354E-3</v>
      </c>
      <c r="X44" s="44">
        <f t="shared" si="23"/>
        <v>2474.6075202343341</v>
      </c>
      <c r="Y44" s="44">
        <f t="shared" si="24"/>
        <v>23665.18</v>
      </c>
      <c r="Z44" s="44">
        <f t="shared" si="25"/>
        <v>25331.618015149594</v>
      </c>
      <c r="AA44" s="50">
        <f t="shared" si="26"/>
        <v>47139.787520234335</v>
      </c>
      <c r="AB44" s="51">
        <f t="shared" si="27"/>
        <v>23681.048906375236</v>
      </c>
      <c r="AC44" s="44">
        <f t="shared" si="28"/>
        <v>44068.231766134741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1.3961506916040443</v>
      </c>
      <c r="AG44" s="44">
        <f t="shared" si="31"/>
        <v>72535.613031596513</v>
      </c>
      <c r="AH44" s="52">
        <f>HLOOKUP(I44,ElecAvoidedCostsWOCC!$A$5:$Q$50,T44+1,FALSE)</f>
        <v>1.3961506916040443</v>
      </c>
      <c r="AI44" s="44">
        <f t="shared" si="32"/>
        <v>0</v>
      </c>
      <c r="AJ44" s="44">
        <f t="shared" si="33"/>
        <v>72535.613031596513</v>
      </c>
      <c r="AK44" s="44">
        <f>HLOOKUP(I44,ElecAvoidedCostsWOCC!$A$5:$Q$50,G44+1,FALSE)*J44*L44</f>
        <v>0</v>
      </c>
      <c r="AL44" s="44">
        <f t="shared" si="34"/>
        <v>72535.613031596513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72535.613031596513</v>
      </c>
      <c r="AN44" s="48">
        <f t="shared" si="35"/>
        <v>79789.174334756171</v>
      </c>
      <c r="AO44" s="47">
        <f t="shared" si="36"/>
        <v>3.063023657371402</v>
      </c>
      <c r="AP44" s="47">
        <f t="shared" si="37"/>
        <v>1.8105826155718827</v>
      </c>
      <c r="AQ44">
        <v>2020</v>
      </c>
    </row>
    <row r="45" spans="2:43">
      <c r="B45" s="97" t="s">
        <v>15</v>
      </c>
      <c r="C45" s="61">
        <v>18230635</v>
      </c>
      <c r="D45" s="61" t="s">
        <v>81</v>
      </c>
      <c r="E45" s="38" t="s">
        <v>1870</v>
      </c>
      <c r="F45" s="39" t="s">
        <v>559</v>
      </c>
      <c r="G45" s="39">
        <v>15</v>
      </c>
      <c r="H45" s="39"/>
      <c r="I45" s="40" t="s">
        <v>268</v>
      </c>
      <c r="J45" s="41">
        <v>52</v>
      </c>
      <c r="K45" s="41">
        <v>6302</v>
      </c>
      <c r="L45" s="41"/>
      <c r="M45" s="42">
        <v>2400</v>
      </c>
      <c r="N45" s="42">
        <v>5490.23</v>
      </c>
      <c r="O45" s="43">
        <v>327704</v>
      </c>
      <c r="P45" s="44">
        <v>123864.66</v>
      </c>
      <c r="Q45" s="44">
        <v>285491.96000000002</v>
      </c>
      <c r="R45" s="45">
        <v>0</v>
      </c>
      <c r="S45" s="46">
        <v>0</v>
      </c>
      <c r="T45" s="39">
        <f t="shared" si="19"/>
        <v>15</v>
      </c>
      <c r="U45" s="47">
        <f t="shared" si="20"/>
        <v>0.18580209209173218</v>
      </c>
      <c r="V45" s="48">
        <f t="shared" si="21"/>
        <v>3090.2299999999996</v>
      </c>
      <c r="W45" s="49">
        <f t="shared" si="22"/>
        <v>1.2386806139448812E-2</v>
      </c>
      <c r="X45" s="44">
        <f t="shared" si="23"/>
        <v>15608.78436329969</v>
      </c>
      <c r="Y45" s="44">
        <f t="shared" si="24"/>
        <v>161627.30000000002</v>
      </c>
      <c r="Z45" s="44">
        <f t="shared" si="25"/>
        <v>159781.20164061635</v>
      </c>
      <c r="AA45" s="50">
        <f t="shared" si="26"/>
        <v>301100.74436329969</v>
      </c>
      <c r="AB45" s="51">
        <f t="shared" si="27"/>
        <v>149370.10530112774</v>
      </c>
      <c r="AC45" s="44">
        <f t="shared" si="28"/>
        <v>281481.48486800003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1.3961506916040443</v>
      </c>
      <c r="AG45" s="44">
        <f t="shared" si="31"/>
        <v>457524.1662414117</v>
      </c>
      <c r="AH45" s="52">
        <f>HLOOKUP(I45,ElecAvoidedCostsWOCC!$A$5:$Q$50,T45+1,FALSE)</f>
        <v>1.3961506916040443</v>
      </c>
      <c r="AI45" s="44">
        <f t="shared" si="32"/>
        <v>0</v>
      </c>
      <c r="AJ45" s="44">
        <f t="shared" si="33"/>
        <v>457524.1662414117</v>
      </c>
      <c r="AK45" s="44">
        <f>HLOOKUP(I45,ElecAvoidedCostsWOCC!$A$5:$Q$50,G45+1,FALSE)*J45*L45</f>
        <v>0</v>
      </c>
      <c r="AL45" s="44">
        <f t="shared" si="34"/>
        <v>457524.1662414117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457524.1662414117</v>
      </c>
      <c r="AN45" s="48">
        <f t="shared" si="35"/>
        <v>503276.58286555292</v>
      </c>
      <c r="AO45" s="47">
        <f t="shared" si="36"/>
        <v>3.0630236573714016</v>
      </c>
      <c r="AP45" s="47">
        <f t="shared" si="37"/>
        <v>1.7879562597218894</v>
      </c>
      <c r="AQ45">
        <v>2020</v>
      </c>
    </row>
    <row r="46" spans="2:43">
      <c r="B46" s="97" t="s">
        <v>15</v>
      </c>
      <c r="C46" s="61">
        <v>18230635</v>
      </c>
      <c r="D46" s="61" t="s">
        <v>81</v>
      </c>
      <c r="E46" s="38" t="s">
        <v>558</v>
      </c>
      <c r="F46" s="39" t="s">
        <v>559</v>
      </c>
      <c r="G46" s="39">
        <v>15</v>
      </c>
      <c r="H46" s="39"/>
      <c r="I46" s="40" t="s">
        <v>268</v>
      </c>
      <c r="J46" s="41">
        <v>259</v>
      </c>
      <c r="K46" s="41">
        <v>3020</v>
      </c>
      <c r="L46" s="41"/>
      <c r="M46" s="42">
        <v>2400</v>
      </c>
      <c r="N46" s="42">
        <v>4634</v>
      </c>
      <c r="O46" s="43">
        <v>782180</v>
      </c>
      <c r="P46" s="44">
        <v>620566.43000000005</v>
      </c>
      <c r="Q46" s="44">
        <v>1200206</v>
      </c>
      <c r="R46" s="45">
        <v>0</v>
      </c>
      <c r="S46" s="46">
        <v>0</v>
      </c>
      <c r="T46" s="39">
        <f t="shared" si="19"/>
        <v>15</v>
      </c>
      <c r="U46" s="47">
        <f t="shared" si="20"/>
        <v>0.44348155772377229</v>
      </c>
      <c r="V46" s="48">
        <f t="shared" si="21"/>
        <v>2234</v>
      </c>
      <c r="W46" s="49">
        <f t="shared" si="22"/>
        <v>2.956543718158482E-2</v>
      </c>
      <c r="X46" s="44">
        <f t="shared" si="23"/>
        <v>37255.813030313184</v>
      </c>
      <c r="Y46" s="44">
        <f t="shared" si="24"/>
        <v>579639.56999999995</v>
      </c>
      <c r="Z46" s="44">
        <f t="shared" si="25"/>
        <v>381373.61856815079</v>
      </c>
      <c r="AA46" s="50">
        <f t="shared" si="26"/>
        <v>1237461.8130303132</v>
      </c>
      <c r="AB46" s="51">
        <f t="shared" si="27"/>
        <v>356523.90255973709</v>
      </c>
      <c r="AC46" s="44">
        <f t="shared" si="28"/>
        <v>1156830.7123775948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1.3961506916040443</v>
      </c>
      <c r="AG46" s="44">
        <f t="shared" si="31"/>
        <v>1092041.1479588512</v>
      </c>
      <c r="AH46" s="52">
        <f>HLOOKUP(I46,ElecAvoidedCostsWOCC!$A$5:$Q$50,T46+1,FALSE)</f>
        <v>1.3961506916040443</v>
      </c>
      <c r="AI46" s="44">
        <f t="shared" si="32"/>
        <v>0</v>
      </c>
      <c r="AJ46" s="44">
        <f t="shared" si="33"/>
        <v>1092041.1479588512</v>
      </c>
      <c r="AK46" s="44">
        <f>HLOOKUP(I46,ElecAvoidedCostsWOCC!$A$5:$Q$50,G46+1,FALSE)*J46*L46</f>
        <v>0</v>
      </c>
      <c r="AL46" s="44">
        <f t="shared" si="34"/>
        <v>1092041.1479588512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1092041.1479588514</v>
      </c>
      <c r="AN46" s="48">
        <f t="shared" si="35"/>
        <v>1201245.2627547367</v>
      </c>
      <c r="AO46" s="47">
        <f t="shared" si="36"/>
        <v>3.0630236573714025</v>
      </c>
      <c r="AP46" s="47">
        <f t="shared" si="37"/>
        <v>1.0383933015452695</v>
      </c>
      <c r="AQ46">
        <v>2020</v>
      </c>
    </row>
    <row r="47" spans="2:43">
      <c r="B47" s="97" t="s">
        <v>15</v>
      </c>
      <c r="C47" s="61">
        <v>18230635</v>
      </c>
      <c r="D47" s="61" t="s">
        <v>81</v>
      </c>
      <c r="E47" s="38" t="s">
        <v>561</v>
      </c>
      <c r="F47" s="39" t="s">
        <v>562</v>
      </c>
      <c r="G47" s="39">
        <v>15</v>
      </c>
      <c r="H47" s="39"/>
      <c r="I47" s="40" t="s">
        <v>268</v>
      </c>
      <c r="J47" s="41">
        <v>4</v>
      </c>
      <c r="K47" s="41">
        <v>1997</v>
      </c>
      <c r="L47" s="41"/>
      <c r="M47" s="42">
        <v>1600</v>
      </c>
      <c r="N47" s="42">
        <v>3953.13</v>
      </c>
      <c r="O47" s="43">
        <v>7988</v>
      </c>
      <c r="P47" s="44">
        <v>6400</v>
      </c>
      <c r="Q47" s="44">
        <v>15812.52</v>
      </c>
      <c r="R47" s="45">
        <v>0</v>
      </c>
      <c r="S47" s="46">
        <v>0</v>
      </c>
      <c r="T47" s="39">
        <f t="shared" si="19"/>
        <v>15</v>
      </c>
      <c r="U47" s="47">
        <f t="shared" si="20"/>
        <v>4.529047895749691E-3</v>
      </c>
      <c r="V47" s="48">
        <f t="shared" si="21"/>
        <v>2353.13</v>
      </c>
      <c r="W47" s="49">
        <f t="shared" si="22"/>
        <v>3.0193652638331274E-4</v>
      </c>
      <c r="X47" s="44">
        <f t="shared" si="23"/>
        <v>380.47435946475457</v>
      </c>
      <c r="Y47" s="44">
        <f t="shared" si="24"/>
        <v>9412.52</v>
      </c>
      <c r="Z47" s="44">
        <f t="shared" si="25"/>
        <v>3894.7716192211374</v>
      </c>
      <c r="AA47" s="50">
        <f t="shared" si="26"/>
        <v>16192.994359464756</v>
      </c>
      <c r="AB47" s="51">
        <f t="shared" si="27"/>
        <v>3640.9943154352968</v>
      </c>
      <c r="AC47" s="44">
        <f t="shared" si="28"/>
        <v>15137.88385478616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1.3961506916040443</v>
      </c>
      <c r="AG47" s="44">
        <f t="shared" si="31"/>
        <v>11152.451724533106</v>
      </c>
      <c r="AH47" s="52">
        <f>HLOOKUP(I47,ElecAvoidedCostsWOCC!$A$5:$Q$50,T47+1,FALSE)</f>
        <v>1.3961506916040443</v>
      </c>
      <c r="AI47" s="44">
        <f t="shared" si="32"/>
        <v>0</v>
      </c>
      <c r="AJ47" s="44">
        <f t="shared" si="33"/>
        <v>11152.451724533106</v>
      </c>
      <c r="AK47" s="44">
        <f>HLOOKUP(I47,ElecAvoidedCostsWOCC!$A$5:$Q$50,G47+1,FALSE)*J47*L47</f>
        <v>0</v>
      </c>
      <c r="AL47" s="44">
        <f t="shared" si="34"/>
        <v>11152.451724533106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11152.451724533106</v>
      </c>
      <c r="AN47" s="48">
        <f t="shared" si="35"/>
        <v>12267.696896986417</v>
      </c>
      <c r="AO47" s="47">
        <f t="shared" si="36"/>
        <v>3.0630236573714016</v>
      </c>
      <c r="AP47" s="47">
        <f t="shared" si="37"/>
        <v>0.81039708156485346</v>
      </c>
      <c r="AQ47">
        <v>2020</v>
      </c>
    </row>
    <row r="48" spans="2:43">
      <c r="B48" s="97" t="s">
        <v>15</v>
      </c>
      <c r="C48" s="61">
        <v>18230635</v>
      </c>
      <c r="D48" s="61" t="s">
        <v>81</v>
      </c>
      <c r="E48" s="38" t="s">
        <v>1871</v>
      </c>
      <c r="F48" s="39" t="s">
        <v>567</v>
      </c>
      <c r="G48" s="39">
        <v>15</v>
      </c>
      <c r="H48" s="39"/>
      <c r="I48" s="40" t="s">
        <v>268</v>
      </c>
      <c r="J48" s="41">
        <v>2</v>
      </c>
      <c r="K48" s="41">
        <v>3517</v>
      </c>
      <c r="L48" s="41"/>
      <c r="M48" s="42">
        <v>1600</v>
      </c>
      <c r="N48" s="42">
        <v>4956.68</v>
      </c>
      <c r="O48" s="43">
        <v>7034</v>
      </c>
      <c r="P48" s="44">
        <v>3200</v>
      </c>
      <c r="Q48" s="44">
        <v>9590.68</v>
      </c>
      <c r="R48" s="45">
        <v>0</v>
      </c>
      <c r="S48" s="46">
        <v>0</v>
      </c>
      <c r="T48" s="39">
        <f t="shared" si="19"/>
        <v>15</v>
      </c>
      <c r="U48" s="47">
        <f t="shared" si="20"/>
        <v>3.9881475837134856E-3</v>
      </c>
      <c r="V48" s="48">
        <f t="shared" si="21"/>
        <v>3356.6800000000003</v>
      </c>
      <c r="W48" s="49">
        <f t="shared" si="22"/>
        <v>2.6587650558089905E-4</v>
      </c>
      <c r="X48" s="44">
        <f t="shared" si="23"/>
        <v>335.03463250814764</v>
      </c>
      <c r="Y48" s="44">
        <f t="shared" si="24"/>
        <v>6390.68</v>
      </c>
      <c r="Z48" s="44">
        <f t="shared" si="25"/>
        <v>3429.6223797698394</v>
      </c>
      <c r="AA48" s="50">
        <f t="shared" si="26"/>
        <v>9925.7146325081485</v>
      </c>
      <c r="AB48" s="51">
        <f t="shared" si="27"/>
        <v>3206.1534820695888</v>
      </c>
      <c r="AC48" s="44">
        <f t="shared" si="28"/>
        <v>9278.9703959130111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1.3961506916040443</v>
      </c>
      <c r="AG48" s="44">
        <f t="shared" si="31"/>
        <v>9820.523964742848</v>
      </c>
      <c r="AH48" s="52">
        <f>HLOOKUP(I48,ElecAvoidedCostsWOCC!$A$5:$Q$50,T48+1,FALSE)</f>
        <v>1.3961506916040443</v>
      </c>
      <c r="AI48" s="44">
        <f t="shared" si="32"/>
        <v>0</v>
      </c>
      <c r="AJ48" s="44">
        <f t="shared" si="33"/>
        <v>9820.523964742848</v>
      </c>
      <c r="AK48" s="44">
        <f>HLOOKUP(I48,ElecAvoidedCostsWOCC!$A$5:$Q$50,G48+1,FALSE)*J48*L48</f>
        <v>0</v>
      </c>
      <c r="AL48" s="44">
        <f t="shared" si="34"/>
        <v>9820.523964742848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9820.523964742848</v>
      </c>
      <c r="AN48" s="48">
        <f t="shared" si="35"/>
        <v>10802.576361217134</v>
      </c>
      <c r="AO48" s="47">
        <f t="shared" si="36"/>
        <v>3.063023657371402</v>
      </c>
      <c r="AP48" s="47">
        <f t="shared" si="37"/>
        <v>1.1641998950632719</v>
      </c>
      <c r="AQ48">
        <v>2020</v>
      </c>
    </row>
    <row r="49" spans="2:43">
      <c r="B49" s="97" t="s">
        <v>15</v>
      </c>
      <c r="C49" s="61">
        <v>18230635</v>
      </c>
      <c r="D49" s="61" t="s">
        <v>81</v>
      </c>
      <c r="E49" s="38" t="s">
        <v>1872</v>
      </c>
      <c r="F49" s="39" t="s">
        <v>569</v>
      </c>
      <c r="G49" s="39">
        <v>15</v>
      </c>
      <c r="H49" s="39"/>
      <c r="I49" s="40" t="s">
        <v>268</v>
      </c>
      <c r="J49" s="41">
        <v>23</v>
      </c>
      <c r="K49" s="41">
        <v>3417</v>
      </c>
      <c r="L49" s="41"/>
      <c r="M49" s="42">
        <v>2400</v>
      </c>
      <c r="N49" s="42">
        <v>3060.27</v>
      </c>
      <c r="O49" s="43">
        <v>78591</v>
      </c>
      <c r="P49" s="44">
        <v>55200</v>
      </c>
      <c r="Q49" s="44">
        <v>70386.210000000006</v>
      </c>
      <c r="R49" s="45">
        <v>0</v>
      </c>
      <c r="S49" s="46">
        <v>0</v>
      </c>
      <c r="T49" s="39">
        <f t="shared" si="19"/>
        <v>15</v>
      </c>
      <c r="U49" s="47">
        <f t="shared" si="20"/>
        <v>4.4559639856642963E-2</v>
      </c>
      <c r="V49" s="48">
        <f t="shared" si="21"/>
        <v>660.27</v>
      </c>
      <c r="W49" s="49">
        <f t="shared" si="22"/>
        <v>2.9706426571095308E-3</v>
      </c>
      <c r="X49" s="44">
        <f t="shared" si="23"/>
        <v>3743.3475694409772</v>
      </c>
      <c r="Y49" s="44">
        <f t="shared" si="24"/>
        <v>15186.210000000006</v>
      </c>
      <c r="Z49" s="44">
        <f t="shared" si="25"/>
        <v>38319.228383351074</v>
      </c>
      <c r="AA49" s="50">
        <f t="shared" si="26"/>
        <v>74129.557569440978</v>
      </c>
      <c r="AB49" s="51">
        <f t="shared" si="27"/>
        <v>35822.406640507688</v>
      </c>
      <c r="AC49" s="44">
        <f t="shared" si="28"/>
        <v>69299.390080808618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1.3961506916040443</v>
      </c>
      <c r="AG49" s="44">
        <f t="shared" si="31"/>
        <v>109724.87900385344</v>
      </c>
      <c r="AH49" s="52">
        <f>HLOOKUP(I49,ElecAvoidedCostsWOCC!$A$5:$Q$50,T49+1,FALSE)</f>
        <v>1.3961506916040443</v>
      </c>
      <c r="AI49" s="44">
        <f t="shared" si="32"/>
        <v>0</v>
      </c>
      <c r="AJ49" s="44">
        <f t="shared" si="33"/>
        <v>109724.87900385344</v>
      </c>
      <c r="AK49" s="44">
        <f>HLOOKUP(I49,ElecAvoidedCostsWOCC!$A$5:$Q$50,G49+1,FALSE)*J49*L49</f>
        <v>0</v>
      </c>
      <c r="AL49" s="44">
        <f t="shared" si="34"/>
        <v>109724.87900385344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109724.87900385345</v>
      </c>
      <c r="AN49" s="48">
        <f t="shared" si="35"/>
        <v>120697.36690423881</v>
      </c>
      <c r="AO49" s="47">
        <f t="shared" si="36"/>
        <v>3.0630236573714016</v>
      </c>
      <c r="AP49" s="47">
        <f t="shared" si="37"/>
        <v>1.7416800748678458</v>
      </c>
      <c r="AQ49">
        <v>2020</v>
      </c>
    </row>
    <row r="50" spans="2:43">
      <c r="B50" s="97" t="s">
        <v>15</v>
      </c>
      <c r="C50" s="61">
        <v>18230635</v>
      </c>
      <c r="D50" s="61" t="s">
        <v>81</v>
      </c>
      <c r="E50" s="38" t="s">
        <v>570</v>
      </c>
      <c r="F50" s="39" t="s">
        <v>571</v>
      </c>
      <c r="G50" s="39">
        <v>15</v>
      </c>
      <c r="H50" s="39"/>
      <c r="I50" s="40" t="s">
        <v>268</v>
      </c>
      <c r="J50" s="41">
        <v>37</v>
      </c>
      <c r="K50" s="41">
        <v>3711</v>
      </c>
      <c r="L50" s="41"/>
      <c r="M50" s="42">
        <v>1500</v>
      </c>
      <c r="N50" s="42">
        <v>3190.37</v>
      </c>
      <c r="O50" s="43">
        <v>137307</v>
      </c>
      <c r="P50" s="44">
        <v>55500</v>
      </c>
      <c r="Q50" s="44">
        <v>118043.69</v>
      </c>
      <c r="R50" s="45">
        <v>0</v>
      </c>
      <c r="S50" s="46">
        <v>0</v>
      </c>
      <c r="T50" s="39">
        <f t="shared" si="19"/>
        <v>15</v>
      </c>
      <c r="U50" s="47">
        <f t="shared" si="20"/>
        <v>7.785052321253165E-2</v>
      </c>
      <c r="V50" s="48">
        <f t="shared" si="21"/>
        <v>1690.37</v>
      </c>
      <c r="W50" s="49">
        <f t="shared" si="22"/>
        <v>5.1900348808354433E-3</v>
      </c>
      <c r="X50" s="44">
        <f t="shared" si="23"/>
        <v>6540.0341606193106</v>
      </c>
      <c r="Y50" s="44">
        <f t="shared" si="24"/>
        <v>62543.69</v>
      </c>
      <c r="Z50" s="44">
        <f t="shared" si="25"/>
        <v>66947.847611466772</v>
      </c>
      <c r="AA50" s="50">
        <f t="shared" si="26"/>
        <v>124583.72416061931</v>
      </c>
      <c r="AB50" s="51">
        <f t="shared" si="27"/>
        <v>62585.629252563114</v>
      </c>
      <c r="AC50" s="44">
        <f t="shared" si="28"/>
        <v>116466.04109621324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1.3961506916040443</v>
      </c>
      <c r="AG50" s="44">
        <f t="shared" si="31"/>
        <v>191701.26301207652</v>
      </c>
      <c r="AH50" s="52">
        <f>HLOOKUP(I50,ElecAvoidedCostsWOCC!$A$5:$Q$50,T50+1,FALSE)</f>
        <v>1.3961506916040443</v>
      </c>
      <c r="AI50" s="44">
        <f t="shared" si="32"/>
        <v>0</v>
      </c>
      <c r="AJ50" s="44">
        <f t="shared" si="33"/>
        <v>191701.26301207652</v>
      </c>
      <c r="AK50" s="44">
        <f>HLOOKUP(I50,ElecAvoidedCostsWOCC!$A$5:$Q$50,G50+1,FALSE)*J50*L50</f>
        <v>0</v>
      </c>
      <c r="AL50" s="44">
        <f t="shared" si="34"/>
        <v>191701.26301207652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191701.2630120765</v>
      </c>
      <c r="AN50" s="48">
        <f t="shared" si="35"/>
        <v>210871.38931328416</v>
      </c>
      <c r="AO50" s="47">
        <f t="shared" si="36"/>
        <v>3.0630236573714025</v>
      </c>
      <c r="AP50" s="47">
        <f t="shared" si="37"/>
        <v>1.8105826155718827</v>
      </c>
      <c r="AQ50">
        <v>2020</v>
      </c>
    </row>
    <row r="51" spans="2:43">
      <c r="B51" s="97" t="s">
        <v>15</v>
      </c>
      <c r="C51" s="61">
        <v>18230635</v>
      </c>
      <c r="D51" s="61" t="s">
        <v>81</v>
      </c>
      <c r="E51" s="38" t="s">
        <v>1860</v>
      </c>
      <c r="F51" s="39" t="s">
        <v>1861</v>
      </c>
      <c r="G51" s="39">
        <v>12</v>
      </c>
      <c r="H51" s="39"/>
      <c r="I51" s="40" t="s">
        <v>248</v>
      </c>
      <c r="J51" s="41">
        <v>2758</v>
      </c>
      <c r="K51" s="41">
        <v>11.32</v>
      </c>
      <c r="L51" s="41"/>
      <c r="M51" s="42">
        <v>2</v>
      </c>
      <c r="N51" s="42">
        <v>2</v>
      </c>
      <c r="O51" s="43">
        <v>31220.559999999499</v>
      </c>
      <c r="P51" s="44">
        <v>10397.6600000002</v>
      </c>
      <c r="Q51" s="44">
        <v>5516</v>
      </c>
      <c r="R51" s="45">
        <v>0</v>
      </c>
      <c r="S51" s="46">
        <v>0</v>
      </c>
      <c r="T51" s="39">
        <f t="shared" si="19"/>
        <v>12</v>
      </c>
      <c r="U51" s="47">
        <f t="shared" si="20"/>
        <v>1.4161182931609886E-2</v>
      </c>
      <c r="V51" s="48">
        <f t="shared" si="21"/>
        <v>0</v>
      </c>
      <c r="W51" s="49">
        <f t="shared" si="22"/>
        <v>1.1800985776341572E-3</v>
      </c>
      <c r="X51" s="44">
        <f t="shared" si="23"/>
        <v>1487.0584086292874</v>
      </c>
      <c r="Y51" s="44">
        <f t="shared" si="24"/>
        <v>-4881.6600000001999</v>
      </c>
      <c r="Z51" s="44">
        <f t="shared" si="25"/>
        <v>15222.452556858878</v>
      </c>
      <c r="AA51" s="50">
        <f t="shared" si="26"/>
        <v>7003.0584086292874</v>
      </c>
      <c r="AB51" s="51">
        <f t="shared" si="27"/>
        <v>14230.581057173858</v>
      </c>
      <c r="AC51" s="44">
        <f t="shared" si="28"/>
        <v>6546.7499379539004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0.91115730059915656</v>
      </c>
      <c r="AG51" s="44">
        <f t="shared" si="31"/>
        <v>28446.841172794</v>
      </c>
      <c r="AH51" s="52">
        <f>HLOOKUP(I51,ElecAvoidedCostsWOCC!$A$5:$Q$50,T51+1,FALSE)</f>
        <v>0.91115730059915656</v>
      </c>
      <c r="AI51" s="44">
        <f t="shared" si="32"/>
        <v>0</v>
      </c>
      <c r="AJ51" s="44">
        <f t="shared" si="33"/>
        <v>28446.841172794</v>
      </c>
      <c r="AK51" s="44">
        <f>HLOOKUP(I51,ElecAvoidedCostsWOCC!$A$5:$Q$50,G51+1,FALSE)*J51*L51</f>
        <v>0</v>
      </c>
      <c r="AL51" s="44">
        <f t="shared" si="34"/>
        <v>28446.841172794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28446.841172794004</v>
      </c>
      <c r="AN51" s="48">
        <f t="shared" si="35"/>
        <v>31291.525290073405</v>
      </c>
      <c r="AO51" s="47">
        <f t="shared" si="36"/>
        <v>1.9989936502595238</v>
      </c>
      <c r="AP51" s="47">
        <f t="shared" si="37"/>
        <v>4.7797037593669192</v>
      </c>
      <c r="AQ51">
        <v>2020</v>
      </c>
    </row>
    <row r="52" spans="2:43">
      <c r="B52" s="97" t="s">
        <v>15</v>
      </c>
      <c r="C52" s="61">
        <v>18230635</v>
      </c>
      <c r="D52" s="61" t="s">
        <v>81</v>
      </c>
      <c r="E52" s="38" t="s">
        <v>1873</v>
      </c>
      <c r="F52" s="39" t="s">
        <v>1874</v>
      </c>
      <c r="G52" s="39">
        <v>10</v>
      </c>
      <c r="H52" s="39"/>
      <c r="I52" s="40" t="s">
        <v>265</v>
      </c>
      <c r="J52" s="41">
        <v>1322</v>
      </c>
      <c r="K52" s="41">
        <v>10</v>
      </c>
      <c r="L52" s="41"/>
      <c r="M52" s="42">
        <v>1.27</v>
      </c>
      <c r="N52" s="42">
        <v>1.27</v>
      </c>
      <c r="O52" s="43">
        <v>13220</v>
      </c>
      <c r="P52" s="44">
        <v>1123.70000000001</v>
      </c>
      <c r="Q52" s="44">
        <v>1678.9399999999901</v>
      </c>
      <c r="R52" s="45">
        <v>2.74</v>
      </c>
      <c r="S52" s="46">
        <v>0</v>
      </c>
      <c r="T52" s="39">
        <f t="shared" si="19"/>
        <v>10</v>
      </c>
      <c r="U52" s="47">
        <f t="shared" si="20"/>
        <v>4.9969965933743038E-3</v>
      </c>
      <c r="V52" s="48">
        <f t="shared" si="21"/>
        <v>0</v>
      </c>
      <c r="W52" s="49">
        <f t="shared" si="22"/>
        <v>4.996996593374304E-4</v>
      </c>
      <c r="X52" s="44">
        <f t="shared" si="23"/>
        <v>629.67839661042251</v>
      </c>
      <c r="Y52" s="44">
        <f t="shared" si="24"/>
        <v>555.23999999998</v>
      </c>
      <c r="Z52" s="44">
        <f t="shared" si="25"/>
        <v>6445.7787689163024</v>
      </c>
      <c r="AA52" s="50">
        <f t="shared" si="26"/>
        <v>2308.6183966104127</v>
      </c>
      <c r="AB52" s="51">
        <f t="shared" si="27"/>
        <v>6025.781778925214</v>
      </c>
      <c r="AC52" s="44">
        <f t="shared" si="28"/>
        <v>2158.1923872211019</v>
      </c>
      <c r="AD52" s="44">
        <f t="shared" si="29"/>
        <v>25476.697252290996</v>
      </c>
      <c r="AE52" s="44">
        <f t="shared" si="30"/>
        <v>0</v>
      </c>
      <c r="AF52" s="52">
        <f>HLOOKUP(I52,ElecAvoidedCostsWOCC!$A$5:$Q$50,G52+1,FALSE)</f>
        <v>0.74487332198138856</v>
      </c>
      <c r="AG52" s="44">
        <f t="shared" si="31"/>
        <v>9847.2253165939564</v>
      </c>
      <c r="AH52" s="52">
        <f>HLOOKUP(I52,ElecAvoidedCostsWOCC!$A$5:$Q$50,T52+1,FALSE)</f>
        <v>0.74487332198138856</v>
      </c>
      <c r="AI52" s="44">
        <f t="shared" si="32"/>
        <v>0</v>
      </c>
      <c r="AJ52" s="44">
        <f t="shared" si="33"/>
        <v>9847.2253165939564</v>
      </c>
      <c r="AK52" s="44">
        <f>HLOOKUP(I52,ElecAvoidedCostsWOCC!$A$5:$Q$50,G52+1,FALSE)*J52*L52</f>
        <v>0</v>
      </c>
      <c r="AL52" s="44">
        <f t="shared" si="34"/>
        <v>9847.2253165939564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9847.2253165939564</v>
      </c>
      <c r="AN52" s="48">
        <f t="shared" si="35"/>
        <v>36308.645100544352</v>
      </c>
      <c r="AO52" s="47">
        <f t="shared" si="36"/>
        <v>1.6341821987370995</v>
      </c>
      <c r="AP52" s="47">
        <f t="shared" si="37"/>
        <v>16.823636908151421</v>
      </c>
      <c r="AQ52">
        <v>2020</v>
      </c>
    </row>
    <row r="53" spans="2:43">
      <c r="B53" s="97" t="s">
        <v>15</v>
      </c>
      <c r="C53" s="61">
        <v>18230635</v>
      </c>
      <c r="D53" s="61" t="s">
        <v>81</v>
      </c>
      <c r="E53" s="38" t="s">
        <v>1875</v>
      </c>
      <c r="F53" s="39" t="s">
        <v>1876</v>
      </c>
      <c r="G53" s="39">
        <v>10</v>
      </c>
      <c r="H53" s="39"/>
      <c r="I53" s="40" t="s">
        <v>265</v>
      </c>
      <c r="J53" s="41">
        <v>1436</v>
      </c>
      <c r="K53" s="41">
        <v>12</v>
      </c>
      <c r="L53" s="41"/>
      <c r="M53" s="42">
        <v>1.81</v>
      </c>
      <c r="N53" s="42">
        <v>1.81</v>
      </c>
      <c r="O53" s="43">
        <v>17232</v>
      </c>
      <c r="P53" s="44">
        <v>1436</v>
      </c>
      <c r="Q53" s="44">
        <v>2599.1599999999498</v>
      </c>
      <c r="R53" s="45">
        <v>2.74</v>
      </c>
      <c r="S53" s="46">
        <v>0</v>
      </c>
      <c r="T53" s="39">
        <f t="shared" ref="T53:T84" si="38">G53+H53</f>
        <v>10</v>
      </c>
      <c r="U53" s="47">
        <f t="shared" ref="U53:U84" si="39">(O53/$A$10)*T53</f>
        <v>6.5134830028007566E-3</v>
      </c>
      <c r="V53" s="48">
        <f t="shared" ref="V53:V84" si="40">N53-M53</f>
        <v>0</v>
      </c>
      <c r="W53" s="49">
        <f t="shared" ref="W53:W84" si="41">(O53/A$10)</f>
        <v>6.5134830028007571E-4</v>
      </c>
      <c r="X53" s="44">
        <f t="shared" ref="X53:X84" si="42">W53*A$8</f>
        <v>820.77292968160373</v>
      </c>
      <c r="Y53" s="44">
        <f t="shared" ref="Y53:Y84" si="43">Q53-P53</f>
        <v>1163.1599999999498</v>
      </c>
      <c r="Z53" s="44">
        <f t="shared" ref="Z53:Z84" si="44">X53+(A$6*W53)</f>
        <v>8401.9409792712358</v>
      </c>
      <c r="AA53" s="50">
        <f t="shared" ref="AA53:AA84" si="45">Q53+X53</f>
        <v>3419.9329296815536</v>
      </c>
      <c r="AB53" s="51">
        <f t="shared" ref="AB53:AB84" si="46">Z53/(1+ElecDiscountRate)^1</f>
        <v>7854.4834806686313</v>
      </c>
      <c r="AC53" s="44">
        <f t="shared" ref="AC53:AC84" si="47">AA53/(1+ElecDiscountRate)^1</f>
        <v>3197.0953815850735</v>
      </c>
      <c r="AD53" s="44">
        <f t="shared" ref="AD53:AD84" si="48">-PV(ElecDiscountRate,T53,R53)*J53</f>
        <v>27673.628785393244</v>
      </c>
      <c r="AE53" s="44">
        <f t="shared" ref="AE53:AE84" si="49">-PV(ElecDiscountRate,T53,S53)*J53</f>
        <v>0</v>
      </c>
      <c r="AF53" s="52">
        <f>HLOOKUP(I53,ElecAvoidedCostsWOCC!$A$5:$Q$50,G53+1,FALSE)</f>
        <v>0.74487332198138856</v>
      </c>
      <c r="AG53" s="44">
        <f t="shared" ref="AG53:AG84" si="50">AF53*J53*K53</f>
        <v>12835.657084383287</v>
      </c>
      <c r="AH53" s="52">
        <f>HLOOKUP(I53,ElecAvoidedCostsWOCC!$A$5:$Q$50,T53+1,FALSE)</f>
        <v>0.74487332198138856</v>
      </c>
      <c r="AI53" s="44">
        <f t="shared" ref="AI53:AI84" si="51">AH53*J53*L53</f>
        <v>0</v>
      </c>
      <c r="AJ53" s="44">
        <f t="shared" ref="AJ53:AJ84" si="52">AG53+AI53</f>
        <v>12835.657084383287</v>
      </c>
      <c r="AK53" s="44">
        <f>HLOOKUP(I53,ElecAvoidedCostsWOCC!$A$5:$Q$50,G53+1,FALSE)*J53*L53</f>
        <v>0</v>
      </c>
      <c r="AL53" s="44">
        <f t="shared" ref="AL53:AL84" si="53">AG53+AI53-AK53</f>
        <v>12835.657084383287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12835.657084383289</v>
      </c>
      <c r="AN53" s="48">
        <f t="shared" ref="AN53:AN84" si="54">AM53*1.1+AD53+AE53</f>
        <v>41792.851578214861</v>
      </c>
      <c r="AO53" s="47">
        <f t="shared" ref="AO53:AO84" si="55">IFERROR(AM53/AB53,0)</f>
        <v>1.6341821987370992</v>
      </c>
      <c r="AP53" s="47">
        <f t="shared" ref="AP53:AP84" si="56">AN53/AC53</f>
        <v>13.072131603873066</v>
      </c>
      <c r="AQ53">
        <v>2020</v>
      </c>
    </row>
    <row r="54" spans="2:43">
      <c r="B54" s="97" t="s">
        <v>15</v>
      </c>
      <c r="C54" s="61">
        <v>18230635</v>
      </c>
      <c r="D54" s="61" t="s">
        <v>81</v>
      </c>
      <c r="E54" s="38" t="s">
        <v>573</v>
      </c>
      <c r="F54" s="39" t="s">
        <v>574</v>
      </c>
      <c r="G54" s="39">
        <v>15</v>
      </c>
      <c r="H54" s="39"/>
      <c r="I54" s="40" t="s">
        <v>268</v>
      </c>
      <c r="J54" s="41">
        <v>250</v>
      </c>
      <c r="K54" s="41">
        <v>1085.4480000000001</v>
      </c>
      <c r="L54" s="41"/>
      <c r="M54" s="42">
        <v>400</v>
      </c>
      <c r="N54" s="42">
        <v>500</v>
      </c>
      <c r="O54" s="43">
        <v>271362</v>
      </c>
      <c r="P54" s="44">
        <v>100000</v>
      </c>
      <c r="Q54" s="44">
        <v>125000</v>
      </c>
      <c r="R54" s="45">
        <v>0</v>
      </c>
      <c r="S54" s="46">
        <v>0</v>
      </c>
      <c r="T54" s="39">
        <f t="shared" si="38"/>
        <v>15</v>
      </c>
      <c r="U54" s="47">
        <f t="shared" si="39"/>
        <v>0.15385722271988328</v>
      </c>
      <c r="V54" s="48">
        <f t="shared" si="40"/>
        <v>100</v>
      </c>
      <c r="W54" s="49">
        <f t="shared" si="41"/>
        <v>1.0257148181325552E-2</v>
      </c>
      <c r="X54" s="44">
        <f t="shared" si="42"/>
        <v>12925.173151361383</v>
      </c>
      <c r="Y54" s="44">
        <f t="shared" si="43"/>
        <v>25000</v>
      </c>
      <c r="Z54" s="44">
        <f t="shared" si="44"/>
        <v>132310.09215511844</v>
      </c>
      <c r="AA54" s="50">
        <f t="shared" si="45"/>
        <v>137925.17315136138</v>
      </c>
      <c r="AB54" s="51">
        <f t="shared" si="46"/>
        <v>123688.97088447082</v>
      </c>
      <c r="AC54" s="44">
        <f t="shared" si="47"/>
        <v>128938.18187469512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1.3961506916040443</v>
      </c>
      <c r="AG54" s="44">
        <f t="shared" si="50"/>
        <v>378862.24397505674</v>
      </c>
      <c r="AH54" s="52">
        <f>HLOOKUP(I54,ElecAvoidedCostsWOCC!$A$5:$Q$50,T54+1,FALSE)</f>
        <v>1.3961506916040443</v>
      </c>
      <c r="AI54" s="44">
        <f t="shared" si="51"/>
        <v>0</v>
      </c>
      <c r="AJ54" s="44">
        <f t="shared" si="52"/>
        <v>378862.24397505674</v>
      </c>
      <c r="AK54" s="44">
        <f>HLOOKUP(I54,ElecAvoidedCostsWOCC!$A$5:$Q$50,G54+1,FALSE)*J54*L54</f>
        <v>0</v>
      </c>
      <c r="AL54" s="44">
        <f t="shared" si="53"/>
        <v>378862.24397505674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378862.24397505668</v>
      </c>
      <c r="AN54" s="48">
        <f t="shared" si="54"/>
        <v>416748.46837256238</v>
      </c>
      <c r="AO54" s="47">
        <f t="shared" si="55"/>
        <v>3.063023657371402</v>
      </c>
      <c r="AP54" s="47">
        <f t="shared" si="56"/>
        <v>3.2321571648774094</v>
      </c>
      <c r="AQ54">
        <v>2020</v>
      </c>
    </row>
    <row r="55" spans="2:43">
      <c r="B55" s="97" t="s">
        <v>15</v>
      </c>
      <c r="C55" s="61">
        <v>18230635</v>
      </c>
      <c r="D55" s="61" t="s">
        <v>81</v>
      </c>
      <c r="E55" s="38" t="s">
        <v>575</v>
      </c>
      <c r="F55" s="39" t="s">
        <v>576</v>
      </c>
      <c r="G55" s="39">
        <v>15</v>
      </c>
      <c r="H55" s="39"/>
      <c r="I55" s="40" t="s">
        <v>268</v>
      </c>
      <c r="J55" s="41">
        <v>21</v>
      </c>
      <c r="K55" s="41">
        <v>1366.4285714285713</v>
      </c>
      <c r="L55" s="41"/>
      <c r="M55" s="42">
        <v>400</v>
      </c>
      <c r="N55" s="42">
        <v>500</v>
      </c>
      <c r="O55" s="43">
        <v>28695</v>
      </c>
      <c r="P55" s="44">
        <v>8400</v>
      </c>
      <c r="Q55" s="44">
        <v>10500</v>
      </c>
      <c r="R55" s="45">
        <v>0</v>
      </c>
      <c r="S55" s="46">
        <v>0</v>
      </c>
      <c r="T55" s="39">
        <f t="shared" si="38"/>
        <v>15</v>
      </c>
      <c r="U55" s="47">
        <f t="shared" si="39"/>
        <v>1.6269532970522957E-2</v>
      </c>
      <c r="V55" s="48">
        <f t="shared" si="40"/>
        <v>100</v>
      </c>
      <c r="W55" s="49">
        <f t="shared" si="41"/>
        <v>1.0846355313681971E-3</v>
      </c>
      <c r="X55" s="44">
        <f t="shared" si="42"/>
        <v>1366.7641142765563</v>
      </c>
      <c r="Y55" s="44">
        <f t="shared" si="43"/>
        <v>2100</v>
      </c>
      <c r="Z55" s="44">
        <f t="shared" si="44"/>
        <v>13991.045519973775</v>
      </c>
      <c r="AA55" s="50">
        <f t="shared" si="45"/>
        <v>11866.764114276557</v>
      </c>
      <c r="AB55" s="51">
        <f t="shared" si="46"/>
        <v>13079.410601078596</v>
      </c>
      <c r="AC55" s="44">
        <f t="shared" si="47"/>
        <v>11093.544091125133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1.3961506916040443</v>
      </c>
      <c r="AG55" s="44">
        <f t="shared" si="50"/>
        <v>40062.544095578043</v>
      </c>
      <c r="AH55" s="52">
        <f>HLOOKUP(I55,ElecAvoidedCostsWOCC!$A$5:$Q$50,T55+1,FALSE)</f>
        <v>1.3961506916040443</v>
      </c>
      <c r="AI55" s="44">
        <f t="shared" si="51"/>
        <v>0</v>
      </c>
      <c r="AJ55" s="44">
        <f t="shared" si="52"/>
        <v>40062.544095578043</v>
      </c>
      <c r="AK55" s="44">
        <f>HLOOKUP(I55,ElecAvoidedCostsWOCC!$A$5:$Q$50,G55+1,FALSE)*J55*L55</f>
        <v>0</v>
      </c>
      <c r="AL55" s="44">
        <f t="shared" si="53"/>
        <v>40062.544095578043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40062.544095578043</v>
      </c>
      <c r="AN55" s="48">
        <f t="shared" si="54"/>
        <v>44068.798505135848</v>
      </c>
      <c r="AO55" s="47">
        <f t="shared" si="55"/>
        <v>3.0630236573714016</v>
      </c>
      <c r="AP55" s="47">
        <f t="shared" si="56"/>
        <v>3.9724724707581061</v>
      </c>
      <c r="AQ55">
        <v>2020</v>
      </c>
    </row>
    <row r="56" spans="2:43">
      <c r="B56" s="97" t="s">
        <v>15</v>
      </c>
      <c r="C56" s="61">
        <v>18230635</v>
      </c>
      <c r="D56" s="61" t="s">
        <v>81</v>
      </c>
      <c r="E56" s="38" t="s">
        <v>577</v>
      </c>
      <c r="F56" s="39" t="s">
        <v>578</v>
      </c>
      <c r="G56" s="39">
        <v>15</v>
      </c>
      <c r="H56" s="39"/>
      <c r="I56" s="40" t="s">
        <v>268</v>
      </c>
      <c r="J56" s="41">
        <v>541</v>
      </c>
      <c r="K56" s="41">
        <v>1555.8890942698706</v>
      </c>
      <c r="L56" s="41"/>
      <c r="M56" s="42">
        <v>600</v>
      </c>
      <c r="N56" s="42">
        <v>840</v>
      </c>
      <c r="O56" s="43">
        <v>841736</v>
      </c>
      <c r="P56" s="44">
        <v>324600</v>
      </c>
      <c r="Q56" s="44">
        <v>454440</v>
      </c>
      <c r="R56" s="45">
        <v>0</v>
      </c>
      <c r="S56" s="46">
        <v>0</v>
      </c>
      <c r="T56" s="39">
        <f t="shared" si="38"/>
        <v>15</v>
      </c>
      <c r="U56" s="47">
        <f t="shared" si="39"/>
        <v>0.4772487055053532</v>
      </c>
      <c r="V56" s="48">
        <f t="shared" si="40"/>
        <v>240</v>
      </c>
      <c r="W56" s="49">
        <f t="shared" si="41"/>
        <v>3.1816580367023548E-2</v>
      </c>
      <c r="X56" s="44">
        <f t="shared" si="42"/>
        <v>40092.509443969029</v>
      </c>
      <c r="Y56" s="44">
        <f t="shared" si="43"/>
        <v>129840</v>
      </c>
      <c r="Z56" s="44">
        <f t="shared" si="44"/>
        <v>410411.80316433683</v>
      </c>
      <c r="AA56" s="50">
        <f t="shared" si="45"/>
        <v>494532.509443969</v>
      </c>
      <c r="AB56" s="51">
        <f t="shared" si="46"/>
        <v>383670.00389299507</v>
      </c>
      <c r="AC56" s="44">
        <f t="shared" si="47"/>
        <v>462309.53486395156</v>
      </c>
      <c r="AD56" s="44">
        <f t="shared" si="48"/>
        <v>0</v>
      </c>
      <c r="AE56" s="44">
        <f t="shared" si="49"/>
        <v>0</v>
      </c>
      <c r="AF56" s="52">
        <f>HLOOKUP(I56,ElecAvoidedCostsWOCC!$A$5:$Q$50,G56+1,FALSE)</f>
        <v>1.3961506916040443</v>
      </c>
      <c r="AG56" s="44">
        <f t="shared" si="50"/>
        <v>1175190.2985480218</v>
      </c>
      <c r="AH56" s="52">
        <f>HLOOKUP(I56,ElecAvoidedCostsWOCC!$A$5:$Q$50,T56+1,FALSE)</f>
        <v>1.3961506916040443</v>
      </c>
      <c r="AI56" s="44">
        <f t="shared" si="51"/>
        <v>0</v>
      </c>
      <c r="AJ56" s="44">
        <f t="shared" si="52"/>
        <v>1175190.2985480218</v>
      </c>
      <c r="AK56" s="44">
        <f>HLOOKUP(I56,ElecAvoidedCostsWOCC!$A$5:$Q$50,G56+1,FALSE)*J56*L56</f>
        <v>0</v>
      </c>
      <c r="AL56" s="44">
        <f t="shared" si="53"/>
        <v>1175190.2985480218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1175190.2985480218</v>
      </c>
      <c r="AN56" s="48">
        <f t="shared" si="54"/>
        <v>1292709.328402824</v>
      </c>
      <c r="AO56" s="47">
        <f t="shared" si="55"/>
        <v>3.063023657371402</v>
      </c>
      <c r="AP56" s="47">
        <f t="shared" si="56"/>
        <v>2.7961987173447387</v>
      </c>
      <c r="AQ56">
        <v>2020</v>
      </c>
    </row>
    <row r="57" spans="2:43">
      <c r="B57" s="97" t="s">
        <v>15</v>
      </c>
      <c r="C57" s="61">
        <v>18230635</v>
      </c>
      <c r="D57" s="61" t="s">
        <v>81</v>
      </c>
      <c r="E57" s="38" t="s">
        <v>579</v>
      </c>
      <c r="F57" s="39" t="s">
        <v>580</v>
      </c>
      <c r="G57" s="39">
        <v>15</v>
      </c>
      <c r="H57" s="39"/>
      <c r="I57" s="40" t="s">
        <v>268</v>
      </c>
      <c r="J57" s="41">
        <v>114</v>
      </c>
      <c r="K57" s="41">
        <v>1570.7456140350878</v>
      </c>
      <c r="L57" s="41"/>
      <c r="M57" s="42">
        <v>600</v>
      </c>
      <c r="N57" s="42">
        <v>840</v>
      </c>
      <c r="O57" s="43">
        <v>179065</v>
      </c>
      <c r="P57" s="44">
        <v>68400</v>
      </c>
      <c r="Q57" s="44">
        <v>95760</v>
      </c>
      <c r="R57" s="45">
        <v>0</v>
      </c>
      <c r="S57" s="46">
        <v>0</v>
      </c>
      <c r="T57" s="39">
        <f t="shared" si="38"/>
        <v>15</v>
      </c>
      <c r="U57" s="47">
        <f t="shared" si="39"/>
        <v>0.10152653498402833</v>
      </c>
      <c r="V57" s="48">
        <f t="shared" si="40"/>
        <v>240</v>
      </c>
      <c r="W57" s="49">
        <f t="shared" si="41"/>
        <v>6.7684356656018893E-3</v>
      </c>
      <c r="X57" s="44">
        <f t="shared" si="42"/>
        <v>8528.9986451622772</v>
      </c>
      <c r="Y57" s="44">
        <f t="shared" si="43"/>
        <v>27360</v>
      </c>
      <c r="Z57" s="44">
        <f t="shared" si="44"/>
        <v>87308.122182753243</v>
      </c>
      <c r="AA57" s="50">
        <f t="shared" si="45"/>
        <v>104288.99864516228</v>
      </c>
      <c r="AB57" s="51">
        <f t="shared" si="46"/>
        <v>81619.25977634218</v>
      </c>
      <c r="AC57" s="44">
        <f t="shared" si="47"/>
        <v>97493.688553016982</v>
      </c>
      <c r="AD57" s="44">
        <f t="shared" si="48"/>
        <v>0</v>
      </c>
      <c r="AE57" s="44">
        <f t="shared" si="49"/>
        <v>0</v>
      </c>
      <c r="AF57" s="52">
        <f>HLOOKUP(I57,ElecAvoidedCostsWOCC!$A$5:$Q$50,G57+1,FALSE)</f>
        <v>1.3961506916040443</v>
      </c>
      <c r="AG57" s="44">
        <f t="shared" si="50"/>
        <v>250001.72359207817</v>
      </c>
      <c r="AH57" s="52">
        <f>HLOOKUP(I57,ElecAvoidedCostsWOCC!$A$5:$Q$50,T57+1,FALSE)</f>
        <v>1.3961506916040443</v>
      </c>
      <c r="AI57" s="44">
        <f t="shared" si="51"/>
        <v>0</v>
      </c>
      <c r="AJ57" s="44">
        <f t="shared" si="52"/>
        <v>250001.72359207817</v>
      </c>
      <c r="AK57" s="44">
        <f>HLOOKUP(I57,ElecAvoidedCostsWOCC!$A$5:$Q$50,G57+1,FALSE)*J57*L57</f>
        <v>0</v>
      </c>
      <c r="AL57" s="44">
        <f t="shared" si="53"/>
        <v>250001.72359207817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250001.7235920782</v>
      </c>
      <c r="AN57" s="48">
        <f t="shared" si="54"/>
        <v>275001.89595128602</v>
      </c>
      <c r="AO57" s="47">
        <f t="shared" si="55"/>
        <v>3.063023657371402</v>
      </c>
      <c r="AP57" s="47">
        <f t="shared" si="56"/>
        <v>2.820714858908433</v>
      </c>
      <c r="AQ57">
        <v>2020</v>
      </c>
    </row>
    <row r="58" spans="2:43">
      <c r="B58" s="97" t="s">
        <v>15</v>
      </c>
      <c r="C58" s="61">
        <v>18230635</v>
      </c>
      <c r="D58" s="61" t="s">
        <v>81</v>
      </c>
      <c r="E58" s="38" t="s">
        <v>581</v>
      </c>
      <c r="F58" s="39" t="s">
        <v>582</v>
      </c>
      <c r="G58" s="39">
        <v>15</v>
      </c>
      <c r="H58" s="39"/>
      <c r="I58" s="40" t="s">
        <v>268</v>
      </c>
      <c r="J58" s="41">
        <v>1</v>
      </c>
      <c r="K58" s="41">
        <v>8531</v>
      </c>
      <c r="L58" s="41"/>
      <c r="M58" s="42">
        <v>500</v>
      </c>
      <c r="N58" s="42">
        <v>592</v>
      </c>
      <c r="O58" s="43">
        <v>8531</v>
      </c>
      <c r="P58" s="44">
        <v>500</v>
      </c>
      <c r="Q58" s="44">
        <v>592</v>
      </c>
      <c r="R58" s="45">
        <v>0</v>
      </c>
      <c r="S58" s="46">
        <v>0</v>
      </c>
      <c r="T58" s="39">
        <f t="shared" si="38"/>
        <v>15</v>
      </c>
      <c r="U58" s="47">
        <f t="shared" si="39"/>
        <v>4.8369188280721846E-3</v>
      </c>
      <c r="V58" s="48">
        <f t="shared" si="40"/>
        <v>92</v>
      </c>
      <c r="W58" s="49">
        <f t="shared" si="41"/>
        <v>3.2246125520481232E-4</v>
      </c>
      <c r="X58" s="44">
        <f t="shared" si="42"/>
        <v>406.33785185200566</v>
      </c>
      <c r="Y58" s="44">
        <f t="shared" si="43"/>
        <v>92</v>
      </c>
      <c r="Z58" s="44">
        <f t="shared" si="44"/>
        <v>4159.5263750094537</v>
      </c>
      <c r="AA58" s="50">
        <f t="shared" si="45"/>
        <v>998.33785185200566</v>
      </c>
      <c r="AB58" s="51">
        <f t="shared" si="46"/>
        <v>3888.4980602126329</v>
      </c>
      <c r="AC58" s="44">
        <f t="shared" si="47"/>
        <v>933.28769921660796</v>
      </c>
      <c r="AD58" s="44">
        <f t="shared" si="48"/>
        <v>0</v>
      </c>
      <c r="AE58" s="44">
        <f t="shared" si="49"/>
        <v>0</v>
      </c>
      <c r="AF58" s="52">
        <f>HLOOKUP(I58,ElecAvoidedCostsWOCC!$A$5:$Q$50,G58+1,FALSE)</f>
        <v>1.3961506916040443</v>
      </c>
      <c r="AG58" s="44">
        <f t="shared" si="50"/>
        <v>11910.561550074102</v>
      </c>
      <c r="AH58" s="52">
        <f>HLOOKUP(I58,ElecAvoidedCostsWOCC!$A$5:$Q$50,T58+1,FALSE)</f>
        <v>1.3961506916040443</v>
      </c>
      <c r="AI58" s="44">
        <f t="shared" si="51"/>
        <v>0</v>
      </c>
      <c r="AJ58" s="44">
        <f t="shared" si="52"/>
        <v>11910.561550074102</v>
      </c>
      <c r="AK58" s="44">
        <f>HLOOKUP(I58,ElecAvoidedCostsWOCC!$A$5:$Q$50,G58+1,FALSE)*J58*L58</f>
        <v>0</v>
      </c>
      <c r="AL58" s="44">
        <f t="shared" si="53"/>
        <v>11910.561550074102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11910.561550074102</v>
      </c>
      <c r="AN58" s="48">
        <f t="shared" si="54"/>
        <v>13101.617705081513</v>
      </c>
      <c r="AO58" s="47">
        <f t="shared" si="55"/>
        <v>3.0630236573714025</v>
      </c>
      <c r="AP58" s="47">
        <f t="shared" si="56"/>
        <v>14.038133917417829</v>
      </c>
      <c r="AQ58">
        <v>2020</v>
      </c>
    </row>
    <row r="59" spans="2:43">
      <c r="B59" s="97" t="s">
        <v>15</v>
      </c>
      <c r="C59" s="61">
        <v>18230635</v>
      </c>
      <c r="D59" s="61" t="s">
        <v>81</v>
      </c>
      <c r="E59" s="38" t="s">
        <v>583</v>
      </c>
      <c r="F59" s="39" t="s">
        <v>584</v>
      </c>
      <c r="G59" s="39">
        <v>15</v>
      </c>
      <c r="H59" s="39"/>
      <c r="I59" s="40" t="s">
        <v>268</v>
      </c>
      <c r="J59" s="41">
        <v>138</v>
      </c>
      <c r="K59" s="41">
        <v>4159.391304347826</v>
      </c>
      <c r="L59" s="41"/>
      <c r="M59" s="42">
        <v>300</v>
      </c>
      <c r="N59" s="42">
        <v>450</v>
      </c>
      <c r="O59" s="43">
        <v>573996</v>
      </c>
      <c r="P59" s="44">
        <v>41400</v>
      </c>
      <c r="Q59" s="44">
        <v>62100</v>
      </c>
      <c r="R59" s="45">
        <v>0</v>
      </c>
      <c r="S59" s="46">
        <v>0</v>
      </c>
      <c r="T59" s="39">
        <f t="shared" si="38"/>
        <v>15</v>
      </c>
      <c r="U59" s="47">
        <f t="shared" si="39"/>
        <v>0.32544508963053825</v>
      </c>
      <c r="V59" s="48">
        <f t="shared" si="40"/>
        <v>150</v>
      </c>
      <c r="W59" s="49">
        <f t="shared" si="41"/>
        <v>2.1696339308702552E-2</v>
      </c>
      <c r="X59" s="44">
        <f t="shared" si="42"/>
        <v>27339.854836671417</v>
      </c>
      <c r="Y59" s="44">
        <f t="shared" si="43"/>
        <v>20700</v>
      </c>
      <c r="Z59" s="44">
        <f t="shared" si="44"/>
        <v>279867.71787011216</v>
      </c>
      <c r="AA59" s="50">
        <f t="shared" si="45"/>
        <v>89439.854836671409</v>
      </c>
      <c r="AB59" s="51">
        <f t="shared" si="46"/>
        <v>261631.96958970939</v>
      </c>
      <c r="AC59" s="44">
        <f t="shared" si="47"/>
        <v>83612.092022689918</v>
      </c>
      <c r="AD59" s="44">
        <f t="shared" si="48"/>
        <v>0</v>
      </c>
      <c r="AE59" s="44">
        <f t="shared" si="49"/>
        <v>0</v>
      </c>
      <c r="AF59" s="52">
        <f>HLOOKUP(I59,ElecAvoidedCostsWOCC!$A$5:$Q$50,G59+1,FALSE)</f>
        <v>1.3961506916040443</v>
      </c>
      <c r="AG59" s="44">
        <f t="shared" si="50"/>
        <v>801384.91237795493</v>
      </c>
      <c r="AH59" s="52">
        <f>HLOOKUP(I59,ElecAvoidedCostsWOCC!$A$5:$Q$50,T59+1,FALSE)</f>
        <v>1.3961506916040443</v>
      </c>
      <c r="AI59" s="44">
        <f t="shared" si="51"/>
        <v>0</v>
      </c>
      <c r="AJ59" s="44">
        <f t="shared" si="52"/>
        <v>801384.91237795493</v>
      </c>
      <c r="AK59" s="44">
        <f>HLOOKUP(I59,ElecAvoidedCostsWOCC!$A$5:$Q$50,G59+1,FALSE)*J59*L59</f>
        <v>0</v>
      </c>
      <c r="AL59" s="44">
        <f t="shared" si="53"/>
        <v>801384.91237795493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801384.91237795504</v>
      </c>
      <c r="AN59" s="48">
        <f t="shared" si="54"/>
        <v>881523.40361575061</v>
      </c>
      <c r="AO59" s="47">
        <f t="shared" si="55"/>
        <v>3.063023657371402</v>
      </c>
      <c r="AP59" s="47">
        <f t="shared" si="56"/>
        <v>10.543013364341254</v>
      </c>
      <c r="AQ59">
        <v>2020</v>
      </c>
    </row>
    <row r="60" spans="2:43">
      <c r="B60" s="97" t="s">
        <v>15</v>
      </c>
      <c r="C60" s="61">
        <v>18230635</v>
      </c>
      <c r="D60" s="61" t="s">
        <v>81</v>
      </c>
      <c r="E60" s="38" t="s">
        <v>585</v>
      </c>
      <c r="F60" s="39" t="s">
        <v>586</v>
      </c>
      <c r="G60" s="39">
        <v>15</v>
      </c>
      <c r="H60" s="39"/>
      <c r="I60" s="40" t="s">
        <v>268</v>
      </c>
      <c r="J60" s="41">
        <v>4</v>
      </c>
      <c r="K60" s="41">
        <v>217</v>
      </c>
      <c r="L60" s="41"/>
      <c r="M60" s="42">
        <v>300</v>
      </c>
      <c r="N60" s="42">
        <v>450</v>
      </c>
      <c r="O60" s="43">
        <v>868</v>
      </c>
      <c r="P60" s="44">
        <v>1200</v>
      </c>
      <c r="Q60" s="44">
        <v>1800</v>
      </c>
      <c r="R60" s="45">
        <v>0</v>
      </c>
      <c r="S60" s="46">
        <v>0</v>
      </c>
      <c r="T60" s="39">
        <f t="shared" si="38"/>
        <v>15</v>
      </c>
      <c r="U60" s="47">
        <f t="shared" si="39"/>
        <v>4.9213990654866442E-4</v>
      </c>
      <c r="V60" s="48">
        <f t="shared" si="40"/>
        <v>150</v>
      </c>
      <c r="W60" s="49">
        <f t="shared" si="41"/>
        <v>3.2809327103244295E-5</v>
      </c>
      <c r="X60" s="44">
        <f t="shared" si="42"/>
        <v>41.343483226766018</v>
      </c>
      <c r="Y60" s="44">
        <f t="shared" si="43"/>
        <v>600</v>
      </c>
      <c r="Z60" s="44">
        <f t="shared" si="44"/>
        <v>423.21754700600229</v>
      </c>
      <c r="AA60" s="50">
        <f t="shared" si="45"/>
        <v>1841.343483226766</v>
      </c>
      <c r="AB60" s="51">
        <f t="shared" si="46"/>
        <v>395.6413452425935</v>
      </c>
      <c r="AC60" s="44">
        <f t="shared" si="47"/>
        <v>1721.3643855536748</v>
      </c>
      <c r="AD60" s="44">
        <f t="shared" si="48"/>
        <v>0</v>
      </c>
      <c r="AE60" s="44">
        <f t="shared" si="49"/>
        <v>0</v>
      </c>
      <c r="AF60" s="52">
        <f>HLOOKUP(I60,ElecAvoidedCostsWOCC!$A$5:$Q$50,G60+1,FALSE)</f>
        <v>1.3961506916040443</v>
      </c>
      <c r="AG60" s="44">
        <f t="shared" si="50"/>
        <v>1211.8588003123104</v>
      </c>
      <c r="AH60" s="52">
        <f>HLOOKUP(I60,ElecAvoidedCostsWOCC!$A$5:$Q$50,T60+1,FALSE)</f>
        <v>1.3961506916040443</v>
      </c>
      <c r="AI60" s="44">
        <f t="shared" si="51"/>
        <v>0</v>
      </c>
      <c r="AJ60" s="44">
        <f t="shared" si="52"/>
        <v>1211.8588003123104</v>
      </c>
      <c r="AK60" s="44">
        <f>HLOOKUP(I60,ElecAvoidedCostsWOCC!$A$5:$Q$50,G60+1,FALSE)*J60*L60</f>
        <v>0</v>
      </c>
      <c r="AL60" s="44">
        <f t="shared" si="53"/>
        <v>1211.8588003123104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1211.8588003123104</v>
      </c>
      <c r="AN60" s="48">
        <f t="shared" si="54"/>
        <v>1333.0446803435416</v>
      </c>
      <c r="AO60" s="47">
        <f t="shared" si="55"/>
        <v>3.0630236573714025</v>
      </c>
      <c r="AP60" s="47">
        <f t="shared" si="56"/>
        <v>0.7744116768831425</v>
      </c>
      <c r="AQ60">
        <v>2020</v>
      </c>
    </row>
    <row r="61" spans="2:43">
      <c r="B61" s="97" t="s">
        <v>15</v>
      </c>
      <c r="C61" s="61">
        <v>18230635</v>
      </c>
      <c r="D61" s="61" t="s">
        <v>81</v>
      </c>
      <c r="E61" s="38" t="s">
        <v>587</v>
      </c>
      <c r="F61" s="39" t="s">
        <v>588</v>
      </c>
      <c r="G61" s="39">
        <v>15</v>
      </c>
      <c r="H61" s="39"/>
      <c r="I61" s="40" t="s">
        <v>268</v>
      </c>
      <c r="J61" s="41">
        <v>116</v>
      </c>
      <c r="K61" s="41">
        <v>5293.3620689655172</v>
      </c>
      <c r="L61" s="41"/>
      <c r="M61" s="42">
        <v>500</v>
      </c>
      <c r="N61" s="42">
        <v>732</v>
      </c>
      <c r="O61" s="43">
        <v>614030</v>
      </c>
      <c r="P61" s="44">
        <v>58000</v>
      </c>
      <c r="Q61" s="44">
        <v>84912</v>
      </c>
      <c r="R61" s="45">
        <v>0</v>
      </c>
      <c r="S61" s="46">
        <v>0</v>
      </c>
      <c r="T61" s="39">
        <f t="shared" si="38"/>
        <v>15</v>
      </c>
      <c r="U61" s="47">
        <f t="shared" si="39"/>
        <v>0.3481436253664475</v>
      </c>
      <c r="V61" s="48">
        <f t="shared" si="40"/>
        <v>232</v>
      </c>
      <c r="W61" s="49">
        <f t="shared" si="41"/>
        <v>2.3209575024429833E-2</v>
      </c>
      <c r="X61" s="44">
        <f t="shared" si="42"/>
        <v>29246.703923653382</v>
      </c>
      <c r="Y61" s="44">
        <f t="shared" si="43"/>
        <v>26912</v>
      </c>
      <c r="Z61" s="44">
        <f t="shared" si="44"/>
        <v>299387.40828121617</v>
      </c>
      <c r="AA61" s="50">
        <f t="shared" si="45"/>
        <v>114158.70392365337</v>
      </c>
      <c r="AB61" s="51">
        <f t="shared" si="46"/>
        <v>279879.78711902042</v>
      </c>
      <c r="AC61" s="44">
        <f t="shared" si="47"/>
        <v>106720.29907792219</v>
      </c>
      <c r="AD61" s="44">
        <f t="shared" si="48"/>
        <v>0</v>
      </c>
      <c r="AE61" s="44">
        <f t="shared" si="49"/>
        <v>0</v>
      </c>
      <c r="AF61" s="52">
        <f>HLOOKUP(I61,ElecAvoidedCostsWOCC!$A$5:$Q$50,G61+1,FALSE)</f>
        <v>1.3961506916040443</v>
      </c>
      <c r="AG61" s="44">
        <f t="shared" si="50"/>
        <v>857278.40916563128</v>
      </c>
      <c r="AH61" s="52">
        <f>HLOOKUP(I61,ElecAvoidedCostsWOCC!$A$5:$Q$50,T61+1,FALSE)</f>
        <v>1.3961506916040443</v>
      </c>
      <c r="AI61" s="44">
        <f t="shared" si="51"/>
        <v>0</v>
      </c>
      <c r="AJ61" s="44">
        <f t="shared" si="52"/>
        <v>857278.40916563128</v>
      </c>
      <c r="AK61" s="44">
        <f>HLOOKUP(I61,ElecAvoidedCostsWOCC!$A$5:$Q$50,G61+1,FALSE)*J61*L61</f>
        <v>0</v>
      </c>
      <c r="AL61" s="44">
        <f t="shared" si="53"/>
        <v>857278.40916563128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857278.40916563128</v>
      </c>
      <c r="AN61" s="48">
        <f t="shared" si="54"/>
        <v>943006.25008219446</v>
      </c>
      <c r="AO61" s="47">
        <f t="shared" si="55"/>
        <v>3.063023657371402</v>
      </c>
      <c r="AP61" s="47">
        <f t="shared" si="56"/>
        <v>8.8362406986289947</v>
      </c>
      <c r="AQ61">
        <v>2020</v>
      </c>
    </row>
    <row r="62" spans="2:43">
      <c r="B62" s="97" t="s">
        <v>15</v>
      </c>
      <c r="C62" s="61">
        <v>18230635</v>
      </c>
      <c r="D62" s="61" t="s">
        <v>81</v>
      </c>
      <c r="E62" s="38" t="s">
        <v>591</v>
      </c>
      <c r="F62" s="39" t="s">
        <v>592</v>
      </c>
      <c r="G62" s="39"/>
      <c r="H62" s="39"/>
      <c r="I62" s="40" t="s">
        <v>269</v>
      </c>
      <c r="J62" s="41">
        <v>1185</v>
      </c>
      <c r="K62" s="41">
        <v>0</v>
      </c>
      <c r="L62" s="41"/>
      <c r="M62" s="42">
        <v>50</v>
      </c>
      <c r="N62" s="42">
        <v>50</v>
      </c>
      <c r="O62" s="43">
        <v>0</v>
      </c>
      <c r="P62" s="44">
        <v>59250</v>
      </c>
      <c r="Q62" s="44">
        <v>59250</v>
      </c>
      <c r="R62" s="45">
        <v>0</v>
      </c>
      <c r="S62" s="46">
        <v>0</v>
      </c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59250</v>
      </c>
      <c r="AB62" s="51">
        <f t="shared" si="46"/>
        <v>0</v>
      </c>
      <c r="AC62" s="44">
        <f t="shared" si="47"/>
        <v>55389.361503225198</v>
      </c>
      <c r="AD62" s="44">
        <f t="shared" si="48"/>
        <v>0</v>
      </c>
      <c r="AE62" s="44">
        <f t="shared" si="49"/>
        <v>0</v>
      </c>
      <c r="AF62" s="52" t="str">
        <f>HLOOKUP(I62,ElecAvoidedCostsWOCC!$A$5:$Q$50,G62+1,FALSE)</f>
        <v>SF Space Heat</v>
      </c>
      <c r="AG62" s="44" t="e">
        <f t="shared" si="50"/>
        <v>#VALUE!</v>
      </c>
      <c r="AH62" s="52" t="str">
        <f>HLOOKUP(I62,ElecAvoidedCostsWOCC!$A$5:$Q$50,T62+1,FALSE)</f>
        <v>SF Space Heat</v>
      </c>
      <c r="AI62" s="44" t="e">
        <f t="shared" si="51"/>
        <v>#VALUE!</v>
      </c>
      <c r="AJ62" s="44" t="e">
        <f t="shared" si="52"/>
        <v>#VALUE!</v>
      </c>
      <c r="AK62" s="44" t="e">
        <f>HLOOKUP(I62,ElecAvoidedCostsWOCC!$A$5:$Q$50,G62+1,FALSE)*J62*L62</f>
        <v>#VALUE!</v>
      </c>
      <c r="AL62" s="44" t="e">
        <f t="shared" si="53"/>
        <v>#VALUE!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>
        <f t="shared" si="56"/>
        <v>0</v>
      </c>
      <c r="AQ62">
        <v>2020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</sheetData>
  <conditionalFormatting sqref="J5:L84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84 R5:S84">
    <cfRule type="expression" dxfId="312" priority="2">
      <formula>ISTEXT(M5)</formula>
    </cfRule>
  </conditionalFormatting>
  <conditionalFormatting sqref="M5:N84 R5:S84">
    <cfRule type="notContainsBlanks" dxfId="311" priority="3">
      <formula>LEN(TRIM(M5))&gt;0</formula>
    </cfRule>
  </conditionalFormatting>
  <conditionalFormatting sqref="R5:S84">
    <cfRule type="expression" dxfId="310" priority="1">
      <formula>"istext($AB17)"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DCEEDB03DC21846A53ED623C807910B" ma:contentTypeVersion="48" ma:contentTypeDescription="" ma:contentTypeScope="" ma:versionID="20ab84823ea54da78496c0800eb21fe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2019-11-01T07:00:00+00:00</OpenedDate>
    <SignificantOrder xmlns="dc463f71-b30c-4ab2-9473-d307f9d35888">false</SignificantOrder>
    <Date1 xmlns="dc463f71-b30c-4ab2-9473-d307f9d35888">2022-05-31T07:00:00+00:00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>2020-2021 Conservation</Nickname>
    <DocketNumber xmlns="dc463f71-b30c-4ab2-9473-d307f9d35888">190905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7CBF3A8-CE23-4E1B-8F1B-5386B8A2C3F0}"/>
</file>

<file path=customXml/itemProps2.xml><?xml version="1.0" encoding="utf-8"?>
<ds:datastoreItem xmlns:ds="http://schemas.openxmlformats.org/officeDocument/2006/customXml" ds:itemID="{FCF07D0F-0615-463D-992D-A291467E8699}"/>
</file>

<file path=customXml/itemProps3.xml><?xml version="1.0" encoding="utf-8"?>
<ds:datastoreItem xmlns:ds="http://schemas.openxmlformats.org/officeDocument/2006/customXml" ds:itemID="{934508BC-FF22-4F47-A009-84A18F625F67}"/>
</file>

<file path=customXml/itemProps4.xml><?xml version="1.0" encoding="utf-8"?>
<ds:datastoreItem xmlns:ds="http://schemas.openxmlformats.org/officeDocument/2006/customXml" ds:itemID="{B3D1E27D-04D3-4F92-9617-C888B2FD4C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3</vt:i4>
      </vt:variant>
    </vt:vector>
  </HeadingPairs>
  <TitlesOfParts>
    <vt:vector size="75" baseType="lpstr">
      <vt:lpstr>Summary</vt:lpstr>
      <vt:lpstr>Electric CE</vt:lpstr>
      <vt:lpstr>Gas CE</vt:lpstr>
      <vt:lpstr>Program Costs</vt:lpstr>
      <vt:lpstr>Program Costs-old</vt:lpstr>
      <vt:lpstr>Program Costs-new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Home Energy Assessments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Lance Rottger</cp:lastModifiedBy>
  <cp:lastPrinted>2022-03-03T20:26:12Z</cp:lastPrinted>
  <dcterms:created xsi:type="dcterms:W3CDTF">2022-01-21T18:04:07Z</dcterms:created>
  <dcterms:modified xsi:type="dcterms:W3CDTF">2022-05-27T22:17:35Z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0x0101006E56B4D1795A2E4DB2F0B01679ED314A007DCEEDB03DC21846A53ED623C807910B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