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18E Authorized Power Supply\"/>
    </mc:Choice>
  </mc:AlternateContent>
  <bookViews>
    <workbookView xWindow="0" yWindow="0" windowWidth="20160" windowHeight="9615" activeTab="2"/>
  </bookViews>
  <sheets>
    <sheet name="PF Power Supply Adjustments" sheetId="1" r:id="rId1"/>
    <sheet name="Monthly Authorized" sheetId="4" r:id="rId2"/>
    <sheet name="12.2018 Actual" sheetId="3" r:id="rId3"/>
  </sheets>
  <definedNames>
    <definedName name="_xlnm.Print_Area" localSheetId="2">'12.2018 Actual'!$A$1:$F$120</definedName>
    <definedName name="_xlnm.Print_Area" localSheetId="0">'PF Power Supply Adjustments'!$A$1:$T$55</definedName>
    <definedName name="_xlnm.Print_Titles" localSheetId="2">'12.2018 Actual'!$1:$7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E96" i="3" l="1"/>
  <c r="D119" i="3" l="1"/>
  <c r="E108" i="3" l="1"/>
  <c r="D98" i="3" l="1"/>
  <c r="D16" i="1" l="1"/>
  <c r="E109" i="3"/>
  <c r="M51" i="1"/>
  <c r="K52" i="1"/>
  <c r="K51" i="1" s="1"/>
  <c r="O13" i="1" l="1"/>
  <c r="Q13" i="1"/>
  <c r="E28" i="3"/>
  <c r="E18" i="3"/>
  <c r="E47" i="3"/>
  <c r="E42" i="3" l="1"/>
  <c r="E41" i="3" l="1"/>
  <c r="E40" i="3"/>
  <c r="E110" i="3"/>
  <c r="E107" i="3"/>
  <c r="S106" i="3" l="1"/>
  <c r="O11" i="1" l="1"/>
  <c r="M19" i="1"/>
  <c r="M21" i="1"/>
  <c r="M34" i="1"/>
  <c r="K54" i="1"/>
  <c r="M54" i="1"/>
  <c r="M52" i="1"/>
  <c r="M32" i="1"/>
  <c r="M28" i="1"/>
  <c r="M26" i="1"/>
  <c r="M24" i="1"/>
  <c r="M16" i="1" l="1"/>
  <c r="M13" i="1"/>
  <c r="Q106" i="3" l="1"/>
  <c r="R106" i="3"/>
  <c r="S18" i="3" l="1"/>
  <c r="R18" i="3"/>
  <c r="K18" i="3" l="1"/>
  <c r="J18" i="3"/>
  <c r="I18" i="3"/>
  <c r="H18" i="3"/>
  <c r="I106" i="3" l="1"/>
  <c r="J106" i="3"/>
  <c r="J107" i="3" s="1"/>
  <c r="K106" i="3"/>
  <c r="K107" i="3" s="1"/>
  <c r="L106" i="3"/>
  <c r="L107" i="3" s="1"/>
  <c r="M106" i="3"/>
  <c r="N106" i="3"/>
  <c r="N107" i="3" s="1"/>
  <c r="O106" i="3"/>
  <c r="O107" i="3" s="1"/>
  <c r="P106" i="3"/>
  <c r="P107" i="3" s="1"/>
  <c r="S107" i="3"/>
  <c r="H106" i="3"/>
  <c r="I107" i="3"/>
  <c r="M107" i="3"/>
  <c r="Q107" i="3"/>
  <c r="R107" i="3"/>
  <c r="G105" i="3"/>
  <c r="G104" i="3"/>
  <c r="G103" i="3"/>
  <c r="G102" i="3"/>
  <c r="G101" i="3"/>
  <c r="G100" i="3"/>
  <c r="G108" i="3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40" i="3"/>
  <c r="R40" i="3"/>
  <c r="S40" i="3"/>
  <c r="H39" i="3"/>
  <c r="H40" i="3" s="1"/>
  <c r="G34" i="3"/>
  <c r="G35" i="3"/>
  <c r="G36" i="3"/>
  <c r="G37" i="3"/>
  <c r="G38" i="3"/>
  <c r="H107" i="3" l="1"/>
  <c r="G106" i="3"/>
  <c r="D106" i="3" s="1"/>
  <c r="G80" i="3"/>
  <c r="G99" i="3"/>
  <c r="G98" i="3"/>
  <c r="H77" i="3"/>
  <c r="I77" i="3"/>
  <c r="J77" i="3"/>
  <c r="K77" i="3"/>
  <c r="L77" i="3"/>
  <c r="M77" i="3"/>
  <c r="N77" i="3"/>
  <c r="O77" i="3"/>
  <c r="P77" i="3"/>
  <c r="Q77" i="3"/>
  <c r="R77" i="3"/>
  <c r="S77" i="3"/>
  <c r="G75" i="3"/>
  <c r="D75" i="3" s="1"/>
  <c r="G76" i="3"/>
  <c r="D76" i="3" s="1"/>
  <c r="G74" i="3"/>
  <c r="D74" i="3" s="1"/>
  <c r="G73" i="3"/>
  <c r="D73" i="3" s="1"/>
  <c r="G72" i="3"/>
  <c r="D72" i="3" s="1"/>
  <c r="G71" i="3"/>
  <c r="D71" i="3" s="1"/>
  <c r="G70" i="3"/>
  <c r="D70" i="3" s="1"/>
  <c r="G69" i="3"/>
  <c r="D69" i="3" s="1"/>
  <c r="G68" i="3"/>
  <c r="D68" i="3" s="1"/>
  <c r="G67" i="3"/>
  <c r="D67" i="3" s="1"/>
  <c r="H61" i="3"/>
  <c r="I61" i="3"/>
  <c r="J61" i="3"/>
  <c r="K61" i="3"/>
  <c r="L61" i="3"/>
  <c r="M61" i="3"/>
  <c r="N61" i="3"/>
  <c r="O61" i="3"/>
  <c r="P61" i="3"/>
  <c r="Q61" i="3"/>
  <c r="R61" i="3"/>
  <c r="S61" i="3"/>
  <c r="H47" i="3"/>
  <c r="I47" i="3"/>
  <c r="J47" i="3"/>
  <c r="K47" i="3"/>
  <c r="L47" i="3"/>
  <c r="M47" i="3"/>
  <c r="N47" i="3"/>
  <c r="O47" i="3"/>
  <c r="P47" i="3"/>
  <c r="Q47" i="3"/>
  <c r="R47" i="3"/>
  <c r="S47" i="3"/>
  <c r="G54" i="3"/>
  <c r="D54" i="3" s="1"/>
  <c r="G55" i="3"/>
  <c r="D55" i="3" s="1"/>
  <c r="G56" i="3"/>
  <c r="D56" i="3" s="1"/>
  <c r="G57" i="3"/>
  <c r="D57" i="3" s="1"/>
  <c r="G58" i="3"/>
  <c r="D58" i="3" s="1"/>
  <c r="G59" i="3"/>
  <c r="D59" i="3" s="1"/>
  <c r="G60" i="3"/>
  <c r="D60" i="3" s="1"/>
  <c r="G53" i="3"/>
  <c r="D53" i="3" s="1"/>
  <c r="G52" i="3"/>
  <c r="D52" i="3" s="1"/>
  <c r="G51" i="3"/>
  <c r="D51" i="3" s="1"/>
  <c r="G50" i="3"/>
  <c r="D50" i="3" s="1"/>
  <c r="G46" i="3"/>
  <c r="D46" i="3" s="1"/>
  <c r="G45" i="3"/>
  <c r="D45" i="3" s="1"/>
  <c r="G44" i="3"/>
  <c r="D44" i="3" s="1"/>
  <c r="G43" i="3"/>
  <c r="D43" i="3" s="1"/>
  <c r="G31" i="3"/>
  <c r="D31" i="3" s="1"/>
  <c r="D33" i="1" s="1"/>
  <c r="G32" i="3"/>
  <c r="D32" i="3" s="1"/>
  <c r="G33" i="3"/>
  <c r="D33" i="3" s="1"/>
  <c r="G39" i="3"/>
  <c r="D39" i="3" s="1"/>
  <c r="G30" i="3"/>
  <c r="D30" i="3" s="1"/>
  <c r="H95" i="3"/>
  <c r="I95" i="3"/>
  <c r="J95" i="3"/>
  <c r="K95" i="3"/>
  <c r="L95" i="3"/>
  <c r="M95" i="3"/>
  <c r="N95" i="3"/>
  <c r="O95" i="3"/>
  <c r="P95" i="3"/>
  <c r="Q95" i="3"/>
  <c r="R95" i="3"/>
  <c r="S95" i="3"/>
  <c r="G94" i="3"/>
  <c r="D94" i="3" s="1"/>
  <c r="G93" i="3"/>
  <c r="D93" i="3" s="1"/>
  <c r="G92" i="3"/>
  <c r="D92" i="3" s="1"/>
  <c r="G91" i="3"/>
  <c r="D91" i="3" s="1"/>
  <c r="G90" i="3"/>
  <c r="D90" i="3" s="1"/>
  <c r="G89" i="3"/>
  <c r="D89" i="3" s="1"/>
  <c r="G88" i="3"/>
  <c r="D88" i="3" s="1"/>
  <c r="G87" i="3"/>
  <c r="D87" i="3" s="1"/>
  <c r="G86" i="3"/>
  <c r="D86" i="3" s="1"/>
  <c r="G85" i="3"/>
  <c r="D85" i="3" s="1"/>
  <c r="H27" i="3"/>
  <c r="I27" i="3"/>
  <c r="J27" i="3"/>
  <c r="K27" i="3"/>
  <c r="L27" i="3"/>
  <c r="M27" i="3"/>
  <c r="N27" i="3"/>
  <c r="O27" i="3"/>
  <c r="P27" i="3"/>
  <c r="Q27" i="3"/>
  <c r="R27" i="3"/>
  <c r="S27" i="3"/>
  <c r="G15" i="3"/>
  <c r="D15" i="3" s="1"/>
  <c r="G14" i="3"/>
  <c r="D14" i="3" s="1"/>
  <c r="G13" i="3"/>
  <c r="D13" i="3" s="1"/>
  <c r="G12" i="3"/>
  <c r="D12" i="3" s="1"/>
  <c r="G11" i="3"/>
  <c r="D11" i="3" s="1"/>
  <c r="G10" i="3"/>
  <c r="D10" i="3" s="1"/>
  <c r="G9" i="3"/>
  <c r="D9" i="3" s="1"/>
  <c r="G17" i="3"/>
  <c r="D17" i="3" s="1"/>
  <c r="G18" i="3"/>
  <c r="D18" i="3" s="1"/>
  <c r="G19" i="3"/>
  <c r="D19" i="3" s="1"/>
  <c r="G20" i="3"/>
  <c r="D20" i="3" s="1"/>
  <c r="G21" i="3"/>
  <c r="D21" i="3" s="1"/>
  <c r="G22" i="3"/>
  <c r="D22" i="3" s="1"/>
  <c r="G23" i="3"/>
  <c r="D23" i="3" s="1"/>
  <c r="G24" i="3"/>
  <c r="D24" i="3" s="1"/>
  <c r="G25" i="3"/>
  <c r="D25" i="3" s="1"/>
  <c r="G26" i="3"/>
  <c r="D26" i="3" s="1"/>
  <c r="G16" i="3"/>
  <c r="D16" i="3" s="1"/>
  <c r="G107" i="3" l="1"/>
  <c r="G77" i="3"/>
  <c r="G40" i="3"/>
  <c r="G47" i="3"/>
  <c r="G61" i="3"/>
  <c r="G95" i="3"/>
  <c r="G27" i="3"/>
  <c r="B44" i="4" l="1"/>
  <c r="N42" i="4"/>
  <c r="M42" i="4"/>
  <c r="L42" i="4"/>
  <c r="K42" i="4"/>
  <c r="J42" i="4"/>
  <c r="I42" i="4"/>
  <c r="H42" i="4"/>
  <c r="G42" i="4"/>
  <c r="F42" i="4"/>
  <c r="E42" i="4"/>
  <c r="D42" i="4"/>
  <c r="C42" i="4"/>
  <c r="N33" i="4"/>
  <c r="M33" i="4"/>
  <c r="L33" i="4"/>
  <c r="K33" i="4"/>
  <c r="J33" i="4"/>
  <c r="I33" i="4"/>
  <c r="H33" i="4"/>
  <c r="G33" i="4"/>
  <c r="F33" i="4"/>
  <c r="E33" i="4"/>
  <c r="D33" i="4"/>
  <c r="C33" i="4"/>
  <c r="B27" i="4"/>
  <c r="B25" i="4"/>
  <c r="B23" i="4"/>
  <c r="N21" i="4"/>
  <c r="N29" i="4" s="1"/>
  <c r="N31" i="4" s="1"/>
  <c r="M21" i="4"/>
  <c r="M29" i="4" s="1"/>
  <c r="L21" i="4"/>
  <c r="L29" i="4" s="1"/>
  <c r="L31" i="4" s="1"/>
  <c r="K21" i="4"/>
  <c r="K29" i="4" s="1"/>
  <c r="K31" i="4" s="1"/>
  <c r="J21" i="4"/>
  <c r="J29" i="4" s="1"/>
  <c r="J31" i="4" s="1"/>
  <c r="I21" i="4"/>
  <c r="I29" i="4" s="1"/>
  <c r="H21" i="4"/>
  <c r="H29" i="4" s="1"/>
  <c r="H31" i="4" s="1"/>
  <c r="G21" i="4"/>
  <c r="G29" i="4" s="1"/>
  <c r="G31" i="4" s="1"/>
  <c r="F21" i="4"/>
  <c r="F29" i="4" s="1"/>
  <c r="F31" i="4" s="1"/>
  <c r="E21" i="4"/>
  <c r="E29" i="4" s="1"/>
  <c r="D21" i="4"/>
  <c r="D29" i="4" s="1"/>
  <c r="D31" i="4" s="1"/>
  <c r="C21" i="4"/>
  <c r="C29" i="4" s="1"/>
  <c r="C31" i="4" s="1"/>
  <c r="B19" i="4"/>
  <c r="B17" i="4"/>
  <c r="B15" i="4"/>
  <c r="B13" i="4"/>
  <c r="B33" i="4" l="1"/>
  <c r="D35" i="4"/>
  <c r="H35" i="4"/>
  <c r="L35" i="4"/>
  <c r="M31" i="4"/>
  <c r="M35" i="4" s="1"/>
  <c r="I31" i="4"/>
  <c r="I35" i="4" s="1"/>
  <c r="E31" i="4"/>
  <c r="E35" i="4" s="1"/>
  <c r="N35" i="4"/>
  <c r="F35" i="4"/>
  <c r="J35" i="4"/>
  <c r="G35" i="4"/>
  <c r="K35" i="4"/>
  <c r="B29" i="4"/>
  <c r="B21" i="4"/>
  <c r="B31" i="4" l="1"/>
  <c r="B35" i="4" s="1"/>
  <c r="B46" i="4" s="1"/>
  <c r="C35" i="4"/>
  <c r="E111" i="3" l="1"/>
  <c r="F111" i="3" s="1"/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30" i="3" s="1"/>
  <c r="A31" i="3" s="1"/>
  <c r="A32" i="3" s="1"/>
  <c r="A33" i="3" s="1"/>
  <c r="A39" i="3" s="1"/>
  <c r="A40" i="3" s="1"/>
  <c r="A43" i="3" s="1"/>
  <c r="A44" i="3" s="1"/>
  <c r="A45" i="3" s="1"/>
  <c r="A46" i="3" s="1"/>
  <c r="A47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D27" i="3"/>
  <c r="D28" i="1" s="1"/>
  <c r="D40" i="3"/>
  <c r="D47" i="3"/>
  <c r="D61" i="3"/>
  <c r="D26" i="1" s="1"/>
  <c r="D77" i="3"/>
  <c r="D34" i="1" s="1"/>
  <c r="D95" i="3"/>
  <c r="D13" i="1" s="1"/>
  <c r="D107" i="3"/>
  <c r="F107" i="3" s="1"/>
  <c r="D32" i="1" l="1"/>
  <c r="F40" i="3"/>
  <c r="F13" i="1"/>
  <c r="S13" i="1" s="1"/>
  <c r="D19" i="1"/>
  <c r="E48" i="3"/>
  <c r="D24" i="1"/>
  <c r="K55" i="1"/>
  <c r="A68" i="3"/>
  <c r="A69" i="3" s="1"/>
  <c r="A70" i="3" s="1"/>
  <c r="A71" i="3" s="1"/>
  <c r="A72" i="3" s="1"/>
  <c r="A73" i="3" s="1"/>
  <c r="A74" i="3" s="1"/>
  <c r="A75" i="3" s="1"/>
  <c r="A76" i="3" s="1"/>
  <c r="A77" i="3" s="1"/>
  <c r="A80" i="3" s="1"/>
  <c r="A82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8" i="3" s="1"/>
  <c r="A99" i="3" s="1"/>
  <c r="A106" i="3" s="1"/>
  <c r="A107" i="3" s="1"/>
  <c r="A110" i="3" s="1"/>
  <c r="A113" i="3" s="1"/>
  <c r="A115" i="3" s="1"/>
  <c r="E43" i="3"/>
  <c r="E44" i="3" s="1"/>
  <c r="D113" i="3"/>
  <c r="D82" i="3"/>
  <c r="D115" i="3" l="1"/>
  <c r="O37" i="1"/>
  <c r="O36" i="1"/>
  <c r="O35" i="1"/>
  <c r="F37" i="1"/>
  <c r="F36" i="1"/>
  <c r="F35" i="1"/>
  <c r="M53" i="1" l="1"/>
  <c r="M55" i="1" s="1"/>
  <c r="Q34" i="1"/>
  <c r="O34" i="1"/>
  <c r="F34" i="1"/>
  <c r="F33" i="1"/>
  <c r="O32" i="1"/>
  <c r="O31" i="1"/>
  <c r="F31" i="1"/>
  <c r="O30" i="1"/>
  <c r="F30" i="1"/>
  <c r="S29" i="1"/>
  <c r="Q28" i="1"/>
  <c r="O28" i="1"/>
  <c r="F28" i="1"/>
  <c r="O27" i="1"/>
  <c r="F27" i="1"/>
  <c r="Q26" i="1"/>
  <c r="O26" i="1"/>
  <c r="F26" i="1"/>
  <c r="O25" i="1"/>
  <c r="F25" i="1"/>
  <c r="Q24" i="1"/>
  <c r="O24" i="1"/>
  <c r="F24" i="1"/>
  <c r="O20" i="1"/>
  <c r="F20" i="1"/>
  <c r="S18" i="1"/>
  <c r="Q18" i="1"/>
  <c r="Q17" i="1"/>
  <c r="O17" i="1"/>
  <c r="F17" i="1"/>
  <c r="Q16" i="1"/>
  <c r="O16" i="1"/>
  <c r="F16" i="1"/>
  <c r="Q15" i="1"/>
  <c r="O15" i="1"/>
  <c r="F15" i="1"/>
  <c r="O14" i="1"/>
  <c r="F14" i="1"/>
  <c r="M38" i="1" l="1"/>
  <c r="M40" i="1" s="1"/>
  <c r="S34" i="1"/>
  <c r="S15" i="1"/>
  <c r="O19" i="1"/>
  <c r="O21" i="1" s="1"/>
  <c r="S24" i="1"/>
  <c r="S17" i="1"/>
  <c r="S28" i="1"/>
  <c r="S30" i="1"/>
  <c r="S16" i="1"/>
  <c r="Q19" i="1"/>
  <c r="Q21" i="1" s="1"/>
  <c r="S20" i="1"/>
  <c r="S25" i="1"/>
  <c r="F19" i="1"/>
  <c r="F21" i="1" s="1"/>
  <c r="D21" i="1"/>
  <c r="S26" i="1"/>
  <c r="O33" i="1" l="1"/>
  <c r="S33" i="1" s="1"/>
  <c r="Q33" i="1"/>
  <c r="S19" i="1"/>
  <c r="S21" i="1" s="1"/>
  <c r="F32" i="1"/>
  <c r="D38" i="1"/>
  <c r="D40" i="1" s="1"/>
  <c r="Q32" i="1"/>
  <c r="O38" i="1" l="1"/>
  <c r="O40" i="1" s="1"/>
  <c r="O47" i="1" s="1"/>
  <c r="Q38" i="1"/>
  <c r="Q40" i="1" s="1"/>
  <c r="S32" i="1"/>
  <c r="S38" i="1" s="1"/>
  <c r="F38" i="1"/>
  <c r="O42" i="1" l="1"/>
  <c r="O44" i="1" s="1"/>
  <c r="S40" i="1"/>
  <c r="S42" i="1" s="1"/>
  <c r="S44" i="1" s="1"/>
  <c r="S46" i="1" s="1"/>
  <c r="F40" i="1"/>
  <c r="F42" i="1" s="1"/>
  <c r="F44" i="1" l="1"/>
</calcChain>
</file>

<file path=xl/comments1.xml><?xml version="1.0" encoding="utf-8"?>
<comments xmlns="http://schemas.openxmlformats.org/spreadsheetml/2006/main">
  <authors>
    <author>gzhkw6</author>
    <author>annette brandon</author>
  </authors>
  <commentList>
    <comment ref="M3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plus Weather Adjustment retail load change times pro-rated retail revenue adjustment rate of $16.63 per MWh</t>
        </r>
      </text>
    </comment>
    <comment ref="M51" authorId="1" shapeId="0">
      <text>
        <r>
          <rPr>
            <b/>
            <sz val="9"/>
            <color indexed="81"/>
            <rFont val="Tahoma"/>
            <charset val="1"/>
          </rPr>
          <t>annette brandon:</t>
        </r>
        <r>
          <rPr>
            <sz val="9"/>
            <color indexed="81"/>
            <rFont val="Tahoma"/>
            <charset val="1"/>
          </rPr>
          <t xml:space="preserve">
from Joe's Rate Design Model</t>
        </r>
      </text>
    </comment>
    <comment ref="K53" authorId="1" shapeId="0">
      <text>
        <r>
          <rPr>
            <b/>
            <sz val="9"/>
            <color indexed="81"/>
            <rFont val="Tahoma"/>
            <charset val="1"/>
          </rPr>
          <t>annette brandon:</t>
        </r>
        <r>
          <rPr>
            <sz val="9"/>
            <color indexed="81"/>
            <rFont val="Tahoma"/>
            <charset val="1"/>
          </rPr>
          <t xml:space="preserve">
from Joe's Rate Design Model</t>
        </r>
      </text>
    </comment>
  </commentList>
</comments>
</file>

<file path=xl/comments2.xml><?xml version="1.0" encoding="utf-8"?>
<comments xmlns="http://schemas.openxmlformats.org/spreadsheetml/2006/main">
  <authors>
    <author>annette brandon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</rPr>
          <t>annette brandon:
BPA WNP4 less WNP3 midpoint on ERM Journal Detail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557150 included in this number.  Only part of 557 needed for reconcilation is the physical fuel dispatch</t>
        </r>
      </text>
    </comment>
    <comment ref="G98" authorId="0" shapeId="0">
      <text>
        <r>
          <rPr>
            <b/>
            <sz val="9"/>
            <color indexed="81"/>
            <rFont val="Tahoma"/>
            <charset val="1"/>
          </rPr>
          <t>annette brandon:</t>
        </r>
        <r>
          <rPr>
            <sz val="9"/>
            <color indexed="81"/>
            <rFont val="Tahoma"/>
            <charset val="1"/>
          </rPr>
          <t xml:space="preserve">
ties to Idaho's Monthly tab</t>
        </r>
      </text>
    </comment>
    <comment ref="E108" authorId="0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456700 is allocated incorrectly on ERM Actual worksheet.  ROO is correct.  WA is included as if it is "AN" and then allocated when it is already assigned only to WA</t>
        </r>
      </text>
    </comment>
    <comment ref="E109" authorId="0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</t>
        </r>
      </text>
    </comment>
    <comment ref="E110" authorId="0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</t>
        </r>
      </text>
    </comment>
  </commentList>
</comments>
</file>

<file path=xl/sharedStrings.xml><?xml version="1.0" encoding="utf-8"?>
<sst xmlns="http://schemas.openxmlformats.org/spreadsheetml/2006/main" count="262" uniqueCount="206">
  <si>
    <t>Avista Corporation</t>
  </si>
  <si>
    <t>NET</t>
  </si>
  <si>
    <t>WA Share</t>
  </si>
  <si>
    <t>CHANGE</t>
  </si>
  <si>
    <t>NET CHANGE</t>
  </si>
  <si>
    <t>Power</t>
  </si>
  <si>
    <t>Total</t>
  </si>
  <si>
    <t>Supply</t>
  </si>
  <si>
    <t>Washington</t>
  </si>
  <si>
    <t>System</t>
  </si>
  <si>
    <t>Amounts</t>
  </si>
  <si>
    <t>P/T Allocation Percentages</t>
  </si>
  <si>
    <t>(1)</t>
  </si>
  <si>
    <t>447 Sales for Resale</t>
  </si>
  <si>
    <t>453 Sales of Water and Water Power</t>
  </si>
  <si>
    <t>454 Misc Rents</t>
  </si>
  <si>
    <t>456 Transmission Wheeling Revenue</t>
  </si>
  <si>
    <t>Direct WA</t>
  </si>
  <si>
    <t>Direct ID</t>
  </si>
  <si>
    <t>456 Other Electric Revenue</t>
  </si>
  <si>
    <t>456 Other Electric Revenue-Direct WA</t>
  </si>
  <si>
    <t xml:space="preserve">   Total Revenue</t>
  </si>
  <si>
    <t>501 Thermal Fuel Expense</t>
  </si>
  <si>
    <t>546 Other Power Gen Supvsn &amp; Eng</t>
  </si>
  <si>
    <t>547 Other Fuel Expense</t>
  </si>
  <si>
    <t>536 Water for Power</t>
  </si>
  <si>
    <t>555 Purchased Power</t>
  </si>
  <si>
    <t>549 Misc Other Gen Expense</t>
  </si>
  <si>
    <t>550 Rents</t>
  </si>
  <si>
    <t>556 System Control &amp; Dispatch</t>
  </si>
  <si>
    <t>557 Other Expenses</t>
  </si>
  <si>
    <t>XXX Other Expenses-Direct WA</t>
  </si>
  <si>
    <t>(2)</t>
  </si>
  <si>
    <t>565 Trans. of Elec. by Others</t>
  </si>
  <si>
    <t xml:space="preserve">   Total Expense</t>
  </si>
  <si>
    <t>Net Income Before Income Taxes</t>
  </si>
  <si>
    <t>Federal Income Tax</t>
  </si>
  <si>
    <t>Net Income</t>
  </si>
  <si>
    <t xml:space="preserve">Net Change in Revenue Requirement </t>
  </si>
  <si>
    <t>MWhs</t>
  </si>
  <si>
    <t>load change</t>
  </si>
  <si>
    <t>Retail Revenue Adjustment rate</t>
  </si>
  <si>
    <t>load change power cost</t>
  </si>
  <si>
    <t>566 Misc. Transmission Exp</t>
  </si>
  <si>
    <t>XXX Other Transmission Expenses</t>
  </si>
  <si>
    <t>570 Maintenance of Station Equipment</t>
  </si>
  <si>
    <t>WA Power Supply/Transmission Actual Net Cost</t>
  </si>
  <si>
    <t>Non-ERM</t>
  </si>
  <si>
    <t>ERM Retail Revenue Adjustment rate</t>
  </si>
  <si>
    <t>Adjustment</t>
  </si>
  <si>
    <t>TOTAL NET EXPENSE</t>
  </si>
  <si>
    <t>TOTAL REVENUE</t>
  </si>
  <si>
    <t>Upstream Storage Revenue</t>
  </si>
  <si>
    <t>453 SALES OF WATER AND WATER POWER</t>
  </si>
  <si>
    <t xml:space="preserve"> </t>
  </si>
  <si>
    <t>Total Account 456</t>
  </si>
  <si>
    <t>Gas Not Consumed Sales Revenue</t>
  </si>
  <si>
    <t>WA EIA REC Sales</t>
  </si>
  <si>
    <t>Non-WA EIA REC Sales</t>
  </si>
  <si>
    <t>456 OTHER ELECTRIC REVENUE</t>
  </si>
  <si>
    <t>Total Account 447</t>
  </si>
  <si>
    <t>Intracompany Generation</t>
  </si>
  <si>
    <t>COB Optimization</t>
  </si>
  <si>
    <t>Energy America</t>
  </si>
  <si>
    <t>Pend Oreille DES &amp; Spinning</t>
  </si>
  <si>
    <t>Sovereign/Kaiser DES</t>
  </si>
  <si>
    <t>Nichols Pumping Sale</t>
  </si>
  <si>
    <t>PGE Capacity Sale</t>
  </si>
  <si>
    <t>Actual ST Market Sales - Financial M-to-M</t>
  </si>
  <si>
    <t>Actual ST Market Sales - Physical</t>
  </si>
  <si>
    <t>Modeled Short-Term Market Sales</t>
  </si>
  <si>
    <t>447 SALES FOR RESALE</t>
  </si>
  <si>
    <t>TOTAL EXPENSE</t>
  </si>
  <si>
    <t>Headwater Benefits Payments</t>
  </si>
  <si>
    <t>536 WATER FOR POWER</t>
  </si>
  <si>
    <t>Total Account 565</t>
  </si>
  <si>
    <t>PGE Firm Wheeling</t>
  </si>
  <si>
    <t>Northwestern for Colstrip</t>
  </si>
  <si>
    <t>Sagle-Northern Lights</t>
  </si>
  <si>
    <t>Kootenai for Worley</t>
  </si>
  <si>
    <t>Avista on BPA - Borderline</t>
  </si>
  <si>
    <t>BPA Townsend-Garrison Wheeling</t>
  </si>
  <si>
    <t>BPA PTP for Colstrip, Coyote &amp; Lancaster</t>
  </si>
  <si>
    <t>Short-term Transmission Purchases</t>
  </si>
  <si>
    <t>WNP-3</t>
  </si>
  <si>
    <t>565 TRANSMISSION OF ELECTRICITY BY OTHERS</t>
  </si>
  <si>
    <t>Total Account 547</t>
  </si>
  <si>
    <t>Kettle Falls CT Gas</t>
  </si>
  <si>
    <t>Boulder Park Gas</t>
  </si>
  <si>
    <t>Northeast CT Gas</t>
  </si>
  <si>
    <t>Rathdrum  Gas</t>
  </si>
  <si>
    <t>Gas Transportation for BP, NE and KFCT</t>
  </si>
  <si>
    <t>Actual Financial Gas Transactions M-to-M</t>
  </si>
  <si>
    <t>Lancaster Gas Transportation</t>
  </si>
  <si>
    <t>Lancaster Gas</t>
  </si>
  <si>
    <t>Coyote Springs 2 Gas Transportation</t>
  </si>
  <si>
    <t>Coyote Springs Gas</t>
  </si>
  <si>
    <t>547 OTHER FUEL EXPENSE</t>
  </si>
  <si>
    <t>Total Account 501</t>
  </si>
  <si>
    <t>Colstrip - Oil</t>
  </si>
  <si>
    <t>Colstrip - Coal</t>
  </si>
  <si>
    <t>Kettle Falls - Start-up Gas</t>
  </si>
  <si>
    <t>Kettle Falls - Wood Fuel</t>
  </si>
  <si>
    <t>501 THERMAL FUEL EXPENSE</t>
  </si>
  <si>
    <t>Total Account 557</t>
  </si>
  <si>
    <t>Natural Gas Fuel Purchases</t>
  </si>
  <si>
    <t>Rathdrum Solar, Buck-a-Block</t>
  </si>
  <si>
    <t>REC Expenses (offset to REC Revenue)</t>
  </si>
  <si>
    <t>WA EIA REC Purchase - 100% WA Allocation</t>
  </si>
  <si>
    <t>Broker Commission Fees</t>
  </si>
  <si>
    <t>557 OTHER EXPENSES</t>
  </si>
  <si>
    <t>Total Account 555</t>
  </si>
  <si>
    <t>Palouse Wind</t>
  </si>
  <si>
    <t>Ancillary Services</t>
  </si>
  <si>
    <t xml:space="preserve">Non-Monetary </t>
  </si>
  <si>
    <t>Spokane Waste-to-Energy</t>
  </si>
  <si>
    <t>Spokane-Upriver</t>
  </si>
  <si>
    <t>Stimson</t>
  </si>
  <si>
    <t>Small Power</t>
  </si>
  <si>
    <t>Deer Lake-IP&amp;L</t>
  </si>
  <si>
    <t>Lancaster Capacity Payment</t>
  </si>
  <si>
    <t>Douglas Settlement</t>
  </si>
  <si>
    <t>Priest Rapids Project</t>
  </si>
  <si>
    <t>Wells - Avista Share</t>
  </si>
  <si>
    <t>Rocky Reach/Rock Island Purchase</t>
  </si>
  <si>
    <t>Actual ST Purchases - Financial M-to-M</t>
  </si>
  <si>
    <t>Actual ST Market Purchases</t>
  </si>
  <si>
    <t>Modeled ST Market Purchases</t>
  </si>
  <si>
    <t>555 PURCHASED POWER</t>
  </si>
  <si>
    <t>Actuals</t>
  </si>
  <si>
    <t>No.</t>
  </si>
  <si>
    <t>Line</t>
  </si>
  <si>
    <t>Power Supply Pro forma - Washington Jurisdiction</t>
  </si>
  <si>
    <t>Avista Corp.</t>
  </si>
  <si>
    <t>Miscellaneous</t>
  </si>
  <si>
    <t>Average Cost per MWh</t>
  </si>
  <si>
    <t>Weather adj load change power cost</t>
  </si>
  <si>
    <t>weather adjustment load change</t>
  </si>
  <si>
    <t>$/MWh</t>
  </si>
  <si>
    <t>Fuel Handling Costs not included in ERM</t>
  </si>
  <si>
    <t>Labor</t>
  </si>
  <si>
    <t>Deferrals &amp; Amorts</t>
  </si>
  <si>
    <t>Nez Perce &amp; other</t>
  </si>
  <si>
    <t>Misc Elec Rev</t>
  </si>
  <si>
    <t>Decoupling</t>
  </si>
  <si>
    <t>Transmission Revenue</t>
  </si>
  <si>
    <t xml:space="preserve">EXCLUDES TRANSMISSION REVENUES AND EXPENSES </t>
  </si>
  <si>
    <t>Avista Corp</t>
  </si>
  <si>
    <t>ERM Authorized Expense and Retail Sales</t>
  </si>
  <si>
    <t>ERM Authorized Power Supply Expense - System Numbers (1)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</si>
  <si>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</si>
  <si>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</si>
  <si>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</si>
  <si>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</si>
  <si>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</si>
  <si>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</si>
  <si>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</si>
  <si>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</si>
  <si>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</si>
  <si>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</si>
  <si>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</si>
  <si>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</si>
  <si>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Account 555 - Purchased Power</t>
  </si>
  <si>
    <t>Account 501 - Thermal Fuel</t>
  </si>
  <si>
    <t>Account 547 - Natural Gas Fuel</t>
  </si>
  <si>
    <t>Account 447 - Sale for Resale</t>
  </si>
  <si>
    <t>Power Supply Expense</t>
  </si>
  <si>
    <t>Transmission Expense</t>
  </si>
  <si>
    <t>Broker Fees</t>
  </si>
  <si>
    <t>WA Share of System Costs</t>
  </si>
  <si>
    <t>ERM Authorized Washington Retail Sales (2)</t>
  </si>
  <si>
    <t>Total Retail Sales, MWh (2)</t>
  </si>
  <si>
    <t>/MWh</t>
  </si>
  <si>
    <t>UE-170485 Authorized</t>
  </si>
  <si>
    <t>Effective beginning 5/1/2018</t>
  </si>
  <si>
    <t>Pro forma May 2018 - April 2019</t>
  </si>
  <si>
    <t>January through December 2016 Historic Normalized Loads</t>
  </si>
  <si>
    <t xml:space="preserve">     Total</t>
  </si>
  <si>
    <t>WA Only Adjustment (3)</t>
  </si>
  <si>
    <t>Total WA Share of System Costs</t>
  </si>
  <si>
    <t>Retail Revenue Adjustment Rate</t>
  </si>
  <si>
    <t>(1)  Multiply system numbers by 65.73% to determine Washington share.</t>
  </si>
  <si>
    <t>(2)  Twelve months ended December 2016 normalized monthly WA Retail Sales.</t>
  </si>
  <si>
    <t>(3) Adjustment per final order No 07 UE-170485 to match revenue requirement of $14.519 million</t>
  </si>
  <si>
    <t>Ferc Acct</t>
  </si>
  <si>
    <t>Clearwater Power Company</t>
  </si>
  <si>
    <t>Gas Transport Optimization</t>
  </si>
  <si>
    <t>Federal Income Tax (pro-rated rate)</t>
  </si>
  <si>
    <t xml:space="preserve">(2)  Includes authorized directly assigned reductions and a power cost adjustment for change in WA retail loads from authorized.  </t>
  </si>
  <si>
    <t>12.31.2018 Historical Loads</t>
  </si>
  <si>
    <t>12.2018 Actual</t>
  </si>
  <si>
    <t>12 ME 12.2018 Actual</t>
  </si>
  <si>
    <t>ERM 12.2018 Embedded Authorized</t>
  </si>
  <si>
    <t>12 ME 12.2018 Normalized</t>
  </si>
  <si>
    <t>Restated 12.2018</t>
  </si>
  <si>
    <t>12.2018 Actual per books</t>
  </si>
  <si>
    <t>12.2018 Normalized</t>
  </si>
  <si>
    <t>12.2018</t>
  </si>
  <si>
    <t>WA Power Supply Authorized Costs UE-170485</t>
  </si>
  <si>
    <t>Solar Select</t>
  </si>
  <si>
    <t xml:space="preserve">System Numbers - 12.2018 Actual </t>
  </si>
  <si>
    <t>Authorized</t>
  </si>
  <si>
    <t>Authorized Retail Revenue Adjustment rate</t>
  </si>
  <si>
    <t>(1) 65.73% per UE-170485 authorized. ROO current production/transmission allocation ratio 65.39%.</t>
  </si>
  <si>
    <t>Normalized Test Year Loads and Authorized Power Supply Expenses</t>
  </si>
  <si>
    <t>TOTAL REVENUES (INCL TRANSMISSION)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</si>
</sst>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Geneva"/>
    </font>
    <font>
      <u/>
      <sz val="10"/>
      <name val="Geneva"/>
    </font>
    <font>
      <b/>
      <sz val="10"/>
      <color rgb="FFFF0000"/>
      <name val="Geneva"/>
    </font>
    <font>
      <b/>
      <sz val="11"/>
      <color theme="1"/>
      <name val="Calibri"/>
      <family val="2"/>
      <scheme val="minor"/>
    </font>
    <font>
      <b/>
      <sz val="12"/>
      <name val="Geneva"/>
    </font>
    <font>
      <b/>
      <u/>
      <sz val="10"/>
      <name val="Geneva"/>
    </font>
    <font>
      <sz val="10"/>
      <color rgb="FF0000FF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fgColor theme="9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0" fillId="0" borderId="0"/>
  </cellStyleXfs>
  <cellXfs count="163">
    <xf numFmtId="0" fontId="0" fillId="0" borderId="0" xfId="0"/>
    <xf numFmtId="0" fontId="3" fillId="0" borderId="0" xfId="5" applyAlignment="1">
      <alignment horizontal="centerContinuous"/>
    </xf>
    <xf numFmtId="0" fontId="3" fillId="2" borderId="0" xfId="5" applyFill="1"/>
    <xf numFmtId="0" fontId="3" fillId="0" borderId="0" xfId="5"/>
    <xf numFmtId="0" fontId="3" fillId="2" borderId="0" xfId="5" applyFill="1" applyAlignment="1">
      <alignment horizontal="centerContinuous"/>
    </xf>
    <xf numFmtId="0" fontId="6" fillId="0" borderId="0" xfId="5" applyFont="1" applyAlignment="1">
      <alignment horizontal="centerContinuous"/>
    </xf>
    <xf numFmtId="0" fontId="3" fillId="2" borderId="0" xfId="5" applyFill="1" applyBorder="1"/>
    <xf numFmtId="164" fontId="9" fillId="2" borderId="0" xfId="4" applyNumberFormat="1" applyFont="1" applyFill="1" applyBorder="1" applyAlignment="1">
      <alignment horizontal="center"/>
    </xf>
    <xf numFmtId="0" fontId="3" fillId="0" borderId="0" xfId="5" applyAlignment="1">
      <alignment horizontal="center"/>
    </xf>
    <xf numFmtId="0" fontId="3" fillId="0" borderId="0" xfId="5" applyBorder="1"/>
    <xf numFmtId="0" fontId="6" fillId="0" borderId="0" xfId="5" applyFont="1" applyAlignment="1">
      <alignment horizontal="center"/>
    </xf>
    <xf numFmtId="16" fontId="6" fillId="0" borderId="0" xfId="5" applyNumberFormat="1" applyFont="1" applyBorder="1" applyAlignment="1">
      <alignment horizontal="left"/>
    </xf>
    <xf numFmtId="10" fontId="0" fillId="0" borderId="0" xfId="6" applyNumberFormat="1" applyFont="1" applyAlignment="1">
      <alignment horizontal="center"/>
    </xf>
    <xf numFmtId="10" fontId="0" fillId="2" borderId="0" xfId="6" applyNumberFormat="1" applyFont="1" applyFill="1" applyAlignment="1">
      <alignment horizontal="center"/>
    </xf>
    <xf numFmtId="10" fontId="3" fillId="0" borderId="0" xfId="6" applyNumberFormat="1" applyFont="1" applyBorder="1" applyAlignment="1">
      <alignment horizontal="left"/>
    </xf>
    <xf numFmtId="10" fontId="0" fillId="0" borderId="0" xfId="6" applyNumberFormat="1" applyFont="1" applyFill="1" applyAlignment="1">
      <alignment horizontal="center"/>
    </xf>
    <xf numFmtId="10" fontId="0" fillId="2" borderId="0" xfId="6" quotePrefix="1" applyNumberFormat="1" applyFont="1" applyFill="1" applyAlignment="1">
      <alignment horizontal="center"/>
    </xf>
    <xf numFmtId="166" fontId="3" fillId="0" borderId="0" xfId="5" applyNumberFormat="1"/>
    <xf numFmtId="166" fontId="3" fillId="0" borderId="0" xfId="5" applyNumberFormat="1" applyBorder="1"/>
    <xf numFmtId="0" fontId="3" fillId="0" borderId="0" xfId="5" applyFill="1"/>
    <xf numFmtId="166" fontId="3" fillId="0" borderId="0" xfId="5" applyNumberFormat="1" applyFill="1"/>
    <xf numFmtId="3" fontId="3" fillId="0" borderId="0" xfId="5" applyNumberFormat="1"/>
    <xf numFmtId="3" fontId="3" fillId="0" borderId="0" xfId="5" applyNumberFormat="1" applyBorder="1"/>
    <xf numFmtId="3" fontId="3" fillId="0" borderId="0" xfId="5" applyNumberFormat="1" applyFill="1"/>
    <xf numFmtId="164" fontId="3" fillId="0" borderId="0" xfId="1" applyNumberFormat="1" applyFont="1"/>
    <xf numFmtId="166" fontId="3" fillId="0" borderId="0" xfId="5" applyNumberFormat="1" applyFont="1" applyFill="1" applyAlignment="1">
      <alignment horizontal="center"/>
    </xf>
    <xf numFmtId="0" fontId="3" fillId="0" borderId="0" xfId="7" applyFont="1" applyFill="1" applyAlignment="1">
      <alignment horizontal="center"/>
    </xf>
    <xf numFmtId="3" fontId="3" fillId="0" borderId="0" xfId="5" applyNumberFormat="1" applyFill="1" applyBorder="1"/>
    <xf numFmtId="3" fontId="3" fillId="0" borderId="0" xfId="5" applyNumberFormat="1" applyFont="1" applyFill="1"/>
    <xf numFmtId="3" fontId="3" fillId="0" borderId="2" xfId="5" applyNumberFormat="1" applyBorder="1"/>
    <xf numFmtId="3" fontId="3" fillId="0" borderId="2" xfId="5" applyNumberFormat="1" applyFill="1" applyBorder="1"/>
    <xf numFmtId="164" fontId="3" fillId="0" borderId="2" xfId="1" applyNumberFormat="1" applyFont="1" applyBorder="1"/>
    <xf numFmtId="164" fontId="3" fillId="0" borderId="0" xfId="1" applyNumberFormat="1" applyFont="1" applyFill="1"/>
    <xf numFmtId="166" fontId="11" fillId="0" borderId="0" xfId="5" applyNumberFormat="1" applyFont="1" applyFill="1"/>
    <xf numFmtId="0" fontId="3" fillId="0" borderId="0" xfId="5" quotePrefix="1" applyFill="1"/>
    <xf numFmtId="3" fontId="3" fillId="0" borderId="3" xfId="5" applyNumberFormat="1" applyBorder="1"/>
    <xf numFmtId="3" fontId="3" fillId="0" borderId="3" xfId="5" applyNumberFormat="1" applyFill="1" applyBorder="1"/>
    <xf numFmtId="9" fontId="3" fillId="0" borderId="0" xfId="5" applyNumberFormat="1"/>
    <xf numFmtId="166" fontId="3" fillId="0" borderId="2" xfId="5" applyNumberFormat="1" applyBorder="1"/>
    <xf numFmtId="0" fontId="7" fillId="0" borderId="0" xfId="5" applyFont="1"/>
    <xf numFmtId="166" fontId="7" fillId="0" borderId="0" xfId="5" applyNumberFormat="1" applyFont="1"/>
    <xf numFmtId="0" fontId="3" fillId="0" borderId="0" xfId="5" applyFont="1"/>
    <xf numFmtId="165" fontId="3" fillId="0" borderId="0" xfId="2" applyNumberFormat="1" applyFont="1" applyBorder="1"/>
    <xf numFmtId="0" fontId="7" fillId="0" borderId="0" xfId="5" applyFont="1" applyFill="1"/>
    <xf numFmtId="0" fontId="3" fillId="0" borderId="0" xfId="5" applyFont="1" applyFill="1"/>
    <xf numFmtId="164" fontId="3" fillId="0" borderId="0" xfId="5" applyNumberFormat="1"/>
    <xf numFmtId="7" fontId="3" fillId="0" borderId="0" xfId="2" applyNumberFormat="1" applyFont="1"/>
    <xf numFmtId="0" fontId="3" fillId="0" borderId="0" xfId="5" quotePrefix="1"/>
    <xf numFmtId="5" fontId="3" fillId="0" borderId="0" xfId="2" applyNumberFormat="1" applyFont="1"/>
    <xf numFmtId="0" fontId="3" fillId="0" borderId="0" xfId="5" applyAlignment="1">
      <alignment horizontal="center" wrapText="1"/>
    </xf>
    <xf numFmtId="0" fontId="6" fillId="0" borderId="0" xfId="5" applyFont="1" applyAlignment="1">
      <alignment wrapText="1"/>
    </xf>
    <xf numFmtId="0" fontId="3" fillId="2" borderId="0" xfId="5" applyFill="1" applyAlignment="1">
      <alignment horizontal="center"/>
    </xf>
    <xf numFmtId="3" fontId="3" fillId="0" borderId="1" xfId="5" applyNumberFormat="1" applyBorder="1"/>
    <xf numFmtId="165" fontId="7" fillId="0" borderId="0" xfId="2" applyNumberFormat="1" applyFont="1" applyFill="1" applyBorder="1"/>
    <xf numFmtId="0" fontId="3" fillId="0" borderId="0" xfId="5" applyAlignment="1">
      <alignment horizontal="center"/>
    </xf>
    <xf numFmtId="164" fontId="3" fillId="0" borderId="0" xfId="1" applyNumberFormat="1" applyFont="1" applyBorder="1"/>
    <xf numFmtId="3" fontId="3" fillId="3" borderId="0" xfId="5" applyNumberFormat="1" applyFill="1"/>
    <xf numFmtId="3" fontId="3" fillId="3" borderId="0" xfId="5" applyNumberFormat="1" applyFill="1" applyBorder="1"/>
    <xf numFmtId="166" fontId="3" fillId="3" borderId="0" xfId="5" applyNumberFormat="1" applyFill="1"/>
    <xf numFmtId="0" fontId="3" fillId="3" borderId="0" xfId="5" applyFill="1"/>
    <xf numFmtId="164" fontId="3" fillId="3" borderId="0" xfId="1" applyNumberFormat="1" applyFont="1" applyFill="1"/>
    <xf numFmtId="3" fontId="3" fillId="0" borderId="1" xfId="5" applyNumberFormat="1" applyFill="1" applyBorder="1"/>
    <xf numFmtId="0" fontId="7" fillId="2" borderId="0" xfId="5" applyFont="1" applyFill="1" applyAlignment="1">
      <alignment horizontal="center" wrapText="1"/>
    </xf>
    <xf numFmtId="0" fontId="2" fillId="0" borderId="0" xfId="3"/>
    <xf numFmtId="0" fontId="2" fillId="0" borderId="0" xfId="3" applyAlignment="1">
      <alignment horizontal="left"/>
    </xf>
    <xf numFmtId="0" fontId="2" fillId="0" borderId="2" xfId="3" applyBorder="1"/>
    <xf numFmtId="0" fontId="2" fillId="0" borderId="0" xfId="3" applyAlignment="1">
      <alignment horizontal="right"/>
    </xf>
    <xf numFmtId="3" fontId="2" fillId="0" borderId="4" xfId="3" applyNumberFormat="1" applyBorder="1"/>
    <xf numFmtId="0" fontId="12" fillId="0" borderId="0" xfId="3" applyFont="1"/>
    <xf numFmtId="0" fontId="2" fillId="0" borderId="0" xfId="3" applyAlignment="1">
      <alignment horizontal="center"/>
    </xf>
    <xf numFmtId="3" fontId="2" fillId="0" borderId="0" xfId="3" applyNumberFormat="1" applyBorder="1" applyAlignment="1">
      <alignment horizontal="right"/>
    </xf>
    <xf numFmtId="3" fontId="2" fillId="0" borderId="3" xfId="3" applyNumberFormat="1" applyBorder="1" applyAlignment="1">
      <alignment horizontal="right"/>
    </xf>
    <xf numFmtId="0" fontId="2" fillId="0" borderId="3" xfId="3" applyBorder="1"/>
    <xf numFmtId="0" fontId="12" fillId="0" borderId="5" xfId="3" applyFont="1" applyBorder="1"/>
    <xf numFmtId="3" fontId="2" fillId="0" borderId="0" xfId="3" applyNumberFormat="1" applyFill="1" applyBorder="1" applyAlignment="1">
      <alignment horizontal="right"/>
    </xf>
    <xf numFmtId="0" fontId="13" fillId="0" borderId="0" xfId="3" applyFont="1" applyBorder="1"/>
    <xf numFmtId="3" fontId="2" fillId="0" borderId="1" xfId="3" applyNumberFormat="1" applyFill="1" applyBorder="1" applyAlignment="1">
      <alignment horizontal="right"/>
    </xf>
    <xf numFmtId="0" fontId="13" fillId="0" borderId="0" xfId="3" applyFont="1"/>
    <xf numFmtId="0" fontId="2" fillId="0" borderId="0" xfId="3" applyFont="1"/>
    <xf numFmtId="0" fontId="2" fillId="0" borderId="0" xfId="3" applyBorder="1"/>
    <xf numFmtId="0" fontId="2" fillId="0" borderId="2" xfId="3" applyFont="1" applyBorder="1"/>
    <xf numFmtId="0" fontId="2" fillId="0" borderId="0" xfId="3" applyBorder="1" applyAlignment="1">
      <alignment horizontal="center"/>
    </xf>
    <xf numFmtId="0" fontId="2" fillId="0" borderId="2" xfId="3" applyNumberFormat="1" applyBorder="1" applyAlignment="1">
      <alignment horizontal="center"/>
    </xf>
    <xf numFmtId="0" fontId="2" fillId="0" borderId="0" xfId="3" applyNumberFormat="1" applyAlignment="1">
      <alignment horizontal="center"/>
    </xf>
    <xf numFmtId="3" fontId="2" fillId="0" borderId="0" xfId="3" applyNumberFormat="1" applyBorder="1"/>
    <xf numFmtId="0" fontId="12" fillId="0" borderId="2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14" fillId="0" borderId="0" xfId="3" applyFont="1" applyAlignment="1">
      <alignment horizontal="center"/>
    </xf>
    <xf numFmtId="14" fontId="2" fillId="0" borderId="0" xfId="3" applyNumberFormat="1" applyAlignment="1">
      <alignment horizontal="left"/>
    </xf>
    <xf numFmtId="14" fontId="2" fillId="0" borderId="0" xfId="3" applyNumberFormat="1" applyAlignment="1">
      <alignment horizontal="center"/>
    </xf>
    <xf numFmtId="0" fontId="12" fillId="0" borderId="0" xfId="3" applyFont="1" applyAlignment="1">
      <alignment horizontal="center"/>
    </xf>
    <xf numFmtId="0" fontId="3" fillId="4" borderId="0" xfId="5" applyFill="1" applyAlignment="1">
      <alignment horizontal="center"/>
    </xf>
    <xf numFmtId="0" fontId="3" fillId="4" borderId="0" xfId="5" applyFill="1" applyAlignment="1">
      <alignment horizontal="centerContinuous"/>
    </xf>
    <xf numFmtId="0" fontId="7" fillId="4" borderId="0" xfId="5" applyFont="1" applyFill="1" applyAlignment="1">
      <alignment horizontal="center" wrapText="1"/>
    </xf>
    <xf numFmtId="0" fontId="8" fillId="4" borderId="0" xfId="5" applyFont="1" applyFill="1" applyAlignment="1">
      <alignment horizontal="center"/>
    </xf>
    <xf numFmtId="0" fontId="7" fillId="4" borderId="0" xfId="5" applyFont="1" applyFill="1"/>
    <xf numFmtId="0" fontId="7" fillId="4" borderId="0" xfId="5" quotePrefix="1" applyFont="1" applyFill="1" applyAlignment="1">
      <alignment horizontal="center"/>
    </xf>
    <xf numFmtId="0" fontId="3" fillId="0" borderId="0" xfId="5" applyAlignment="1">
      <alignment horizontal="center"/>
    </xf>
    <xf numFmtId="0" fontId="3" fillId="0" borderId="0" xfId="5" applyFill="1" applyAlignment="1">
      <alignment horizontal="right"/>
    </xf>
    <xf numFmtId="0" fontId="3" fillId="0" borderId="0" xfId="5" applyAlignment="1">
      <alignment horizontal="right"/>
    </xf>
    <xf numFmtId="0" fontId="3" fillId="0" borderId="0" xfId="5" applyFill="1" applyAlignment="1">
      <alignment horizontal="center"/>
    </xf>
    <xf numFmtId="0" fontId="3" fillId="0" borderId="0" xfId="5" quotePrefix="1" applyAlignment="1">
      <alignment horizontal="center"/>
    </xf>
    <xf numFmtId="164" fontId="2" fillId="0" borderId="0" xfId="3" applyNumberFormat="1"/>
    <xf numFmtId="0" fontId="16" fillId="0" borderId="0" xfId="0" applyFont="1" applyFill="1"/>
    <xf numFmtId="0" fontId="0" fillId="0" borderId="0" xfId="0" applyFill="1"/>
    <xf numFmtId="0" fontId="0" fillId="0" borderId="0" xfId="0" applyFont="1" applyFill="1"/>
    <xf numFmtId="0" fontId="17" fillId="0" borderId="0" xfId="0" applyFont="1" applyFill="1"/>
    <xf numFmtId="0" fontId="13" fillId="0" borderId="0" xfId="0" applyFont="1" applyFill="1" applyAlignment="1">
      <alignment horizontal="center"/>
    </xf>
    <xf numFmtId="17" fontId="13" fillId="0" borderId="0" xfId="0" applyNumberFormat="1" applyFont="1" applyFill="1" applyAlignment="1">
      <alignment horizontal="center"/>
    </xf>
    <xf numFmtId="166" fontId="0" fillId="0" borderId="0" xfId="0" applyNumberFormat="1" applyFill="1"/>
    <xf numFmtId="0" fontId="0" fillId="0" borderId="2" xfId="0" applyFill="1" applyBorder="1"/>
    <xf numFmtId="166" fontId="0" fillId="0" borderId="2" xfId="0" applyNumberFormat="1" applyFill="1" applyBorder="1"/>
    <xf numFmtId="0" fontId="12" fillId="0" borderId="0" xfId="0" applyFont="1" applyFill="1"/>
    <xf numFmtId="166" fontId="2" fillId="0" borderId="0" xfId="0" applyNumberFormat="1" applyFont="1" applyFill="1"/>
    <xf numFmtId="0" fontId="0" fillId="0" borderId="1" xfId="0" applyFill="1" applyBorder="1"/>
    <xf numFmtId="3" fontId="0" fillId="0" borderId="0" xfId="0" applyNumberFormat="1" applyFill="1"/>
    <xf numFmtId="167" fontId="0" fillId="0" borderId="0" xfId="0" applyNumberFormat="1" applyFill="1"/>
    <xf numFmtId="0" fontId="0" fillId="0" borderId="0" xfId="0" quotePrefix="1" applyFill="1"/>
    <xf numFmtId="0" fontId="12" fillId="0" borderId="0" xfId="0" applyFont="1" applyFill="1" applyAlignment="1">
      <alignment wrapText="1"/>
    </xf>
    <xf numFmtId="166" fontId="2" fillId="0" borderId="2" xfId="0" applyNumberFormat="1" applyFont="1" applyFill="1" applyBorder="1"/>
    <xf numFmtId="0" fontId="2" fillId="0" borderId="0" xfId="3" quotePrefix="1" applyBorder="1" applyAlignment="1">
      <alignment horizontal="center"/>
    </xf>
    <xf numFmtId="17" fontId="2" fillId="0" borderId="0" xfId="3" applyNumberFormat="1"/>
    <xf numFmtId="6" fontId="2" fillId="0" borderId="0" xfId="3" applyNumberFormat="1"/>
    <xf numFmtId="6" fontId="2" fillId="0" borderId="0" xfId="2" applyNumberFormat="1" applyFont="1"/>
    <xf numFmtId="6" fontId="2" fillId="0" borderId="1" xfId="3" applyNumberFormat="1" applyBorder="1"/>
    <xf numFmtId="6" fontId="2" fillId="5" borderId="0" xfId="3" applyNumberFormat="1" applyFill="1"/>
    <xf numFmtId="166" fontId="2" fillId="0" borderId="0" xfId="3" applyNumberFormat="1" applyFill="1" applyBorder="1" applyAlignment="1">
      <alignment horizontal="right"/>
    </xf>
    <xf numFmtId="3" fontId="2" fillId="0" borderId="1" xfId="3" applyNumberFormat="1" applyBorder="1" applyAlignment="1">
      <alignment horizontal="right"/>
    </xf>
    <xf numFmtId="3" fontId="2" fillId="5" borderId="0" xfId="3" applyNumberFormat="1" applyFill="1" applyBorder="1" applyAlignment="1">
      <alignment horizontal="right"/>
    </xf>
    <xf numFmtId="164" fontId="3" fillId="0" borderId="0" xfId="5" applyNumberFormat="1" applyFill="1"/>
    <xf numFmtId="0" fontId="3" fillId="0" borderId="0" xfId="5" applyFill="1" applyAlignment="1">
      <alignment horizontal="left"/>
    </xf>
    <xf numFmtId="164" fontId="18" fillId="0" borderId="0" xfId="1" applyNumberFormat="1" applyFont="1" applyFill="1"/>
    <xf numFmtId="17" fontId="2" fillId="4" borderId="0" xfId="3" applyNumberFormat="1" applyFill="1"/>
    <xf numFmtId="6" fontId="2" fillId="6" borderId="0" xfId="3" applyNumberFormat="1" applyFill="1"/>
    <xf numFmtId="3" fontId="18" fillId="0" borderId="0" xfId="5" applyNumberFormat="1" applyFont="1" applyFill="1"/>
    <xf numFmtId="0" fontId="7" fillId="4" borderId="0" xfId="5" applyFont="1" applyFill="1" applyAlignment="1">
      <alignment horizontal="centerContinuous"/>
    </xf>
    <xf numFmtId="0" fontId="15" fillId="0" borderId="0" xfId="0" applyFont="1" applyFill="1"/>
    <xf numFmtId="0" fontId="15" fillId="0" borderId="0" xfId="0" applyFont="1" applyFill="1" applyAlignment="1">
      <alignment horizontal="left"/>
    </xf>
    <xf numFmtId="6" fontId="2" fillId="0" borderId="0" xfId="3" applyNumberFormat="1" applyFill="1"/>
    <xf numFmtId="164" fontId="2" fillId="0" borderId="0" xfId="3" applyNumberFormat="1" applyFill="1"/>
    <xf numFmtId="0" fontId="2" fillId="0" borderId="0" xfId="3" applyFill="1"/>
    <xf numFmtId="166" fontId="2" fillId="0" borderId="0" xfId="3" applyNumberFormat="1"/>
    <xf numFmtId="164" fontId="0" fillId="0" borderId="0" xfId="0" applyNumberFormat="1"/>
    <xf numFmtId="164" fontId="18" fillId="0" borderId="0" xfId="5" applyNumberFormat="1" applyFont="1" applyFill="1"/>
    <xf numFmtId="167" fontId="3" fillId="0" borderId="0" xfId="5" applyNumberFormat="1" applyFill="1"/>
    <xf numFmtId="0" fontId="21" fillId="0" borderId="0" xfId="5" applyFont="1" applyFill="1"/>
    <xf numFmtId="10" fontId="15" fillId="2" borderId="0" xfId="6" applyNumberFormat="1" applyFont="1" applyFill="1" applyAlignment="1">
      <alignment horizontal="center"/>
    </xf>
    <xf numFmtId="6" fontId="2" fillId="4" borderId="0" xfId="3" applyNumberFormat="1" applyFont="1" applyFill="1"/>
    <xf numFmtId="164" fontId="2" fillId="0" borderId="0" xfId="1" applyNumberFormat="1" applyFont="1" applyFill="1"/>
    <xf numFmtId="43" fontId="2" fillId="0" borderId="0" xfId="1" applyFont="1"/>
    <xf numFmtId="0" fontId="2" fillId="0" borderId="0" xfId="3" applyFill="1" applyAlignment="1">
      <alignment horizontal="center"/>
    </xf>
    <xf numFmtId="165" fontId="2" fillId="0" borderId="0" xfId="2" applyNumberFormat="1" applyFont="1" applyFill="1"/>
    <xf numFmtId="3" fontId="2" fillId="0" borderId="0" xfId="3" applyNumberFormat="1" applyFill="1"/>
    <xf numFmtId="164" fontId="2" fillId="0" borderId="1" xfId="3" applyNumberFormat="1" applyFill="1" applyBorder="1"/>
    <xf numFmtId="0" fontId="3" fillId="0" borderId="0" xfId="5" quotePrefix="1" applyFill="1" applyAlignment="1">
      <alignment horizontal="left" vertical="top" wrapText="1"/>
    </xf>
    <xf numFmtId="0" fontId="3" fillId="0" borderId="0" xfId="5" applyFill="1" applyAlignment="1">
      <alignment horizontal="left" vertical="top" wrapText="1"/>
    </xf>
    <xf numFmtId="0" fontId="8" fillId="2" borderId="0" xfId="5" applyFont="1" applyFill="1" applyAlignment="1">
      <alignment horizontal="center"/>
    </xf>
    <xf numFmtId="0" fontId="3" fillId="0" borderId="0" xfId="5" applyAlignment="1">
      <alignment horizontal="center" wrapText="1"/>
    </xf>
    <xf numFmtId="0" fontId="3" fillId="0" borderId="0" xfId="5" applyAlignment="1">
      <alignment horizontal="center"/>
    </xf>
    <xf numFmtId="0" fontId="6" fillId="0" borderId="0" xfId="5" applyFont="1" applyAlignment="1">
      <alignment horizontal="center" wrapText="1"/>
    </xf>
    <xf numFmtId="0" fontId="7" fillId="2" borderId="0" xfId="5" applyFont="1" applyFill="1" applyAlignment="1">
      <alignment horizontal="center"/>
    </xf>
    <xf numFmtId="0" fontId="12" fillId="4" borderId="0" xfId="3" applyFont="1" applyFill="1" applyAlignment="1">
      <alignment horizontal="left" vertical="top"/>
    </xf>
    <xf numFmtId="0" fontId="2" fillId="0" borderId="0" xfId="3" applyAlignment="1">
      <alignment horizontal="center" wrapText="1"/>
    </xf>
  </cellXfs>
  <cellStyles count="8">
    <cellStyle name="Comma" xfId="1" builtinId="3"/>
    <cellStyle name="Comma 2" xfId="4"/>
    <cellStyle name="Currency" xfId="2" builtinId="4"/>
    <cellStyle name="Normal" xfId="0" builtinId="0"/>
    <cellStyle name="Normal 2" xfId="3"/>
    <cellStyle name="Normal 2 3" xfId="5"/>
    <cellStyle name="Normal 8" xfId="7"/>
    <cellStyle name="Percent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5"/>
  <sheetViews>
    <sheetView topLeftCell="A10" zoomScaleNormal="100" zoomScaleSheetLayoutView="100" workbookViewId="0">
      <selection activeCell="M33" sqref="M33"/>
    </sheetView>
  </sheetViews>
  <sheetFormatPr defaultRowHeight="15"/>
  <cols>
    <col min="1" max="1" width="34.7109375" customWidth="1"/>
    <col min="2" max="2" width="9.140625" hidden="1" customWidth="1"/>
    <col min="3" max="3" width="9.5703125" customWidth="1"/>
    <col min="4" max="4" width="10.42578125" customWidth="1"/>
    <col min="5" max="5" width="2" customWidth="1"/>
    <col min="6" max="6" width="10.85546875" bestFit="1" customWidth="1"/>
    <col min="7" max="7" width="3.7109375" customWidth="1"/>
    <col min="8" max="8" width="3.5703125" customWidth="1"/>
    <col min="9" max="9" width="1.28515625" customWidth="1"/>
    <col min="10" max="10" width="22.140625" hidden="1" customWidth="1"/>
    <col min="11" max="11" width="11.42578125" customWidth="1"/>
    <col min="12" max="12" width="7.28515625" customWidth="1"/>
    <col min="13" max="13" width="11.5703125" customWidth="1"/>
    <col min="14" max="14" width="2.42578125" customWidth="1"/>
    <col min="15" max="15" width="12.140625" customWidth="1"/>
    <col min="16" max="16" width="1.28515625" customWidth="1"/>
    <col min="17" max="17" width="15.140625" customWidth="1"/>
    <col min="18" max="18" width="1.85546875" customWidth="1"/>
    <col min="19" max="19" width="12.28515625" customWidth="1"/>
    <col min="20" max="20" width="1.5703125" customWidth="1"/>
  </cols>
  <sheetData>
    <row r="1" spans="1:20" ht="16.899999999999999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49"/>
      <c r="K1" s="157" t="s">
        <v>0</v>
      </c>
      <c r="L1" s="157"/>
      <c r="M1" s="157"/>
      <c r="N1" s="157"/>
      <c r="O1" s="157"/>
      <c r="P1" s="2"/>
      <c r="Q1" s="1"/>
      <c r="R1" s="3"/>
      <c r="S1" s="1"/>
      <c r="T1" s="2"/>
    </row>
    <row r="2" spans="1:20" ht="14.45" customHeight="1">
      <c r="A2" s="1" t="s">
        <v>46</v>
      </c>
      <c r="B2" s="1"/>
      <c r="C2" s="1"/>
      <c r="D2" s="1"/>
      <c r="E2" s="1"/>
      <c r="F2" s="1"/>
      <c r="G2" s="1"/>
      <c r="H2" s="1"/>
      <c r="I2" s="2"/>
      <c r="J2" s="8"/>
      <c r="K2" s="158" t="s">
        <v>198</v>
      </c>
      <c r="L2" s="158"/>
      <c r="M2" s="158"/>
      <c r="N2" s="158"/>
      <c r="O2" s="158"/>
      <c r="P2" s="2"/>
      <c r="Q2" s="4"/>
      <c r="R2" s="3"/>
      <c r="S2" s="92"/>
      <c r="T2" s="2"/>
    </row>
    <row r="3" spans="1:20" ht="15.75" customHeight="1">
      <c r="A3" s="1"/>
      <c r="B3" s="1"/>
      <c r="C3" s="1"/>
      <c r="D3" s="1"/>
      <c r="E3" s="1"/>
      <c r="F3" s="1"/>
      <c r="G3" s="1"/>
      <c r="H3" s="1"/>
      <c r="I3" s="2"/>
      <c r="J3" s="54"/>
      <c r="K3" s="159" t="s">
        <v>204</v>
      </c>
      <c r="L3" s="159"/>
      <c r="M3" s="159"/>
      <c r="N3" s="159"/>
      <c r="O3" s="159"/>
      <c r="P3" s="2"/>
      <c r="Q3" s="4"/>
      <c r="R3" s="3"/>
      <c r="S3" s="92" t="s">
        <v>49</v>
      </c>
      <c r="T3" s="2"/>
    </row>
    <row r="4" spans="1:20" ht="22.5" customHeight="1">
      <c r="A4" s="1"/>
      <c r="B4" s="1"/>
      <c r="C4" s="1"/>
      <c r="D4" s="1"/>
      <c r="E4" s="1"/>
      <c r="F4" s="1"/>
      <c r="G4" s="1"/>
      <c r="H4" s="1"/>
      <c r="I4" s="2"/>
      <c r="J4" s="54"/>
      <c r="K4" s="159"/>
      <c r="L4" s="159"/>
      <c r="M4" s="159"/>
      <c r="N4" s="159"/>
      <c r="O4" s="159"/>
      <c r="P4" s="2"/>
      <c r="Q4" s="4"/>
      <c r="R4" s="3"/>
      <c r="S4" s="135">
        <v>2.1800000000000002</v>
      </c>
      <c r="T4" s="2"/>
    </row>
    <row r="5" spans="1:20" ht="16.149999999999999" customHeight="1">
      <c r="A5" s="5" t="s">
        <v>189</v>
      </c>
      <c r="B5" s="1"/>
      <c r="C5" s="1"/>
      <c r="D5" s="1"/>
      <c r="E5" s="1"/>
      <c r="F5" s="1"/>
      <c r="G5" s="1"/>
      <c r="H5" s="1"/>
      <c r="I5" s="2"/>
      <c r="J5" s="50"/>
      <c r="K5" s="159"/>
      <c r="L5" s="159"/>
      <c r="M5" s="159"/>
      <c r="N5" s="159"/>
      <c r="O5" s="159"/>
      <c r="P5" s="2"/>
      <c r="Q5" s="4" t="s">
        <v>1</v>
      </c>
      <c r="R5" s="3"/>
      <c r="S5" s="92" t="s">
        <v>2</v>
      </c>
      <c r="T5" s="2"/>
    </row>
    <row r="6" spans="1:20">
      <c r="A6" s="160" t="s">
        <v>190</v>
      </c>
      <c r="B6" s="160"/>
      <c r="C6" s="160"/>
      <c r="D6" s="160"/>
      <c r="E6" s="160"/>
      <c r="F6" s="160"/>
      <c r="G6" s="160"/>
      <c r="H6" s="160"/>
      <c r="I6" s="2"/>
      <c r="J6" s="160" t="s">
        <v>192</v>
      </c>
      <c r="K6" s="160"/>
      <c r="L6" s="160"/>
      <c r="M6" s="160"/>
      <c r="N6" s="160"/>
      <c r="O6" s="160"/>
      <c r="P6" s="2"/>
      <c r="Q6" s="51" t="s">
        <v>3</v>
      </c>
      <c r="R6" s="3"/>
      <c r="S6" s="91" t="s">
        <v>4</v>
      </c>
      <c r="T6" s="2"/>
    </row>
    <row r="7" spans="1:20" ht="30.6" customHeight="1">
      <c r="A7" s="2"/>
      <c r="B7" s="2"/>
      <c r="C7" s="95"/>
      <c r="D7" s="94" t="s">
        <v>191</v>
      </c>
      <c r="E7" s="95"/>
      <c r="F7" s="96"/>
      <c r="G7" s="6"/>
      <c r="H7" s="7"/>
      <c r="I7" s="2"/>
      <c r="J7" s="2"/>
      <c r="K7" s="156" t="s">
        <v>193</v>
      </c>
      <c r="L7" s="156"/>
      <c r="M7" s="156"/>
      <c r="N7" s="156"/>
      <c r="O7" s="156"/>
      <c r="P7" s="2"/>
      <c r="Q7" s="62" t="s">
        <v>194</v>
      </c>
      <c r="R7" s="3"/>
      <c r="S7" s="93" t="s">
        <v>194</v>
      </c>
      <c r="T7" s="2"/>
    </row>
    <row r="8" spans="1:20">
      <c r="A8" s="3"/>
      <c r="B8" s="3"/>
      <c r="C8" s="3"/>
      <c r="D8" s="8" t="s">
        <v>5</v>
      </c>
      <c r="E8" s="8"/>
      <c r="F8" s="8" t="s">
        <v>6</v>
      </c>
      <c r="G8" s="9"/>
      <c r="H8" s="3"/>
      <c r="I8" s="2"/>
      <c r="J8" s="3"/>
      <c r="K8" s="3"/>
      <c r="L8" s="3"/>
      <c r="M8" s="8" t="s">
        <v>5</v>
      </c>
      <c r="N8" s="8"/>
      <c r="O8" s="8" t="s">
        <v>6</v>
      </c>
      <c r="P8" s="2"/>
      <c r="Q8" s="8" t="s">
        <v>5</v>
      </c>
      <c r="R8" s="3"/>
      <c r="S8" s="8" t="s">
        <v>6</v>
      </c>
      <c r="T8" s="2"/>
    </row>
    <row r="9" spans="1:20">
      <c r="A9" s="3"/>
      <c r="B9" s="3"/>
      <c r="C9" s="3"/>
      <c r="D9" s="8" t="s">
        <v>7</v>
      </c>
      <c r="E9" s="8"/>
      <c r="F9" s="8" t="s">
        <v>8</v>
      </c>
      <c r="G9" s="9"/>
      <c r="H9" s="3"/>
      <c r="I9" s="2"/>
      <c r="J9" s="3"/>
      <c r="K9" s="3"/>
      <c r="L9" s="3"/>
      <c r="M9" s="8" t="s">
        <v>7</v>
      </c>
      <c r="N9" s="8"/>
      <c r="O9" s="8" t="s">
        <v>8</v>
      </c>
      <c r="P9" s="2"/>
      <c r="Q9" s="8" t="s">
        <v>7</v>
      </c>
      <c r="R9" s="3"/>
      <c r="S9" s="8" t="s">
        <v>8</v>
      </c>
      <c r="T9" s="2"/>
    </row>
    <row r="10" spans="1:20">
      <c r="A10" s="3"/>
      <c r="B10" s="3"/>
      <c r="C10" s="3"/>
      <c r="D10" s="10" t="s">
        <v>9</v>
      </c>
      <c r="E10" s="10"/>
      <c r="F10" s="10" t="s">
        <v>10</v>
      </c>
      <c r="G10" s="11"/>
      <c r="H10" s="3"/>
      <c r="I10" s="2"/>
      <c r="J10" s="3"/>
      <c r="K10" s="3"/>
      <c r="L10" s="3"/>
      <c r="M10" s="10" t="s">
        <v>9</v>
      </c>
      <c r="N10" s="10"/>
      <c r="O10" s="10" t="s">
        <v>10</v>
      </c>
      <c r="P10" s="2"/>
      <c r="Q10" s="10" t="s">
        <v>9</v>
      </c>
      <c r="R10" s="3"/>
      <c r="S10" s="10" t="s">
        <v>10</v>
      </c>
      <c r="T10" s="2"/>
    </row>
    <row r="11" spans="1:20">
      <c r="A11" s="3" t="s">
        <v>11</v>
      </c>
      <c r="B11" s="3"/>
      <c r="C11" s="3"/>
      <c r="D11" s="3"/>
      <c r="E11" s="12"/>
      <c r="F11" s="13">
        <v>0.65390000000000004</v>
      </c>
      <c r="G11" s="14"/>
      <c r="H11" s="15"/>
      <c r="I11" s="2"/>
      <c r="J11" s="3" t="s">
        <v>11</v>
      </c>
      <c r="K11" s="3"/>
      <c r="L11" s="3"/>
      <c r="M11" s="3"/>
      <c r="N11" s="16" t="s">
        <v>12</v>
      </c>
      <c r="O11" s="146">
        <f>'Monthly Authorized'!E51</f>
        <v>0.6573</v>
      </c>
      <c r="P11" s="2"/>
      <c r="Q11" s="3"/>
      <c r="R11" s="3"/>
      <c r="S11" s="15"/>
      <c r="T11" s="2"/>
    </row>
    <row r="12" spans="1:20">
      <c r="A12" s="3"/>
      <c r="B12" s="3"/>
      <c r="C12" s="3"/>
      <c r="D12" s="3"/>
      <c r="E12" s="3"/>
      <c r="F12" s="3"/>
      <c r="G12" s="9"/>
      <c r="H12" s="3"/>
      <c r="I12" s="2"/>
      <c r="J12" s="3"/>
      <c r="K12" s="3"/>
      <c r="L12" s="3"/>
      <c r="M12" s="3"/>
      <c r="N12" s="3"/>
      <c r="O12" s="3"/>
      <c r="P12" s="2"/>
      <c r="Q12" s="3"/>
      <c r="R12" s="3"/>
      <c r="S12" s="3"/>
      <c r="T12" s="2"/>
    </row>
    <row r="13" spans="1:20">
      <c r="A13" s="3" t="s">
        <v>13</v>
      </c>
      <c r="B13" s="3"/>
      <c r="C13" s="3"/>
      <c r="D13" s="20">
        <f>'12.2018 Actual'!D95</f>
        <v>91755</v>
      </c>
      <c r="E13" s="17"/>
      <c r="F13" s="17">
        <f>F$11*D13</f>
        <v>59998.594500000007</v>
      </c>
      <c r="G13" s="18"/>
      <c r="H13" s="17"/>
      <c r="I13" s="2"/>
      <c r="J13" s="19" t="s">
        <v>13</v>
      </c>
      <c r="K13" s="19"/>
      <c r="L13" s="19"/>
      <c r="M13" s="20">
        <f>ROUND('Monthly Authorized'!B19/1000,0)</f>
        <v>54104</v>
      </c>
      <c r="N13" s="20"/>
      <c r="O13" s="20">
        <f>O$11*M13</f>
        <v>35562.559200000003</v>
      </c>
      <c r="P13" s="2"/>
      <c r="Q13" s="17">
        <f>M13-D13</f>
        <v>-37651</v>
      </c>
      <c r="R13" s="3"/>
      <c r="S13" s="17">
        <f>O13-F13</f>
        <v>-24436.035300000003</v>
      </c>
      <c r="T13" s="2"/>
    </row>
    <row r="14" spans="1:20" hidden="1">
      <c r="A14" s="3" t="s">
        <v>14</v>
      </c>
      <c r="B14" s="3"/>
      <c r="C14" s="59" t="s">
        <v>47</v>
      </c>
      <c r="D14" s="56"/>
      <c r="E14" s="56"/>
      <c r="F14" s="56">
        <f>F$11*D14</f>
        <v>0</v>
      </c>
      <c r="G14" s="57"/>
      <c r="H14" s="58"/>
      <c r="I14" s="59"/>
      <c r="J14" s="59" t="s">
        <v>14</v>
      </c>
      <c r="K14" s="59"/>
      <c r="L14" s="59"/>
      <c r="M14" s="20">
        <v>0</v>
      </c>
      <c r="N14" s="56"/>
      <c r="O14" s="56">
        <f>O$11*M14</f>
        <v>0</v>
      </c>
      <c r="P14" s="59"/>
      <c r="Q14" s="60"/>
      <c r="R14" s="59"/>
      <c r="S14" s="60"/>
      <c r="T14" s="59"/>
    </row>
    <row r="15" spans="1:20" hidden="1">
      <c r="A15" s="3" t="s">
        <v>15</v>
      </c>
      <c r="B15" s="3"/>
      <c r="C15" s="3"/>
      <c r="D15" s="21">
        <v>0</v>
      </c>
      <c r="E15" s="21"/>
      <c r="F15" s="21">
        <f>F$11*D15</f>
        <v>0</v>
      </c>
      <c r="G15" s="22"/>
      <c r="H15" s="17"/>
      <c r="I15" s="2"/>
      <c r="J15" s="19" t="s">
        <v>15</v>
      </c>
      <c r="K15" s="19"/>
      <c r="L15" s="19"/>
      <c r="M15" s="20"/>
      <c r="N15" s="23"/>
      <c r="O15" s="23">
        <f>O$11*M15</f>
        <v>0</v>
      </c>
      <c r="P15" s="2"/>
      <c r="Q15" s="24">
        <f t="shared" ref="Q15:Q19" si="0">M15-D15</f>
        <v>0</v>
      </c>
      <c r="R15" s="3"/>
      <c r="S15" s="24">
        <f t="shared" ref="S15:S20" si="1">O15-F15</f>
        <v>0</v>
      </c>
      <c r="T15" s="2"/>
    </row>
    <row r="16" spans="1:20">
      <c r="A16" s="3" t="s">
        <v>16</v>
      </c>
      <c r="B16" s="3"/>
      <c r="C16" s="3" t="s">
        <v>9</v>
      </c>
      <c r="D16" s="23">
        <f>'12.2018 Actual'!E108-D17-D18</f>
        <v>18082.488000000001</v>
      </c>
      <c r="E16" s="21"/>
      <c r="F16" s="21">
        <f>F$11*D16</f>
        <v>11824.138903200001</v>
      </c>
      <c r="G16" s="22"/>
      <c r="H16" s="25"/>
      <c r="I16" s="2"/>
      <c r="J16" s="19" t="s">
        <v>16</v>
      </c>
      <c r="K16" s="19"/>
      <c r="L16" s="19"/>
      <c r="M16" s="129">
        <f>'Monthly Authorized'!B25/1000-M17-M18</f>
        <v>15149.484</v>
      </c>
      <c r="N16" s="23"/>
      <c r="O16" s="23">
        <f>O$11*M16</f>
        <v>9957.7558332000008</v>
      </c>
      <c r="P16" s="2"/>
      <c r="Q16" s="24">
        <f t="shared" si="0"/>
        <v>-2933.0040000000008</v>
      </c>
      <c r="R16" s="3"/>
      <c r="S16" s="24">
        <f t="shared" si="1"/>
        <v>-1866.3830699999999</v>
      </c>
      <c r="T16" s="2"/>
    </row>
    <row r="17" spans="1:20">
      <c r="A17" s="3" t="s">
        <v>16</v>
      </c>
      <c r="B17" s="3"/>
      <c r="C17" s="3" t="s">
        <v>17</v>
      </c>
      <c r="D17" s="134">
        <v>105</v>
      </c>
      <c r="E17" s="21"/>
      <c r="F17" s="22">
        <f>D17</f>
        <v>105</v>
      </c>
      <c r="G17" s="22"/>
      <c r="H17" s="26"/>
      <c r="I17" s="2"/>
      <c r="J17" s="19" t="s">
        <v>16</v>
      </c>
      <c r="K17" s="19"/>
      <c r="L17" s="19"/>
      <c r="M17" s="23"/>
      <c r="N17" s="23"/>
      <c r="O17" s="27">
        <f>M17</f>
        <v>0</v>
      </c>
      <c r="P17" s="2"/>
      <c r="Q17" s="24">
        <f t="shared" si="0"/>
        <v>-105</v>
      </c>
      <c r="R17" s="3"/>
      <c r="S17" s="24">
        <f t="shared" si="1"/>
        <v>-105</v>
      </c>
      <c r="T17" s="2"/>
    </row>
    <row r="18" spans="1:20">
      <c r="A18" s="3" t="s">
        <v>16</v>
      </c>
      <c r="B18" s="3"/>
      <c r="C18" s="3" t="s">
        <v>18</v>
      </c>
      <c r="D18" s="134">
        <v>51</v>
      </c>
      <c r="E18" s="21"/>
      <c r="F18" s="22">
        <v>0</v>
      </c>
      <c r="G18" s="22"/>
      <c r="H18" s="26"/>
      <c r="I18" s="2"/>
      <c r="J18" s="19" t="s">
        <v>16</v>
      </c>
      <c r="K18" s="19"/>
      <c r="L18" s="19"/>
      <c r="M18" s="23"/>
      <c r="N18" s="23"/>
      <c r="O18" s="27">
        <v>0</v>
      </c>
      <c r="P18" s="2"/>
      <c r="Q18" s="24">
        <f t="shared" si="0"/>
        <v>-51</v>
      </c>
      <c r="R18" s="3"/>
      <c r="S18" s="24">
        <f t="shared" si="1"/>
        <v>0</v>
      </c>
      <c r="T18" s="2"/>
    </row>
    <row r="19" spans="1:20" ht="13.9" customHeight="1">
      <c r="A19" s="3" t="s">
        <v>19</v>
      </c>
      <c r="B19" s="3"/>
      <c r="C19" s="3"/>
      <c r="D19" s="21">
        <f>'12.2018 Actual'!D107</f>
        <v>74935.922000000006</v>
      </c>
      <c r="E19" s="21"/>
      <c r="F19" s="21">
        <f>F$11*D19</f>
        <v>49000.599395800004</v>
      </c>
      <c r="G19" s="22"/>
      <c r="H19" s="17"/>
      <c r="I19" s="2"/>
      <c r="J19" s="19" t="s">
        <v>19</v>
      </c>
      <c r="K19" s="19"/>
      <c r="L19" s="19"/>
      <c r="M19" s="28">
        <f>0-M20</f>
        <v>0</v>
      </c>
      <c r="N19" s="23"/>
      <c r="O19" s="23">
        <f>O$11*M19</f>
        <v>0</v>
      </c>
      <c r="P19" s="2"/>
      <c r="Q19" s="24">
        <f t="shared" si="0"/>
        <v>-74935.922000000006</v>
      </c>
      <c r="R19" s="3"/>
      <c r="S19" s="24">
        <f t="shared" si="1"/>
        <v>-49000.599395800004</v>
      </c>
      <c r="T19" s="2"/>
    </row>
    <row r="20" spans="1:20" ht="0.6" customHeight="1">
      <c r="A20" s="3" t="s">
        <v>20</v>
      </c>
      <c r="B20" s="3"/>
      <c r="C20" s="3"/>
      <c r="D20" s="29">
        <v>0</v>
      </c>
      <c r="E20" s="22"/>
      <c r="F20" s="29">
        <f>D20</f>
        <v>0</v>
      </c>
      <c r="G20" s="22"/>
      <c r="H20" s="17"/>
      <c r="I20" s="2"/>
      <c r="J20" s="19" t="s">
        <v>20</v>
      </c>
      <c r="K20" s="19"/>
      <c r="L20" s="19"/>
      <c r="M20" s="30">
        <v>0</v>
      </c>
      <c r="N20" s="27"/>
      <c r="O20" s="30">
        <f>M20</f>
        <v>0</v>
      </c>
      <c r="P20" s="2"/>
      <c r="Q20" s="29"/>
      <c r="R20" s="3"/>
      <c r="S20" s="31">
        <f t="shared" si="1"/>
        <v>0</v>
      </c>
      <c r="T20" s="2"/>
    </row>
    <row r="21" spans="1:20">
      <c r="A21" s="3" t="s">
        <v>21</v>
      </c>
      <c r="B21" s="3"/>
      <c r="C21" s="3"/>
      <c r="D21" s="52">
        <f>SUM(D13:D20)</f>
        <v>184929.41</v>
      </c>
      <c r="E21" s="22"/>
      <c r="F21" s="52">
        <f>SUM(F13:F20)</f>
        <v>120928.33279900001</v>
      </c>
      <c r="G21" s="22"/>
      <c r="H21" s="17"/>
      <c r="I21" s="2"/>
      <c r="J21" s="19" t="s">
        <v>21</v>
      </c>
      <c r="K21" s="19"/>
      <c r="L21" s="19"/>
      <c r="M21" s="61">
        <f>SUM(M13:M20)</f>
        <v>69253.483999999997</v>
      </c>
      <c r="N21" s="27"/>
      <c r="O21" s="61">
        <f>SUM(O13:O20)</f>
        <v>45520.315033200008</v>
      </c>
      <c r="P21" s="2"/>
      <c r="Q21" s="52">
        <f>SUM(Q13:Q20)</f>
        <v>-115675.92600000001</v>
      </c>
      <c r="R21" s="3"/>
      <c r="S21" s="52">
        <f>SUM(S13:S20)</f>
        <v>-75408.017765800003</v>
      </c>
      <c r="T21" s="2"/>
    </row>
    <row r="22" spans="1:20" ht="12" customHeight="1">
      <c r="A22" s="3"/>
      <c r="B22" s="3"/>
      <c r="C22" s="3"/>
      <c r="D22" s="21"/>
      <c r="E22" s="22"/>
      <c r="F22" s="21"/>
      <c r="G22" s="22"/>
      <c r="H22" s="17"/>
      <c r="I22" s="2"/>
      <c r="J22" s="19"/>
      <c r="K22" s="19"/>
      <c r="L22" s="19"/>
      <c r="M22" s="23"/>
      <c r="N22" s="27"/>
      <c r="O22" s="23"/>
      <c r="P22" s="2"/>
      <c r="Q22" s="21"/>
      <c r="R22" s="3"/>
      <c r="S22" s="21"/>
      <c r="T22" s="2"/>
    </row>
    <row r="23" spans="1:20" ht="14.45" customHeight="1">
      <c r="A23" s="3"/>
      <c r="B23" s="3"/>
      <c r="C23" s="3"/>
      <c r="D23" s="21"/>
      <c r="E23" s="22"/>
      <c r="F23" s="21"/>
      <c r="G23" s="22"/>
      <c r="H23" s="17"/>
      <c r="I23" s="2"/>
      <c r="J23" s="19"/>
      <c r="K23" s="19"/>
      <c r="L23" s="19"/>
      <c r="M23" s="23"/>
      <c r="N23" s="27"/>
      <c r="O23" s="23"/>
      <c r="P23" s="2"/>
      <c r="Q23" s="21"/>
      <c r="R23" s="3"/>
      <c r="S23" s="21"/>
      <c r="T23" s="2"/>
    </row>
    <row r="24" spans="1:20">
      <c r="A24" s="3" t="s">
        <v>22</v>
      </c>
      <c r="B24" s="3"/>
      <c r="C24" s="3"/>
      <c r="D24" s="23">
        <f>'12.2018 Actual'!D47</f>
        <v>26090</v>
      </c>
      <c r="E24" s="22"/>
      <c r="F24" s="21">
        <f t="shared" ref="F24:F32" si="2">F$11*D24</f>
        <v>17060.251</v>
      </c>
      <c r="G24" s="22"/>
      <c r="H24" s="17"/>
      <c r="I24" s="2"/>
      <c r="J24" s="19" t="s">
        <v>22</v>
      </c>
      <c r="K24" s="19"/>
      <c r="L24" s="19"/>
      <c r="M24" s="129">
        <f>'Monthly Authorized'!B15/1000</f>
        <v>28873.933000000001</v>
      </c>
      <c r="N24" s="27"/>
      <c r="O24" s="23">
        <f t="shared" ref="O24:O28" si="3">O$11*M24</f>
        <v>18978.836160900002</v>
      </c>
      <c r="P24" s="2"/>
      <c r="Q24" s="17">
        <f>M24-D24</f>
        <v>2783.9330000000009</v>
      </c>
      <c r="R24" s="3"/>
      <c r="S24" s="17">
        <f>O24-F24</f>
        <v>1918.5851609000019</v>
      </c>
      <c r="T24" s="2"/>
    </row>
    <row r="25" spans="1:20" ht="18" hidden="1" customHeight="1">
      <c r="A25" s="3" t="s">
        <v>23</v>
      </c>
      <c r="B25" s="3"/>
      <c r="C25" s="3"/>
      <c r="D25" s="23">
        <v>0</v>
      </c>
      <c r="E25" s="22"/>
      <c r="F25" s="21">
        <f t="shared" si="2"/>
        <v>0</v>
      </c>
      <c r="G25" s="22"/>
      <c r="H25" s="17"/>
      <c r="I25" s="2"/>
      <c r="J25" s="19" t="s">
        <v>23</v>
      </c>
      <c r="K25" s="19"/>
      <c r="L25" s="19"/>
      <c r="M25" s="129"/>
      <c r="N25" s="27"/>
      <c r="O25" s="23">
        <f t="shared" si="3"/>
        <v>0</v>
      </c>
      <c r="P25" s="2"/>
      <c r="Q25" s="21"/>
      <c r="R25" s="3"/>
      <c r="S25" s="24">
        <f t="shared" ref="S25:S34" si="4">O25-F25</f>
        <v>0</v>
      </c>
      <c r="T25" s="2"/>
    </row>
    <row r="26" spans="1:20">
      <c r="A26" s="3" t="s">
        <v>24</v>
      </c>
      <c r="B26" s="3"/>
      <c r="C26" s="3"/>
      <c r="D26" s="23">
        <f>'12.2018 Actual'!D61</f>
        <v>63239</v>
      </c>
      <c r="E26" s="22"/>
      <c r="F26" s="21">
        <f t="shared" si="2"/>
        <v>41351.982100000001</v>
      </c>
      <c r="G26" s="22"/>
      <c r="H26" s="17"/>
      <c r="I26" s="2"/>
      <c r="J26" s="19" t="s">
        <v>24</v>
      </c>
      <c r="K26" s="19"/>
      <c r="L26" s="19"/>
      <c r="M26" s="129">
        <f>'Monthly Authorized'!B17/1000</f>
        <v>70067.290999999997</v>
      </c>
      <c r="N26" s="27"/>
      <c r="O26" s="23">
        <f t="shared" si="3"/>
        <v>46055.230374300001</v>
      </c>
      <c r="P26" s="2"/>
      <c r="Q26" s="24">
        <f t="shared" ref="Q26:Q28" si="5">M26-D26</f>
        <v>6828.2909999999974</v>
      </c>
      <c r="R26" s="3"/>
      <c r="S26" s="24">
        <f t="shared" si="4"/>
        <v>4703.2482743</v>
      </c>
      <c r="T26" s="2"/>
    </row>
    <row r="27" spans="1:20" ht="13.9" hidden="1" customHeight="1">
      <c r="A27" s="3" t="s">
        <v>25</v>
      </c>
      <c r="B27" s="3"/>
      <c r="C27" s="59" t="s">
        <v>47</v>
      </c>
      <c r="D27" s="56"/>
      <c r="E27" s="56"/>
      <c r="F27" s="56">
        <f t="shared" si="2"/>
        <v>0</v>
      </c>
      <c r="G27" s="57"/>
      <c r="H27" s="58"/>
      <c r="I27" s="59"/>
      <c r="J27" s="59" t="s">
        <v>25</v>
      </c>
      <c r="K27" s="59"/>
      <c r="L27" s="59"/>
      <c r="M27" s="129"/>
      <c r="N27" s="56"/>
      <c r="O27" s="56">
        <f t="shared" si="3"/>
        <v>0</v>
      </c>
      <c r="P27" s="59"/>
      <c r="Q27" s="60"/>
      <c r="R27" s="59"/>
      <c r="S27" s="60"/>
      <c r="T27" s="59"/>
    </row>
    <row r="28" spans="1:20">
      <c r="A28" s="3" t="s">
        <v>26</v>
      </c>
      <c r="B28" s="3"/>
      <c r="C28" s="3"/>
      <c r="D28" s="23">
        <f>'12.2018 Actual'!D27</f>
        <v>136242</v>
      </c>
      <c r="E28" s="22"/>
      <c r="F28" s="21">
        <f t="shared" si="2"/>
        <v>89088.643800000005</v>
      </c>
      <c r="G28" s="22"/>
      <c r="H28" s="17"/>
      <c r="I28" s="2"/>
      <c r="J28" s="19" t="s">
        <v>26</v>
      </c>
      <c r="K28" s="19"/>
      <c r="L28" s="19"/>
      <c r="M28" s="129">
        <f>'Monthly Authorized'!B13/1000</f>
        <v>111395.052</v>
      </c>
      <c r="N28" s="27"/>
      <c r="O28" s="23">
        <f t="shared" si="3"/>
        <v>73219.967679599999</v>
      </c>
      <c r="P28" s="2"/>
      <c r="Q28" s="24">
        <f t="shared" si="5"/>
        <v>-24846.948000000004</v>
      </c>
      <c r="R28" s="3"/>
      <c r="S28" s="24">
        <f t="shared" si="4"/>
        <v>-15868.676120400007</v>
      </c>
      <c r="T28" s="2"/>
    </row>
    <row r="29" spans="1:20" hidden="1">
      <c r="A29" s="3" t="s">
        <v>27</v>
      </c>
      <c r="B29" s="3"/>
      <c r="C29" s="3"/>
      <c r="D29" s="21">
        <v>0</v>
      </c>
      <c r="E29" s="22"/>
      <c r="F29" s="23">
        <v>0</v>
      </c>
      <c r="G29" s="22"/>
      <c r="H29" s="3"/>
      <c r="I29" s="2"/>
      <c r="J29" s="19" t="s">
        <v>27</v>
      </c>
      <c r="K29" s="19"/>
      <c r="L29" s="19"/>
      <c r="M29" s="129"/>
      <c r="N29" s="27"/>
      <c r="O29" s="23">
        <v>0</v>
      </c>
      <c r="P29" s="2"/>
      <c r="Q29" s="21"/>
      <c r="R29" s="3"/>
      <c r="S29" s="24">
        <f t="shared" si="4"/>
        <v>0</v>
      </c>
      <c r="T29" s="2"/>
    </row>
    <row r="30" spans="1:20" ht="13.15" hidden="1" customHeight="1">
      <c r="A30" s="3" t="s">
        <v>28</v>
      </c>
      <c r="B30" s="3"/>
      <c r="C30" s="3"/>
      <c r="D30" s="21">
        <v>0</v>
      </c>
      <c r="E30" s="22"/>
      <c r="F30" s="21">
        <f t="shared" si="2"/>
        <v>0</v>
      </c>
      <c r="G30" s="22"/>
      <c r="H30" s="17"/>
      <c r="I30" s="2"/>
      <c r="J30" s="19" t="s">
        <v>28</v>
      </c>
      <c r="K30" s="19"/>
      <c r="L30" s="19"/>
      <c r="M30" s="129"/>
      <c r="N30" s="27"/>
      <c r="O30" s="23">
        <f t="shared" ref="O30:O32" si="6">O$11*M30</f>
        <v>0</v>
      </c>
      <c r="P30" s="2"/>
      <c r="Q30" s="21"/>
      <c r="R30" s="3"/>
      <c r="S30" s="24">
        <f t="shared" si="4"/>
        <v>0</v>
      </c>
      <c r="T30" s="2"/>
    </row>
    <row r="31" spans="1:20" ht="14.45" hidden="1" customHeight="1">
      <c r="A31" s="3" t="s">
        <v>29</v>
      </c>
      <c r="B31" s="3"/>
      <c r="C31" s="59" t="s">
        <v>47</v>
      </c>
      <c r="D31" s="56"/>
      <c r="E31" s="56"/>
      <c r="F31" s="56">
        <f t="shared" si="2"/>
        <v>0</v>
      </c>
      <c r="G31" s="57"/>
      <c r="H31" s="58"/>
      <c r="I31" s="59"/>
      <c r="J31" s="59" t="s">
        <v>29</v>
      </c>
      <c r="K31" s="59"/>
      <c r="L31" s="59"/>
      <c r="M31" s="129"/>
      <c r="N31" s="56"/>
      <c r="O31" s="56">
        <f t="shared" si="6"/>
        <v>0</v>
      </c>
      <c r="P31" s="59"/>
      <c r="Q31" s="60"/>
      <c r="R31" s="59"/>
      <c r="S31" s="60"/>
      <c r="T31" s="59"/>
    </row>
    <row r="32" spans="1:20">
      <c r="A32" s="3" t="s">
        <v>30</v>
      </c>
      <c r="B32" s="3"/>
      <c r="C32" s="3"/>
      <c r="D32" s="21">
        <f>'12.2018 Actual'!D40-D33</f>
        <v>58595</v>
      </c>
      <c r="E32" s="22"/>
      <c r="F32" s="21">
        <f t="shared" si="2"/>
        <v>38315.270499999999</v>
      </c>
      <c r="G32" s="22"/>
      <c r="H32" s="17"/>
      <c r="I32" s="2"/>
      <c r="J32" s="19" t="s">
        <v>30</v>
      </c>
      <c r="K32" s="19"/>
      <c r="L32" s="19"/>
      <c r="M32" s="129">
        <f>'Monthly Authorized'!B27/1000</f>
        <v>411</v>
      </c>
      <c r="N32" s="27"/>
      <c r="O32" s="23">
        <f t="shared" si="6"/>
        <v>270.15030000000002</v>
      </c>
      <c r="P32" s="2"/>
      <c r="Q32" s="24">
        <f t="shared" ref="Q32:Q34" si="7">M32-D32</f>
        <v>-58184</v>
      </c>
      <c r="R32" s="3"/>
      <c r="S32" s="24">
        <f t="shared" si="4"/>
        <v>-38045.120199999998</v>
      </c>
      <c r="T32" s="2"/>
    </row>
    <row r="33" spans="1:20">
      <c r="A33" s="3" t="s">
        <v>31</v>
      </c>
      <c r="B33" s="3"/>
      <c r="C33" s="3"/>
      <c r="D33" s="21">
        <f>'12.2018 Actual'!D31</f>
        <v>0</v>
      </c>
      <c r="E33" s="22"/>
      <c r="F33" s="23">
        <f>D33</f>
        <v>0</v>
      </c>
      <c r="G33" s="22"/>
      <c r="H33" s="33"/>
      <c r="I33" s="2"/>
      <c r="J33" s="19" t="s">
        <v>31</v>
      </c>
      <c r="K33" s="19"/>
      <c r="L33" s="34" t="s">
        <v>32</v>
      </c>
      <c r="M33" s="23">
        <f>ROUND('Monthly Authorized'!B33/1000,0)+ROUND((M55+K55)/1000,0)</f>
        <v>-2363</v>
      </c>
      <c r="N33" s="27"/>
      <c r="O33" s="23">
        <f>M33</f>
        <v>-2363</v>
      </c>
      <c r="P33" s="2"/>
      <c r="Q33" s="24">
        <f t="shared" si="7"/>
        <v>-2363</v>
      </c>
      <c r="R33" s="3"/>
      <c r="S33" s="24">
        <f t="shared" si="4"/>
        <v>-2363</v>
      </c>
      <c r="T33" s="2"/>
    </row>
    <row r="34" spans="1:20">
      <c r="A34" s="3" t="s">
        <v>33</v>
      </c>
      <c r="B34" s="3"/>
      <c r="C34" s="3"/>
      <c r="D34" s="23">
        <f>'12.2018 Actual'!D77</f>
        <v>17529</v>
      </c>
      <c r="E34" s="22"/>
      <c r="F34" s="21">
        <f>F$11*D34</f>
        <v>11462.213100000001</v>
      </c>
      <c r="G34" s="22"/>
      <c r="H34" s="17"/>
      <c r="I34" s="2"/>
      <c r="J34" s="19" t="s">
        <v>33</v>
      </c>
      <c r="K34" s="19"/>
      <c r="L34" s="19"/>
      <c r="M34" s="129">
        <f>'Monthly Authorized'!B23/1000</f>
        <v>17404.327000000001</v>
      </c>
      <c r="N34" s="27"/>
      <c r="O34" s="23">
        <f>O$11*M34</f>
        <v>11439.864137100001</v>
      </c>
      <c r="P34" s="2"/>
      <c r="Q34" s="55">
        <f t="shared" si="7"/>
        <v>-124.67299999999886</v>
      </c>
      <c r="R34" s="3"/>
      <c r="S34" s="24">
        <f t="shared" si="4"/>
        <v>-22.348962899999606</v>
      </c>
      <c r="T34" s="2"/>
    </row>
    <row r="35" spans="1:20" ht="18.600000000000001" hidden="1" customHeight="1">
      <c r="A35" s="3" t="s">
        <v>43</v>
      </c>
      <c r="B35" s="3"/>
      <c r="C35" s="59" t="s">
        <v>47</v>
      </c>
      <c r="D35" s="56"/>
      <c r="E35" s="56"/>
      <c r="F35" s="56">
        <f>F$11*D35</f>
        <v>0</v>
      </c>
      <c r="G35" s="57"/>
      <c r="H35" s="58"/>
      <c r="I35" s="59"/>
      <c r="J35" s="59"/>
      <c r="K35" s="59"/>
      <c r="L35" s="59"/>
      <c r="M35" s="56"/>
      <c r="N35" s="56"/>
      <c r="O35" s="56">
        <f>O$11*M35</f>
        <v>0</v>
      </c>
      <c r="P35" s="59"/>
      <c r="Q35" s="60"/>
      <c r="R35" s="59"/>
      <c r="S35" s="60"/>
      <c r="T35" s="59"/>
    </row>
    <row r="36" spans="1:20" ht="18.600000000000001" hidden="1" customHeight="1">
      <c r="A36" s="3" t="s">
        <v>45</v>
      </c>
      <c r="B36" s="3"/>
      <c r="C36" s="59" t="s">
        <v>47</v>
      </c>
      <c r="D36" s="56"/>
      <c r="E36" s="56"/>
      <c r="F36" s="56">
        <f t="shared" ref="F36:F37" si="8">F$11*D36</f>
        <v>0</v>
      </c>
      <c r="G36" s="57"/>
      <c r="H36" s="58"/>
      <c r="I36" s="59"/>
      <c r="J36" s="59"/>
      <c r="K36" s="59"/>
      <c r="L36" s="59"/>
      <c r="M36" s="56"/>
      <c r="N36" s="56"/>
      <c r="O36" s="56">
        <f>O$11*M36</f>
        <v>0</v>
      </c>
      <c r="P36" s="59"/>
      <c r="Q36" s="60"/>
      <c r="R36" s="59"/>
      <c r="S36" s="60"/>
      <c r="T36" s="59"/>
    </row>
    <row r="37" spans="1:20" ht="14.45" hidden="1" customHeight="1">
      <c r="A37" s="3" t="s">
        <v>44</v>
      </c>
      <c r="B37" s="3"/>
      <c r="C37" s="59" t="s">
        <v>47</v>
      </c>
      <c r="D37" s="56"/>
      <c r="E37" s="56"/>
      <c r="F37" s="56">
        <f t="shared" si="8"/>
        <v>0</v>
      </c>
      <c r="G37" s="57"/>
      <c r="H37" s="58"/>
      <c r="I37" s="59"/>
      <c r="J37" s="59"/>
      <c r="K37" s="59"/>
      <c r="L37" s="59"/>
      <c r="M37" s="56"/>
      <c r="N37" s="56"/>
      <c r="O37" s="56">
        <f>O$11*M37</f>
        <v>0</v>
      </c>
      <c r="P37" s="59"/>
      <c r="Q37" s="60"/>
      <c r="R37" s="59"/>
      <c r="S37" s="60"/>
      <c r="T37" s="59"/>
    </row>
    <row r="38" spans="1:20">
      <c r="A38" s="3" t="s">
        <v>34</v>
      </c>
      <c r="B38" s="3"/>
      <c r="C38" s="3"/>
      <c r="D38" s="35">
        <f>SUM(D24:D37)</f>
        <v>301695</v>
      </c>
      <c r="E38" s="22"/>
      <c r="F38" s="35">
        <f>SUM(F24:F37)</f>
        <v>197278.36050000001</v>
      </c>
      <c r="G38" s="22"/>
      <c r="H38" s="17"/>
      <c r="I38" s="2"/>
      <c r="J38" s="19" t="s">
        <v>34</v>
      </c>
      <c r="K38" s="19"/>
      <c r="L38" s="19"/>
      <c r="M38" s="36">
        <f>SUM(M24:M37)</f>
        <v>225788.603</v>
      </c>
      <c r="N38" s="27"/>
      <c r="O38" s="36">
        <f>SUM(O24:O37)</f>
        <v>147601.0486519</v>
      </c>
      <c r="P38" s="2"/>
      <c r="Q38" s="35">
        <f>SUM(Q24:Q37)</f>
        <v>-75906.396999999997</v>
      </c>
      <c r="R38" s="3"/>
      <c r="S38" s="35">
        <f>SUM(S24:S37)</f>
        <v>-49677.311848099998</v>
      </c>
      <c r="T38" s="2"/>
    </row>
    <row r="39" spans="1:20">
      <c r="A39" s="3"/>
      <c r="B39" s="3"/>
      <c r="C39" s="3"/>
      <c r="D39" s="3"/>
      <c r="E39" s="3"/>
      <c r="F39" s="3"/>
      <c r="G39" s="9"/>
      <c r="H39" s="17"/>
      <c r="I39" s="2"/>
      <c r="J39" s="19"/>
      <c r="K39" s="19"/>
      <c r="L39" s="19"/>
      <c r="M39" s="19"/>
      <c r="N39" s="19"/>
      <c r="O39" s="19"/>
      <c r="P39" s="2"/>
      <c r="Q39" s="3"/>
      <c r="R39" s="3"/>
      <c r="S39" s="3"/>
      <c r="T39" s="2"/>
    </row>
    <row r="40" spans="1:20" ht="17.45" customHeight="1">
      <c r="A40" s="3" t="s">
        <v>35</v>
      </c>
      <c r="B40" s="3"/>
      <c r="C40" s="3"/>
      <c r="D40" s="21">
        <f>D21-D38</f>
        <v>-116765.59</v>
      </c>
      <c r="E40" s="21"/>
      <c r="F40" s="21">
        <f>F21-F38</f>
        <v>-76350.027700999999</v>
      </c>
      <c r="G40" s="22"/>
      <c r="H40" s="17"/>
      <c r="I40" s="2"/>
      <c r="J40" s="19" t="s">
        <v>35</v>
      </c>
      <c r="K40" s="19"/>
      <c r="L40" s="19"/>
      <c r="M40" s="23">
        <f>M21-M38</f>
        <v>-156535.11900000001</v>
      </c>
      <c r="N40" s="23"/>
      <c r="O40" s="23">
        <f>O21-O38</f>
        <v>-102080.73361869999</v>
      </c>
      <c r="P40" s="2"/>
      <c r="Q40" s="21">
        <f>Q21-Q38</f>
        <v>-39769.52900000001</v>
      </c>
      <c r="R40" s="3"/>
      <c r="S40" s="17">
        <f>S21-S38</f>
        <v>-25730.705917700005</v>
      </c>
      <c r="T40" s="2"/>
    </row>
    <row r="41" spans="1:20">
      <c r="A41" s="3"/>
      <c r="B41" s="3"/>
      <c r="C41" s="3"/>
      <c r="D41" s="3"/>
      <c r="E41" s="21"/>
      <c r="F41" s="21"/>
      <c r="G41" s="21"/>
      <c r="H41" s="3"/>
      <c r="I41" s="2"/>
      <c r="J41" s="3"/>
      <c r="K41" s="3"/>
      <c r="L41" s="3"/>
      <c r="M41" s="3"/>
      <c r="N41" s="21"/>
      <c r="O41" s="21"/>
      <c r="P41" s="2"/>
      <c r="Q41" s="3"/>
      <c r="R41" s="3"/>
      <c r="S41" s="17"/>
      <c r="T41" s="2"/>
    </row>
    <row r="42" spans="1:20">
      <c r="A42" s="3" t="s">
        <v>187</v>
      </c>
      <c r="B42" s="3"/>
      <c r="C42" s="37">
        <v>0.21</v>
      </c>
      <c r="D42" s="3"/>
      <c r="E42" s="18"/>
      <c r="F42" s="29">
        <f>C42*F40</f>
        <v>-16033.50581721</v>
      </c>
      <c r="G42" s="17"/>
      <c r="H42" s="3"/>
      <c r="I42" s="2"/>
      <c r="J42" s="3" t="s">
        <v>36</v>
      </c>
      <c r="K42" s="3"/>
      <c r="L42" s="37">
        <v>0.21</v>
      </c>
      <c r="M42" s="3"/>
      <c r="N42" s="18"/>
      <c r="O42" s="29">
        <f>L42*O40</f>
        <v>-21436.954059926997</v>
      </c>
      <c r="P42" s="2"/>
      <c r="Q42" s="3"/>
      <c r="R42" s="3"/>
      <c r="S42" s="38">
        <f>L42*S40</f>
        <v>-5403.4482427170005</v>
      </c>
      <c r="T42" s="2"/>
    </row>
    <row r="43" spans="1:20">
      <c r="A43" s="3"/>
      <c r="B43" s="3"/>
      <c r="C43" s="3"/>
      <c r="D43" s="3"/>
      <c r="E43" s="18"/>
      <c r="F43" s="17"/>
      <c r="G43" s="17"/>
      <c r="H43" s="3"/>
      <c r="I43" s="2"/>
      <c r="J43" s="3"/>
      <c r="K43" s="3"/>
      <c r="L43" s="3"/>
      <c r="M43" s="3"/>
      <c r="N43" s="18"/>
      <c r="O43" s="17"/>
      <c r="P43" s="2"/>
      <c r="Q43" s="3"/>
      <c r="R43" s="3"/>
      <c r="S43" s="17"/>
      <c r="T43" s="2"/>
    </row>
    <row r="44" spans="1:20">
      <c r="A44" s="39" t="s">
        <v>37</v>
      </c>
      <c r="B44" s="3"/>
      <c r="C44" s="3"/>
      <c r="D44" s="3"/>
      <c r="E44" s="21"/>
      <c r="F44" s="17">
        <f>F40-F42</f>
        <v>-60316.521883790003</v>
      </c>
      <c r="G44" s="21"/>
      <c r="H44" s="3"/>
      <c r="I44" s="2"/>
      <c r="J44" s="39" t="s">
        <v>37</v>
      </c>
      <c r="K44" s="3"/>
      <c r="L44" s="3"/>
      <c r="M44" s="3"/>
      <c r="N44" s="21"/>
      <c r="O44" s="17">
        <f>O40-O42</f>
        <v>-80643.779558772992</v>
      </c>
      <c r="P44" s="2"/>
      <c r="Q44" s="3"/>
      <c r="R44" s="3"/>
      <c r="S44" s="40">
        <f>S40-S42</f>
        <v>-20327.257674983004</v>
      </c>
      <c r="T44" s="2"/>
    </row>
    <row r="45" spans="1:20" ht="6.6" customHeight="1">
      <c r="A45" s="3"/>
      <c r="B45" s="3"/>
      <c r="C45" s="3"/>
      <c r="D45" s="3"/>
      <c r="E45" s="21"/>
      <c r="F45" s="21"/>
      <c r="G45" s="21"/>
      <c r="H45" s="3"/>
      <c r="I45" s="3"/>
      <c r="J45" s="3"/>
      <c r="K45" s="3"/>
      <c r="L45" s="3"/>
      <c r="M45" s="3"/>
      <c r="N45" s="21"/>
      <c r="O45" s="21"/>
      <c r="P45" s="3"/>
      <c r="Q45" s="3"/>
      <c r="R45" s="3"/>
      <c r="S45" s="21"/>
    </row>
    <row r="46" spans="1:20" hidden="1">
      <c r="A46" s="39" t="s">
        <v>38</v>
      </c>
      <c r="B46" s="3"/>
      <c r="C46" s="3"/>
      <c r="D46" s="3"/>
      <c r="E46" s="3"/>
      <c r="F46" s="3"/>
      <c r="G46" s="3"/>
      <c r="H46" s="3"/>
      <c r="I46" s="3"/>
      <c r="J46" s="41"/>
      <c r="K46" s="3"/>
      <c r="L46" s="3"/>
      <c r="M46" s="3"/>
      <c r="N46" s="3"/>
      <c r="O46" s="3"/>
      <c r="P46" s="3"/>
      <c r="Q46" s="3"/>
      <c r="R46" s="3"/>
      <c r="S46" s="42">
        <f>S44/-0.620392</f>
        <v>32765.183424323659</v>
      </c>
    </row>
    <row r="47" spans="1:20">
      <c r="A47" s="39" t="s">
        <v>48</v>
      </c>
      <c r="B47" s="3"/>
      <c r="C47" s="3"/>
      <c r="D47" s="3"/>
      <c r="E47" s="3"/>
      <c r="F47" s="3"/>
      <c r="G47" s="3"/>
      <c r="H47" s="3"/>
      <c r="I47" s="3"/>
      <c r="J47" s="41"/>
      <c r="K47" s="3" t="s">
        <v>135</v>
      </c>
      <c r="L47" s="3"/>
      <c r="M47" s="3"/>
      <c r="N47" s="3"/>
      <c r="O47" s="144">
        <f>-O40/K51*1000</f>
        <v>18.106342356883232</v>
      </c>
      <c r="P47" s="3"/>
      <c r="Q47" s="3"/>
      <c r="R47" s="3"/>
      <c r="S47" s="42"/>
    </row>
    <row r="48" spans="1:20" ht="14.25" customHeight="1">
      <c r="A48" s="43"/>
      <c r="B48" s="19"/>
      <c r="C48" s="19"/>
      <c r="D48" s="19"/>
      <c r="E48" s="19"/>
      <c r="F48" s="19"/>
      <c r="G48" s="19"/>
      <c r="H48" s="19"/>
      <c r="I48" s="19"/>
      <c r="J48" s="44"/>
      <c r="K48" s="19"/>
      <c r="L48" s="19"/>
      <c r="M48" s="19"/>
      <c r="N48" s="19"/>
      <c r="O48" s="145"/>
      <c r="P48" s="19"/>
      <c r="Q48" s="19"/>
      <c r="R48" s="19"/>
      <c r="S48" s="53"/>
    </row>
    <row r="49" spans="1:22">
      <c r="A49" s="34" t="s">
        <v>203</v>
      </c>
      <c r="B49" s="19"/>
      <c r="C49" s="19"/>
      <c r="D49" s="23"/>
      <c r="E49" s="27"/>
      <c r="F49" s="23"/>
      <c r="G49" s="27"/>
      <c r="H49" s="33"/>
      <c r="I49" s="19"/>
      <c r="J49" s="19"/>
      <c r="K49" s="19"/>
      <c r="L49" s="19"/>
      <c r="M49" s="23"/>
      <c r="N49" s="27"/>
      <c r="O49" s="23"/>
      <c r="P49" s="19"/>
      <c r="Q49" s="23"/>
      <c r="R49" s="19"/>
      <c r="S49" s="23"/>
    </row>
    <row r="50" spans="1:22" ht="15" customHeight="1">
      <c r="A50" s="154" t="s">
        <v>188</v>
      </c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</row>
    <row r="51" spans="1:22">
      <c r="A51" s="19"/>
      <c r="B51" s="19"/>
      <c r="C51" s="19"/>
      <c r="D51" s="19"/>
      <c r="E51" s="27"/>
      <c r="F51" s="19"/>
      <c r="G51" s="19"/>
      <c r="H51" s="98" t="s">
        <v>196</v>
      </c>
      <c r="I51" s="19"/>
      <c r="K51" s="32">
        <f>K52+K53</f>
        <v>5637844</v>
      </c>
      <c r="L51" s="100" t="s">
        <v>39</v>
      </c>
      <c r="M51" s="131">
        <f>5647592-39319</f>
        <v>5608273</v>
      </c>
      <c r="N51" s="27"/>
      <c r="O51" s="130" t="s">
        <v>195</v>
      </c>
      <c r="P51" s="19"/>
      <c r="Q51" s="19"/>
      <c r="R51" s="19"/>
      <c r="S51" s="23"/>
    </row>
    <row r="52" spans="1:22">
      <c r="A52" s="19"/>
      <c r="B52" s="19"/>
      <c r="C52" s="19"/>
      <c r="D52" s="19"/>
      <c r="E52" s="19"/>
      <c r="F52" s="19"/>
      <c r="G52" s="19"/>
      <c r="H52" s="98" t="s">
        <v>190</v>
      </c>
      <c r="I52" s="19"/>
      <c r="K52" s="32">
        <f>M51</f>
        <v>5608273</v>
      </c>
      <c r="L52" s="100" t="s">
        <v>39</v>
      </c>
      <c r="M52" s="32">
        <f>'Monthly Authorized'!B44</f>
        <v>5658613</v>
      </c>
      <c r="N52" s="19"/>
      <c r="O52" s="19" t="s">
        <v>201</v>
      </c>
      <c r="P52" s="19"/>
      <c r="Q52" s="19"/>
      <c r="R52" s="19"/>
      <c r="S52" s="19"/>
      <c r="V52" s="142"/>
    </row>
    <row r="53" spans="1:22">
      <c r="A53" s="3"/>
      <c r="B53" s="3"/>
      <c r="C53" s="3"/>
      <c r="D53" s="3"/>
      <c r="E53" s="3"/>
      <c r="F53" s="3"/>
      <c r="G53" s="3"/>
      <c r="H53" s="99" t="s">
        <v>137</v>
      </c>
      <c r="I53" s="3"/>
      <c r="K53" s="143">
        <v>29571</v>
      </c>
      <c r="L53" s="97" t="s">
        <v>39</v>
      </c>
      <c r="M53" s="45">
        <f>M51-M52</f>
        <v>-50340</v>
      </c>
      <c r="N53" s="3"/>
      <c r="O53" s="3" t="s">
        <v>40</v>
      </c>
      <c r="P53" s="3"/>
      <c r="Q53" s="3"/>
      <c r="R53" s="3"/>
      <c r="S53" s="3"/>
    </row>
    <row r="54" spans="1:22">
      <c r="A54" s="3"/>
      <c r="B54" s="3"/>
      <c r="C54" s="3"/>
      <c r="D54" s="3"/>
      <c r="E54" s="3"/>
      <c r="F54" s="3"/>
      <c r="G54" s="3"/>
      <c r="H54" s="99" t="s">
        <v>41</v>
      </c>
      <c r="I54" s="3"/>
      <c r="K54" s="46">
        <f>'Monthly Authorized'!B46</f>
        <v>18.106350137374651</v>
      </c>
      <c r="L54" s="101" t="s">
        <v>138</v>
      </c>
      <c r="M54" s="46">
        <f>'Monthly Authorized'!B46</f>
        <v>18.106350137374651</v>
      </c>
      <c r="N54" s="3"/>
      <c r="O54" s="3" t="s">
        <v>202</v>
      </c>
      <c r="P54" s="47"/>
      <c r="Q54" s="3"/>
      <c r="R54" s="3"/>
      <c r="S54" s="3"/>
    </row>
    <row r="55" spans="1:22">
      <c r="A55" s="3"/>
      <c r="B55" s="3"/>
      <c r="C55" s="3"/>
      <c r="D55" s="3"/>
      <c r="E55" s="3"/>
      <c r="F55" s="3"/>
      <c r="G55" s="3"/>
      <c r="H55" s="99" t="s">
        <v>136</v>
      </c>
      <c r="I55" s="3"/>
      <c r="K55" s="48">
        <f>K53*K54</f>
        <v>535422.87991230586</v>
      </c>
      <c r="L55" s="3"/>
      <c r="M55" s="48">
        <f>M53*M54</f>
        <v>-911473.66591543995</v>
      </c>
      <c r="N55" s="3"/>
      <c r="O55" s="3" t="s">
        <v>42</v>
      </c>
      <c r="P55" s="3"/>
      <c r="Q55" s="3"/>
      <c r="R55" s="3"/>
      <c r="S55" s="3"/>
    </row>
  </sheetData>
  <mergeCells count="7">
    <mergeCell ref="A50:S50"/>
    <mergeCell ref="K7:O7"/>
    <mergeCell ref="K1:O1"/>
    <mergeCell ref="K2:O2"/>
    <mergeCell ref="K3:O5"/>
    <mergeCell ref="A6:H6"/>
    <mergeCell ref="J6:O6"/>
  </mergeCells>
  <printOptions horizontalCentered="1"/>
  <pageMargins left="0.7" right="0.7" top="0.65" bottom="0.5" header="0.3" footer="0.3"/>
  <pageSetup scale="75" orientation="landscape" r:id="rId1"/>
  <headerFooter scaleWithDoc="0">
    <oddFooter>&amp;C&amp;F / &amp;A&amp;RPage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view="pageBreakPreview" zoomScale="60" zoomScaleNormal="100" workbookViewId="0">
      <selection activeCell="H60" sqref="H60"/>
    </sheetView>
  </sheetViews>
  <sheetFormatPr defaultRowHeight="15"/>
  <cols>
    <col min="1" max="1" width="37.28515625" style="104" customWidth="1"/>
    <col min="2" max="2" width="11.85546875" style="104" customWidth="1"/>
    <col min="3" max="4" width="10.85546875" style="104" customWidth="1"/>
    <col min="5" max="5" width="12" style="104" bestFit="1" customWidth="1"/>
    <col min="6" max="6" width="12.5703125" style="104" customWidth="1"/>
    <col min="7" max="9" width="11.28515625" style="104" bestFit="1" customWidth="1"/>
    <col min="10" max="10" width="10.85546875" style="104" customWidth="1"/>
    <col min="11" max="11" width="12" style="104" bestFit="1" customWidth="1"/>
    <col min="12" max="12" width="12.5703125" style="104" bestFit="1" customWidth="1"/>
    <col min="13" max="13" width="12" style="104" bestFit="1" customWidth="1"/>
    <col min="14" max="14" width="11.5703125" style="104" bestFit="1" customWidth="1"/>
    <col min="15" max="16384" width="9.140625" style="104"/>
  </cols>
  <sheetData>
    <row r="2" spans="1:14">
      <c r="B2" s="136" t="s">
        <v>174</v>
      </c>
    </row>
    <row r="3" spans="1:14" ht="15.75">
      <c r="A3" s="103" t="s">
        <v>147</v>
      </c>
    </row>
    <row r="4" spans="1:14" ht="15.75">
      <c r="A4" s="103" t="s">
        <v>175</v>
      </c>
    </row>
    <row r="5" spans="1:14" ht="15.75">
      <c r="A5" s="103" t="s">
        <v>148</v>
      </c>
    </row>
    <row r="6" spans="1:14" ht="15.75">
      <c r="A6" s="103" t="s">
        <v>176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>
      <c r="A7" s="137" t="s">
        <v>173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15.75">
      <c r="A8" s="103"/>
    </row>
    <row r="9" spans="1:14">
      <c r="A9" s="106" t="s">
        <v>149</v>
      </c>
    </row>
    <row r="10" spans="1:14">
      <c r="A10" s="106"/>
    </row>
    <row r="11" spans="1:14">
      <c r="B11" s="107" t="s">
        <v>6</v>
      </c>
      <c r="C11" s="108" t="s">
        <v>150</v>
      </c>
      <c r="D11" s="108" t="s">
        <v>151</v>
      </c>
      <c r="E11" s="108" t="s">
        <v>152</v>
      </c>
      <c r="F11" s="108" t="s">
        <v>153</v>
      </c>
      <c r="G11" s="108" t="s">
        <v>154</v>
      </c>
      <c r="H11" s="108" t="s">
        <v>155</v>
      </c>
      <c r="I11" s="108" t="s">
        <v>156</v>
      </c>
      <c r="J11" s="108" t="s">
        <v>157</v>
      </c>
      <c r="K11" s="108" t="s">
        <v>158</v>
      </c>
      <c r="L11" s="108" t="s">
        <v>159</v>
      </c>
      <c r="M11" s="108" t="s">
        <v>160</v>
      </c>
      <c r="N11" s="108" t="s">
        <v>161</v>
      </c>
    </row>
    <row r="13" spans="1:14">
      <c r="A13" s="104" t="s">
        <v>162</v>
      </c>
      <c r="B13" s="109">
        <f>SUM(C13:N13)</f>
        <v>111395052</v>
      </c>
      <c r="C13" s="109">
        <v>11810646</v>
      </c>
      <c r="D13" s="109">
        <v>10948943</v>
      </c>
      <c r="E13" s="109">
        <v>10208756</v>
      </c>
      <c r="F13" s="109">
        <v>9754466</v>
      </c>
      <c r="G13" s="109">
        <v>7204007</v>
      </c>
      <c r="H13" s="109">
        <v>6832768</v>
      </c>
      <c r="I13" s="109">
        <v>7367141</v>
      </c>
      <c r="J13" s="109">
        <v>8064916</v>
      </c>
      <c r="K13" s="109">
        <v>7448796</v>
      </c>
      <c r="L13" s="109">
        <v>7999787</v>
      </c>
      <c r="M13" s="109">
        <v>11642227</v>
      </c>
      <c r="N13" s="109">
        <v>12112599</v>
      </c>
    </row>
    <row r="14" spans="1:14"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</row>
    <row r="15" spans="1:14">
      <c r="A15" s="104" t="s">
        <v>163</v>
      </c>
      <c r="B15" s="109">
        <f>SUM(C15:N15)</f>
        <v>28873933</v>
      </c>
      <c r="C15" s="109">
        <v>2892906</v>
      </c>
      <c r="D15" s="109">
        <v>2671552</v>
      </c>
      <c r="E15" s="109">
        <v>2768328</v>
      </c>
      <c r="F15" s="109">
        <v>2491505</v>
      </c>
      <c r="G15" s="109">
        <v>1551263</v>
      </c>
      <c r="H15" s="109">
        <v>1358751</v>
      </c>
      <c r="I15" s="109">
        <v>2219592</v>
      </c>
      <c r="J15" s="109">
        <v>2478125</v>
      </c>
      <c r="K15" s="109">
        <v>2578207</v>
      </c>
      <c r="L15" s="109">
        <v>2592987</v>
      </c>
      <c r="M15" s="109">
        <v>2566833</v>
      </c>
      <c r="N15" s="109">
        <v>2703884</v>
      </c>
    </row>
    <row r="16" spans="1:14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spans="1:14">
      <c r="A17" s="104" t="s">
        <v>164</v>
      </c>
      <c r="B17" s="109">
        <f>SUM(C17:N17)</f>
        <v>70067291</v>
      </c>
      <c r="C17" s="109">
        <v>8800467</v>
      </c>
      <c r="D17" s="109">
        <v>7046200</v>
      </c>
      <c r="E17" s="109">
        <v>6405717</v>
      </c>
      <c r="F17" s="109">
        <v>4139185</v>
      </c>
      <c r="G17" s="109">
        <v>1426182</v>
      </c>
      <c r="H17" s="109">
        <v>1698327</v>
      </c>
      <c r="I17" s="109">
        <v>5653252</v>
      </c>
      <c r="J17" s="109">
        <v>7341418</v>
      </c>
      <c r="K17" s="109">
        <v>6493558</v>
      </c>
      <c r="L17" s="109">
        <v>6103470</v>
      </c>
      <c r="M17" s="109">
        <v>6561954</v>
      </c>
      <c r="N17" s="109">
        <v>8397561</v>
      </c>
    </row>
    <row r="18" spans="1:14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</row>
    <row r="19" spans="1:14">
      <c r="A19" s="110" t="s">
        <v>165</v>
      </c>
      <c r="B19" s="111">
        <f>SUM(C19:N19)</f>
        <v>54103856</v>
      </c>
      <c r="C19" s="111">
        <v>5410854</v>
      </c>
      <c r="D19" s="111">
        <v>3688134</v>
      </c>
      <c r="E19" s="111">
        <v>4363041</v>
      </c>
      <c r="F19" s="111">
        <v>6216672</v>
      </c>
      <c r="G19" s="111">
        <v>3992970</v>
      </c>
      <c r="H19" s="111">
        <v>3782256</v>
      </c>
      <c r="I19" s="111">
        <v>5325599</v>
      </c>
      <c r="J19" s="111">
        <v>3215251</v>
      </c>
      <c r="K19" s="111">
        <v>4016772</v>
      </c>
      <c r="L19" s="111">
        <v>3304259</v>
      </c>
      <c r="M19" s="111">
        <v>4468025</v>
      </c>
      <c r="N19" s="111">
        <v>6320023</v>
      </c>
    </row>
    <row r="20" spans="1:14"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</row>
    <row r="21" spans="1:14">
      <c r="A21" s="112" t="s">
        <v>166</v>
      </c>
      <c r="B21" s="109">
        <f>SUM(C21:N21)</f>
        <v>156232420</v>
      </c>
      <c r="C21" s="109">
        <f>SUM(C13:C17)-C19</f>
        <v>18093165</v>
      </c>
      <c r="D21" s="109">
        <f t="shared" ref="D21:N21" si="0">SUM(D13:D17)-D19</f>
        <v>16978561</v>
      </c>
      <c r="E21" s="109">
        <f t="shared" si="0"/>
        <v>15019760</v>
      </c>
      <c r="F21" s="109">
        <f t="shared" si="0"/>
        <v>10168484</v>
      </c>
      <c r="G21" s="109">
        <f t="shared" si="0"/>
        <v>6188482</v>
      </c>
      <c r="H21" s="109">
        <f t="shared" si="0"/>
        <v>6107590</v>
      </c>
      <c r="I21" s="109">
        <f t="shared" si="0"/>
        <v>9914386</v>
      </c>
      <c r="J21" s="109">
        <f t="shared" si="0"/>
        <v>14669208</v>
      </c>
      <c r="K21" s="109">
        <f t="shared" si="0"/>
        <v>12503789</v>
      </c>
      <c r="L21" s="109">
        <f t="shared" si="0"/>
        <v>13391985</v>
      </c>
      <c r="M21" s="109">
        <f t="shared" si="0"/>
        <v>16302989</v>
      </c>
      <c r="N21" s="109">
        <f t="shared" si="0"/>
        <v>16894021</v>
      </c>
    </row>
    <row r="22" spans="1:14"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</row>
    <row r="23" spans="1:14">
      <c r="A23" s="112" t="s">
        <v>167</v>
      </c>
      <c r="B23" s="109">
        <f>SUM(C23:N23)</f>
        <v>17404327</v>
      </c>
      <c r="C23" s="109">
        <v>1386858</v>
      </c>
      <c r="D23" s="109">
        <v>1618473</v>
      </c>
      <c r="E23" s="109">
        <v>1456728</v>
      </c>
      <c r="F23" s="109">
        <v>1423781</v>
      </c>
      <c r="G23" s="109">
        <v>1394142</v>
      </c>
      <c r="H23" s="109">
        <v>1391308</v>
      </c>
      <c r="I23" s="109">
        <v>1452951</v>
      </c>
      <c r="J23" s="109">
        <v>1443202</v>
      </c>
      <c r="K23" s="109">
        <v>1567441</v>
      </c>
      <c r="L23" s="109">
        <v>1406861</v>
      </c>
      <c r="M23" s="109">
        <v>1416448</v>
      </c>
      <c r="N23" s="109">
        <v>1446134</v>
      </c>
    </row>
    <row r="24" spans="1:14">
      <c r="A24" s="112"/>
    </row>
    <row r="25" spans="1:14">
      <c r="A25" s="112" t="s">
        <v>145</v>
      </c>
      <c r="B25" s="113">
        <f>SUM(C25:N25)</f>
        <v>15149484</v>
      </c>
      <c r="C25" s="113">
        <v>1062694</v>
      </c>
      <c r="D25" s="113">
        <v>1178481</v>
      </c>
      <c r="E25" s="113">
        <v>1177115</v>
      </c>
      <c r="F25" s="113">
        <v>1141305</v>
      </c>
      <c r="G25" s="113">
        <v>1253488</v>
      </c>
      <c r="H25" s="113">
        <v>1398529</v>
      </c>
      <c r="I25" s="113">
        <v>1450378</v>
      </c>
      <c r="J25" s="113">
        <v>1346819</v>
      </c>
      <c r="K25" s="113">
        <v>1372213</v>
      </c>
      <c r="L25" s="113">
        <v>1319316</v>
      </c>
      <c r="M25" s="113">
        <v>1257650</v>
      </c>
      <c r="N25" s="113">
        <v>1191496</v>
      </c>
    </row>
    <row r="26" spans="1:14">
      <c r="A26" s="112"/>
      <c r="B26" s="113"/>
    </row>
    <row r="27" spans="1:14">
      <c r="A27" s="112" t="s">
        <v>168</v>
      </c>
      <c r="B27" s="113">
        <f>SUM(C27:N27)</f>
        <v>411000</v>
      </c>
      <c r="C27" s="109">
        <v>34250</v>
      </c>
      <c r="D27" s="109">
        <v>34250</v>
      </c>
      <c r="E27" s="109">
        <v>34250</v>
      </c>
      <c r="F27" s="109">
        <v>34250</v>
      </c>
      <c r="G27" s="109">
        <v>34250</v>
      </c>
      <c r="H27" s="109">
        <v>34250</v>
      </c>
      <c r="I27" s="109">
        <v>34250</v>
      </c>
      <c r="J27" s="109">
        <v>34250</v>
      </c>
      <c r="K27" s="109">
        <v>34250</v>
      </c>
      <c r="L27" s="109">
        <v>34250</v>
      </c>
      <c r="M27" s="109">
        <v>34250</v>
      </c>
      <c r="N27" s="109">
        <v>34250</v>
      </c>
    </row>
    <row r="28" spans="1:14">
      <c r="A28" s="112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</row>
    <row r="29" spans="1:14">
      <c r="A29" s="112" t="s">
        <v>177</v>
      </c>
      <c r="B29" s="113">
        <f>SUM(C29:N29)</f>
        <v>158898263</v>
      </c>
      <c r="C29" s="109">
        <f t="shared" ref="C29:N29" si="1">C21+C23-C25+C27</f>
        <v>18451579</v>
      </c>
      <c r="D29" s="109">
        <f t="shared" si="1"/>
        <v>17452803</v>
      </c>
      <c r="E29" s="109">
        <f t="shared" si="1"/>
        <v>15333623</v>
      </c>
      <c r="F29" s="109">
        <f t="shared" si="1"/>
        <v>10485210</v>
      </c>
      <c r="G29" s="109">
        <f t="shared" si="1"/>
        <v>6363386</v>
      </c>
      <c r="H29" s="109">
        <f t="shared" si="1"/>
        <v>6134619</v>
      </c>
      <c r="I29" s="109">
        <f t="shared" si="1"/>
        <v>9951209</v>
      </c>
      <c r="J29" s="109">
        <f t="shared" si="1"/>
        <v>14799841</v>
      </c>
      <c r="K29" s="109">
        <f t="shared" si="1"/>
        <v>12733267</v>
      </c>
      <c r="L29" s="109">
        <f t="shared" si="1"/>
        <v>13513780</v>
      </c>
      <c r="M29" s="109">
        <f t="shared" si="1"/>
        <v>16496037</v>
      </c>
      <c r="N29" s="109">
        <f t="shared" si="1"/>
        <v>17182909</v>
      </c>
    </row>
    <row r="30" spans="1:14">
      <c r="A30" s="112"/>
      <c r="B30" s="113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</row>
    <row r="31" spans="1:14">
      <c r="A31" s="112" t="s">
        <v>169</v>
      </c>
      <c r="B31" s="113">
        <f>SUM(C31:N31)</f>
        <v>104443828.26989999</v>
      </c>
      <c r="C31" s="109">
        <f>C29*$E$51</f>
        <v>12128222.876700001</v>
      </c>
      <c r="D31" s="109">
        <f t="shared" ref="D31:N31" si="2">D29*$E$51</f>
        <v>11471727.411900001</v>
      </c>
      <c r="E31" s="109">
        <f t="shared" si="2"/>
        <v>10078790.3979</v>
      </c>
      <c r="F31" s="109">
        <f t="shared" si="2"/>
        <v>6891928.5329999998</v>
      </c>
      <c r="G31" s="109">
        <f t="shared" si="2"/>
        <v>4182653.6178000001</v>
      </c>
      <c r="H31" s="109">
        <f t="shared" si="2"/>
        <v>4032285.0687000002</v>
      </c>
      <c r="I31" s="109">
        <f t="shared" si="2"/>
        <v>6540929.6756999996</v>
      </c>
      <c r="J31" s="109">
        <f t="shared" si="2"/>
        <v>9727935.4892999995</v>
      </c>
      <c r="K31" s="109">
        <f t="shared" si="2"/>
        <v>8369576.3991</v>
      </c>
      <c r="L31" s="109">
        <f t="shared" si="2"/>
        <v>8882607.5940000005</v>
      </c>
      <c r="M31" s="109">
        <f t="shared" si="2"/>
        <v>10842845.120099999</v>
      </c>
      <c r="N31" s="109">
        <f t="shared" si="2"/>
        <v>11294326.0857</v>
      </c>
    </row>
    <row r="32" spans="1:14">
      <c r="A32" s="112"/>
      <c r="B32" s="113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</row>
    <row r="33" spans="1:14">
      <c r="A33" s="118" t="s">
        <v>178</v>
      </c>
      <c r="B33" s="119">
        <f>SUM(C33:N33)</f>
        <v>-1986999.9999999998</v>
      </c>
      <c r="C33" s="111">
        <f>-(1987000/12)</f>
        <v>-165583.33333333334</v>
      </c>
      <c r="D33" s="111">
        <f t="shared" ref="D33:N33" si="3">-(1987000/12)</f>
        <v>-165583.33333333334</v>
      </c>
      <c r="E33" s="111">
        <f t="shared" si="3"/>
        <v>-165583.33333333334</v>
      </c>
      <c r="F33" s="111">
        <f t="shared" si="3"/>
        <v>-165583.33333333334</v>
      </c>
      <c r="G33" s="111">
        <f t="shared" si="3"/>
        <v>-165583.33333333334</v>
      </c>
      <c r="H33" s="111">
        <f t="shared" si="3"/>
        <v>-165583.33333333334</v>
      </c>
      <c r="I33" s="111">
        <f t="shared" si="3"/>
        <v>-165583.33333333334</v>
      </c>
      <c r="J33" s="111">
        <f t="shared" si="3"/>
        <v>-165583.33333333334</v>
      </c>
      <c r="K33" s="111">
        <f t="shared" si="3"/>
        <v>-165583.33333333334</v>
      </c>
      <c r="L33" s="111">
        <f t="shared" si="3"/>
        <v>-165583.33333333334</v>
      </c>
      <c r="M33" s="111">
        <f t="shared" si="3"/>
        <v>-165583.33333333334</v>
      </c>
      <c r="N33" s="111">
        <f t="shared" si="3"/>
        <v>-165583.33333333334</v>
      </c>
    </row>
    <row r="35" spans="1:14">
      <c r="A35" s="112" t="s">
        <v>179</v>
      </c>
      <c r="B35" s="113">
        <f>B31+B33</f>
        <v>102456828.26989999</v>
      </c>
      <c r="C35" s="113">
        <f>C31+C33</f>
        <v>11962639.543366667</v>
      </c>
      <c r="D35" s="113">
        <f t="shared" ref="D35:N35" si="4">D31+D33</f>
        <v>11306144.078566667</v>
      </c>
      <c r="E35" s="113">
        <f t="shared" si="4"/>
        <v>9913207.0645666663</v>
      </c>
      <c r="F35" s="113">
        <f t="shared" si="4"/>
        <v>6726345.1996666668</v>
      </c>
      <c r="G35" s="113">
        <f t="shared" si="4"/>
        <v>4017070.2844666666</v>
      </c>
      <c r="H35" s="113">
        <f t="shared" si="4"/>
        <v>3866701.7353666667</v>
      </c>
      <c r="I35" s="113">
        <f t="shared" si="4"/>
        <v>6375346.3423666665</v>
      </c>
      <c r="J35" s="113">
        <f t="shared" si="4"/>
        <v>9562352.1559666656</v>
      </c>
      <c r="K35" s="113">
        <f t="shared" si="4"/>
        <v>8203993.065766667</v>
      </c>
      <c r="L35" s="113">
        <f t="shared" si="4"/>
        <v>8717024.2606666666</v>
      </c>
      <c r="M35" s="113">
        <f t="shared" si="4"/>
        <v>10677261.786766665</v>
      </c>
      <c r="N35" s="113">
        <f t="shared" si="4"/>
        <v>11128742.752366666</v>
      </c>
    </row>
    <row r="37" spans="1:14" hidden="1"/>
    <row r="38" spans="1:14" hidden="1"/>
    <row r="40" spans="1:14">
      <c r="A40" s="106" t="s">
        <v>170</v>
      </c>
    </row>
    <row r="42" spans="1:14">
      <c r="B42" s="107" t="s">
        <v>6</v>
      </c>
      <c r="C42" s="108" t="str">
        <f>C11</f>
        <v>January</v>
      </c>
      <c r="D42" s="108" t="str">
        <f t="shared" ref="D42:N42" si="5">D11</f>
        <v>February</v>
      </c>
      <c r="E42" s="108" t="str">
        <f t="shared" si="5"/>
        <v>March</v>
      </c>
      <c r="F42" s="108" t="str">
        <f t="shared" si="5"/>
        <v>April</v>
      </c>
      <c r="G42" s="108" t="str">
        <f t="shared" si="5"/>
        <v>May</v>
      </c>
      <c r="H42" s="108" t="str">
        <f t="shared" si="5"/>
        <v>June</v>
      </c>
      <c r="I42" s="108" t="str">
        <f t="shared" si="5"/>
        <v>July</v>
      </c>
      <c r="J42" s="108" t="str">
        <f t="shared" si="5"/>
        <v>August</v>
      </c>
      <c r="K42" s="108" t="str">
        <f t="shared" si="5"/>
        <v>September</v>
      </c>
      <c r="L42" s="108" t="str">
        <f t="shared" si="5"/>
        <v>October</v>
      </c>
      <c r="M42" s="108" t="str">
        <f t="shared" si="5"/>
        <v>November</v>
      </c>
      <c r="N42" s="108" t="str">
        <f t="shared" si="5"/>
        <v>December</v>
      </c>
    </row>
    <row r="44" spans="1:14">
      <c r="A44" s="112" t="s">
        <v>171</v>
      </c>
      <c r="B44" s="115">
        <f>SUM(C44:N44)</f>
        <v>5658613</v>
      </c>
      <c r="C44" s="115">
        <v>556117</v>
      </c>
      <c r="D44" s="115">
        <v>486363</v>
      </c>
      <c r="E44" s="115">
        <v>477535</v>
      </c>
      <c r="F44" s="115">
        <v>431246</v>
      </c>
      <c r="G44" s="115">
        <v>432473</v>
      </c>
      <c r="H44" s="115">
        <v>424693</v>
      </c>
      <c r="I44" s="115">
        <v>490670</v>
      </c>
      <c r="J44" s="115">
        <v>464617</v>
      </c>
      <c r="K44" s="115">
        <v>435934</v>
      </c>
      <c r="L44" s="115">
        <v>436959</v>
      </c>
      <c r="M44" s="115">
        <v>468856</v>
      </c>
      <c r="N44" s="115">
        <v>553150</v>
      </c>
    </row>
    <row r="46" spans="1:14">
      <c r="A46" s="112" t="s">
        <v>180</v>
      </c>
      <c r="B46" s="116">
        <f>B35/B44</f>
        <v>18.106350137374651</v>
      </c>
      <c r="C46" s="117" t="s">
        <v>172</v>
      </c>
    </row>
    <row r="48" spans="1:14" hidden="1"/>
    <row r="49" spans="1:5" hidden="1"/>
    <row r="51" spans="1:5">
      <c r="A51" s="104" t="s">
        <v>181</v>
      </c>
      <c r="E51" s="104">
        <v>0.6573</v>
      </c>
    </row>
    <row r="52" spans="1:5">
      <c r="A52" s="104" t="s">
        <v>182</v>
      </c>
    </row>
    <row r="53" spans="1:5">
      <c r="A53" s="104" t="s">
        <v>183</v>
      </c>
    </row>
  </sheetData>
  <pageMargins left="0.45" right="0.45" top="0.5" bottom="0.5" header="0.3" footer="0.3"/>
  <pageSetup scale="65" fitToHeight="3" orientation="landscape" r:id="rId1"/>
  <headerFooter scaleWithDoc="0">
    <oddFooter>&amp;C&amp;F / 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23"/>
  <sheetViews>
    <sheetView tabSelected="1" zoomScaleNormal="100" workbookViewId="0">
      <pane xSplit="2" ySplit="7" topLeftCell="C30" activePane="bottomRight" state="frozen"/>
      <selection activeCell="D70" sqref="D70"/>
      <selection pane="topRight" activeCell="D70" sqref="D70"/>
      <selection pane="bottomLeft" activeCell="D70" sqref="D70"/>
      <selection pane="bottomRight" activeCell="D46" sqref="D46"/>
    </sheetView>
  </sheetViews>
  <sheetFormatPr defaultColWidth="11.42578125" defaultRowHeight="12.75" outlineLevelRow="1"/>
  <cols>
    <col min="1" max="1" width="6.140625" style="64" customWidth="1"/>
    <col min="2" max="2" width="47.28515625" style="63" customWidth="1"/>
    <col min="3" max="3" width="9" style="63" customWidth="1"/>
    <col min="4" max="4" width="15.28515625" style="63" customWidth="1"/>
    <col min="5" max="5" width="14" style="140" bestFit="1" customWidth="1"/>
    <col min="6" max="6" width="21.28515625" style="63" customWidth="1"/>
    <col min="7" max="7" width="14.42578125" style="63" bestFit="1" customWidth="1"/>
    <col min="8" max="16" width="14.28515625" style="63" bestFit="1" customWidth="1"/>
    <col min="17" max="18" width="11.5703125" style="63" bestFit="1" customWidth="1"/>
    <col min="19" max="19" width="12.42578125" style="63" bestFit="1" customWidth="1"/>
    <col min="20" max="16384" width="11.42578125" style="63"/>
  </cols>
  <sheetData>
    <row r="1" spans="1:19">
      <c r="A1" s="88"/>
      <c r="B1" s="88"/>
      <c r="C1" s="90" t="s">
        <v>133</v>
      </c>
    </row>
    <row r="2" spans="1:19">
      <c r="A2" s="88"/>
      <c r="B2" s="88"/>
      <c r="C2" s="90" t="s">
        <v>132</v>
      </c>
    </row>
    <row r="3" spans="1:19">
      <c r="A3" s="89"/>
      <c r="B3" s="88"/>
      <c r="C3" s="90" t="s">
        <v>200</v>
      </c>
    </row>
    <row r="4" spans="1:19">
      <c r="A4" s="89"/>
      <c r="B4" s="88"/>
      <c r="C4" s="87"/>
    </row>
    <row r="5" spans="1:19" ht="12.75" customHeight="1">
      <c r="A5" s="69"/>
      <c r="C5" s="87"/>
      <c r="D5" s="81"/>
    </row>
    <row r="6" spans="1:19">
      <c r="A6" s="69" t="s">
        <v>131</v>
      </c>
      <c r="D6" s="120" t="s">
        <v>197</v>
      </c>
      <c r="E6" s="150" t="s">
        <v>184</v>
      </c>
    </row>
    <row r="7" spans="1:19">
      <c r="A7" s="86" t="s">
        <v>130</v>
      </c>
      <c r="D7" s="85" t="s">
        <v>129</v>
      </c>
      <c r="E7" s="150" t="s">
        <v>6</v>
      </c>
      <c r="G7" s="63" t="s">
        <v>6</v>
      </c>
      <c r="H7" s="121">
        <v>43101</v>
      </c>
      <c r="I7" s="121">
        <v>43132</v>
      </c>
      <c r="J7" s="121">
        <v>43160</v>
      </c>
      <c r="K7" s="121">
        <v>43191</v>
      </c>
      <c r="L7" s="121">
        <v>43221</v>
      </c>
      <c r="M7" s="121">
        <v>43252</v>
      </c>
      <c r="N7" s="121">
        <v>43282</v>
      </c>
      <c r="O7" s="121">
        <v>43313</v>
      </c>
      <c r="P7" s="121">
        <v>43344</v>
      </c>
      <c r="Q7" s="132">
        <v>43374</v>
      </c>
      <c r="R7" s="132">
        <v>43405</v>
      </c>
      <c r="S7" s="132">
        <v>43435</v>
      </c>
    </row>
    <row r="8" spans="1:19">
      <c r="A8" s="69"/>
      <c r="B8" s="77" t="s">
        <v>128</v>
      </c>
      <c r="D8" s="84"/>
    </row>
    <row r="9" spans="1:19">
      <c r="A9" s="69">
        <f t="shared" ref="A9:A27" si="0">A8+1</f>
        <v>1</v>
      </c>
      <c r="B9" s="63" t="s">
        <v>127</v>
      </c>
      <c r="D9" s="126">
        <f>ROUND(G9/1000,0)</f>
        <v>0</v>
      </c>
      <c r="G9" s="122">
        <f t="shared" ref="G9:G15" si="1">SUM(H9:S9)</f>
        <v>0</v>
      </c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</row>
    <row r="10" spans="1:19">
      <c r="A10" s="69">
        <f t="shared" si="0"/>
        <v>2</v>
      </c>
      <c r="B10" s="63" t="s">
        <v>126</v>
      </c>
      <c r="D10" s="126">
        <f t="shared" ref="D10:D26" si="2">ROUND(G10/1000,0)</f>
        <v>35364</v>
      </c>
      <c r="G10" s="122">
        <f t="shared" si="1"/>
        <v>35364168</v>
      </c>
      <c r="H10" s="122">
        <v>5222009</v>
      </c>
      <c r="I10" s="122">
        <v>4094932</v>
      </c>
      <c r="J10" s="122">
        <v>2500917</v>
      </c>
      <c r="K10" s="122">
        <v>1879275</v>
      </c>
      <c r="L10" s="122">
        <v>1466768</v>
      </c>
      <c r="M10" s="122">
        <v>1497022</v>
      </c>
      <c r="N10" s="122">
        <v>45964</v>
      </c>
      <c r="O10" s="122">
        <v>9116052</v>
      </c>
      <c r="P10" s="122">
        <v>3059931</v>
      </c>
      <c r="Q10" s="122">
        <v>446709</v>
      </c>
      <c r="R10" s="122">
        <v>450427</v>
      </c>
      <c r="S10" s="122">
        <v>5584162</v>
      </c>
    </row>
    <row r="11" spans="1:19">
      <c r="A11" s="69">
        <f t="shared" si="0"/>
        <v>3</v>
      </c>
      <c r="B11" s="63" t="s">
        <v>125</v>
      </c>
      <c r="D11" s="126">
        <f t="shared" si="2"/>
        <v>0</v>
      </c>
      <c r="G11" s="122">
        <f t="shared" si="1"/>
        <v>0</v>
      </c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</row>
    <row r="12" spans="1:19">
      <c r="A12" s="69">
        <f t="shared" si="0"/>
        <v>4</v>
      </c>
      <c r="B12" s="63" t="s">
        <v>124</v>
      </c>
      <c r="D12" s="126">
        <f t="shared" si="2"/>
        <v>14053</v>
      </c>
      <c r="G12" s="122">
        <f t="shared" si="1"/>
        <v>14053042</v>
      </c>
      <c r="H12" s="122">
        <v>726733</v>
      </c>
      <c r="I12" s="122">
        <v>1216938</v>
      </c>
      <c r="J12" s="122">
        <v>1216938</v>
      </c>
      <c r="K12" s="122">
        <v>1216938</v>
      </c>
      <c r="L12" s="122">
        <v>1216938</v>
      </c>
      <c r="M12" s="122">
        <v>1216938</v>
      </c>
      <c r="N12" s="122">
        <v>1216938</v>
      </c>
      <c r="O12" s="122">
        <v>1216938</v>
      </c>
      <c r="P12" s="122">
        <v>1216938</v>
      </c>
      <c r="Q12" s="122">
        <v>1216938</v>
      </c>
      <c r="R12" s="122">
        <v>1216938</v>
      </c>
      <c r="S12" s="122">
        <v>1156929</v>
      </c>
    </row>
    <row r="13" spans="1:19">
      <c r="A13" s="69">
        <f t="shared" si="0"/>
        <v>5</v>
      </c>
      <c r="B13" s="63" t="s">
        <v>123</v>
      </c>
      <c r="D13" s="126">
        <f t="shared" si="2"/>
        <v>1798</v>
      </c>
      <c r="G13" s="122">
        <f t="shared" si="1"/>
        <v>1797555</v>
      </c>
      <c r="H13" s="122">
        <v>153740</v>
      </c>
      <c r="I13" s="122">
        <v>153740</v>
      </c>
      <c r="J13" s="122">
        <v>153740</v>
      </c>
      <c r="K13" s="122">
        <v>153740</v>
      </c>
      <c r="L13" s="122">
        <v>153740</v>
      </c>
      <c r="M13" s="122">
        <v>153740</v>
      </c>
      <c r="N13" s="122">
        <v>153740</v>
      </c>
      <c r="O13" s="122">
        <v>153740</v>
      </c>
      <c r="P13" s="122">
        <v>165218</v>
      </c>
      <c r="Q13" s="122">
        <v>165218</v>
      </c>
      <c r="R13" s="122">
        <v>165218</v>
      </c>
      <c r="S13" s="122">
        <v>71981</v>
      </c>
    </row>
    <row r="14" spans="1:19">
      <c r="A14" s="69">
        <f t="shared" si="0"/>
        <v>6</v>
      </c>
      <c r="B14" s="63" t="s">
        <v>122</v>
      </c>
      <c r="D14" s="126">
        <f t="shared" si="2"/>
        <v>7594</v>
      </c>
      <c r="G14" s="122">
        <f t="shared" si="1"/>
        <v>7594108</v>
      </c>
      <c r="H14" s="122">
        <v>618454</v>
      </c>
      <c r="I14" s="122">
        <v>618454</v>
      </c>
      <c r="J14" s="122">
        <v>618454</v>
      </c>
      <c r="K14" s="122">
        <v>791114</v>
      </c>
      <c r="L14" s="122">
        <v>618454</v>
      </c>
      <c r="M14" s="122">
        <v>618454</v>
      </c>
      <c r="N14" s="122">
        <v>618454</v>
      </c>
      <c r="O14" s="122">
        <v>618454</v>
      </c>
      <c r="P14" s="122">
        <v>618454</v>
      </c>
      <c r="Q14" s="122">
        <v>618454</v>
      </c>
      <c r="R14" s="122">
        <v>618454</v>
      </c>
      <c r="S14" s="122">
        <v>618454</v>
      </c>
    </row>
    <row r="15" spans="1:19">
      <c r="A15" s="69">
        <f t="shared" si="0"/>
        <v>7</v>
      </c>
      <c r="B15" s="63" t="s">
        <v>121</v>
      </c>
      <c r="D15" s="126">
        <f t="shared" si="2"/>
        <v>1092</v>
      </c>
      <c r="G15" s="122">
        <f t="shared" si="1"/>
        <v>1092047</v>
      </c>
      <c r="H15" s="122">
        <v>67917</v>
      </c>
      <c r="I15" s="122">
        <v>81241</v>
      </c>
      <c r="J15" s="122">
        <v>93498</v>
      </c>
      <c r="K15" s="122">
        <v>152574</v>
      </c>
      <c r="L15" s="122">
        <v>162897</v>
      </c>
      <c r="M15" s="122">
        <v>158630</v>
      </c>
      <c r="N15" s="122">
        <v>58962</v>
      </c>
      <c r="O15" s="122">
        <v>55518</v>
      </c>
      <c r="P15" s="122">
        <v>50510</v>
      </c>
      <c r="Q15" s="122">
        <v>66662</v>
      </c>
      <c r="R15" s="122">
        <v>73564</v>
      </c>
      <c r="S15" s="122">
        <v>70074</v>
      </c>
    </row>
    <row r="16" spans="1:19">
      <c r="A16" s="69">
        <f t="shared" si="0"/>
        <v>8</v>
      </c>
      <c r="B16" s="63" t="s">
        <v>120</v>
      </c>
      <c r="D16" s="126">
        <f t="shared" si="2"/>
        <v>27616</v>
      </c>
      <c r="G16" s="122">
        <f>SUM(H16:S16)</f>
        <v>27615866</v>
      </c>
      <c r="H16" s="123">
        <v>2326853</v>
      </c>
      <c r="I16" s="123">
        <v>2182871</v>
      </c>
      <c r="J16" s="123">
        <v>2357771</v>
      </c>
      <c r="K16" s="123">
        <v>2235770</v>
      </c>
      <c r="L16" s="123">
        <v>2098059</v>
      </c>
      <c r="M16" s="123">
        <v>2056390</v>
      </c>
      <c r="N16" s="123">
        <v>2377596</v>
      </c>
      <c r="O16" s="123">
        <v>2416248</v>
      </c>
      <c r="P16" s="123">
        <v>2425360</v>
      </c>
      <c r="Q16" s="122">
        <v>2310595</v>
      </c>
      <c r="R16" s="122">
        <v>2384531</v>
      </c>
      <c r="S16" s="122">
        <v>2443822</v>
      </c>
    </row>
    <row r="17" spans="1:19">
      <c r="A17" s="69">
        <f t="shared" si="0"/>
        <v>9</v>
      </c>
      <c r="B17" s="63" t="s">
        <v>185</v>
      </c>
      <c r="D17" s="126">
        <f t="shared" si="2"/>
        <v>13</v>
      </c>
      <c r="G17" s="122">
        <f t="shared" ref="G17:G26" si="3">SUM(H17:S17)</f>
        <v>12515</v>
      </c>
      <c r="H17" s="122">
        <v>0</v>
      </c>
      <c r="I17" s="122">
        <v>0</v>
      </c>
      <c r="J17" s="122">
        <v>2771</v>
      </c>
      <c r="K17" s="122">
        <v>1252</v>
      </c>
      <c r="L17" s="122">
        <v>1246</v>
      </c>
      <c r="M17" s="122">
        <v>1021</v>
      </c>
      <c r="N17" s="122">
        <v>1028</v>
      </c>
      <c r="O17" s="122">
        <v>1025</v>
      </c>
      <c r="P17" s="122">
        <v>1109</v>
      </c>
      <c r="Q17" s="122">
        <v>951</v>
      </c>
      <c r="R17" s="122">
        <v>995</v>
      </c>
      <c r="S17" s="122">
        <v>1117</v>
      </c>
    </row>
    <row r="18" spans="1:19">
      <c r="A18" s="69">
        <f t="shared" si="0"/>
        <v>10</v>
      </c>
      <c r="B18" s="63" t="s">
        <v>84</v>
      </c>
      <c r="D18" s="126">
        <f t="shared" si="2"/>
        <v>15252</v>
      </c>
      <c r="E18" s="151">
        <f>(16181508-929099)/1000</f>
        <v>15252.409</v>
      </c>
      <c r="G18" s="122">
        <f t="shared" si="3"/>
        <v>15252408.509999998</v>
      </c>
      <c r="H18" s="122">
        <f>3744667-300823.05</f>
        <v>3443843.95</v>
      </c>
      <c r="I18" s="122">
        <f>3383687-271824.2</f>
        <v>3111862.8</v>
      </c>
      <c r="J18" s="122">
        <f>1848737-148515.9</f>
        <v>1700221.1</v>
      </c>
      <c r="K18" s="122">
        <f>1790510-143838.34</f>
        <v>1646671.66</v>
      </c>
      <c r="L18" s="122">
        <v>0</v>
      </c>
      <c r="M18" s="122">
        <v>0</v>
      </c>
      <c r="N18" s="122">
        <v>0</v>
      </c>
      <c r="O18" s="122">
        <v>0</v>
      </c>
      <c r="P18" s="122">
        <v>0</v>
      </c>
      <c r="Q18" s="122"/>
      <c r="R18" s="133">
        <f>2662712-31525.2</f>
        <v>2631186.7999999998</v>
      </c>
      <c r="S18" s="133">
        <f>2751195-32572.8</f>
        <v>2718622.2</v>
      </c>
    </row>
    <row r="19" spans="1:19">
      <c r="A19" s="69">
        <f t="shared" si="0"/>
        <v>11</v>
      </c>
      <c r="B19" s="63" t="s">
        <v>119</v>
      </c>
      <c r="D19" s="126">
        <f t="shared" si="2"/>
        <v>9</v>
      </c>
      <c r="G19" s="122">
        <f t="shared" si="3"/>
        <v>9178</v>
      </c>
      <c r="H19" s="122">
        <v>1068</v>
      </c>
      <c r="I19" s="122">
        <v>885</v>
      </c>
      <c r="J19" s="122">
        <v>1088</v>
      </c>
      <c r="K19" s="122">
        <v>717</v>
      </c>
      <c r="L19" s="122">
        <v>691</v>
      </c>
      <c r="M19" s="122">
        <v>444</v>
      </c>
      <c r="N19" s="122">
        <v>537</v>
      </c>
      <c r="O19" s="122">
        <v>656</v>
      </c>
      <c r="P19" s="122">
        <v>648</v>
      </c>
      <c r="Q19" s="122">
        <v>679</v>
      </c>
      <c r="R19" s="122">
        <v>784</v>
      </c>
      <c r="S19" s="122">
        <v>981</v>
      </c>
    </row>
    <row r="20" spans="1:19">
      <c r="A20" s="69">
        <f t="shared" si="0"/>
        <v>12</v>
      </c>
      <c r="B20" s="63" t="s">
        <v>118</v>
      </c>
      <c r="D20" s="126">
        <f t="shared" si="2"/>
        <v>1377</v>
      </c>
      <c r="G20" s="122">
        <f t="shared" si="3"/>
        <v>1377173</v>
      </c>
      <c r="H20" s="122">
        <v>196327</v>
      </c>
      <c r="I20" s="122">
        <v>176449</v>
      </c>
      <c r="J20" s="122">
        <v>137700</v>
      </c>
      <c r="K20" s="122">
        <v>145245</v>
      </c>
      <c r="L20" s="122">
        <v>118256</v>
      </c>
      <c r="M20" s="122">
        <v>119818</v>
      </c>
      <c r="N20" s="122">
        <v>109807</v>
      </c>
      <c r="O20" s="122">
        <v>71032</v>
      </c>
      <c r="P20" s="122">
        <v>47084</v>
      </c>
      <c r="Q20" s="122">
        <v>48927</v>
      </c>
      <c r="R20" s="122">
        <v>102929</v>
      </c>
      <c r="S20" s="122">
        <v>103599</v>
      </c>
    </row>
    <row r="21" spans="1:19">
      <c r="A21" s="69">
        <f t="shared" si="0"/>
        <v>13</v>
      </c>
      <c r="B21" s="63" t="s">
        <v>117</v>
      </c>
      <c r="D21" s="126">
        <f t="shared" si="2"/>
        <v>1684</v>
      </c>
      <c r="G21" s="122">
        <f t="shared" si="3"/>
        <v>1683831</v>
      </c>
      <c r="H21" s="122">
        <v>167411</v>
      </c>
      <c r="I21" s="122">
        <v>151142</v>
      </c>
      <c r="J21" s="122">
        <v>134752</v>
      </c>
      <c r="K21" s="122">
        <v>9639</v>
      </c>
      <c r="L21" s="122">
        <v>139720</v>
      </c>
      <c r="M21" s="122">
        <v>156195</v>
      </c>
      <c r="N21" s="122">
        <v>206662</v>
      </c>
      <c r="O21" s="122">
        <v>124688</v>
      </c>
      <c r="P21" s="122">
        <v>38427</v>
      </c>
      <c r="Q21" s="122">
        <v>196021</v>
      </c>
      <c r="R21" s="122">
        <v>186144</v>
      </c>
      <c r="S21" s="122">
        <v>173030</v>
      </c>
    </row>
    <row r="22" spans="1:19">
      <c r="A22" s="69">
        <f t="shared" si="0"/>
        <v>14</v>
      </c>
      <c r="B22" s="63" t="s">
        <v>116</v>
      </c>
      <c r="D22" s="126">
        <f t="shared" si="2"/>
        <v>2895</v>
      </c>
      <c r="G22" s="122">
        <f t="shared" si="3"/>
        <v>2895230</v>
      </c>
      <c r="H22" s="122">
        <v>509116</v>
      </c>
      <c r="I22" s="122">
        <v>428290</v>
      </c>
      <c r="J22" s="122">
        <v>551749</v>
      </c>
      <c r="K22" s="122">
        <v>336086</v>
      </c>
      <c r="L22" s="122">
        <v>237801</v>
      </c>
      <c r="M22" s="122">
        <v>242505</v>
      </c>
      <c r="N22" s="122">
        <v>18009</v>
      </c>
      <c r="O22" s="122">
        <v>61</v>
      </c>
      <c r="P22" s="122">
        <v>7399</v>
      </c>
      <c r="Q22" s="122">
        <v>98205</v>
      </c>
      <c r="R22" s="122">
        <v>181859</v>
      </c>
      <c r="S22" s="122">
        <v>284150</v>
      </c>
    </row>
    <row r="23" spans="1:19">
      <c r="A23" s="69">
        <f t="shared" si="0"/>
        <v>15</v>
      </c>
      <c r="B23" s="63" t="s">
        <v>115</v>
      </c>
      <c r="D23" s="126">
        <f t="shared" si="2"/>
        <v>5597</v>
      </c>
      <c r="G23" s="122">
        <f t="shared" si="3"/>
        <v>5596513</v>
      </c>
      <c r="H23" s="122">
        <v>503270</v>
      </c>
      <c r="I23" s="122">
        <v>466388</v>
      </c>
      <c r="J23" s="122">
        <v>406268</v>
      </c>
      <c r="K23" s="122">
        <v>349209</v>
      </c>
      <c r="L23" s="122">
        <v>332411</v>
      </c>
      <c r="M23" s="122">
        <v>457880</v>
      </c>
      <c r="N23" s="122">
        <v>561311</v>
      </c>
      <c r="O23" s="122">
        <v>434208</v>
      </c>
      <c r="P23" s="122">
        <v>588005</v>
      </c>
      <c r="Q23" s="122">
        <v>590209</v>
      </c>
      <c r="R23" s="122">
        <v>384101</v>
      </c>
      <c r="S23" s="122">
        <v>523253</v>
      </c>
    </row>
    <row r="24" spans="1:19">
      <c r="A24" s="69">
        <f t="shared" si="0"/>
        <v>16</v>
      </c>
      <c r="B24" s="63" t="s">
        <v>114</v>
      </c>
      <c r="D24" s="126">
        <f t="shared" si="2"/>
        <v>-260</v>
      </c>
      <c r="G24" s="122">
        <f t="shared" si="3"/>
        <v>-260487</v>
      </c>
      <c r="H24" s="122">
        <v>17127</v>
      </c>
      <c r="I24" s="122">
        <v>-25491</v>
      </c>
      <c r="J24" s="122">
        <v>6656</v>
      </c>
      <c r="K24" s="122">
        <v>-6171</v>
      </c>
      <c r="L24" s="122">
        <v>-4214</v>
      </c>
      <c r="M24" s="122">
        <v>8352</v>
      </c>
      <c r="N24" s="122">
        <v>7510</v>
      </c>
      <c r="O24" s="122">
        <v>25950</v>
      </c>
      <c r="P24" s="122">
        <v>-40713</v>
      </c>
      <c r="Q24" s="122">
        <v>-232912</v>
      </c>
      <c r="R24" s="122">
        <v>59155</v>
      </c>
      <c r="S24" s="122">
        <v>-75736</v>
      </c>
    </row>
    <row r="25" spans="1:19">
      <c r="A25" s="69">
        <f t="shared" si="0"/>
        <v>17</v>
      </c>
      <c r="B25" s="63" t="s">
        <v>113</v>
      </c>
      <c r="D25" s="126">
        <f t="shared" si="2"/>
        <v>2362</v>
      </c>
      <c r="G25" s="122">
        <f t="shared" si="3"/>
        <v>2362181</v>
      </c>
      <c r="H25" s="122">
        <v>213305</v>
      </c>
      <c r="I25" s="122">
        <v>248240</v>
      </c>
      <c r="J25" s="122">
        <v>197702</v>
      </c>
      <c r="K25" s="122">
        <v>182889</v>
      </c>
      <c r="L25" s="122">
        <v>168311</v>
      </c>
      <c r="M25" s="122">
        <v>169612</v>
      </c>
      <c r="N25" s="122">
        <v>210888</v>
      </c>
      <c r="O25" s="122">
        <v>216324</v>
      </c>
      <c r="P25" s="122">
        <v>162315</v>
      </c>
      <c r="Q25" s="122">
        <v>177643</v>
      </c>
      <c r="R25" s="122">
        <v>193694</v>
      </c>
      <c r="S25" s="122">
        <v>221258</v>
      </c>
    </row>
    <row r="26" spans="1:19">
      <c r="A26" s="69">
        <f t="shared" si="0"/>
        <v>18</v>
      </c>
      <c r="B26" s="65" t="s">
        <v>112</v>
      </c>
      <c r="C26" s="65"/>
      <c r="D26" s="126">
        <f t="shared" si="2"/>
        <v>19796</v>
      </c>
      <c r="G26" s="122">
        <f t="shared" si="3"/>
        <v>19795858</v>
      </c>
      <c r="H26" s="122">
        <v>2365264</v>
      </c>
      <c r="I26" s="122">
        <v>2240478</v>
      </c>
      <c r="J26" s="122">
        <v>2072807</v>
      </c>
      <c r="K26" s="122">
        <v>2009810</v>
      </c>
      <c r="L26" s="122">
        <v>1146211</v>
      </c>
      <c r="M26" s="122">
        <v>1530959</v>
      </c>
      <c r="N26" s="122">
        <v>1018827</v>
      </c>
      <c r="O26" s="122">
        <v>1297090</v>
      </c>
      <c r="P26" s="122">
        <v>1187102</v>
      </c>
      <c r="Q26" s="122">
        <v>1148264</v>
      </c>
      <c r="R26" s="122">
        <v>1820818</v>
      </c>
      <c r="S26" s="122">
        <v>1958228</v>
      </c>
    </row>
    <row r="27" spans="1:19">
      <c r="A27" s="69">
        <f t="shared" si="0"/>
        <v>19</v>
      </c>
      <c r="B27" s="63" t="s">
        <v>111</v>
      </c>
      <c r="D27" s="76">
        <f>SUM(D9:D26)</f>
        <v>136242</v>
      </c>
      <c r="E27" s="74">
        <v>136263</v>
      </c>
      <c r="F27" s="141"/>
      <c r="G27" s="124">
        <f>SUM(G9:G26)</f>
        <v>136241186.50999999</v>
      </c>
      <c r="H27" s="124">
        <f t="shared" ref="H27:S27" si="4">SUM(H9:H26)</f>
        <v>16532437.949999999</v>
      </c>
      <c r="I27" s="124">
        <f t="shared" si="4"/>
        <v>15146419.800000001</v>
      </c>
      <c r="J27" s="124">
        <f t="shared" si="4"/>
        <v>12153032.1</v>
      </c>
      <c r="K27" s="124">
        <f t="shared" si="4"/>
        <v>11104758.66</v>
      </c>
      <c r="L27" s="124">
        <f t="shared" si="4"/>
        <v>7857289</v>
      </c>
      <c r="M27" s="124">
        <f t="shared" si="4"/>
        <v>8387960</v>
      </c>
      <c r="N27" s="124">
        <f t="shared" si="4"/>
        <v>6606233</v>
      </c>
      <c r="O27" s="124">
        <f t="shared" si="4"/>
        <v>15747984</v>
      </c>
      <c r="P27" s="124">
        <f t="shared" si="4"/>
        <v>9527787</v>
      </c>
      <c r="Q27" s="124">
        <f t="shared" si="4"/>
        <v>6852563</v>
      </c>
      <c r="R27" s="124">
        <f t="shared" si="4"/>
        <v>10470797.800000001</v>
      </c>
      <c r="S27" s="124">
        <f t="shared" si="4"/>
        <v>15853924.199999999</v>
      </c>
    </row>
    <row r="28" spans="1:19">
      <c r="A28" s="69"/>
      <c r="E28" s="152">
        <f>E27-D27</f>
        <v>21</v>
      </c>
      <c r="F28" s="63" t="s">
        <v>199</v>
      </c>
    </row>
    <row r="29" spans="1:19">
      <c r="A29" s="69"/>
      <c r="B29" s="77" t="s">
        <v>110</v>
      </c>
      <c r="D29" s="70"/>
    </row>
    <row r="30" spans="1:19">
      <c r="A30" s="69">
        <f>A27+1</f>
        <v>20</v>
      </c>
      <c r="B30" s="63" t="s">
        <v>109</v>
      </c>
      <c r="D30" s="126">
        <f t="shared" ref="D30:D33" si="5">ROUND(G30/1000,0)</f>
        <v>636</v>
      </c>
      <c r="G30" s="122">
        <f t="shared" ref="G30" si="6">SUM(H30:S30)</f>
        <v>636070</v>
      </c>
      <c r="H30" s="122">
        <v>64248</v>
      </c>
      <c r="I30" s="122">
        <v>38145</v>
      </c>
      <c r="J30" s="122">
        <v>56451</v>
      </c>
      <c r="K30" s="122">
        <v>55776</v>
      </c>
      <c r="L30" s="122">
        <v>56900</v>
      </c>
      <c r="M30" s="122">
        <v>54711</v>
      </c>
      <c r="N30" s="122">
        <v>42517</v>
      </c>
      <c r="O30" s="122">
        <v>54638</v>
      </c>
      <c r="P30" s="122">
        <v>67390</v>
      </c>
      <c r="Q30" s="122">
        <v>40351</v>
      </c>
      <c r="R30" s="122">
        <v>41327</v>
      </c>
      <c r="S30" s="122">
        <v>63616</v>
      </c>
    </row>
    <row r="31" spans="1:19">
      <c r="A31" s="69">
        <f>A30+1</f>
        <v>21</v>
      </c>
      <c r="B31" s="63" t="s">
        <v>108</v>
      </c>
      <c r="D31" s="126">
        <f t="shared" si="5"/>
        <v>0</v>
      </c>
      <c r="G31" s="122">
        <f t="shared" ref="G31:G39" si="7">SUM(H31:S31)</f>
        <v>0</v>
      </c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</row>
    <row r="32" spans="1:19">
      <c r="A32" s="69">
        <f>A31+1</f>
        <v>22</v>
      </c>
      <c r="B32" s="63" t="s">
        <v>107</v>
      </c>
      <c r="D32" s="126">
        <f t="shared" si="5"/>
        <v>45</v>
      </c>
      <c r="G32" s="122">
        <f t="shared" si="7"/>
        <v>45148</v>
      </c>
      <c r="H32" s="122">
        <v>2397</v>
      </c>
      <c r="I32" s="122">
        <v>1147</v>
      </c>
      <c r="J32" s="122">
        <v>4038</v>
      </c>
      <c r="K32" s="122">
        <v>4523</v>
      </c>
      <c r="L32" s="122">
        <v>5651</v>
      </c>
      <c r="M32" s="122">
        <v>1751</v>
      </c>
      <c r="N32" s="122">
        <v>1956</v>
      </c>
      <c r="O32" s="122">
        <v>6999</v>
      </c>
      <c r="P32" s="122">
        <v>2889</v>
      </c>
      <c r="Q32" s="138">
        <v>1360</v>
      </c>
      <c r="R32" s="138">
        <v>4087</v>
      </c>
      <c r="S32" s="138">
        <v>8350</v>
      </c>
    </row>
    <row r="33" spans="1:19">
      <c r="A33" s="69">
        <f>A32+1</f>
        <v>23</v>
      </c>
      <c r="B33" s="63" t="s">
        <v>106</v>
      </c>
      <c r="D33" s="126">
        <f t="shared" si="5"/>
        <v>1</v>
      </c>
      <c r="G33" s="122">
        <f t="shared" si="7"/>
        <v>708</v>
      </c>
      <c r="H33" s="122">
        <v>10</v>
      </c>
      <c r="I33" s="122">
        <v>15</v>
      </c>
      <c r="J33" s="122">
        <v>34</v>
      </c>
      <c r="K33" s="122">
        <v>30</v>
      </c>
      <c r="L33" s="122">
        <v>30</v>
      </c>
      <c r="M33" s="122">
        <v>36</v>
      </c>
      <c r="N33" s="122">
        <v>196</v>
      </c>
      <c r="O33" s="122">
        <v>160</v>
      </c>
      <c r="P33" s="122">
        <v>61</v>
      </c>
      <c r="Q33" s="122">
        <v>69</v>
      </c>
      <c r="R33" s="122">
        <v>41</v>
      </c>
      <c r="S33" s="122">
        <v>26</v>
      </c>
    </row>
    <row r="34" spans="1:19" hidden="1" outlineLevel="1">
      <c r="A34" s="69"/>
      <c r="D34" s="128"/>
      <c r="G34" s="125">
        <f t="shared" si="7"/>
        <v>15988970</v>
      </c>
      <c r="H34" s="125">
        <v>1083619</v>
      </c>
      <c r="I34" s="125">
        <v>1645941</v>
      </c>
      <c r="J34" s="125">
        <v>1377218</v>
      </c>
      <c r="K34" s="125">
        <v>1492640</v>
      </c>
      <c r="L34" s="125">
        <v>2912803</v>
      </c>
      <c r="M34" s="125">
        <v>2761505</v>
      </c>
      <c r="N34" s="125">
        <v>1833937</v>
      </c>
      <c r="O34" s="125">
        <v>973692</v>
      </c>
      <c r="P34" s="125">
        <v>1907615</v>
      </c>
      <c r="Q34" s="125"/>
      <c r="R34" s="125"/>
      <c r="S34" s="125"/>
    </row>
    <row r="35" spans="1:19" hidden="1" outlineLevel="1">
      <c r="A35" s="69"/>
      <c r="D35" s="128"/>
      <c r="G35" s="125">
        <f t="shared" si="7"/>
        <v>-2547112</v>
      </c>
      <c r="H35" s="125">
        <v>-2490169</v>
      </c>
      <c r="I35" s="125">
        <v>-336824</v>
      </c>
      <c r="J35" s="125">
        <v>363762</v>
      </c>
      <c r="K35" s="125">
        <v>852918</v>
      </c>
      <c r="L35" s="125">
        <v>675072</v>
      </c>
      <c r="M35" s="125">
        <v>1435046</v>
      </c>
      <c r="N35" s="125">
        <v>-2218714</v>
      </c>
      <c r="O35" s="125">
        <v>-914639</v>
      </c>
      <c r="P35" s="125">
        <v>86436</v>
      </c>
      <c r="Q35" s="125"/>
      <c r="R35" s="125"/>
      <c r="S35" s="125"/>
    </row>
    <row r="36" spans="1:19" hidden="1" outlineLevel="1">
      <c r="A36" s="69"/>
      <c r="D36" s="128"/>
      <c r="G36" s="125">
        <f t="shared" si="7"/>
        <v>4129430</v>
      </c>
      <c r="H36" s="125">
        <v>414178</v>
      </c>
      <c r="I36" s="125">
        <v>204400</v>
      </c>
      <c r="J36" s="125">
        <v>49615</v>
      </c>
      <c r="K36" s="125">
        <v>233130</v>
      </c>
      <c r="L36" s="125">
        <v>0</v>
      </c>
      <c r="M36" s="125">
        <v>487824</v>
      </c>
      <c r="N36" s="125">
        <v>357663</v>
      </c>
      <c r="O36" s="125">
        <v>1564964</v>
      </c>
      <c r="P36" s="125">
        <v>817656</v>
      </c>
      <c r="Q36" s="125"/>
      <c r="R36" s="125"/>
      <c r="S36" s="125"/>
    </row>
    <row r="37" spans="1:19" hidden="1" outlineLevel="1">
      <c r="A37" s="69"/>
      <c r="D37" s="128"/>
      <c r="G37" s="125">
        <f t="shared" si="7"/>
        <v>-4129430</v>
      </c>
      <c r="H37" s="125">
        <v>-414178</v>
      </c>
      <c r="I37" s="125">
        <v>-204400</v>
      </c>
      <c r="J37" s="125">
        <v>-49615</v>
      </c>
      <c r="K37" s="125">
        <v>-233130</v>
      </c>
      <c r="L37" s="125">
        <v>0</v>
      </c>
      <c r="M37" s="125">
        <v>-487824</v>
      </c>
      <c r="N37" s="125">
        <v>-357663</v>
      </c>
      <c r="O37" s="125">
        <v>-1564964</v>
      </c>
      <c r="P37" s="125">
        <v>-817656</v>
      </c>
      <c r="Q37" s="125"/>
      <c r="R37" s="125"/>
      <c r="S37" s="125"/>
    </row>
    <row r="38" spans="1:19" hidden="1" outlineLevel="1">
      <c r="A38" s="69"/>
      <c r="D38" s="128"/>
      <c r="G38" s="125">
        <f t="shared" si="7"/>
        <v>30039096</v>
      </c>
      <c r="H38" s="125">
        <v>5812837</v>
      </c>
      <c r="I38" s="125">
        <v>2658645</v>
      </c>
      <c r="J38" s="125">
        <v>1842941</v>
      </c>
      <c r="K38" s="125">
        <v>2305884</v>
      </c>
      <c r="L38" s="125">
        <v>2957007</v>
      </c>
      <c r="M38" s="125">
        <v>2015344</v>
      </c>
      <c r="N38" s="125">
        <v>4667489</v>
      </c>
      <c r="O38" s="125">
        <v>5198705</v>
      </c>
      <c r="P38" s="125">
        <v>2580244</v>
      </c>
      <c r="Q38" s="125"/>
      <c r="R38" s="125"/>
      <c r="S38" s="125"/>
    </row>
    <row r="39" spans="1:19" collapsed="1">
      <c r="A39" s="69">
        <f>A33+1</f>
        <v>24</v>
      </c>
      <c r="B39" s="65" t="s">
        <v>105</v>
      </c>
      <c r="C39" s="65"/>
      <c r="D39" s="126">
        <f t="shared" ref="D39" si="8">ROUND(G39/1000,0)</f>
        <v>57913</v>
      </c>
      <c r="G39" s="122">
        <f t="shared" si="7"/>
        <v>57912894</v>
      </c>
      <c r="H39" s="122">
        <f>SUM(H34:H38)</f>
        <v>4406287</v>
      </c>
      <c r="I39" s="122">
        <f t="shared" ref="I39:P39" si="9">SUM(I34:I38)</f>
        <v>3967762</v>
      </c>
      <c r="J39" s="122">
        <f t="shared" si="9"/>
        <v>3583921</v>
      </c>
      <c r="K39" s="122">
        <f t="shared" si="9"/>
        <v>4651442</v>
      </c>
      <c r="L39" s="122">
        <f t="shared" si="9"/>
        <v>6544882</v>
      </c>
      <c r="M39" s="122">
        <f t="shared" si="9"/>
        <v>6211895</v>
      </c>
      <c r="N39" s="122">
        <f t="shared" si="9"/>
        <v>4282712</v>
      </c>
      <c r="O39" s="122">
        <f t="shared" si="9"/>
        <v>5257758</v>
      </c>
      <c r="P39" s="122">
        <f t="shared" si="9"/>
        <v>4574295</v>
      </c>
      <c r="Q39" s="122">
        <v>7692153</v>
      </c>
      <c r="R39" s="122">
        <v>2869495</v>
      </c>
      <c r="S39" s="122">
        <v>3870292</v>
      </c>
    </row>
    <row r="40" spans="1:19">
      <c r="A40" s="69">
        <f>A39+1</f>
        <v>25</v>
      </c>
      <c r="B40" s="63" t="s">
        <v>104</v>
      </c>
      <c r="D40" s="76">
        <f>SUM(D30:D39)</f>
        <v>58595</v>
      </c>
      <c r="E40" s="148">
        <f>77548797/1000</f>
        <v>77548.797000000006</v>
      </c>
      <c r="F40" s="139">
        <f>E40-D40</f>
        <v>18953.797000000006</v>
      </c>
      <c r="G40" s="124">
        <f>SUM(G30:G33,G39)</f>
        <v>58594820</v>
      </c>
      <c r="H40" s="124">
        <f t="shared" ref="H40:S40" si="10">SUM(H30:H33,H39)</f>
        <v>4472942</v>
      </c>
      <c r="I40" s="124">
        <f t="shared" si="10"/>
        <v>4007069</v>
      </c>
      <c r="J40" s="124">
        <f t="shared" si="10"/>
        <v>3644444</v>
      </c>
      <c r="K40" s="124">
        <f t="shared" si="10"/>
        <v>4711771</v>
      </c>
      <c r="L40" s="124">
        <f t="shared" si="10"/>
        <v>6607463</v>
      </c>
      <c r="M40" s="124">
        <f t="shared" si="10"/>
        <v>6268393</v>
      </c>
      <c r="N40" s="124">
        <f t="shared" si="10"/>
        <v>4327381</v>
      </c>
      <c r="O40" s="124">
        <f t="shared" si="10"/>
        <v>5319555</v>
      </c>
      <c r="P40" s="124">
        <f t="shared" si="10"/>
        <v>4644635</v>
      </c>
      <c r="Q40" s="124">
        <f t="shared" si="10"/>
        <v>7733933</v>
      </c>
      <c r="R40" s="124">
        <f t="shared" si="10"/>
        <v>2914950</v>
      </c>
      <c r="S40" s="124">
        <f t="shared" si="10"/>
        <v>3942284</v>
      </c>
    </row>
    <row r="41" spans="1:19">
      <c r="A41" s="69"/>
      <c r="D41" s="70"/>
      <c r="E41" s="148">
        <f>3441632/1000</f>
        <v>3441.6320000000001</v>
      </c>
      <c r="F41" s="140" t="s">
        <v>140</v>
      </c>
    </row>
    <row r="42" spans="1:19">
      <c r="A42" s="69"/>
      <c r="B42" s="77" t="s">
        <v>103</v>
      </c>
      <c r="D42" s="70"/>
      <c r="E42" s="148">
        <f>11447180/1000</f>
        <v>11447.18</v>
      </c>
      <c r="F42" s="140" t="s">
        <v>141</v>
      </c>
    </row>
    <row r="43" spans="1:19">
      <c r="A43" s="69">
        <f>A40+1</f>
        <v>26</v>
      </c>
      <c r="B43" s="63" t="s">
        <v>102</v>
      </c>
      <c r="C43" s="83"/>
      <c r="D43" s="126">
        <f t="shared" ref="D43:D46" si="11">ROUND(G43/1000,0)</f>
        <v>6751</v>
      </c>
      <c r="E43" s="148">
        <f>E40-(D40+E41+E42)</f>
        <v>4064.9850000000006</v>
      </c>
      <c r="F43" s="140" t="s">
        <v>142</v>
      </c>
      <c r="G43" s="122">
        <f t="shared" ref="G43:G46" si="12">SUM(H43:S43)</f>
        <v>6751391</v>
      </c>
      <c r="H43" s="122">
        <v>626601</v>
      </c>
      <c r="I43" s="122">
        <v>554862</v>
      </c>
      <c r="J43" s="122">
        <v>679297</v>
      </c>
      <c r="K43" s="122">
        <v>585374</v>
      </c>
      <c r="L43" s="122">
        <v>9446</v>
      </c>
      <c r="M43" s="122">
        <v>196175</v>
      </c>
      <c r="N43" s="122">
        <v>666074</v>
      </c>
      <c r="O43" s="122">
        <v>714243</v>
      </c>
      <c r="P43" s="122">
        <v>706827</v>
      </c>
      <c r="Q43" s="122">
        <v>656511</v>
      </c>
      <c r="R43" s="122">
        <v>683248</v>
      </c>
      <c r="S43" s="122">
        <v>672733</v>
      </c>
    </row>
    <row r="44" spans="1:19">
      <c r="A44" s="69">
        <f>A43+1</f>
        <v>27</v>
      </c>
      <c r="B44" s="63" t="s">
        <v>101</v>
      </c>
      <c r="C44" s="83"/>
      <c r="D44" s="126">
        <f t="shared" si="11"/>
        <v>8</v>
      </c>
      <c r="E44" s="153">
        <f>SUM(E41:E43)</f>
        <v>18953.796999999999</v>
      </c>
      <c r="F44" s="140"/>
      <c r="G44" s="122">
        <f t="shared" si="12"/>
        <v>8056</v>
      </c>
      <c r="H44" s="122">
        <v>93</v>
      </c>
      <c r="I44" s="122">
        <v>929</v>
      </c>
      <c r="J44" s="122">
        <v>-859</v>
      </c>
      <c r="K44" s="122">
        <v>-249</v>
      </c>
      <c r="L44" s="122">
        <v>-93</v>
      </c>
      <c r="M44" s="122">
        <v>5088</v>
      </c>
      <c r="N44" s="122">
        <v>1199</v>
      </c>
      <c r="O44" s="122">
        <v>50</v>
      </c>
      <c r="P44" s="122">
        <v>-52</v>
      </c>
      <c r="Q44" s="122">
        <v>487</v>
      </c>
      <c r="R44" s="122">
        <v>1888</v>
      </c>
      <c r="S44" s="122">
        <v>-425</v>
      </c>
    </row>
    <row r="45" spans="1:19">
      <c r="A45" s="69">
        <f>A44+1</f>
        <v>28</v>
      </c>
      <c r="B45" s="79" t="s">
        <v>100</v>
      </c>
      <c r="C45" s="81"/>
      <c r="D45" s="126">
        <f t="shared" si="11"/>
        <v>19080</v>
      </c>
      <c r="G45" s="122">
        <f t="shared" si="12"/>
        <v>19080206</v>
      </c>
      <c r="H45" s="122">
        <v>2183195</v>
      </c>
      <c r="I45" s="122">
        <v>895901</v>
      </c>
      <c r="J45" s="122">
        <v>2130831</v>
      </c>
      <c r="K45" s="122">
        <v>1522366</v>
      </c>
      <c r="L45" s="122">
        <v>574651</v>
      </c>
      <c r="M45" s="122">
        <v>1456675</v>
      </c>
      <c r="N45" s="122">
        <v>847317</v>
      </c>
      <c r="O45" s="122">
        <v>1275042</v>
      </c>
      <c r="P45" s="122">
        <v>1879646</v>
      </c>
      <c r="Q45" s="122">
        <v>2362829</v>
      </c>
      <c r="R45" s="122">
        <v>2219931</v>
      </c>
      <c r="S45" s="122">
        <v>1731822</v>
      </c>
    </row>
    <row r="46" spans="1:19">
      <c r="A46" s="69">
        <f>A45+1</f>
        <v>29</v>
      </c>
      <c r="B46" s="65" t="s">
        <v>99</v>
      </c>
      <c r="C46" s="82"/>
      <c r="D46" s="126">
        <f t="shared" si="11"/>
        <v>251</v>
      </c>
      <c r="G46" s="122">
        <f t="shared" si="12"/>
        <v>251206</v>
      </c>
      <c r="H46" s="122">
        <v>0</v>
      </c>
      <c r="I46" s="122">
        <v>0</v>
      </c>
      <c r="J46" s="122">
        <v>0</v>
      </c>
      <c r="K46" s="122">
        <v>8942</v>
      </c>
      <c r="L46" s="122">
        <v>9180</v>
      </c>
      <c r="M46" s="122">
        <v>48750</v>
      </c>
      <c r="N46" s="122">
        <v>6518</v>
      </c>
      <c r="O46" s="122">
        <v>104521</v>
      </c>
      <c r="P46" s="122">
        <v>70983</v>
      </c>
      <c r="Q46" s="122">
        <v>0</v>
      </c>
      <c r="R46" s="122">
        <v>2312</v>
      </c>
      <c r="S46" s="122">
        <v>0</v>
      </c>
    </row>
    <row r="47" spans="1:19">
      <c r="A47" s="81">
        <f>A46+1</f>
        <v>30</v>
      </c>
      <c r="B47" s="63" t="s">
        <v>98</v>
      </c>
      <c r="D47" s="76">
        <f>SUM(D43:D46)</f>
        <v>26090</v>
      </c>
      <c r="E47" s="148">
        <f>28060313/1000</f>
        <v>28060.312999999998</v>
      </c>
      <c r="G47" s="124">
        <f>SUM(G43:G46)</f>
        <v>26090859</v>
      </c>
      <c r="H47" s="124">
        <f t="shared" ref="H47:S47" si="13">SUM(H43:H46)</f>
        <v>2809889</v>
      </c>
      <c r="I47" s="124">
        <f t="shared" si="13"/>
        <v>1451692</v>
      </c>
      <c r="J47" s="124">
        <f t="shared" si="13"/>
        <v>2809269</v>
      </c>
      <c r="K47" s="124">
        <f t="shared" si="13"/>
        <v>2116433</v>
      </c>
      <c r="L47" s="124">
        <f t="shared" si="13"/>
        <v>593184</v>
      </c>
      <c r="M47" s="124">
        <f t="shared" si="13"/>
        <v>1706688</v>
      </c>
      <c r="N47" s="124">
        <f t="shared" si="13"/>
        <v>1521108</v>
      </c>
      <c r="O47" s="124">
        <f t="shared" si="13"/>
        <v>2093856</v>
      </c>
      <c r="P47" s="124">
        <f t="shared" si="13"/>
        <v>2657404</v>
      </c>
      <c r="Q47" s="124">
        <f t="shared" si="13"/>
        <v>3019827</v>
      </c>
      <c r="R47" s="124">
        <f t="shared" si="13"/>
        <v>2907379</v>
      </c>
      <c r="S47" s="124">
        <f t="shared" si="13"/>
        <v>2404130</v>
      </c>
    </row>
    <row r="48" spans="1:19">
      <c r="A48" s="69"/>
      <c r="D48" s="70"/>
      <c r="E48" s="139">
        <f>E47-D47</f>
        <v>1970.3129999999983</v>
      </c>
      <c r="F48" s="162" t="s">
        <v>139</v>
      </c>
    </row>
    <row r="49" spans="1:19">
      <c r="A49" s="69"/>
      <c r="B49" s="77" t="s">
        <v>97</v>
      </c>
      <c r="D49" s="70"/>
      <c r="F49" s="162"/>
    </row>
    <row r="50" spans="1:19">
      <c r="A50" s="69">
        <f>A47+1</f>
        <v>31</v>
      </c>
      <c r="B50" s="78" t="s">
        <v>96</v>
      </c>
      <c r="D50" s="126">
        <f t="shared" ref="D50:D60" si="14">ROUND(G50/1000,0)</f>
        <v>28234</v>
      </c>
      <c r="G50" s="122">
        <f t="shared" ref="G50:G53" si="15">SUM(H50:S50)</f>
        <v>28233985</v>
      </c>
      <c r="H50" s="122">
        <v>3721117</v>
      </c>
      <c r="I50" s="122">
        <v>2449832</v>
      </c>
      <c r="J50" s="122">
        <v>3201306</v>
      </c>
      <c r="K50" s="122">
        <v>2230502</v>
      </c>
      <c r="L50" s="122">
        <v>619692</v>
      </c>
      <c r="M50" s="122">
        <v>1250902</v>
      </c>
      <c r="N50" s="122">
        <v>3342340</v>
      </c>
      <c r="O50" s="122">
        <v>3561575</v>
      </c>
      <c r="P50" s="122">
        <v>2427012</v>
      </c>
      <c r="Q50" s="122">
        <v>610298</v>
      </c>
      <c r="R50" s="122">
        <v>3646789</v>
      </c>
      <c r="S50" s="122">
        <v>1172620</v>
      </c>
    </row>
    <row r="51" spans="1:19">
      <c r="A51" s="69">
        <f t="shared" ref="A51:A61" si="16">A50+1</f>
        <v>32</v>
      </c>
      <c r="B51" s="78" t="s">
        <v>95</v>
      </c>
      <c r="D51" s="126">
        <f t="shared" si="14"/>
        <v>0</v>
      </c>
      <c r="G51" s="122">
        <f t="shared" si="15"/>
        <v>0</v>
      </c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</row>
    <row r="52" spans="1:19">
      <c r="A52" s="69">
        <f t="shared" si="16"/>
        <v>33</v>
      </c>
      <c r="B52" s="78" t="s">
        <v>94</v>
      </c>
      <c r="D52" s="126">
        <f t="shared" si="14"/>
        <v>29652</v>
      </c>
      <c r="G52" s="122">
        <f t="shared" si="15"/>
        <v>29652121</v>
      </c>
      <c r="H52" s="122">
        <v>3228167</v>
      </c>
      <c r="I52" s="122">
        <v>2007130</v>
      </c>
      <c r="J52" s="122">
        <v>3075485</v>
      </c>
      <c r="K52" s="122">
        <v>1912297</v>
      </c>
      <c r="L52" s="122">
        <v>1066080</v>
      </c>
      <c r="M52" s="122">
        <v>925950</v>
      </c>
      <c r="N52" s="122">
        <v>3017772</v>
      </c>
      <c r="O52" s="122">
        <v>2993539</v>
      </c>
      <c r="P52" s="122">
        <v>2764033</v>
      </c>
      <c r="Q52" s="122">
        <v>2606766</v>
      </c>
      <c r="R52" s="122">
        <v>3017151</v>
      </c>
      <c r="S52" s="122">
        <v>3037751</v>
      </c>
    </row>
    <row r="53" spans="1:19">
      <c r="A53" s="69">
        <f t="shared" si="16"/>
        <v>34</v>
      </c>
      <c r="B53" s="78" t="s">
        <v>93</v>
      </c>
      <c r="D53" s="126">
        <f t="shared" si="14"/>
        <v>0</v>
      </c>
      <c r="G53" s="122">
        <f t="shared" si="15"/>
        <v>0</v>
      </c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</row>
    <row r="54" spans="1:19">
      <c r="A54" s="69">
        <f t="shared" si="16"/>
        <v>35</v>
      </c>
      <c r="B54" s="63" t="s">
        <v>92</v>
      </c>
      <c r="D54" s="126">
        <f t="shared" si="14"/>
        <v>0</v>
      </c>
      <c r="G54" s="122">
        <f t="shared" ref="G54:G60" si="17">SUM(H54:S54)</f>
        <v>0</v>
      </c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</row>
    <row r="55" spans="1:19">
      <c r="A55" s="69">
        <f t="shared" si="16"/>
        <v>36</v>
      </c>
      <c r="B55" s="63" t="s">
        <v>186</v>
      </c>
      <c r="D55" s="126">
        <f t="shared" si="14"/>
        <v>0</v>
      </c>
      <c r="G55" s="122">
        <f t="shared" si="17"/>
        <v>0</v>
      </c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</row>
    <row r="56" spans="1:19">
      <c r="A56" s="69">
        <f t="shared" si="16"/>
        <v>37</v>
      </c>
      <c r="B56" s="63" t="s">
        <v>91</v>
      </c>
      <c r="D56" s="126">
        <f t="shared" si="14"/>
        <v>0</v>
      </c>
      <c r="G56" s="122">
        <f t="shared" si="17"/>
        <v>0</v>
      </c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</row>
    <row r="57" spans="1:19">
      <c r="A57" s="69">
        <f t="shared" si="16"/>
        <v>38</v>
      </c>
      <c r="B57" s="79" t="s">
        <v>90</v>
      </c>
      <c r="C57" s="79"/>
      <c r="D57" s="126">
        <f t="shared" si="14"/>
        <v>3954</v>
      </c>
      <c r="G57" s="122">
        <f t="shared" si="17"/>
        <v>3953846</v>
      </c>
      <c r="H57" s="122">
        <v>3176</v>
      </c>
      <c r="I57" s="122">
        <v>59358</v>
      </c>
      <c r="J57" s="122">
        <v>18349</v>
      </c>
      <c r="K57" s="122">
        <v>65122</v>
      </c>
      <c r="L57" s="122">
        <v>138016</v>
      </c>
      <c r="M57" s="122">
        <v>20335</v>
      </c>
      <c r="N57" s="122">
        <v>806059</v>
      </c>
      <c r="O57" s="122">
        <v>904957</v>
      </c>
      <c r="P57" s="122">
        <v>467318</v>
      </c>
      <c r="Q57" s="122">
        <v>1006715</v>
      </c>
      <c r="R57" s="122">
        <v>425327</v>
      </c>
      <c r="S57" s="122">
        <v>39114</v>
      </c>
    </row>
    <row r="58" spans="1:19">
      <c r="A58" s="69">
        <f t="shared" si="16"/>
        <v>39</v>
      </c>
      <c r="B58" s="63" t="s">
        <v>89</v>
      </c>
      <c r="D58" s="126">
        <f t="shared" si="14"/>
        <v>44</v>
      </c>
      <c r="G58" s="122">
        <f t="shared" si="17"/>
        <v>43505</v>
      </c>
      <c r="H58" s="122">
        <v>2244</v>
      </c>
      <c r="I58" s="122">
        <v>11535</v>
      </c>
      <c r="J58" s="122">
        <v>1931</v>
      </c>
      <c r="K58" s="122">
        <v>1504</v>
      </c>
      <c r="L58" s="122">
        <v>1164</v>
      </c>
      <c r="M58" s="122">
        <v>8398</v>
      </c>
      <c r="N58" s="122">
        <v>1300</v>
      </c>
      <c r="O58" s="122">
        <v>1328</v>
      </c>
      <c r="P58" s="122">
        <v>1181</v>
      </c>
      <c r="Q58" s="122">
        <v>2148</v>
      </c>
      <c r="R58" s="122">
        <v>11274</v>
      </c>
      <c r="S58" s="122">
        <v>-502</v>
      </c>
    </row>
    <row r="59" spans="1:19">
      <c r="A59" s="69">
        <f t="shared" si="16"/>
        <v>40</v>
      </c>
      <c r="B59" s="63" t="s">
        <v>88</v>
      </c>
      <c r="D59" s="126">
        <f t="shared" si="14"/>
        <v>1118</v>
      </c>
      <c r="G59" s="122">
        <f t="shared" si="17"/>
        <v>1117748</v>
      </c>
      <c r="H59" s="122">
        <v>9587</v>
      </c>
      <c r="I59" s="122">
        <v>32574</v>
      </c>
      <c r="J59" s="122">
        <v>14367</v>
      </c>
      <c r="K59" s="122">
        <v>16430</v>
      </c>
      <c r="L59" s="122">
        <v>49935</v>
      </c>
      <c r="M59" s="122">
        <v>27262</v>
      </c>
      <c r="N59" s="122">
        <v>161056</v>
      </c>
      <c r="O59" s="122">
        <v>186465</v>
      </c>
      <c r="P59" s="122">
        <v>142461</v>
      </c>
      <c r="Q59" s="122">
        <v>266208</v>
      </c>
      <c r="R59" s="122">
        <v>140345</v>
      </c>
      <c r="S59" s="122">
        <v>71058</v>
      </c>
    </row>
    <row r="60" spans="1:19">
      <c r="A60" s="69">
        <f t="shared" si="16"/>
        <v>41</v>
      </c>
      <c r="B60" s="80" t="s">
        <v>87</v>
      </c>
      <c r="C60" s="65"/>
      <c r="D60" s="126">
        <f t="shared" si="14"/>
        <v>237</v>
      </c>
      <c r="G60" s="122">
        <f t="shared" si="17"/>
        <v>236548</v>
      </c>
      <c r="H60" s="122">
        <v>5</v>
      </c>
      <c r="I60" s="122">
        <v>4249</v>
      </c>
      <c r="J60" s="122">
        <v>1968</v>
      </c>
      <c r="K60" s="122">
        <v>5147</v>
      </c>
      <c r="L60" s="122">
        <v>1935</v>
      </c>
      <c r="M60" s="122">
        <v>2105</v>
      </c>
      <c r="N60" s="122">
        <v>48328</v>
      </c>
      <c r="O60" s="122">
        <v>61499</v>
      </c>
      <c r="P60" s="122">
        <v>34991</v>
      </c>
      <c r="Q60" s="122">
        <v>14934</v>
      </c>
      <c r="R60" s="122">
        <v>45682</v>
      </c>
      <c r="S60" s="122">
        <v>15705</v>
      </c>
    </row>
    <row r="61" spans="1:19">
      <c r="A61" s="69">
        <f t="shared" si="16"/>
        <v>42</v>
      </c>
      <c r="B61" s="63" t="s">
        <v>86</v>
      </c>
      <c r="D61" s="76">
        <f>SUM(D50:D60)</f>
        <v>63239</v>
      </c>
      <c r="E61" s="74">
        <v>63238</v>
      </c>
      <c r="G61" s="124">
        <f>SUM(G50:G60)</f>
        <v>63237753</v>
      </c>
      <c r="H61" s="124">
        <f t="shared" ref="H61:S61" si="18">SUM(H50:H60)</f>
        <v>6964296</v>
      </c>
      <c r="I61" s="124">
        <f t="shared" si="18"/>
        <v>4564678</v>
      </c>
      <c r="J61" s="124">
        <f t="shared" si="18"/>
        <v>6313406</v>
      </c>
      <c r="K61" s="124">
        <f t="shared" si="18"/>
        <v>4231002</v>
      </c>
      <c r="L61" s="124">
        <f t="shared" si="18"/>
        <v>1876822</v>
      </c>
      <c r="M61" s="124">
        <f t="shared" si="18"/>
        <v>2234952</v>
      </c>
      <c r="N61" s="124">
        <f t="shared" si="18"/>
        <v>7376855</v>
      </c>
      <c r="O61" s="124">
        <f t="shared" si="18"/>
        <v>7709363</v>
      </c>
      <c r="P61" s="124">
        <f t="shared" si="18"/>
        <v>5836996</v>
      </c>
      <c r="Q61" s="124">
        <f t="shared" si="18"/>
        <v>4507069</v>
      </c>
      <c r="R61" s="124">
        <f t="shared" si="18"/>
        <v>7286568</v>
      </c>
      <c r="S61" s="124">
        <f t="shared" si="18"/>
        <v>4335746</v>
      </c>
    </row>
    <row r="62" spans="1:19">
      <c r="A62" s="69"/>
    </row>
    <row r="63" spans="1:19">
      <c r="A63" s="69"/>
      <c r="D63" s="70"/>
    </row>
    <row r="64" spans="1:19">
      <c r="A64" s="69"/>
      <c r="D64" s="70"/>
    </row>
    <row r="65" spans="1:19">
      <c r="A65" s="69"/>
      <c r="D65" s="70"/>
    </row>
    <row r="66" spans="1:19">
      <c r="A66" s="69"/>
      <c r="B66" s="77" t="s">
        <v>85</v>
      </c>
      <c r="D66" s="70"/>
    </row>
    <row r="67" spans="1:19">
      <c r="A67" s="69"/>
      <c r="B67" s="63" t="s">
        <v>134</v>
      </c>
      <c r="C67" s="79"/>
      <c r="D67" s="126">
        <f t="shared" ref="D67:D76" si="19">ROUND(G67/1000,0)</f>
        <v>17529</v>
      </c>
      <c r="G67" s="122">
        <f t="shared" ref="G67:G74" si="20">SUM(H67:S67)</f>
        <v>17529487</v>
      </c>
      <c r="H67" s="122">
        <v>1537140</v>
      </c>
      <c r="I67" s="122">
        <v>1480382</v>
      </c>
      <c r="J67" s="122">
        <v>1516859</v>
      </c>
      <c r="K67" s="122">
        <v>1455249</v>
      </c>
      <c r="L67" s="122">
        <v>1428486</v>
      </c>
      <c r="M67" s="122">
        <v>1408481</v>
      </c>
      <c r="N67" s="122">
        <v>1431372</v>
      </c>
      <c r="O67" s="122">
        <v>1471267</v>
      </c>
      <c r="P67" s="122">
        <v>1507466</v>
      </c>
      <c r="Q67" s="122">
        <v>1419923</v>
      </c>
      <c r="R67" s="122">
        <v>1453500</v>
      </c>
      <c r="S67" s="122">
        <v>1419362</v>
      </c>
    </row>
    <row r="68" spans="1:19">
      <c r="A68" s="69">
        <f>A61+1</f>
        <v>43</v>
      </c>
      <c r="B68" s="63" t="s">
        <v>84</v>
      </c>
      <c r="C68" s="79"/>
      <c r="D68" s="126">
        <f t="shared" si="19"/>
        <v>0</v>
      </c>
      <c r="G68" s="122">
        <f t="shared" si="20"/>
        <v>0</v>
      </c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</row>
    <row r="69" spans="1:19">
      <c r="A69" s="69">
        <f>A68+1</f>
        <v>44</v>
      </c>
      <c r="B69" s="63" t="s">
        <v>83</v>
      </c>
      <c r="D69" s="126">
        <f t="shared" si="19"/>
        <v>0</v>
      </c>
      <c r="G69" s="122">
        <f t="shared" si="20"/>
        <v>0</v>
      </c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</row>
    <row r="70" spans="1:19">
      <c r="A70" s="69">
        <f t="shared" ref="A70:A77" si="21">A69+1</f>
        <v>45</v>
      </c>
      <c r="B70" s="63" t="s">
        <v>82</v>
      </c>
      <c r="D70" s="126">
        <f t="shared" si="19"/>
        <v>0</v>
      </c>
      <c r="G70" s="122">
        <f t="shared" si="20"/>
        <v>0</v>
      </c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</row>
    <row r="71" spans="1:19">
      <c r="A71" s="69">
        <f t="shared" si="21"/>
        <v>46</v>
      </c>
      <c r="B71" s="63" t="s">
        <v>81</v>
      </c>
      <c r="D71" s="126">
        <f t="shared" si="19"/>
        <v>0</v>
      </c>
      <c r="G71" s="122">
        <f t="shared" si="20"/>
        <v>0</v>
      </c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</row>
    <row r="72" spans="1:19">
      <c r="A72" s="69">
        <f t="shared" si="21"/>
        <v>47</v>
      </c>
      <c r="B72" s="63" t="s">
        <v>80</v>
      </c>
      <c r="D72" s="126">
        <f t="shared" si="19"/>
        <v>0</v>
      </c>
      <c r="G72" s="122">
        <f t="shared" si="20"/>
        <v>0</v>
      </c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</row>
    <row r="73" spans="1:19">
      <c r="A73" s="69">
        <f t="shared" si="21"/>
        <v>48</v>
      </c>
      <c r="B73" s="63" t="s">
        <v>79</v>
      </c>
      <c r="D73" s="126">
        <f t="shared" si="19"/>
        <v>0</v>
      </c>
      <c r="G73" s="122">
        <f t="shared" si="20"/>
        <v>0</v>
      </c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</row>
    <row r="74" spans="1:19">
      <c r="A74" s="69">
        <f t="shared" si="21"/>
        <v>49</v>
      </c>
      <c r="B74" s="63" t="s">
        <v>78</v>
      </c>
      <c r="D74" s="126">
        <f t="shared" si="19"/>
        <v>0</v>
      </c>
      <c r="G74" s="122">
        <f t="shared" si="20"/>
        <v>0</v>
      </c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</row>
    <row r="75" spans="1:19">
      <c r="A75" s="69">
        <f t="shared" si="21"/>
        <v>50</v>
      </c>
      <c r="B75" s="63" t="s">
        <v>77</v>
      </c>
      <c r="C75" s="79"/>
      <c r="D75" s="126">
        <f t="shared" si="19"/>
        <v>0</v>
      </c>
      <c r="G75" s="122">
        <f t="shared" ref="G75:G76" si="22">SUM(H75:S75)</f>
        <v>0</v>
      </c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</row>
    <row r="76" spans="1:19">
      <c r="A76" s="69">
        <f t="shared" si="21"/>
        <v>51</v>
      </c>
      <c r="B76" s="65" t="s">
        <v>76</v>
      </c>
      <c r="C76" s="65"/>
      <c r="D76" s="126">
        <f t="shared" si="19"/>
        <v>0</v>
      </c>
      <c r="G76" s="122">
        <f t="shared" si="22"/>
        <v>0</v>
      </c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</row>
    <row r="77" spans="1:19">
      <c r="A77" s="69">
        <f t="shared" si="21"/>
        <v>52</v>
      </c>
      <c r="B77" s="63" t="s">
        <v>75</v>
      </c>
      <c r="D77" s="76">
        <f>SUM(D67:D76)</f>
        <v>17529</v>
      </c>
      <c r="E77" s="74">
        <v>17529</v>
      </c>
      <c r="G77" s="124">
        <f>SUM(G67:G76)</f>
        <v>17529487</v>
      </c>
      <c r="H77" s="124">
        <f t="shared" ref="H77:S77" si="23">SUM(H67:H76)</f>
        <v>1537140</v>
      </c>
      <c r="I77" s="124">
        <f t="shared" si="23"/>
        <v>1480382</v>
      </c>
      <c r="J77" s="124">
        <f t="shared" si="23"/>
        <v>1516859</v>
      </c>
      <c r="K77" s="124">
        <f t="shared" si="23"/>
        <v>1455249</v>
      </c>
      <c r="L77" s="124">
        <f t="shared" si="23"/>
        <v>1428486</v>
      </c>
      <c r="M77" s="124">
        <f t="shared" si="23"/>
        <v>1408481</v>
      </c>
      <c r="N77" s="124">
        <f t="shared" si="23"/>
        <v>1431372</v>
      </c>
      <c r="O77" s="124">
        <f t="shared" si="23"/>
        <v>1471267</v>
      </c>
      <c r="P77" s="124">
        <f t="shared" si="23"/>
        <v>1507466</v>
      </c>
      <c r="Q77" s="124">
        <f t="shared" si="23"/>
        <v>1419923</v>
      </c>
      <c r="R77" s="124">
        <f t="shared" si="23"/>
        <v>1453500</v>
      </c>
      <c r="S77" s="124">
        <f t="shared" si="23"/>
        <v>1419362</v>
      </c>
    </row>
    <row r="78" spans="1:19" ht="12.95" customHeight="1">
      <c r="A78" s="69"/>
    </row>
    <row r="79" spans="1:19" ht="12" customHeight="1">
      <c r="A79" s="69"/>
      <c r="B79" s="77" t="s">
        <v>74</v>
      </c>
      <c r="D79" s="70"/>
    </row>
    <row r="80" spans="1:19" ht="12" customHeight="1">
      <c r="A80" s="69">
        <f>A77+1</f>
        <v>53</v>
      </c>
      <c r="B80" s="63" t="s">
        <v>73</v>
      </c>
      <c r="D80" s="74"/>
      <c r="G80" s="122">
        <f t="shared" ref="G80" si="24">SUM(H80:S80)</f>
        <v>0</v>
      </c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</row>
    <row r="81" spans="1:19" ht="12" customHeight="1">
      <c r="A81" s="69"/>
      <c r="D81" s="70"/>
    </row>
    <row r="82" spans="1:19" ht="12" customHeight="1">
      <c r="A82" s="69">
        <f>A80+1</f>
        <v>54</v>
      </c>
      <c r="B82" s="73" t="s">
        <v>72</v>
      </c>
      <c r="C82" s="72"/>
      <c r="D82" s="71">
        <f>D27+D40+D47+D61+D77+D80</f>
        <v>301695</v>
      </c>
    </row>
    <row r="83" spans="1:19" ht="12" customHeight="1">
      <c r="A83" s="69"/>
      <c r="B83" s="68"/>
      <c r="D83" s="70"/>
    </row>
    <row r="84" spans="1:19" ht="12" customHeight="1">
      <c r="A84" s="69"/>
      <c r="B84" s="77" t="s">
        <v>71</v>
      </c>
      <c r="D84" s="70"/>
    </row>
    <row r="85" spans="1:19" ht="12.95" customHeight="1">
      <c r="A85" s="69">
        <f>A82+1</f>
        <v>55</v>
      </c>
      <c r="B85" s="63" t="s">
        <v>70</v>
      </c>
      <c r="D85" s="126">
        <f>-ROUND(G85/1000,0)</f>
        <v>78486</v>
      </c>
      <c r="G85" s="122">
        <f t="shared" ref="G85:G94" si="25">SUM(H85:S85)</f>
        <v>-78485816</v>
      </c>
      <c r="H85" s="122">
        <v>-11050528</v>
      </c>
      <c r="I85" s="122">
        <v>-7466737</v>
      </c>
      <c r="J85" s="122">
        <v>-9182024</v>
      </c>
      <c r="K85" s="122">
        <v>-11923918</v>
      </c>
      <c r="L85" s="122">
        <v>-5578440</v>
      </c>
      <c r="M85" s="122">
        <v>-6436712</v>
      </c>
      <c r="N85" s="122">
        <v>-1152037</v>
      </c>
      <c r="O85" s="122">
        <v>-8024373</v>
      </c>
      <c r="P85" s="122">
        <v>-4057183</v>
      </c>
      <c r="Q85" s="122">
        <v>193004</v>
      </c>
      <c r="R85" s="122">
        <v>-7918703</v>
      </c>
      <c r="S85" s="122">
        <v>-5888165</v>
      </c>
    </row>
    <row r="86" spans="1:19" ht="12.95" customHeight="1">
      <c r="A86" s="69">
        <f t="shared" ref="A86:A95" si="26">A85+1</f>
        <v>56</v>
      </c>
      <c r="B86" s="63" t="s">
        <v>69</v>
      </c>
      <c r="D86" s="126">
        <f t="shared" ref="D86:D94" si="27">-ROUND(G86/1000,0)</f>
        <v>0</v>
      </c>
      <c r="G86" s="122">
        <f t="shared" si="25"/>
        <v>0</v>
      </c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</row>
    <row r="87" spans="1:19" ht="12.95" customHeight="1">
      <c r="A87" s="69">
        <f t="shared" si="26"/>
        <v>57</v>
      </c>
      <c r="B87" s="63" t="s">
        <v>68</v>
      </c>
      <c r="D87" s="126">
        <f t="shared" si="27"/>
        <v>0</v>
      </c>
      <c r="G87" s="122">
        <f t="shared" si="25"/>
        <v>0</v>
      </c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</row>
    <row r="88" spans="1:19">
      <c r="A88" s="69">
        <f t="shared" si="26"/>
        <v>58</v>
      </c>
      <c r="B88" s="78" t="s">
        <v>67</v>
      </c>
      <c r="D88" s="126">
        <f t="shared" si="27"/>
        <v>0</v>
      </c>
      <c r="G88" s="122">
        <f t="shared" si="25"/>
        <v>0</v>
      </c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</row>
    <row r="89" spans="1:19">
      <c r="A89" s="69">
        <f t="shared" si="26"/>
        <v>59</v>
      </c>
      <c r="B89" s="63" t="s">
        <v>66</v>
      </c>
      <c r="D89" s="126">
        <f t="shared" si="27"/>
        <v>-1502</v>
      </c>
      <c r="F89" s="149"/>
      <c r="G89" s="122">
        <f t="shared" si="25"/>
        <v>1502104</v>
      </c>
      <c r="H89" s="122">
        <v>96850</v>
      </c>
      <c r="I89" s="122">
        <v>54051</v>
      </c>
      <c r="J89" s="122">
        <v>67735</v>
      </c>
      <c r="K89" s="122">
        <v>46838</v>
      </c>
      <c r="L89" s="122">
        <v>23444</v>
      </c>
      <c r="M89" s="122">
        <v>38086</v>
      </c>
      <c r="N89" s="122">
        <v>256173</v>
      </c>
      <c r="O89" s="122">
        <v>268722</v>
      </c>
      <c r="P89" s="122">
        <v>122395</v>
      </c>
      <c r="Q89" s="122">
        <v>152031</v>
      </c>
      <c r="R89" s="122">
        <v>185445</v>
      </c>
      <c r="S89" s="122">
        <v>190334</v>
      </c>
    </row>
    <row r="90" spans="1:19">
      <c r="A90" s="69">
        <f t="shared" si="26"/>
        <v>60</v>
      </c>
      <c r="B90" s="63" t="s">
        <v>65</v>
      </c>
      <c r="D90" s="126">
        <f t="shared" si="27"/>
        <v>-159</v>
      </c>
      <c r="G90" s="122">
        <f t="shared" si="25"/>
        <v>159382</v>
      </c>
      <c r="H90" s="122">
        <v>12978</v>
      </c>
      <c r="I90" s="122">
        <v>11594</v>
      </c>
      <c r="J90" s="122">
        <v>12269</v>
      </c>
      <c r="K90" s="122">
        <v>23957</v>
      </c>
      <c r="L90" s="122">
        <v>12240</v>
      </c>
      <c r="M90" s="122">
        <v>11887</v>
      </c>
      <c r="N90" s="122">
        <v>12458</v>
      </c>
      <c r="O90" s="122">
        <v>12397</v>
      </c>
      <c r="P90" s="122">
        <v>11830</v>
      </c>
      <c r="Q90" s="122">
        <v>12482</v>
      </c>
      <c r="R90" s="122">
        <v>12405</v>
      </c>
      <c r="S90" s="122">
        <v>12885</v>
      </c>
    </row>
    <row r="91" spans="1:19">
      <c r="A91" s="69">
        <f t="shared" si="26"/>
        <v>61</v>
      </c>
      <c r="B91" s="63" t="s">
        <v>64</v>
      </c>
      <c r="D91" s="126">
        <f t="shared" si="27"/>
        <v>-681</v>
      </c>
      <c r="G91" s="122">
        <f t="shared" si="25"/>
        <v>681080</v>
      </c>
      <c r="H91" s="122">
        <v>61859</v>
      </c>
      <c r="I91" s="122">
        <v>59141</v>
      </c>
      <c r="J91" s="122">
        <v>65628</v>
      </c>
      <c r="K91" s="122">
        <v>58213</v>
      </c>
      <c r="L91" s="122">
        <v>48440</v>
      </c>
      <c r="M91" s="122">
        <v>49177</v>
      </c>
      <c r="N91" s="122">
        <v>56197</v>
      </c>
      <c r="O91" s="122">
        <v>50370</v>
      </c>
      <c r="P91" s="122">
        <v>50107</v>
      </c>
      <c r="Q91" s="122">
        <v>59684</v>
      </c>
      <c r="R91" s="122">
        <v>59857</v>
      </c>
      <c r="S91" s="122">
        <v>62407</v>
      </c>
    </row>
    <row r="92" spans="1:19">
      <c r="A92" s="69">
        <f t="shared" si="26"/>
        <v>62</v>
      </c>
      <c r="B92" s="63" t="s">
        <v>63</v>
      </c>
      <c r="D92" s="126">
        <f t="shared" si="27"/>
        <v>0</v>
      </c>
      <c r="G92" s="122">
        <f t="shared" si="25"/>
        <v>0</v>
      </c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</row>
    <row r="93" spans="1:19">
      <c r="A93" s="69">
        <f t="shared" si="26"/>
        <v>63</v>
      </c>
      <c r="B93" s="63" t="s">
        <v>62</v>
      </c>
      <c r="D93" s="126">
        <f t="shared" si="27"/>
        <v>0</v>
      </c>
      <c r="G93" s="122">
        <f t="shared" si="25"/>
        <v>0</v>
      </c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</row>
    <row r="94" spans="1:19">
      <c r="A94" s="69">
        <f t="shared" si="26"/>
        <v>64</v>
      </c>
      <c r="B94" s="65" t="s">
        <v>61</v>
      </c>
      <c r="C94" s="65"/>
      <c r="D94" s="126">
        <f t="shared" si="27"/>
        <v>15611</v>
      </c>
      <c r="G94" s="122">
        <f t="shared" si="25"/>
        <v>-15610685</v>
      </c>
      <c r="H94" s="122">
        <v>-3148683</v>
      </c>
      <c r="I94" s="122">
        <v>-2334720</v>
      </c>
      <c r="J94" s="122">
        <v>-2161705</v>
      </c>
      <c r="K94" s="122">
        <v>554578</v>
      </c>
      <c r="L94" s="122">
        <v>-1211637</v>
      </c>
      <c r="M94" s="122">
        <v>-1350958</v>
      </c>
      <c r="N94" s="122">
        <v>-1175743</v>
      </c>
      <c r="O94" s="122">
        <v>-1019134</v>
      </c>
      <c r="P94" s="122">
        <v>-874375</v>
      </c>
      <c r="Q94" s="122">
        <v>-830108</v>
      </c>
      <c r="R94" s="122">
        <v>-1135045</v>
      </c>
      <c r="S94" s="122">
        <v>-923155</v>
      </c>
    </row>
    <row r="95" spans="1:19">
      <c r="A95" s="69">
        <f t="shared" si="26"/>
        <v>65</v>
      </c>
      <c r="B95" s="63" t="s">
        <v>60</v>
      </c>
      <c r="D95" s="127">
        <f>SUM(D85:D94)</f>
        <v>91755</v>
      </c>
      <c r="E95" s="74">
        <v>91775</v>
      </c>
      <c r="G95" s="124">
        <f>SUM(G85:G94)</f>
        <v>-91753935</v>
      </c>
      <c r="H95" s="124">
        <f t="shared" ref="H95:S95" si="28">SUM(H85:H94)</f>
        <v>-14027524</v>
      </c>
      <c r="I95" s="124">
        <f t="shared" si="28"/>
        <v>-9676671</v>
      </c>
      <c r="J95" s="124">
        <f t="shared" si="28"/>
        <v>-11198097</v>
      </c>
      <c r="K95" s="124">
        <f t="shared" si="28"/>
        <v>-11240332</v>
      </c>
      <c r="L95" s="124">
        <f t="shared" si="28"/>
        <v>-6705953</v>
      </c>
      <c r="M95" s="124">
        <f t="shared" si="28"/>
        <v>-7688520</v>
      </c>
      <c r="N95" s="124">
        <f t="shared" si="28"/>
        <v>-2002952</v>
      </c>
      <c r="O95" s="124">
        <f t="shared" si="28"/>
        <v>-8712018</v>
      </c>
      <c r="P95" s="124">
        <f t="shared" si="28"/>
        <v>-4747226</v>
      </c>
      <c r="Q95" s="124">
        <f t="shared" si="28"/>
        <v>-412907</v>
      </c>
      <c r="R95" s="124">
        <f t="shared" si="28"/>
        <v>-8796041</v>
      </c>
      <c r="S95" s="124">
        <f t="shared" si="28"/>
        <v>-6545694</v>
      </c>
    </row>
    <row r="96" spans="1:19">
      <c r="A96" s="69"/>
      <c r="E96" s="152">
        <f>E95-D95</f>
        <v>20</v>
      </c>
      <c r="F96" s="63" t="s">
        <v>199</v>
      </c>
    </row>
    <row r="97" spans="1:19">
      <c r="A97" s="69"/>
      <c r="B97" s="77" t="s">
        <v>59</v>
      </c>
      <c r="D97" s="74"/>
    </row>
    <row r="98" spans="1:19">
      <c r="A98" s="69">
        <f>A95+1</f>
        <v>66</v>
      </c>
      <c r="B98" s="63" t="s">
        <v>58</v>
      </c>
      <c r="D98" s="74">
        <f>-G98/1000</f>
        <v>4855.9219999999996</v>
      </c>
      <c r="G98" s="122">
        <f t="shared" ref="G98:G99" si="29">SUM(H98:S98)</f>
        <v>-4855922</v>
      </c>
      <c r="H98" s="122">
        <v>-1551698</v>
      </c>
      <c r="I98" s="122">
        <v>-257622</v>
      </c>
      <c r="J98" s="122">
        <v>-345931</v>
      </c>
      <c r="K98" s="122">
        <v>-308392</v>
      </c>
      <c r="L98" s="122">
        <v>-292745</v>
      </c>
      <c r="M98" s="122">
        <v>-292450</v>
      </c>
      <c r="N98" s="122">
        <v>-306206</v>
      </c>
      <c r="O98" s="122">
        <v>-312832</v>
      </c>
      <c r="P98" s="122">
        <v>-270044</v>
      </c>
      <c r="Q98" s="122">
        <v>-325119</v>
      </c>
      <c r="R98" s="122">
        <v>-295735</v>
      </c>
      <c r="S98" s="122">
        <v>-297148</v>
      </c>
    </row>
    <row r="99" spans="1:19">
      <c r="A99" s="69">
        <f>A98+1</f>
        <v>67</v>
      </c>
      <c r="B99" s="63" t="s">
        <v>57</v>
      </c>
      <c r="D99" s="74">
        <v>0</v>
      </c>
      <c r="G99" s="122">
        <f t="shared" si="29"/>
        <v>0</v>
      </c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</row>
    <row r="100" spans="1:19" hidden="1" outlineLevel="1">
      <c r="A100" s="69"/>
      <c r="D100" s="74"/>
      <c r="G100" s="125">
        <f t="shared" ref="G100:G104" si="30">SUM(H100:S100)</f>
        <v>-5327943</v>
      </c>
      <c r="H100" s="125">
        <v>-168836</v>
      </c>
      <c r="I100" s="125">
        <v>-1280368</v>
      </c>
      <c r="J100" s="125">
        <v>-712744</v>
      </c>
      <c r="K100" s="125">
        <v>-1424435</v>
      </c>
      <c r="L100" s="125">
        <v>-1952688</v>
      </c>
      <c r="M100" s="125">
        <v>-1566138</v>
      </c>
      <c r="N100" s="125">
        <v>-1059625</v>
      </c>
      <c r="O100" s="125">
        <v>-315640</v>
      </c>
      <c r="P100" s="125">
        <v>-834788</v>
      </c>
      <c r="Q100" s="125">
        <v>-1154925</v>
      </c>
      <c r="R100" s="125">
        <v>973890</v>
      </c>
      <c r="S100" s="125">
        <v>4168354</v>
      </c>
    </row>
    <row r="101" spans="1:19" hidden="1" outlineLevel="1">
      <c r="A101" s="69"/>
      <c r="D101" s="74"/>
      <c r="G101" s="125">
        <f t="shared" si="30"/>
        <v>-33445351</v>
      </c>
      <c r="H101" s="125">
        <v>-364889</v>
      </c>
      <c r="I101" s="125">
        <v>-2477540</v>
      </c>
      <c r="J101" s="125">
        <v>-2469784</v>
      </c>
      <c r="K101" s="125">
        <v>-3601157</v>
      </c>
      <c r="L101" s="125">
        <v>-5475344</v>
      </c>
      <c r="M101" s="125">
        <v>-5390232</v>
      </c>
      <c r="N101" s="125">
        <v>-1141788</v>
      </c>
      <c r="O101" s="125">
        <v>-1251787</v>
      </c>
      <c r="P101" s="125">
        <v>-1233448</v>
      </c>
      <c r="Q101" s="125">
        <v>-6461511</v>
      </c>
      <c r="R101" s="125">
        <v>-979330</v>
      </c>
      <c r="S101" s="125">
        <v>-2598541</v>
      </c>
    </row>
    <row r="102" spans="1:19" hidden="1" outlineLevel="1">
      <c r="A102" s="69"/>
      <c r="D102" s="74"/>
      <c r="G102" s="125">
        <f t="shared" si="30"/>
        <v>-755453</v>
      </c>
      <c r="H102" s="125">
        <v>0</v>
      </c>
      <c r="I102" s="125">
        <v>0</v>
      </c>
      <c r="J102" s="125">
        <v>-182104</v>
      </c>
      <c r="K102" s="125">
        <v>-49440</v>
      </c>
      <c r="L102" s="125">
        <v>-58523</v>
      </c>
      <c r="M102" s="125">
        <v>-68065</v>
      </c>
      <c r="N102" s="125">
        <v>-67171</v>
      </c>
      <c r="O102" s="125">
        <v>-62167</v>
      </c>
      <c r="P102" s="125">
        <v>-78295</v>
      </c>
      <c r="Q102" s="125">
        <v>-74042</v>
      </c>
      <c r="R102" s="125">
        <v>-71613</v>
      </c>
      <c r="S102" s="125">
        <v>-44033</v>
      </c>
    </row>
    <row r="103" spans="1:19" hidden="1" outlineLevel="1">
      <c r="A103" s="69"/>
      <c r="D103" s="74"/>
      <c r="G103" s="125">
        <f t="shared" si="30"/>
        <v>-30550888</v>
      </c>
      <c r="H103" s="125">
        <v>-4514484</v>
      </c>
      <c r="I103" s="125">
        <v>-1324718</v>
      </c>
      <c r="J103" s="125">
        <v>-1017222</v>
      </c>
      <c r="K103" s="125">
        <v>-816042</v>
      </c>
      <c r="L103" s="125">
        <v>-523918</v>
      </c>
      <c r="M103" s="125">
        <v>-664057</v>
      </c>
      <c r="N103" s="125">
        <v>-3408554</v>
      </c>
      <c r="O103" s="125">
        <v>-4540587</v>
      </c>
      <c r="P103" s="125">
        <v>-3692298</v>
      </c>
      <c r="Q103" s="125">
        <v>-1562158</v>
      </c>
      <c r="R103" s="125">
        <v>-2959363</v>
      </c>
      <c r="S103" s="125">
        <v>-5527487</v>
      </c>
    </row>
    <row r="104" spans="1:19" hidden="1" outlineLevel="1">
      <c r="A104" s="69"/>
      <c r="D104" s="74"/>
      <c r="G104" s="125">
        <f t="shared" si="30"/>
        <v>5765182</v>
      </c>
      <c r="H104" s="125">
        <v>187589</v>
      </c>
      <c r="I104" s="125">
        <v>238295</v>
      </c>
      <c r="J104" s="125">
        <v>27125</v>
      </c>
      <c r="K104" s="125">
        <v>371923</v>
      </c>
      <c r="L104" s="125">
        <v>107454</v>
      </c>
      <c r="M104" s="125">
        <v>225014</v>
      </c>
      <c r="N104" s="125">
        <v>356500</v>
      </c>
      <c r="O104" s="125">
        <v>1156300</v>
      </c>
      <c r="P104" s="125">
        <v>709500</v>
      </c>
      <c r="Q104" s="125">
        <v>1432550</v>
      </c>
      <c r="R104" s="125">
        <v>16750</v>
      </c>
      <c r="S104" s="125">
        <v>936182</v>
      </c>
    </row>
    <row r="105" spans="1:19" hidden="1" outlineLevel="1">
      <c r="A105" s="69"/>
      <c r="D105" s="74"/>
      <c r="G105" s="125">
        <f t="shared" ref="G105" si="31">SUM(H105:S105)</f>
        <v>-5765182</v>
      </c>
      <c r="H105" s="125">
        <v>-187589</v>
      </c>
      <c r="I105" s="125">
        <v>-238295</v>
      </c>
      <c r="J105" s="125">
        <v>-27125</v>
      </c>
      <c r="K105" s="125">
        <v>-371923</v>
      </c>
      <c r="L105" s="125">
        <v>-107454</v>
      </c>
      <c r="M105" s="125">
        <v>-225014</v>
      </c>
      <c r="N105" s="125">
        <v>-356500</v>
      </c>
      <c r="O105" s="125">
        <v>-1156300</v>
      </c>
      <c r="P105" s="125">
        <v>-709500</v>
      </c>
      <c r="Q105" s="125">
        <v>-1432550</v>
      </c>
      <c r="R105" s="125">
        <v>-16750</v>
      </c>
      <c r="S105" s="125">
        <v>-936182</v>
      </c>
    </row>
    <row r="106" spans="1:19" collapsed="1">
      <c r="A106" s="69">
        <f>A99+1</f>
        <v>68</v>
      </c>
      <c r="B106" s="65" t="s">
        <v>56</v>
      </c>
      <c r="C106" s="65"/>
      <c r="D106" s="126">
        <f>-ROUND(G106/1000,0)</f>
        <v>70080</v>
      </c>
      <c r="G106" s="122">
        <f>SUM(H106:S106)</f>
        <v>-70079635</v>
      </c>
      <c r="H106" s="122">
        <f>SUM(H100:H105)</f>
        <v>-5048209</v>
      </c>
      <c r="I106" s="122">
        <f t="shared" ref="I106:R106" si="32">SUM(I100:I105)</f>
        <v>-5082626</v>
      </c>
      <c r="J106" s="122">
        <f t="shared" si="32"/>
        <v>-4381854</v>
      </c>
      <c r="K106" s="122">
        <f t="shared" si="32"/>
        <v>-5891074</v>
      </c>
      <c r="L106" s="122">
        <f t="shared" si="32"/>
        <v>-8010473</v>
      </c>
      <c r="M106" s="122">
        <f t="shared" si="32"/>
        <v>-7688492</v>
      </c>
      <c r="N106" s="122">
        <f t="shared" si="32"/>
        <v>-5677138</v>
      </c>
      <c r="O106" s="122">
        <f t="shared" si="32"/>
        <v>-6170181</v>
      </c>
      <c r="P106" s="122">
        <f t="shared" si="32"/>
        <v>-5838829</v>
      </c>
      <c r="Q106" s="122">
        <f t="shared" si="32"/>
        <v>-9252636</v>
      </c>
      <c r="R106" s="122">
        <f t="shared" si="32"/>
        <v>-3036416</v>
      </c>
      <c r="S106" s="122">
        <f>SUM(S100:S105)</f>
        <v>-4001707</v>
      </c>
    </row>
    <row r="107" spans="1:19">
      <c r="A107" s="69">
        <f>A106+1</f>
        <v>69</v>
      </c>
      <c r="B107" s="63" t="s">
        <v>55</v>
      </c>
      <c r="D107" s="76">
        <f>SUM(D98:D106)</f>
        <v>74935.922000000006</v>
      </c>
      <c r="E107" s="148">
        <f>99076228/1000</f>
        <v>99076.228000000003</v>
      </c>
      <c r="F107" s="102">
        <f>E107-D107</f>
        <v>24140.305999999997</v>
      </c>
      <c r="G107" s="124">
        <f>SUM(G98:G99,G106)</f>
        <v>-74935557</v>
      </c>
      <c r="H107" s="124">
        <f t="shared" ref="H107:S107" si="33">SUM(H98:H99,H106)</f>
        <v>-6599907</v>
      </c>
      <c r="I107" s="124">
        <f t="shared" si="33"/>
        <v>-5340248</v>
      </c>
      <c r="J107" s="124">
        <f t="shared" si="33"/>
        <v>-4727785</v>
      </c>
      <c r="K107" s="124">
        <f t="shared" si="33"/>
        <v>-6199466</v>
      </c>
      <c r="L107" s="124">
        <f t="shared" si="33"/>
        <v>-8303218</v>
      </c>
      <c r="M107" s="124">
        <f t="shared" si="33"/>
        <v>-7980942</v>
      </c>
      <c r="N107" s="124">
        <f t="shared" si="33"/>
        <v>-5983344</v>
      </c>
      <c r="O107" s="124">
        <f t="shared" si="33"/>
        <v>-6483013</v>
      </c>
      <c r="P107" s="124">
        <f t="shared" si="33"/>
        <v>-6108873</v>
      </c>
      <c r="Q107" s="124">
        <f t="shared" si="33"/>
        <v>-9577755</v>
      </c>
      <c r="R107" s="124">
        <f t="shared" si="33"/>
        <v>-3332151</v>
      </c>
      <c r="S107" s="124">
        <f t="shared" si="33"/>
        <v>-4298855</v>
      </c>
    </row>
    <row r="108" spans="1:19" ht="13.15" customHeight="1">
      <c r="A108" s="69" t="s">
        <v>54</v>
      </c>
      <c r="D108" s="70"/>
      <c r="E108" s="148">
        <f>(60244+313914+12673000+924000+2362856+1747966+156508)/1000</f>
        <v>18238.488000000001</v>
      </c>
      <c r="F108" s="63" t="s">
        <v>145</v>
      </c>
      <c r="G108" s="122">
        <f t="shared" ref="G108" si="34">SUM(H108:S108)</f>
        <v>-18187702</v>
      </c>
      <c r="H108" s="122">
        <v>-1346464</v>
      </c>
      <c r="I108" s="122">
        <v>-1432165</v>
      </c>
      <c r="J108" s="122">
        <v>-1085780</v>
      </c>
      <c r="K108" s="122">
        <v>-1084499</v>
      </c>
      <c r="L108" s="122">
        <v>-1558363</v>
      </c>
      <c r="M108" s="122">
        <v>-1680324</v>
      </c>
      <c r="N108" s="122">
        <v>-1890542</v>
      </c>
      <c r="O108" s="122">
        <v>-1741991</v>
      </c>
      <c r="P108" s="122">
        <v>-1215513</v>
      </c>
      <c r="Q108" s="147">
        <v>-1310638</v>
      </c>
      <c r="R108" s="147">
        <v>-1805571</v>
      </c>
      <c r="S108" s="147">
        <v>-2035852</v>
      </c>
    </row>
    <row r="109" spans="1:19">
      <c r="A109" s="69"/>
      <c r="B109" s="75" t="s">
        <v>53</v>
      </c>
      <c r="D109" s="70"/>
      <c r="E109" s="148">
        <f>(-1396884+10143377-9293981+8313170-2896096)/1000</f>
        <v>4869.5860000000002</v>
      </c>
      <c r="F109" s="63" t="s">
        <v>144</v>
      </c>
    </row>
    <row r="110" spans="1:19">
      <c r="A110" s="69">
        <f>A107+1</f>
        <v>70</v>
      </c>
      <c r="B110" s="63" t="s">
        <v>52</v>
      </c>
      <c r="D110" s="74">
        <v>0</v>
      </c>
      <c r="E110" s="148">
        <f>1032598/1000</f>
        <v>1032.598</v>
      </c>
      <c r="F110" s="63" t="s">
        <v>143</v>
      </c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</row>
    <row r="111" spans="1:19" ht="12.6" customHeight="1">
      <c r="A111" s="69"/>
      <c r="D111" s="74"/>
      <c r="E111" s="153">
        <f>SUM(E108:E110)</f>
        <v>24140.671999999999</v>
      </c>
      <c r="F111" s="102">
        <f>F107-E111</f>
        <v>-0.36600000000180444</v>
      </c>
    </row>
    <row r="112" spans="1:19" ht="6" customHeight="1">
      <c r="A112" s="69"/>
      <c r="D112" s="70"/>
    </row>
    <row r="113" spans="1:4">
      <c r="A113" s="69">
        <f>A110+1</f>
        <v>71</v>
      </c>
      <c r="B113" s="73" t="s">
        <v>51</v>
      </c>
      <c r="C113" s="72"/>
      <c r="D113" s="71">
        <f>D95+D107+D110</f>
        <v>166690.92200000002</v>
      </c>
    </row>
    <row r="114" spans="1:4" ht="7.5" customHeight="1">
      <c r="A114" s="69"/>
      <c r="D114" s="70"/>
    </row>
    <row r="115" spans="1:4">
      <c r="A115" s="69">
        <f>A113+1</f>
        <v>72</v>
      </c>
      <c r="B115" s="73" t="s">
        <v>50</v>
      </c>
      <c r="C115" s="72"/>
      <c r="D115" s="71">
        <f>D82-D113</f>
        <v>135004.07799999998</v>
      </c>
    </row>
    <row r="116" spans="1:4" ht="6" customHeight="1">
      <c r="A116" s="69"/>
      <c r="D116" s="70"/>
    </row>
    <row r="117" spans="1:4" ht="12.75" customHeight="1">
      <c r="A117" s="69"/>
      <c r="B117" s="68"/>
      <c r="D117" s="70"/>
    </row>
    <row r="118" spans="1:4">
      <c r="A118" s="161" t="s">
        <v>146</v>
      </c>
      <c r="B118" s="161"/>
      <c r="C118" s="161"/>
      <c r="D118" s="161"/>
    </row>
    <row r="119" spans="1:4" ht="12.75" customHeight="1" thickBot="1">
      <c r="A119" s="69"/>
      <c r="B119" s="68" t="s">
        <v>205</v>
      </c>
      <c r="D119" s="67">
        <f>D113+E108</f>
        <v>184929.41000000003</v>
      </c>
    </row>
    <row r="120" spans="1:4" ht="13.5" thickTop="1"/>
    <row r="123" spans="1:4">
      <c r="C123" s="66"/>
    </row>
  </sheetData>
  <mergeCells count="2">
    <mergeCell ref="A118:D118"/>
    <mergeCell ref="F48:F49"/>
  </mergeCells>
  <pageMargins left="0.5" right="0.5" top="1" bottom="1" header="0.5" footer="0.5"/>
  <pageSetup scale="80" orientation="portrait" r:id="rId1"/>
  <headerFooter scaleWithDoc="0">
    <oddFooter>&amp;C&amp;F / &amp;A&amp;RPage &amp;P</oddFooter>
  </headerFooter>
  <rowBreaks count="1" manualBreakCount="1">
    <brk id="64" max="5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27DC65D-DEB9-4B86-BBC0-A5FF5C8A7FAA}"/>
</file>

<file path=customXml/itemProps2.xml><?xml version="1.0" encoding="utf-8"?>
<ds:datastoreItem xmlns:ds="http://schemas.openxmlformats.org/officeDocument/2006/customXml" ds:itemID="{85EF874C-61FD-470B-9E97-16881D238920}"/>
</file>

<file path=customXml/itemProps3.xml><?xml version="1.0" encoding="utf-8"?>
<ds:datastoreItem xmlns:ds="http://schemas.openxmlformats.org/officeDocument/2006/customXml" ds:itemID="{E8C2F1B2-76AE-4C6B-96ED-B238BA2991BD}"/>
</file>

<file path=customXml/itemProps4.xml><?xml version="1.0" encoding="utf-8"?>
<ds:datastoreItem xmlns:ds="http://schemas.openxmlformats.org/officeDocument/2006/customXml" ds:itemID="{28B92725-B74C-442B-A414-1F289B4457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PF Power Supply Adjustments</vt:lpstr>
      <vt:lpstr>Monthly Authorized</vt:lpstr>
      <vt:lpstr>12.2018 Actual</vt:lpstr>
      <vt:lpstr>'12.2018 Actual'!Print_Area</vt:lpstr>
      <vt:lpstr>'PF Power Supply Adjustments'!Print_Area</vt:lpstr>
      <vt:lpstr>'12.2018 Actual'!Print_Titles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annette brandon</cp:lastModifiedBy>
  <cp:lastPrinted>2019-02-27T21:37:25Z</cp:lastPrinted>
  <dcterms:created xsi:type="dcterms:W3CDTF">2017-02-02T18:22:39Z</dcterms:created>
  <dcterms:modified xsi:type="dcterms:W3CDTF">2019-03-08T21:43:04Z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