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2-Budget &amp; Administration\Reporting\WUTC\2021 Reporting\2020-2021 Biennial Report\Exhibits\"/>
    </mc:Choice>
  </mc:AlternateContent>
  <bookViews>
    <workbookView xWindow="0" yWindow="0" windowWidth="25170" windowHeight="10470" tabRatio="719" activeTab="1"/>
  </bookViews>
  <sheets>
    <sheet name="Background" sheetId="21" r:id="rId1"/>
    <sheet name="Conservation Report" sheetId="18" r:id="rId2"/>
    <sheet name="Data" sheetId="19" state="hidden" r:id="rId3"/>
  </sheets>
  <definedNames>
    <definedName name="CON_10YPotential_Prior_Assessment">'Conservation Report'!$G$8</definedName>
    <definedName name="CON_1YPrior_Agriculture_Expend">'Conservation Report'!$G$19</definedName>
    <definedName name="CON_1YPrior_Agriculture_MWH">'Conservation Report'!$F$19</definedName>
    <definedName name="CON_1YPrior_Commercial_Expend">'Conservation Report'!$G$17</definedName>
    <definedName name="CON_1YPrior_Commercial_MWH">'Conservation Report'!$F$17</definedName>
    <definedName name="CON_1YPrior_Distribution_Expend">'Conservation Report'!$G$20</definedName>
    <definedName name="CON_1YPrior_Distribution_MWH">'Conservation Report'!$F$20</definedName>
    <definedName name="CON_1YPrior_Expenditures">'Conservation Report'!$G$29</definedName>
    <definedName name="CON_1YPrior_Industrial_Expend">'Conservation Report'!$G$18</definedName>
    <definedName name="CON_1YPrior_Industrial_MWH">'Conservation Report'!$F$18</definedName>
    <definedName name="CON_1YPrior_MWH">'Conservation Report'!$F$29</definedName>
    <definedName name="CON_1YPrior_NEEA_Expend">'Conservation Report'!$G$22</definedName>
    <definedName name="CON_1YPrior_NEEA_MWH">'Conservation Report'!$F$22</definedName>
    <definedName name="CON_1YPrior_OtherSector1_Expend">'Conservation Report'!$G$23</definedName>
    <definedName name="CON_1YPrior_OtherSector1_MWH">'Conservation Report'!$F$23</definedName>
    <definedName name="CON_1YPrior_OtherSector2_Expend">'Conservation Report'!$G$24</definedName>
    <definedName name="CON_1YPrior_OtherSector2_MWH">'Conservation Report'!$F$24</definedName>
    <definedName name="CON_1YPrior_Production_Expend">'Conservation Report'!$G$21</definedName>
    <definedName name="CON_1YPrior_Production_MWH">'Conservation Report'!$F$21</definedName>
    <definedName name="CON_1YPrior_Program1_Expend">'Conservation Report'!#REF!</definedName>
    <definedName name="CON_1YPrior_Program2_Expend">'Conservation Report'!$G$28</definedName>
    <definedName name="CON_1YPrior_Residential_Expend">'Conservation Report'!$G$16</definedName>
    <definedName name="CON_1YPrior_Residential_MWH">'Conservation Report'!$F$16</definedName>
    <definedName name="CON_2YPrior_Agriculture_Expend">'Conservation Report'!$D$19</definedName>
    <definedName name="CON_2YPrior_Agriculture_MWH">'Conservation Report'!$C$19</definedName>
    <definedName name="CON_2YPrior_Commercial_Expend">'Conservation Report'!$D$17</definedName>
    <definedName name="CON_2YPrior_Commercial_MWH">'Conservation Report'!$C$17</definedName>
    <definedName name="CON_2YPrior_Distribution_Expend">'Conservation Report'!$D$20</definedName>
    <definedName name="CON_2YPrior_Distribution_MWH">'Conservation Report'!$C$20</definedName>
    <definedName name="CON_2YPrior_Expenditures">'Conservation Report'!$D$29</definedName>
    <definedName name="CON_2YPrior_Industrial_Expend">'Conservation Report'!$D$18</definedName>
    <definedName name="CON_2YPrior_Industrial_MWH">'Conservation Report'!$C$18</definedName>
    <definedName name="CON_2YPrior_MWH">'Conservation Report'!$C$29</definedName>
    <definedName name="CON_2YPrior_NEEA_Expend">'Conservation Report'!$D$22</definedName>
    <definedName name="CON_2YPrior_NEEA_MWH">'Conservation Report'!$C$22</definedName>
    <definedName name="CON_2YPrior_OtherSector1_Expend">'Conservation Report'!$D$23</definedName>
    <definedName name="CON_2YPrior_OtherSector1_MWH">'Conservation Report'!$C$23</definedName>
    <definedName name="CON_2YPrior_OtherSector2_Expend">'Conservation Report'!$D$24</definedName>
    <definedName name="CON_2YPrior_OtherSector2_MWH">'Conservation Report'!$C$24</definedName>
    <definedName name="CON_2YPrior_Production_Expend">'Conservation Report'!$D$21</definedName>
    <definedName name="CON_2YPrior_Production_MWH">'Conservation Report'!$C$21</definedName>
    <definedName name="CON_2YPrior_Program1_Expend">'Conservation Report'!#REF!</definedName>
    <definedName name="CON_2YPrior_Program2_Expend">'Conservation Report'!$D$28</definedName>
    <definedName name="CON_2YPrior_Residential_Expend">'Conservation Report'!$D$16</definedName>
    <definedName name="CON_2YPrior_Residential_MWH">'Conservation Report'!$C$16</definedName>
    <definedName name="CON_Contact_Name">'Conservation Report'!$B$7</definedName>
    <definedName name="CON_Email">'Conservation Report'!$B$9</definedName>
    <definedName name="CON_Next_2Y">'Conservation Report'!$I$9</definedName>
    <definedName name="CON_Phone">'Conservation Report'!$B$8</definedName>
    <definedName name="CON_Potential_10Y">'Conservation Report'!$I$8</definedName>
    <definedName name="CON_Report_Date">'Conservation Report'!$B$6</definedName>
    <definedName name="CON_Target_Prior_2Y">'Conservation Report'!$G$9</definedName>
    <definedName name="CON_Utility_Name">'Conservation Report'!$B$5</definedName>
    <definedName name="_xlnm.Print_Area" localSheetId="1">'Conservation Report'!$A$3:$I$35</definedName>
    <definedName name="UtilityList">#REF!</definedName>
  </definedNames>
  <calcPr calcId="162913"/>
</workbook>
</file>

<file path=xl/calcChain.xml><?xml version="1.0" encoding="utf-8"?>
<calcChain xmlns="http://schemas.openxmlformats.org/spreadsheetml/2006/main">
  <c r="BA2" i="19" l="1"/>
  <c r="AX2" i="19"/>
  <c r="AZ2" i="19" l="1"/>
  <c r="AW2" i="19" l="1"/>
  <c r="A2" i="19" l="1"/>
  <c r="AS2" i="19" l="1"/>
  <c r="W2" i="19"/>
  <c r="E2" i="19"/>
  <c r="AY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9" i="18" l="1"/>
  <c r="AD2" i="19" s="1"/>
  <c r="F29" i="18"/>
  <c r="AG2" i="19" s="1"/>
  <c r="B31" i="18" l="1"/>
  <c r="D29" i="18" l="1"/>
  <c r="H2" i="19" s="1"/>
  <c r="C29" i="18"/>
  <c r="G11" i="18" s="1"/>
  <c r="K2" i="19" l="1"/>
</calcChain>
</file>

<file path=xl/comments1.xml><?xml version="1.0" encoding="utf-8"?>
<comments xmlns="http://schemas.openxmlformats.org/spreadsheetml/2006/main">
  <authors>
    <author>Blackmon, Glenn (COM)</author>
  </authors>
  <commentList>
    <comment ref="A9" authorId="0" shapeId="0">
      <text>
        <r>
          <rPr>
            <b/>
            <sz val="9"/>
            <color indexed="81"/>
            <rFont val="Tahoma"/>
            <family val="2"/>
          </rPr>
          <t xml:space="preserve">Note:
</t>
        </r>
        <r>
          <rPr>
            <sz val="9"/>
            <color indexed="81"/>
            <rFont val="Tahoma"/>
            <family val="2"/>
          </rPr>
          <t xml:space="preserve">Separate multiple email addresses with a semicolon
</t>
        </r>
      </text>
    </comment>
    <comment ref="F11" authorId="0" shapeId="0">
      <text>
        <r>
          <rPr>
            <b/>
            <sz val="9"/>
            <color indexed="81"/>
            <rFont val="Tahoma"/>
            <family val="2"/>
          </rPr>
          <t>Note:</t>
        </r>
        <r>
          <rPr>
            <sz val="9"/>
            <color indexed="81"/>
            <rFont val="Tahoma"/>
            <family val="2"/>
          </rPr>
          <t xml:space="preserve">
If the utility relies on excess conservation from 2016-17 or 2018-19 to meet the 2020-21 target, report that information in the Notes section below.</t>
        </r>
      </text>
    </comment>
  </commentList>
</comments>
</file>

<file path=xl/sharedStrings.xml><?xml version="1.0" encoding="utf-8"?>
<sst xmlns="http://schemas.openxmlformats.org/spreadsheetml/2006/main" count="107" uniqueCount="100">
  <si>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</si>
  <si>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</si>
  <si>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</si>
  <si>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</si>
  <si>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</si>
  <si>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</si>
  <si>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</si>
  <si>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</si>
  <si>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</si>
  <si>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</si>
  <si>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</si>
  <si>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</si>
  <si>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 xml:space="preserve"> Distribution Efficiency</t>
  </si>
  <si>
    <t xml:space="preserve"> Production Efficiency</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</si>
  <si>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</si>
  <si>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</si>
  <si>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</si>
  <si>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</si>
  <si>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</si>
  <si>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</si>
  <si>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</si>
  <si>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</si>
  <si>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</si>
  <si>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</si>
  <si>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</si>
  <si>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</si>
  <si>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</si>
  <si>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</si>
  <si>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Biennial</t>
  </si>
  <si>
    <r>
      <t xml:space="preserve">Energy Independence Act (I-937) </t>
    </r>
    <r>
      <rPr>
        <sz val="11"/>
        <color rgb="FF000000"/>
        <rFont val="Arial Black"/>
        <family val="2"/>
      </rPr>
      <t>Conservation Report Workbook</t>
    </r>
  </si>
  <si>
    <t>Biennial Period</t>
  </si>
  <si>
    <t>Potential 2020-2029</t>
  </si>
  <si>
    <t>Target 2020-2021</t>
  </si>
  <si>
    <t>2020-2021</t>
  </si>
  <si>
    <t>Excess (Deficit)</t>
  </si>
  <si>
    <t>2022-2023</t>
  </si>
  <si>
    <t>Achievement 2020-2021</t>
  </si>
  <si>
    <t>Potential 2022-2031</t>
  </si>
  <si>
    <t>Target 2022-2023</t>
  </si>
  <si>
    <t>2020 Achievement</t>
  </si>
  <si>
    <t>CON_2YPrior_Agriculture_Expend</t>
  </si>
  <si>
    <t>CON_2YPrior_Agriculture_MWH</t>
  </si>
  <si>
    <t>CON_2YPrior_Commercial_Expend</t>
  </si>
  <si>
    <t>CON_2YPrior_Commercial_MWH</t>
  </si>
  <si>
    <t>CON_2YPrior_Distribution_Expend</t>
  </si>
  <si>
    <t>CON_2YPrior_Distribution_MWH</t>
  </si>
  <si>
    <t>CON_2YPrior_Expenditures</t>
  </si>
  <si>
    <t>CON_2YPrior_Industrial_Expend</t>
  </si>
  <si>
    <t>CON_2YPrior_Industrial_MWH</t>
  </si>
  <si>
    <t>CON_2YPrior_MWH</t>
  </si>
  <si>
    <t>CON_2YPrior_NEEA_Expend</t>
  </si>
  <si>
    <t>CON_2YPrior_NEEA_MWH</t>
  </si>
  <si>
    <t>CON_2YPrior_OtherSector1_Expend</t>
  </si>
  <si>
    <t>CON_2YPrior_OtherSector1_MWH</t>
  </si>
  <si>
    <t>CON_2YPrior_OtherSector2_Expend</t>
  </si>
  <si>
    <t>CON_2YPrior_OtherSector2_MWH</t>
  </si>
  <si>
    <t>CON_2YPrior_Production_Expend</t>
  </si>
  <si>
    <t>CON_2YPrior_Production_MWH</t>
  </si>
  <si>
    <t>CON_2YPrior_Program1_Expend</t>
  </si>
  <si>
    <t>CON_2YPrior_Program2_Expend</t>
  </si>
  <si>
    <t>CON_2YPrior_Residential_Expend</t>
  </si>
  <si>
    <t>CON_2YPrior_Residential_MWH</t>
  </si>
  <si>
    <t>CON_1YPrior_Agriculture_Expend</t>
  </si>
  <si>
    <t>CON_1YPrior_Agriculture_MWH</t>
  </si>
  <si>
    <t>CON_1YPrior_Commercial_Expend</t>
  </si>
  <si>
    <t>CON_1YPrior_Commercial_MWH</t>
  </si>
  <si>
    <t>CON_1YPrior_Distribution_Expend</t>
  </si>
  <si>
    <t>CON_1YPrior_Distribution_MWH</t>
  </si>
  <si>
    <t>CON_1YPrior_Expenditures</t>
  </si>
  <si>
    <t>CON_1YPrior_Industrial_Expend</t>
  </si>
  <si>
    <t>CON_1YPrior_Industrial_MWH</t>
  </si>
  <si>
    <t>CON_1YPrior_MWH</t>
  </si>
  <si>
    <t>CON_1YPrior_NEEA_Expend</t>
  </si>
  <si>
    <t>CON_1YPrior_NEEA_MWH</t>
  </si>
  <si>
    <t>CON_1YPrior_OtherSector1_Expend</t>
  </si>
  <si>
    <t>CON_1YPrior_OtherSector1_MWH</t>
  </si>
  <si>
    <t>CON_1YPrior_OtherSector2_Expend</t>
  </si>
  <si>
    <t>CON_1YPrior_OtherSector2_MWH</t>
  </si>
  <si>
    <t>CON_1YPrior_Production_Expend</t>
  </si>
  <si>
    <t>CON_1YPrior_Production_MWH</t>
  </si>
  <si>
    <t>CON_1YPrior_Program1_Expend</t>
  </si>
  <si>
    <t>CON_1YPrior_Program2_Expend</t>
  </si>
  <si>
    <t>CON_1YPrior_Residential_Expend</t>
  </si>
  <si>
    <t>CON_1YPrior_Residential_MWH</t>
  </si>
  <si>
    <t>CON_Target_Prior_2Y</t>
  </si>
  <si>
    <t>CON_Target_Next_2Y</t>
  </si>
  <si>
    <t>CON_10YPotential_Prior_Assessment</t>
  </si>
  <si>
    <t>CON_Potential_10Y</t>
  </si>
  <si>
    <r>
      <rPr>
        <sz val="12"/>
        <color theme="1"/>
        <rFont val="Arial"/>
        <family val="2"/>
      </rPr>
      <t xml:space="preserve">Energy Independence Act (I-937) </t>
    </r>
    <r>
      <rPr>
        <sz val="12"/>
        <color theme="1"/>
        <rFont val="Arial Black"/>
        <family val="2"/>
      </rPr>
      <t>Conservation Report 2020-2021</t>
    </r>
  </si>
  <si>
    <t>2021 Achievement</t>
  </si>
  <si>
    <t>Published March 23, 2022</t>
  </si>
  <si>
    <r>
      <t>Questions:</t>
    </r>
    <r>
      <rPr>
        <sz val="11"/>
        <color rgb="FF000000"/>
        <rFont val="Arial"/>
        <family val="2"/>
      </rPr>
      <t xml:space="preserve"> Austin Scharff, State Energy Office, (360) 764-9632, </t>
    </r>
    <r>
      <rPr>
        <b/>
        <sz val="11"/>
        <color theme="3"/>
        <rFont val="Arial"/>
        <family val="2"/>
      </rPr>
      <t>austin.scharff@commerce.wa.gov</t>
    </r>
  </si>
  <si>
    <r>
      <t>Deadline:</t>
    </r>
    <r>
      <rPr>
        <sz val="11"/>
        <color rgb="FF000000"/>
        <rFont val="Arial"/>
        <family val="2"/>
      </rPr>
      <t xml:space="preserve"> June 1, 2022</t>
    </r>
  </si>
  <si>
    <t>Puget Sound Energy</t>
  </si>
  <si>
    <t>Lance Rottger/ Energy Efficiency</t>
  </si>
  <si>
    <t>lance.rottger@pse.com</t>
  </si>
  <si>
    <t>425-424-6919</t>
  </si>
  <si>
    <t>Energy Efficiency Portfolio Support</t>
  </si>
  <si>
    <t>Energy Efficiency Research &amp; Compliance</t>
  </si>
  <si>
    <t>Other Electric Programs1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</si>
</sst>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_);_(* \(#,##0.0\);_(* &quot;-&quot;??_);_(@_)"/>
    <numFmt numFmtId="165" formatCode="_(* #,##0_);_(* \(#,##0\);_(* &quot;-&quot;??_);_(@_)"/>
    <numFmt numFmtId="166" formatCode="[$-409]mmmm\ d\,\ yyyy;@"/>
    <numFmt numFmtId="167" formatCode="&quot;$&quot;#,##0"/>
  </numFmts>
  <fonts count="22"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
      <sz val="9"/>
      <color indexed="81"/>
      <name val="Tahoma"/>
      <family val="2"/>
    </font>
    <font>
      <b/>
      <sz val="9"/>
      <color indexed="81"/>
      <name val="Tahoma"/>
      <family val="2"/>
    </font>
    <font>
      <b/>
      <sz val="10"/>
      <color rgb="FF000000"/>
      <name val="Arial"/>
      <family val="2"/>
    </font>
    <font>
      <i/>
      <sz val="10"/>
      <color rgb="FF000000"/>
      <name val="Arial"/>
      <family val="2"/>
    </font>
    <font>
      <u/>
      <sz val="8"/>
      <color rgb="FF0000FF"/>
      <name val="Calibri"/>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3">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hair">
        <color indexed="64"/>
      </right>
      <top/>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71">
    <xf numFmtId="0" fontId="0" fillId="0" borderId="0" xfId="0"/>
    <xf numFmtId="0" fontId="5" fillId="2" borderId="0" xfId="0" applyFont="1" applyFill="1"/>
    <xf numFmtId="0" fontId="1" fillId="2" borderId="7" xfId="0" applyFont="1" applyFill="1" applyBorder="1" applyAlignment="1" applyProtection="1">
      <alignment horizontal="right"/>
    </xf>
    <xf numFmtId="0" fontId="0" fillId="0" borderId="0" xfId="0" applyNumberFormat="1"/>
    <xf numFmtId="0" fontId="12" fillId="4" borderId="0" xfId="0" applyFont="1" applyFill="1" applyBorder="1" applyAlignment="1">
      <alignment vertical="center" wrapText="1"/>
    </xf>
    <xf numFmtId="0" fontId="11" fillId="4" borderId="0" xfId="0" applyFont="1" applyFill="1" applyBorder="1" applyAlignment="1">
      <alignment vertical="center"/>
    </xf>
    <xf numFmtId="0" fontId="12" fillId="6"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5" fillId="2" borderId="0" xfId="0" applyFont="1" applyFill="1" applyProtection="1"/>
    <xf numFmtId="0" fontId="8"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8"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6" fontId="15" fillId="0" borderId="0" xfId="0" applyNumberFormat="1" applyFont="1" applyFill="1" applyBorder="1" applyAlignment="1">
      <alignment horizontal="left" vertical="center"/>
    </xf>
    <xf numFmtId="165" fontId="5" fillId="6" borderId="19" xfId="1" applyNumberFormat="1" applyFont="1" applyFill="1" applyBorder="1" applyAlignment="1">
      <alignment horizontal="right"/>
    </xf>
    <xf numFmtId="165" fontId="5" fillId="6" borderId="12" xfId="1" applyNumberFormat="1" applyFont="1" applyFill="1" applyBorder="1" applyAlignment="1">
      <alignment horizontal="right"/>
    </xf>
    <xf numFmtId="165" fontId="5" fillId="5" borderId="20" xfId="1" applyNumberFormat="1" applyFont="1" applyFill="1" applyBorder="1"/>
    <xf numFmtId="165" fontId="21" fillId="6" borderId="12" xfId="1" applyNumberFormat="1" applyFont="1" applyFill="1" applyBorder="1" applyAlignment="1">
      <alignment horizontal="right"/>
    </xf>
    <xf numFmtId="165" fontId="5" fillId="6" borderId="12" xfId="1" applyNumberFormat="1" applyFont="1" applyFill="1" applyBorder="1" applyAlignment="1" applyProtection="1">
      <alignment horizontal="right"/>
      <protection locked="0"/>
    </xf>
    <xf numFmtId="0" fontId="21" fillId="2" borderId="0" xfId="0" applyFont="1" applyFill="1" applyProtection="1"/>
    <xf numFmtId="164" fontId="5" fillId="3" borderId="22" xfId="0" applyNumberFormat="1" applyFont="1" applyFill="1" applyBorder="1" applyAlignment="1" applyProtection="1">
      <alignment horizontal="center"/>
    </xf>
    <xf numFmtId="0" fontId="6" fillId="6" borderId="7" xfId="0" applyFont="1" applyFill="1" applyBorder="1" applyAlignment="1" applyProtection="1">
      <alignment horizontal="right" vertical="center"/>
      <protection locked="0"/>
    </xf>
    <xf numFmtId="0" fontId="12" fillId="6" borderId="0" xfId="0" applyFont="1" applyFill="1" applyBorder="1" applyAlignment="1" applyProtection="1">
      <alignment horizontal="center" vertical="center" wrapText="1"/>
    </xf>
    <xf numFmtId="0" fontId="12"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4" xfId="0" applyFont="1" applyFill="1" applyBorder="1" applyAlignment="1" applyProtection="1"/>
    <xf numFmtId="0" fontId="5" fillId="2" borderId="0" xfId="0" applyFont="1" applyFill="1" applyBorder="1" applyAlignment="1" applyProtection="1">
      <alignment horizontal="right" wrapText="1"/>
    </xf>
    <xf numFmtId="0" fontId="5" fillId="2" borderId="16" xfId="0" applyFont="1" applyFill="1" applyBorder="1" applyAlignment="1" applyProtection="1">
      <alignment horizontal="right" wrapText="1"/>
    </xf>
    <xf numFmtId="0" fontId="6" fillId="2" borderId="15" xfId="0" applyFont="1" applyFill="1" applyBorder="1" applyAlignment="1" applyProtection="1">
      <alignment horizontal="center"/>
    </xf>
    <xf numFmtId="0" fontId="6" fillId="0" borderId="15" xfId="0" applyFont="1" applyFill="1" applyBorder="1" applyAlignment="1" applyProtection="1">
      <alignment horizontal="center"/>
    </xf>
    <xf numFmtId="0" fontId="18" fillId="6" borderId="21" xfId="0" applyFont="1" applyFill="1" applyBorder="1" applyAlignment="1" applyProtection="1">
      <alignment horizontal="left"/>
      <protection locked="0"/>
    </xf>
    <xf numFmtId="0" fontId="5" fillId="6" borderId="21" xfId="0" applyFont="1" applyFill="1" applyBorder="1" applyAlignment="1" applyProtection="1">
      <alignment horizontal="left"/>
      <protection locked="0"/>
    </xf>
    <xf numFmtId="0" fontId="6" fillId="2" borderId="17" xfId="0" applyFont="1" applyFill="1" applyBorder="1" applyAlignment="1">
      <alignment horizontal="center"/>
    </xf>
    <xf numFmtId="166" fontId="19"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18"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20" fillId="6" borderId="10" xfId="2" applyFont="1"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33</xdr:row>
      <xdr:rowOff>352425</xdr:rowOff>
    </xdr:from>
    <xdr:to>
      <xdr:col>8</xdr:col>
      <xdr:colOff>695325</xdr:colOff>
      <xdr:row>34</xdr:row>
      <xdr:rowOff>3409950</xdr:rowOff>
    </xdr:to>
    <xdr:sp macro="" textlink="">
      <xdr:nvSpPr>
        <xdr:cNvPr id="2" name="TextBox 1"/>
        <xdr:cNvSpPr txBox="1"/>
      </xdr:nvSpPr>
      <xdr:spPr>
        <a:xfrm>
          <a:off x="38100" y="7639050"/>
          <a:ext cx="8191500" cy="34194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Net metering administrative expenditures included in other electric programs line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election activeCell="D19" sqref="D19"/>
    </sheetView>
  </sheetViews>
  <sheetFormatPr defaultRowHeight="15" x14ac:dyDescent="0.25"/>
  <cols>
    <col min="1" max="1" width="135.28515625" customWidth="1"/>
    <col min="14" max="14" width="11.7109375" customWidth="1"/>
  </cols>
  <sheetData>
    <row r="1" spans="1:14" ht="18.75" x14ac:dyDescent="0.25">
      <c r="A1" s="5" t="s">
        <v>29</v>
      </c>
    </row>
    <row r="2" spans="1:14" x14ac:dyDescent="0.25">
      <c r="A2" s="42" t="s">
        <v>90</v>
      </c>
    </row>
    <row r="3" spans="1:14" x14ac:dyDescent="0.25">
      <c r="A3" s="5"/>
      <c r="N3" s="3"/>
    </row>
    <row r="4" spans="1:14" x14ac:dyDescent="0.25">
      <c r="A4" s="4" t="s">
        <v>92</v>
      </c>
    </row>
    <row r="5" spans="1:14" x14ac:dyDescent="0.25">
      <c r="A5" s="4" t="s">
        <v>23</v>
      </c>
    </row>
    <row r="6" spans="1:14" x14ac:dyDescent="0.25">
      <c r="A6" s="4" t="s">
        <v>91</v>
      </c>
    </row>
    <row r="8" spans="1:14" x14ac:dyDescent="0.25">
      <c r="A8" s="6" t="s">
        <v>25</v>
      </c>
    </row>
    <row r="9" spans="1:14" x14ac:dyDescent="0.25">
      <c r="A9" s="7" t="s">
        <v>26</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pageSetUpPr fitToPage="1"/>
  </sheetPr>
  <dimension ref="A1:N54"/>
  <sheetViews>
    <sheetView tabSelected="1" zoomScaleNormal="100" workbookViewId="0">
      <selection activeCell="L20" sqref="L20"/>
    </sheetView>
  </sheetViews>
  <sheetFormatPr defaultColWidth="9.28515625" defaultRowHeight="12.75" x14ac:dyDescent="0.2"/>
  <cols>
    <col min="1" max="2" width="16.7109375" style="13" customWidth="1"/>
    <col min="3" max="3" width="17.28515625" style="13" customWidth="1"/>
    <col min="4" max="4" width="16" style="13" customWidth="1"/>
    <col min="5" max="5" width="4.42578125" style="13" customWidth="1"/>
    <col min="6" max="6" width="14.42578125" style="13" customWidth="1"/>
    <col min="7" max="7" width="15.42578125" style="13" customWidth="1"/>
    <col min="8" max="8" width="17.85546875" style="13" customWidth="1"/>
    <col min="9" max="9" width="13.5703125" style="13" customWidth="1"/>
    <col min="10" max="10" width="9.28515625" style="13" customWidth="1"/>
    <col min="11" max="11" width="11.7109375" style="13" customWidth="1"/>
    <col min="12" max="16384" width="9.28515625" style="13"/>
  </cols>
  <sheetData>
    <row r="1" spans="1:11" ht="15" x14ac:dyDescent="0.2">
      <c r="A1" s="51" t="s">
        <v>25</v>
      </c>
      <c r="B1" s="51"/>
      <c r="C1" s="51"/>
      <c r="D1" s="51"/>
      <c r="E1" s="51"/>
      <c r="F1" s="51"/>
      <c r="G1" s="51"/>
      <c r="H1" s="51"/>
      <c r="I1" s="51"/>
    </row>
    <row r="2" spans="1:11" ht="15" x14ac:dyDescent="0.2">
      <c r="A2" s="52" t="s">
        <v>26</v>
      </c>
      <c r="B2" s="52"/>
      <c r="C2" s="52"/>
      <c r="D2" s="52"/>
      <c r="E2" s="52"/>
      <c r="F2" s="52"/>
      <c r="G2" s="52"/>
      <c r="H2" s="52"/>
      <c r="I2" s="52"/>
    </row>
    <row r="3" spans="1:11" s="15" customFormat="1" ht="19.5" x14ac:dyDescent="0.4">
      <c r="A3" s="14" t="s">
        <v>88</v>
      </c>
    </row>
    <row r="4" spans="1:11" ht="15" customHeight="1" thickBot="1" x14ac:dyDescent="0.25">
      <c r="A4" s="16"/>
    </row>
    <row r="5" spans="1:11" ht="14.25" customHeight="1" thickBot="1" x14ac:dyDescent="0.25">
      <c r="A5" s="19" t="s">
        <v>3</v>
      </c>
      <c r="B5" s="59" t="s">
        <v>93</v>
      </c>
      <c r="C5" s="60"/>
      <c r="D5" s="60"/>
      <c r="F5" s="61" t="s">
        <v>27</v>
      </c>
      <c r="G5" s="61"/>
      <c r="H5" s="61"/>
      <c r="I5" s="61"/>
      <c r="K5" s="18"/>
    </row>
    <row r="6" spans="1:11" ht="15" customHeight="1" x14ac:dyDescent="0.2">
      <c r="A6" s="19" t="s">
        <v>17</v>
      </c>
      <c r="B6" s="62">
        <v>44713</v>
      </c>
      <c r="C6" s="63"/>
      <c r="D6" s="63"/>
      <c r="E6" s="20"/>
      <c r="F6" s="1"/>
      <c r="G6" s="39" t="s">
        <v>33</v>
      </c>
      <c r="I6" s="39" t="s">
        <v>35</v>
      </c>
    </row>
    <row r="7" spans="1:11" ht="15" customHeight="1" x14ac:dyDescent="0.2">
      <c r="A7" s="21" t="s">
        <v>16</v>
      </c>
      <c r="B7" s="64" t="s">
        <v>94</v>
      </c>
      <c r="C7" s="65"/>
      <c r="D7" s="65"/>
      <c r="E7" s="15"/>
      <c r="F7" s="1"/>
      <c r="G7" s="40" t="s">
        <v>28</v>
      </c>
      <c r="I7" s="40" t="s">
        <v>28</v>
      </c>
    </row>
    <row r="8" spans="1:11" ht="15" customHeight="1" x14ac:dyDescent="0.2">
      <c r="A8" s="21" t="s">
        <v>0</v>
      </c>
      <c r="B8" s="65" t="s">
        <v>96</v>
      </c>
      <c r="C8" s="65"/>
      <c r="D8" s="65"/>
      <c r="E8" s="15"/>
      <c r="F8" s="21" t="s">
        <v>31</v>
      </c>
      <c r="G8" s="43">
        <v>1799305</v>
      </c>
      <c r="H8" s="21" t="s">
        <v>37</v>
      </c>
      <c r="I8" s="43">
        <v>2487820</v>
      </c>
    </row>
    <row r="9" spans="1:11" ht="15" customHeight="1" x14ac:dyDescent="0.2">
      <c r="A9" s="21" t="s">
        <v>1</v>
      </c>
      <c r="B9" s="66" t="s">
        <v>95</v>
      </c>
      <c r="C9" s="67"/>
      <c r="D9" s="67"/>
      <c r="E9" s="15"/>
      <c r="F9" s="41" t="s">
        <v>32</v>
      </c>
      <c r="G9" s="46">
        <v>526043.70252399985</v>
      </c>
      <c r="H9" s="41" t="s">
        <v>38</v>
      </c>
      <c r="I9" s="44">
        <v>536717.13500000001</v>
      </c>
    </row>
    <row r="10" spans="1:11" ht="15" customHeight="1" thickBot="1" x14ac:dyDescent="0.25">
      <c r="A10" s="21"/>
      <c r="B10" s="21"/>
      <c r="C10" s="21"/>
      <c r="D10" s="21"/>
      <c r="E10" s="15"/>
      <c r="F10" s="41" t="s">
        <v>36</v>
      </c>
      <c r="G10" s="45">
        <v>388492</v>
      </c>
      <c r="I10" s="1"/>
    </row>
    <row r="11" spans="1:11" s="15" customFormat="1" ht="13.5" thickBot="1" x14ac:dyDescent="0.25">
      <c r="E11" s="22"/>
      <c r="F11" s="13" t="s">
        <v>34</v>
      </c>
      <c r="G11" s="45">
        <f>G10-CON_Target_Prior_2Y</f>
        <v>-137551.70252399985</v>
      </c>
      <c r="H11" s="13"/>
      <c r="I11" s="13"/>
    </row>
    <row r="12" spans="1:11" s="15" customFormat="1" ht="13.5" thickBot="1" x14ac:dyDescent="0.25">
      <c r="E12" s="22"/>
      <c r="F12" s="13"/>
      <c r="G12" s="13"/>
      <c r="H12" s="13"/>
      <c r="I12" s="13"/>
    </row>
    <row r="13" spans="1:11" ht="13.5" thickTop="1" x14ac:dyDescent="0.2">
      <c r="A13" s="54" t="s">
        <v>2</v>
      </c>
      <c r="B13" s="54"/>
      <c r="C13" s="54"/>
      <c r="D13" s="54"/>
      <c r="E13" s="54"/>
      <c r="F13" s="54"/>
      <c r="G13" s="54"/>
    </row>
    <row r="14" spans="1:11" ht="15" customHeight="1" x14ac:dyDescent="0.2">
      <c r="A14" s="23"/>
      <c r="C14" s="57" t="s">
        <v>39</v>
      </c>
      <c r="D14" s="57"/>
      <c r="F14" s="58" t="s">
        <v>89</v>
      </c>
      <c r="G14" s="58"/>
    </row>
    <row r="15" spans="1:11" ht="30.75" customHeight="1" x14ac:dyDescent="0.2">
      <c r="B15" s="24" t="s">
        <v>14</v>
      </c>
      <c r="C15" s="25" t="s">
        <v>6</v>
      </c>
      <c r="D15" s="25" t="s">
        <v>7</v>
      </c>
      <c r="F15" s="38" t="s">
        <v>6</v>
      </c>
      <c r="G15" s="38" t="s">
        <v>7</v>
      </c>
    </row>
    <row r="16" spans="1:11" ht="15" customHeight="1" x14ac:dyDescent="0.2">
      <c r="B16" s="2" t="s">
        <v>8</v>
      </c>
      <c r="C16" s="9">
        <v>99816.353000000003</v>
      </c>
      <c r="D16" s="10">
        <v>25328392.390000001</v>
      </c>
      <c r="F16" s="47">
        <v>35444</v>
      </c>
      <c r="G16" s="10">
        <v>24720570.969999999</v>
      </c>
    </row>
    <row r="17" spans="1:14" ht="15" customHeight="1" x14ac:dyDescent="0.2">
      <c r="B17" s="2" t="s">
        <v>9</v>
      </c>
      <c r="C17" s="9">
        <v>97248.646800000002</v>
      </c>
      <c r="D17" s="10">
        <v>23968969.676999997</v>
      </c>
      <c r="E17" s="13">
        <v>0</v>
      </c>
      <c r="F17" s="47">
        <v>107553.06090000001</v>
      </c>
      <c r="G17" s="10">
        <v>35230747.166999996</v>
      </c>
    </row>
    <row r="18" spans="1:14" ht="15" customHeight="1" x14ac:dyDescent="0.2">
      <c r="B18" s="2" t="s">
        <v>10</v>
      </c>
      <c r="C18" s="9">
        <v>10805.405200000001</v>
      </c>
      <c r="D18" s="10">
        <v>2663218.8530000001</v>
      </c>
      <c r="E18" s="13">
        <v>0</v>
      </c>
      <c r="F18" s="47">
        <v>11950.340100000001</v>
      </c>
      <c r="G18" s="10">
        <v>3914527.4629999995</v>
      </c>
    </row>
    <row r="19" spans="1:14" ht="15" customHeight="1" x14ac:dyDescent="0.2">
      <c r="B19" s="2" t="s">
        <v>11</v>
      </c>
      <c r="C19" s="9"/>
      <c r="D19" s="10"/>
      <c r="F19" s="47"/>
      <c r="G19" s="10"/>
    </row>
    <row r="20" spans="1:14" ht="15" customHeight="1" x14ac:dyDescent="0.2">
      <c r="B20" s="2" t="s">
        <v>12</v>
      </c>
      <c r="C20" s="9">
        <v>428.25700000000001</v>
      </c>
      <c r="D20" s="10"/>
      <c r="F20" s="47">
        <v>2294.877</v>
      </c>
      <c r="G20" s="10"/>
    </row>
    <row r="21" spans="1:14" ht="15" customHeight="1" x14ac:dyDescent="0.2">
      <c r="B21" s="26" t="s">
        <v>13</v>
      </c>
      <c r="C21" s="9"/>
      <c r="D21" s="10"/>
      <c r="F21" s="47"/>
      <c r="G21" s="10"/>
    </row>
    <row r="22" spans="1:14" ht="15" customHeight="1" x14ac:dyDescent="0.2">
      <c r="B22" s="26" t="s">
        <v>4</v>
      </c>
      <c r="C22" s="11">
        <v>12702</v>
      </c>
      <c r="D22" s="10">
        <v>3651479.29</v>
      </c>
      <c r="F22" s="47">
        <v>10249.200000000001</v>
      </c>
      <c r="G22" s="10">
        <v>4289485.32</v>
      </c>
    </row>
    <row r="23" spans="1:14" ht="15" customHeight="1" x14ac:dyDescent="0.2">
      <c r="B23" s="12"/>
      <c r="C23" s="11"/>
      <c r="D23" s="10"/>
      <c r="F23" s="10"/>
      <c r="G23" s="10"/>
    </row>
    <row r="24" spans="1:14" ht="15" customHeight="1" x14ac:dyDescent="0.2">
      <c r="B24" s="12"/>
      <c r="C24" s="11"/>
      <c r="D24" s="10"/>
      <c r="F24" s="10"/>
      <c r="G24" s="10"/>
      <c r="J24" s="48"/>
      <c r="N24" s="48"/>
    </row>
    <row r="25" spans="1:14" ht="30.75" customHeight="1" x14ac:dyDescent="0.2">
      <c r="A25" s="55" t="s">
        <v>15</v>
      </c>
      <c r="B25" s="56"/>
      <c r="D25" s="27"/>
      <c r="G25" s="27"/>
    </row>
    <row r="26" spans="1:14" ht="15" customHeight="1" x14ac:dyDescent="0.2">
      <c r="B26" s="50" t="s">
        <v>97</v>
      </c>
      <c r="C26" s="49"/>
      <c r="D26" s="10">
        <v>7566591.2299999995</v>
      </c>
      <c r="F26" s="49"/>
      <c r="G26" s="10">
        <v>8636584.0899999999</v>
      </c>
    </row>
    <row r="27" spans="1:14" ht="15" customHeight="1" x14ac:dyDescent="0.2">
      <c r="B27" s="50" t="s">
        <v>98</v>
      </c>
      <c r="C27" s="49"/>
      <c r="D27" s="10">
        <v>2108728.67</v>
      </c>
      <c r="F27" s="49"/>
      <c r="G27" s="10">
        <v>2596436.7599999998</v>
      </c>
    </row>
    <row r="28" spans="1:14" ht="15" customHeight="1" x14ac:dyDescent="0.2">
      <c r="B28" s="50" t="s">
        <v>99</v>
      </c>
      <c r="C28" s="28"/>
      <c r="D28" s="10">
        <v>2003211.58</v>
      </c>
      <c r="F28" s="28"/>
      <c r="G28" s="10">
        <v>3518013.21</v>
      </c>
      <c r="H28" s="48"/>
    </row>
    <row r="29" spans="1:14" ht="15" customHeight="1" x14ac:dyDescent="0.2">
      <c r="B29" s="29" t="s">
        <v>5</v>
      </c>
      <c r="C29" s="30">
        <f>SUM(C16:C24)</f>
        <v>221000.66200000001</v>
      </c>
      <c r="D29" s="31">
        <f>SUM(D16:D28)</f>
        <v>67290591.689999998</v>
      </c>
      <c r="F29" s="30">
        <f>SUM(F16:F24)</f>
        <v>167491.47800000003</v>
      </c>
      <c r="G29" s="31">
        <f>SUM(G16:G28)</f>
        <v>82906364.979999989</v>
      </c>
    </row>
    <row r="30" spans="1:14" ht="15" customHeight="1" x14ac:dyDescent="0.2">
      <c r="A30" s="32"/>
      <c r="B30" s="33"/>
      <c r="C30" s="34"/>
      <c r="D30" s="33"/>
      <c r="E30" s="34"/>
    </row>
    <row r="31" spans="1:14" s="15" customFormat="1" ht="15" customHeight="1" x14ac:dyDescent="0.2">
      <c r="A31" s="17" t="s">
        <v>3</v>
      </c>
      <c r="B31" s="53" t="str">
        <f>CON_Utility_Name</f>
        <v>Puget Sound Energy</v>
      </c>
      <c r="C31" s="53"/>
      <c r="D31" s="53"/>
      <c r="E31" s="53"/>
      <c r="F31" s="13"/>
      <c r="G31" s="13"/>
    </row>
    <row r="32" spans="1:14" s="15" customFormat="1" x14ac:dyDescent="0.2">
      <c r="A32" s="35" t="s">
        <v>30</v>
      </c>
      <c r="B32" s="69" t="s">
        <v>33</v>
      </c>
      <c r="C32" s="69"/>
      <c r="D32" s="69"/>
      <c r="E32" s="69"/>
    </row>
    <row r="33" spans="1:9" s="15" customFormat="1" x14ac:dyDescent="0.2">
      <c r="A33" s="35"/>
      <c r="B33" s="36"/>
      <c r="C33" s="36"/>
      <c r="D33" s="36"/>
      <c r="E33" s="36"/>
    </row>
    <row r="34" spans="1:9" ht="28.5" customHeight="1" x14ac:dyDescent="0.2">
      <c r="A34" s="68" t="s">
        <v>24</v>
      </c>
      <c r="B34" s="68"/>
      <c r="C34" s="68"/>
      <c r="D34" s="68"/>
      <c r="E34" s="68"/>
      <c r="F34" s="68"/>
      <c r="G34" s="68"/>
      <c r="H34" s="68"/>
      <c r="I34" s="68"/>
    </row>
    <row r="35" spans="1:9" s="8" customFormat="1" ht="270.75" customHeight="1" x14ac:dyDescent="0.2">
      <c r="A35" s="70"/>
      <c r="B35" s="70"/>
      <c r="C35" s="70"/>
      <c r="D35" s="70"/>
      <c r="E35" s="70"/>
      <c r="F35" s="70"/>
      <c r="G35" s="70"/>
      <c r="H35" s="70"/>
      <c r="I35" s="70"/>
    </row>
    <row r="36" spans="1:9" s="8" customFormat="1" x14ac:dyDescent="0.2"/>
    <row r="37" spans="1:9" s="8" customFormat="1" x14ac:dyDescent="0.2"/>
    <row r="38" spans="1:9" s="8" customFormat="1" x14ac:dyDescent="0.2"/>
    <row r="39" spans="1:9" s="8" customFormat="1" x14ac:dyDescent="0.2"/>
    <row r="40" spans="1:9" s="8" customFormat="1" x14ac:dyDescent="0.2"/>
    <row r="41" spans="1:9" s="8" customFormat="1" x14ac:dyDescent="0.2"/>
    <row r="42" spans="1:9" s="8" customFormat="1" x14ac:dyDescent="0.2"/>
    <row r="43" spans="1:9" s="8" customFormat="1" x14ac:dyDescent="0.2"/>
    <row r="44" spans="1:9" s="8" customFormat="1" x14ac:dyDescent="0.2"/>
    <row r="45" spans="1:9" s="8" customFormat="1" x14ac:dyDescent="0.2"/>
    <row r="46" spans="1:9" s="8" customFormat="1" x14ac:dyDescent="0.2"/>
    <row r="47" spans="1:9" s="8" customFormat="1" x14ac:dyDescent="0.2"/>
    <row r="48" spans="1:9"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sheetData>
  <mergeCells count="17">
    <mergeCell ref="A34:I34"/>
    <mergeCell ref="B32:E32"/>
    <mergeCell ref="A35:I35"/>
    <mergeCell ref="A1:I1"/>
    <mergeCell ref="A2:I2"/>
    <mergeCell ref="B31:E31"/>
    <mergeCell ref="F13:G13"/>
    <mergeCell ref="A13:E13"/>
    <mergeCell ref="A25:B25"/>
    <mergeCell ref="C14:D14"/>
    <mergeCell ref="F14:G14"/>
    <mergeCell ref="B5:D5"/>
    <mergeCell ref="F5:I5"/>
    <mergeCell ref="B6:D6"/>
    <mergeCell ref="B7:D7"/>
    <mergeCell ref="B8:D8"/>
    <mergeCell ref="B9:D9"/>
  </mergeCells>
  <dataValidations count="2">
    <dataValidation allowBlank="1" showErrorMessage="1" prompt="Achievement in 2019 will be included in the report submitted in 2020." sqref="F16:G24"/>
    <dataValidation allowBlank="1" showInputMessage="1" showErrorMessage="1" prompt="Achievement in 2019 will be included in the report submitted in 2020." sqref="F25:G29"/>
  </dataValidations>
  <pageMargins left="0.7" right="0.7" top="0.75" bottom="0.75" header="0.3" footer="0.3"/>
  <pageSetup scale="97" fitToHeight="0" orientation="landscape" r:id="rId1"/>
  <rowBreaks count="1" manualBreakCount="1">
    <brk id="2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
  <sheetViews>
    <sheetView workbookViewId="0">
      <selection activeCell="BD5" sqref="BD5"/>
    </sheetView>
  </sheetViews>
  <sheetFormatPr defaultRowHeight="15" x14ac:dyDescent="0.25"/>
  <cols>
    <col min="1" max="1" width="36.28515625" bestFit="1" customWidth="1"/>
    <col min="3" max="3" width="10.5703125" customWidth="1"/>
    <col min="12" max="12" width="10.5703125" customWidth="1"/>
  </cols>
  <sheetData>
    <row r="1" spans="1:82" ht="183" x14ac:dyDescent="0.25">
      <c r="A1" s="37" t="s">
        <v>22</v>
      </c>
      <c r="B1" s="37" t="s">
        <v>40</v>
      </c>
      <c r="C1" s="37" t="s">
        <v>41</v>
      </c>
      <c r="D1" s="37" t="s">
        <v>42</v>
      </c>
      <c r="E1" s="37" t="s">
        <v>43</v>
      </c>
      <c r="F1" s="37" t="s">
        <v>44</v>
      </c>
      <c r="G1" s="37" t="s">
        <v>45</v>
      </c>
      <c r="H1" s="37" t="s">
        <v>46</v>
      </c>
      <c r="I1" s="37" t="s">
        <v>47</v>
      </c>
      <c r="J1" s="37" t="s">
        <v>48</v>
      </c>
      <c r="K1" s="37" t="s">
        <v>49</v>
      </c>
      <c r="L1" s="37" t="s">
        <v>50</v>
      </c>
      <c r="M1" s="37" t="s">
        <v>51</v>
      </c>
      <c r="N1" s="37" t="s">
        <v>52</v>
      </c>
      <c r="O1" s="37" t="s">
        <v>53</v>
      </c>
      <c r="P1" s="37" t="s">
        <v>54</v>
      </c>
      <c r="Q1" s="37" t="s">
        <v>55</v>
      </c>
      <c r="R1" s="37" t="s">
        <v>56</v>
      </c>
      <c r="S1" s="37" t="s">
        <v>57</v>
      </c>
      <c r="T1" s="37" t="s">
        <v>58</v>
      </c>
      <c r="U1" s="37" t="s">
        <v>59</v>
      </c>
      <c r="V1" s="37" t="s">
        <v>60</v>
      </c>
      <c r="W1" s="37" t="s">
        <v>61</v>
      </c>
      <c r="X1" s="37" t="s">
        <v>62</v>
      </c>
      <c r="Y1" s="37" t="s">
        <v>63</v>
      </c>
      <c r="Z1" s="37" t="s">
        <v>64</v>
      </c>
      <c r="AA1" s="37" t="s">
        <v>65</v>
      </c>
      <c r="AB1" s="37" t="s">
        <v>66</v>
      </c>
      <c r="AC1" s="37" t="s">
        <v>67</v>
      </c>
      <c r="AD1" s="37" t="s">
        <v>68</v>
      </c>
      <c r="AE1" s="37" t="s">
        <v>69</v>
      </c>
      <c r="AF1" s="37" t="s">
        <v>70</v>
      </c>
      <c r="AG1" s="37" t="s">
        <v>71</v>
      </c>
      <c r="AH1" s="37" t="s">
        <v>72</v>
      </c>
      <c r="AI1" s="37" t="s">
        <v>73</v>
      </c>
      <c r="AJ1" s="37" t="s">
        <v>74</v>
      </c>
      <c r="AK1" s="37" t="s">
        <v>75</v>
      </c>
      <c r="AL1" s="37" t="s">
        <v>76</v>
      </c>
      <c r="AM1" s="37" t="s">
        <v>77</v>
      </c>
      <c r="AN1" s="37" t="s">
        <v>78</v>
      </c>
      <c r="AO1" s="37" t="s">
        <v>79</v>
      </c>
      <c r="AP1" s="37" t="s">
        <v>80</v>
      </c>
      <c r="AQ1" s="37" t="s">
        <v>81</v>
      </c>
      <c r="AR1" s="37" t="s">
        <v>82</v>
      </c>
      <c r="AS1" s="37" t="s">
        <v>83</v>
      </c>
      <c r="AT1" s="37" t="s">
        <v>18</v>
      </c>
      <c r="AU1" s="37" t="s">
        <v>19</v>
      </c>
      <c r="AV1" s="37" t="s">
        <v>20</v>
      </c>
      <c r="AW1" s="37" t="s">
        <v>86</v>
      </c>
      <c r="AX1" s="37" t="s">
        <v>87</v>
      </c>
      <c r="AY1" s="37" t="s">
        <v>21</v>
      </c>
      <c r="AZ1" s="37" t="s">
        <v>84</v>
      </c>
      <c r="BA1" s="37" t="s">
        <v>85</v>
      </c>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row>
    <row r="2" spans="1:82" x14ac:dyDescent="0.25">
      <c r="A2" t="str">
        <f>CON_Utility_Name</f>
        <v>Puget Sound Energy</v>
      </c>
      <c r="B2">
        <f>+CON_2YPrior_Agriculture_Expend</f>
        <v>0</v>
      </c>
      <c r="C2">
        <f>+CON_2YPrior_Agriculture_MWH</f>
        <v>0</v>
      </c>
      <c r="D2">
        <f>+CON_2YPrior_Commercial_Expend</f>
        <v>23968969.676999997</v>
      </c>
      <c r="E2">
        <f>+CON_2YPrior_Commercial_MWH</f>
        <v>97248.646800000002</v>
      </c>
      <c r="F2">
        <f>+CON_2YPrior_Distribution_Expend</f>
        <v>0</v>
      </c>
      <c r="G2">
        <f>+CON_2YPrior_Distribution_MWH</f>
        <v>428.25700000000001</v>
      </c>
      <c r="H2">
        <f>+CON_2YPrior_Expenditures</f>
        <v>67290591.689999998</v>
      </c>
      <c r="I2">
        <f>+CON_2YPrior_Industrial_Expend</f>
        <v>2663218.8530000001</v>
      </c>
      <c r="J2">
        <f>+CON_2YPrior_Industrial_MWH</f>
        <v>10805.405200000001</v>
      </c>
      <c r="K2">
        <f>+CON_2YPrior_MWH</f>
        <v>221000.66200000001</v>
      </c>
      <c r="L2">
        <f>+CON_2YPrior_NEEA_Expend</f>
        <v>3651479.29</v>
      </c>
      <c r="M2">
        <f>+CON_2YPrior_NEEA_MWH</f>
        <v>12702</v>
      </c>
      <c r="N2">
        <f>+CON_2YPrior_OtherSector1_Expend</f>
        <v>0</v>
      </c>
      <c r="O2">
        <f>+CON_2YPrior_OtherSector1_MWH</f>
        <v>0</v>
      </c>
      <c r="P2">
        <f>+CON_2YPrior_OtherSector2_Expend</f>
        <v>0</v>
      </c>
      <c r="Q2">
        <f>+CON_2YPrior_OtherSector2_MWH</f>
        <v>0</v>
      </c>
      <c r="R2">
        <f>+CON_2YPrior_Production_Expend</f>
        <v>0</v>
      </c>
      <c r="S2">
        <f>+CON_2YPrior_Production_MWH</f>
        <v>0</v>
      </c>
      <c r="T2" t="e">
        <f>+CON_2YPrior_Program1_Expend</f>
        <v>#REF!</v>
      </c>
      <c r="U2">
        <f>+CON_2YPrior_Program2_Expend</f>
        <v>2003211.58</v>
      </c>
      <c r="V2">
        <f>+CON_2YPrior_Residential_Expend</f>
        <v>25328392.390000001</v>
      </c>
      <c r="W2">
        <f>+CON_2YPrior_Residential_MWH</f>
        <v>99816.353000000003</v>
      </c>
      <c r="X2">
        <f>+CON_1YPrior_Agriculture_Expend</f>
        <v>0</v>
      </c>
      <c r="Y2">
        <f>+CON_1YPrior_Agriculture_MWH</f>
        <v>0</v>
      </c>
      <c r="Z2">
        <f>+CON_1YPrior_Commercial_Expend</f>
        <v>35230747.166999996</v>
      </c>
      <c r="AA2">
        <f>+CON_1YPrior_Commercial_MWH</f>
        <v>107553.06090000001</v>
      </c>
      <c r="AB2">
        <f>+CON_1YPrior_Distribution_Expend</f>
        <v>0</v>
      </c>
      <c r="AC2">
        <f>+CON_1YPrior_Distribution_MWH</f>
        <v>2294.877</v>
      </c>
      <c r="AD2">
        <f>+CON_1YPrior_Expenditures</f>
        <v>82906364.979999989</v>
      </c>
      <c r="AE2">
        <f>+CON_1YPrior_Industrial_Expend</f>
        <v>3914527.4629999995</v>
      </c>
      <c r="AF2">
        <f>+CON_1YPrior_Industrial_MWH</f>
        <v>11950.340100000001</v>
      </c>
      <c r="AG2">
        <f>+CON_1YPrior_MWH</f>
        <v>167491.47800000003</v>
      </c>
      <c r="AH2">
        <f>+CON_1YPrior_NEEA_Expend</f>
        <v>4289485.32</v>
      </c>
      <c r="AI2">
        <f>+CON_1YPrior_NEEA_MWH</f>
        <v>10249.200000000001</v>
      </c>
      <c r="AJ2">
        <f>+CON_1YPrior_OtherSector1_Expend</f>
        <v>0</v>
      </c>
      <c r="AK2">
        <f>+CON_1YPrior_OtherSector1_MWH</f>
        <v>0</v>
      </c>
      <c r="AL2">
        <f>+CON_1YPrior_OtherSector2_Expend</f>
        <v>0</v>
      </c>
      <c r="AM2">
        <f>+CON_1YPrior_OtherSector2_MWH</f>
        <v>0</v>
      </c>
      <c r="AN2">
        <f>+CON_1YPrior_Production_Expend</f>
        <v>0</v>
      </c>
      <c r="AO2">
        <f>+CON_1YPrior_Production_MWH</f>
        <v>0</v>
      </c>
      <c r="AP2" t="e">
        <f>+CON_1YPrior_Program1_Expend</f>
        <v>#REF!</v>
      </c>
      <c r="AQ2">
        <f>+CON_1YPrior_Program2_Expend</f>
        <v>3518013.21</v>
      </c>
      <c r="AR2">
        <f>+CON_1YPrior_Residential_Expend</f>
        <v>24720570.969999999</v>
      </c>
      <c r="AS2">
        <f>+CON_1YPrior_Residential_MWH</f>
        <v>35444</v>
      </c>
      <c r="AT2" t="str">
        <f>+CON_Contact_Name</f>
        <v>Lance Rottger/ Energy Efficiency</v>
      </c>
      <c r="AU2" t="str">
        <f>+CON_Email</f>
        <v>lance.rottger@pse.com</v>
      </c>
      <c r="AV2" t="str">
        <f>+CON_Phone</f>
        <v>425-424-6919</v>
      </c>
      <c r="AW2">
        <f>CON_10YPotential_Prior_Assessment</f>
        <v>1799305</v>
      </c>
      <c r="AX2">
        <f>CON_Potential_10Y</f>
        <v>2487820</v>
      </c>
      <c r="AY2">
        <f>+CON_Report_Date</f>
        <v>44713</v>
      </c>
      <c r="AZ2">
        <f>+CON_Target_Prior_2Y</f>
        <v>526043.70252399985</v>
      </c>
      <c r="BA2">
        <f>CON_Next_2Y</f>
        <v>536717.13500000001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Closed</CaseStatus>
    <OpenedDate xmlns="dc463f71-b30c-4ab2-9473-d307f9d35888">2019-11-01T07:00:00+00:00</OpenedDate>
    <SignificantOrder xmlns="dc463f71-b30c-4ab2-9473-d307f9d35888">false</SignificantOrder>
    <Date1 xmlns="dc463f71-b30c-4ab2-9473-d307f9d35888">2022-05-31T07:00:00+00:00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2020-2021 Conservation</Nickname>
    <DocketNumber xmlns="dc463f71-b30c-4ab2-9473-d307f9d35888">190905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DCEEDB03DC21846A53ED623C807910B" ma:contentTypeVersion="56" ma:contentTypeDescription="" ma:contentTypeScope="" ma:versionID="d079c96df16c144df8bb1f6ac552e58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6AB6C62D-924A-417A-8414-73CD707B2CD9}"/>
</file>

<file path=customXml/itemProps3.xml><?xml version="1.0" encoding="utf-8"?>
<ds:datastoreItem xmlns:ds="http://schemas.openxmlformats.org/officeDocument/2006/customXml" ds:itemID="{B5134EF7-F04D-4218-953F-7A835D8EE7C1}">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590977AE-6072-4B3E-8CB7-9DC4D89642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52</vt:i4>
      </vt:variant>
    </vt:vector>
  </HeadingPairs>
  <TitlesOfParts>
    <vt:vector size="55" baseType="lpstr">
      <vt:lpstr>Background</vt:lpstr>
      <vt:lpstr>Conservation Report</vt:lpstr>
      <vt:lpstr>Data</vt:lpstr>
      <vt:lpstr>CON_10YPotential_Prior_Assessment</vt:lpstr>
      <vt:lpstr>CON_1YPrior_Agriculture_Expend</vt:lpstr>
      <vt:lpstr>CON_1YPrior_Agriculture_MWH</vt:lpstr>
      <vt:lpstr>CON_1YPrior_Commercial_Expend</vt:lpstr>
      <vt:lpstr>CON_1YPrior_Commercial_MWH</vt:lpstr>
      <vt:lpstr>CON_1YPrior_Distribution_Expend</vt:lpstr>
      <vt:lpstr>CON_1YPrior_Distribution_MWH</vt:lpstr>
      <vt:lpstr>CON_1YPrior_Expenditures</vt:lpstr>
      <vt:lpstr>CON_1YPrior_Industrial_Expend</vt:lpstr>
      <vt:lpstr>CON_1YPrior_Industrial_MWH</vt:lpstr>
      <vt:lpstr>CON_1YPrior_MWH</vt:lpstr>
      <vt:lpstr>CON_1YPrior_NEEA_Expend</vt:lpstr>
      <vt:lpstr>CON_1YPrior_NEEA_MWH</vt:lpstr>
      <vt:lpstr>CON_1YPrior_OtherSector1_Expend</vt:lpstr>
      <vt:lpstr>CON_1YPrior_OtherSector1_MWH</vt:lpstr>
      <vt:lpstr>CON_1YPrior_OtherSector2_Expend</vt:lpstr>
      <vt:lpstr>CON_1YPrior_OtherSector2_MWH</vt:lpstr>
      <vt:lpstr>CON_1YPrior_Production_Expend</vt:lpstr>
      <vt:lpstr>CON_1YPrior_Production_MWH</vt:lpstr>
      <vt:lpstr>CON_1YPrior_Program2_Expend</vt:lpstr>
      <vt:lpstr>CON_1YPrior_Residential_Expend</vt:lpstr>
      <vt:lpstr>CON_1YPrior_Residential_MWH</vt:lpstr>
      <vt:lpstr>CON_2YPrior_Agriculture_Expend</vt:lpstr>
      <vt:lpstr>CON_2YPrior_Agriculture_MWH</vt:lpstr>
      <vt:lpstr>CON_2YPrior_Commercial_Expend</vt:lpstr>
      <vt:lpstr>CON_2YPrior_Commercial_MWH</vt:lpstr>
      <vt:lpstr>CON_2YPrior_Distribution_Expend</vt:lpstr>
      <vt:lpstr>CON_2YPrior_Distribution_MWH</vt:lpstr>
      <vt:lpstr>CON_2YPrior_Expenditures</vt:lpstr>
      <vt:lpstr>CON_2YPrior_Industrial_Expend</vt:lpstr>
      <vt:lpstr>CON_2YPrior_Industrial_MWH</vt:lpstr>
      <vt:lpstr>CON_2YPrior_MWH</vt:lpstr>
      <vt:lpstr>CON_2YPrior_NEEA_Expend</vt:lpstr>
      <vt:lpstr>CON_2YPrior_NEEA_MWH</vt:lpstr>
      <vt:lpstr>CON_2YPrior_OtherSector1_Expend</vt:lpstr>
      <vt:lpstr>CON_2YPrior_OtherSector1_MWH</vt:lpstr>
      <vt:lpstr>CON_2YPrior_OtherSector2_Expend</vt:lpstr>
      <vt:lpstr>CON_2YPrior_OtherSector2_MWH</vt:lpstr>
      <vt:lpstr>CON_2YPrior_Production_Expend</vt:lpstr>
      <vt:lpstr>CON_2YPrior_Production_MWH</vt:lpstr>
      <vt:lpstr>CON_2YPrior_Program2_Expend</vt:lpstr>
      <vt:lpstr>CON_2YPrior_Residential_Expend</vt:lpstr>
      <vt:lpstr>CON_2YPrior_Residential_MWH</vt:lpstr>
      <vt:lpstr>CON_Contact_Name</vt:lpstr>
      <vt:lpstr>CON_Email</vt:lpstr>
      <vt:lpstr>CON_Next_2Y</vt:lpstr>
      <vt:lpstr>CON_Phone</vt:lpstr>
      <vt:lpstr>CON_Potential_10Y</vt:lpstr>
      <vt:lpstr>CON_Report_Date</vt:lpstr>
      <vt:lpstr>CON_Target_Prior_2Y</vt:lpstr>
      <vt:lpstr>CON_Utility_Name</vt:lpstr>
      <vt:lpstr>'Conservation Report'!Print_Area</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Lance Rottger</cp:lastModifiedBy>
  <cp:lastPrinted>2019-04-03T22:15:51Z</cp:lastPrinted>
  <dcterms:created xsi:type="dcterms:W3CDTF">2012-03-20T21:01:26Z</dcterms:created>
  <dcterms:modified xsi:type="dcterms:W3CDTF">2022-05-27T21:59:06Z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0x0101006E56B4D1795A2E4DB2F0B01679ED314A007DCEEDB03DC21846A53ED623C807910B</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