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28" activeTab="28"/>
  </bookViews>
  <sheets>
    <sheet name="Summary Proforma Proposed" sheetId="1" r:id="rId1"/>
    <sheet name="Residential Sch 7" sheetId="2" r:id="rId2"/>
    <sheet name="Secondary Sch 24" sheetId="3" r:id="rId3"/>
    <sheet name="Secondary Sch 25" sheetId="4" r:id="rId4"/>
    <sheet name="Secondary Sch 26" sheetId="5" r:id="rId5"/>
    <sheet name="Secondary Sch 29" sheetId="6" r:id="rId6"/>
    <sheet name="Primary Sch 31" sheetId="7" r:id="rId7"/>
    <sheet name="Primary Sch 35" sheetId="8" r:id="rId8"/>
    <sheet name="Primary Sch 43" sheetId="9" r:id="rId9"/>
    <sheet name="HV Sch 46" sheetId="10" r:id="rId10"/>
    <sheet name="HV Sch 49" sheetId="11" r:id="rId11"/>
    <sheet name="Lighting" sheetId="12" r:id="rId12"/>
    <sheet name="Small Firm Resale" sheetId="13" r:id="rId13"/>
    <sheet name="Sch 449" sheetId="14" r:id="rId14"/>
    <sheet name="Sch 459" sheetId="15" r:id="rId15"/>
    <sheet name="Transportation Special Contract" sheetId="16" r:id="rId16"/>
    <sheet name="Modified Parity Increase" sheetId="17" r:id="rId17"/>
    <sheet name="Residential Schedule 7" sheetId="18" r:id="rId18"/>
    <sheet name="Secondary Voltage Schedule 24" sheetId="19" r:id="rId19"/>
    <sheet name="Secondary Voltage Schedule 25" sheetId="20" r:id="rId20"/>
    <sheet name="Secondary Voltage Schedule 29" sheetId="21" r:id="rId21"/>
    <sheet name="Secondary Voltage Schedule 26" sheetId="22" r:id="rId22"/>
    <sheet name="Primary Voltage Schedule 31" sheetId="23" r:id="rId23"/>
    <sheet name="Primary Voltage Schedule 35" sheetId="24" r:id="rId24"/>
    <sheet name="Primary Voltage Schedule 43" sheetId="25" r:id="rId25"/>
    <sheet name="High Voltage Schedule 46" sheetId="26" r:id="rId26"/>
    <sheet name="High Voltage Schedule 49" sheetId="27" r:id="rId27"/>
    <sheet name="Transportation Sch 449 and 459" sheetId="28" r:id="rId28"/>
    <sheet name="Basic Charge Worksheet" sheetId="29" r:id="rId29"/>
    <sheet name="Proforma Demand Revenue" sheetId="30" r:id="rId30"/>
    <sheet name="Allocation of Demand Revenue" sheetId="31" r:id="rId31"/>
  </sheets>
  <definedNames>
    <definedName name="_xlnm.Print_Area" localSheetId="30">'Allocation of Demand Revenue'!$A$8:$H$26</definedName>
    <definedName name="_xlnm.Print_Area" localSheetId="28">'Basic Charge Worksheet'!$A$1:$W$11</definedName>
    <definedName name="_xlnm.Print_Area" localSheetId="25">'High Voltage Schedule 46'!$A$1:$E$44</definedName>
    <definedName name="_xlnm.Print_Area" localSheetId="26">'High Voltage Schedule 49'!$A$1:$E$49</definedName>
    <definedName name="_xlnm.Print_Area" localSheetId="9">'HV Sch 46'!$A$1:$H$16</definedName>
    <definedName name="_xlnm.Print_Area" localSheetId="10">'HV Sch 49'!$A$1:$H$16</definedName>
    <definedName name="_xlnm.Print_Area" localSheetId="11">'Lighting'!$A$1:$F$21</definedName>
    <definedName name="_xlnm.Print_Area" localSheetId="16">'Modified Parity Increase'!$A$6:$U$39</definedName>
    <definedName name="_xlnm.Print_Area" localSheetId="6">'Primary Sch 31'!$A$1:$J$22</definedName>
    <definedName name="_xlnm.Print_Area" localSheetId="7">'Primary Sch 35'!$A$1:$H$22</definedName>
    <definedName name="_xlnm.Print_Area" localSheetId="8">'Primary Sch 43'!$A$1:$J$20</definedName>
    <definedName name="_xlnm.Print_Area" localSheetId="22">'Primary Voltage Schedule 31'!$A$1:$G$70</definedName>
    <definedName name="_xlnm.Print_Area" localSheetId="23">'Primary Voltage Schedule 35'!$A$1:$F$67</definedName>
    <definedName name="_xlnm.Print_Area" localSheetId="24">'Primary Voltage Schedule 43'!$A$1:$F$66</definedName>
    <definedName name="_xlnm.Print_Area" localSheetId="29">'Proforma Demand Revenue'!$A$5:$N$34</definedName>
    <definedName name="_xlnm.Print_Area" localSheetId="1">'Residential Sch 7'!$A$1:$J$21</definedName>
    <definedName name="_xlnm.Print_Area" localSheetId="17">'Residential Schedule 7'!$A$1:$F$68</definedName>
    <definedName name="_xlnm.Print_Area" localSheetId="13">'Sch 449'!$A$1:$H$22</definedName>
    <definedName name="_xlnm.Print_Area" localSheetId="14">'Sch 459'!$A$1:$H$16</definedName>
    <definedName name="_xlnm.Print_Area" localSheetId="2">'Secondary Sch 24'!$A$1:$J$20</definedName>
    <definedName name="_xlnm.Print_Area" localSheetId="3">'Secondary Sch 25'!$A$1:$J$25</definedName>
    <definedName name="_xlnm.Print_Area" localSheetId="4">'Secondary Sch 26'!$A$1:$J$22</definedName>
    <definedName name="_xlnm.Print_Area" localSheetId="5">'Secondary Sch 29'!$A$1:$J$28</definedName>
    <definedName name="_xlnm.Print_Area" localSheetId="18">'Secondary Voltage Schedule 24'!$A$1:$G$61</definedName>
    <definedName name="_xlnm.Print_Area" localSheetId="19">'Secondary Voltage Schedule 25'!$A$1:$G$88</definedName>
    <definedName name="_xlnm.Print_Area" localSheetId="21">'Secondary Voltage Schedule 26'!$A$1:$G$66</definedName>
    <definedName name="_xlnm.Print_Area" localSheetId="20">'Secondary Voltage Schedule 29'!$A$1:$G$91</definedName>
    <definedName name="_xlnm.Print_Area" localSheetId="12">'Small Firm Resale'!$A$1:$J$19</definedName>
    <definedName name="_xlnm.Print_Area" localSheetId="0">'Summary Proforma Proposed'!$A$1:$I$43</definedName>
    <definedName name="_xlnm.Print_Area" localSheetId="27">'Transportation Sch 449 and 459'!$A$1:$G$41</definedName>
    <definedName name="_xlnm.Print_Area" localSheetId="15">'Transportation Special Contract'!$A$1:$H$15</definedName>
    <definedName name="_xlnm.Print_Titles" localSheetId="16">'Modified Parity Increase'!$A:$B</definedName>
    <definedName name="_xlnm.Print_Titles" localSheetId="22">'Primary Voltage Schedule 31'!$1:$6</definedName>
    <definedName name="_xlnm.Print_Titles" localSheetId="17">'Residential Schedule 7'!$1:$5</definedName>
    <definedName name="_xlnm.Print_Titles" localSheetId="20">'Secondary Voltage Schedule 29'!$1:$6</definedName>
  </definedNames>
  <calcPr fullCalcOnLoad="1" iterate="1" iterateCount="100" iterateDelta="0.001"/>
</workbook>
</file>

<file path=xl/comments12.xml><?xml version="1.0" encoding="utf-8"?>
<comments xmlns="http://schemas.openxmlformats.org/spreadsheetml/2006/main">
  <authors>
    <author>pse</author>
  </authors>
  <commentList>
    <comment ref="C7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Revenue includes Low Income rates effective 10-1-03</t>
        </r>
      </text>
    </comment>
  </commentList>
</comments>
</file>

<file path=xl/sharedStrings.xml><?xml version="1.0" encoding="utf-8"?>
<sst xmlns="http://schemas.openxmlformats.org/spreadsheetml/2006/main" count="1029" uniqueCount="403">
  <si>
    <t>Puget Sound Energy</t>
  </si>
  <si>
    <t>Twelve Months ended September 30, 2003</t>
  </si>
  <si>
    <t>Summary - Increase based on Cost of Service Parity Ratios</t>
  </si>
  <si>
    <t>Voltage Level</t>
  </si>
  <si>
    <t>Schedule</t>
  </si>
  <si>
    <t>Revenue Required from Rates (COS, TMP2, Line 11)</t>
  </si>
  <si>
    <t>Proforma
Tariffed Revenue
Effective
6-30-01</t>
  </si>
  <si>
    <t>Total Operating Revenue (COS, TMP2, Line 7)</t>
  </si>
  <si>
    <t>Revenue Required from Rates</t>
  </si>
  <si>
    <t>% to Total COS Costs</t>
  </si>
  <si>
    <t>Parity Cost of Service at Proposed Revenues</t>
  </si>
  <si>
    <t>Proforma Revenue % to Total</t>
  </si>
  <si>
    <t>Parity Difference</t>
  </si>
  <si>
    <t>Parity Movement</t>
  </si>
  <si>
    <t>New Ratio Sales of Electricty to Revenue Requirement</t>
  </si>
  <si>
    <t>Proposed Revenue</t>
  </si>
  <si>
    <t>Revenue Increase</t>
  </si>
  <si>
    <t>% Increase</t>
  </si>
  <si>
    <t>Constrained Increase</t>
  </si>
  <si>
    <t>Respread Increase</t>
  </si>
  <si>
    <t>Final Revenue Increase</t>
  </si>
  <si>
    <t>Final % Increase</t>
  </si>
  <si>
    <t>26/31 Adjustment</t>
  </si>
  <si>
    <t>Really Final % Increase</t>
  </si>
  <si>
    <t>A</t>
  </si>
  <si>
    <t>B</t>
  </si>
  <si>
    <t>C</t>
  </si>
  <si>
    <t>D =
A - (C - B)</t>
  </si>
  <si>
    <t>E =
D / Sum(D)</t>
  </si>
  <si>
    <t>F =
E * Proposed Revenue</t>
  </si>
  <si>
    <t>G =
B / Sum(B)</t>
  </si>
  <si>
    <t>H =
G - E</t>
  </si>
  <si>
    <t>I =
H * Parity Movement</t>
  </si>
  <si>
    <t>J =
G - I</t>
  </si>
  <si>
    <t>K =
J * Proposed Revenue</t>
  </si>
  <si>
    <t>L =
K - B</t>
  </si>
  <si>
    <t>M =
L / B</t>
  </si>
  <si>
    <t>N</t>
  </si>
  <si>
    <t>O</t>
  </si>
  <si>
    <t>P</t>
  </si>
  <si>
    <t>Q =
P / B</t>
  </si>
  <si>
    <t>R</t>
  </si>
  <si>
    <t>S</t>
  </si>
  <si>
    <t>Total 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</si>
  <si>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</si>
  <si>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</si>
  <si>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</si>
  <si>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</si>
  <si>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</si>
  <si>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</si>
  <si>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</si>
  <si>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</t>
  </si>
  <si>
    <t>Seasonal Irrigation &amp; Drainage Pumping</t>
  </si>
  <si>
    <t>Interruptible Total Electric Schools</t>
  </si>
  <si>
    <t>Total Primary Voltage</t>
  </si>
  <si>
    <t>Total High Voltage</t>
  </si>
  <si>
    <t>46 / 49</t>
  </si>
  <si>
    <t>Schedule 449</t>
  </si>
  <si>
    <t>Lighting</t>
  </si>
  <si>
    <t>50-59</t>
  </si>
  <si>
    <t>Firm Resale</t>
  </si>
  <si>
    <t>005</t>
  </si>
  <si>
    <t>Total Sales</t>
  </si>
  <si>
    <t xml:space="preserve">Proposed Revenue = </t>
  </si>
  <si>
    <t>% Move to Parity</t>
  </si>
  <si>
    <t>Max Increase</t>
  </si>
  <si>
    <t>Min Increase</t>
  </si>
  <si>
    <t xml:space="preserve"> </t>
  </si>
  <si>
    <t>Rate Design Workpapers</t>
  </si>
  <si>
    <t>Residential Schedule 7 Rate</t>
  </si>
  <si>
    <t>Line No.</t>
  </si>
  <si>
    <t>Total</t>
  </si>
  <si>
    <t>Temperature
Adjustment</t>
  </si>
  <si>
    <t>Basic Charges:</t>
  </si>
  <si>
    <t>1 Phase</t>
  </si>
  <si>
    <t>3 Phase</t>
  </si>
  <si>
    <t>kWh:</t>
  </si>
  <si>
    <t>First 600</t>
  </si>
  <si>
    <t>All Over 600</t>
  </si>
  <si>
    <t>Current Base Rates Effective 10-1-03</t>
  </si>
  <si>
    <t>Basic Charge:</t>
  </si>
  <si>
    <t>Energy Charge:</t>
  </si>
  <si>
    <t>Schedule 95</t>
  </si>
  <si>
    <t>&lt;= Differential</t>
  </si>
  <si>
    <t>Basic Charge Revenue:</t>
  </si>
  <si>
    <t>Subtotal Basic Charge $</t>
  </si>
  <si>
    <t>Energy Charge Revenue:</t>
  </si>
  <si>
    <t>Total Proforma Revenue</t>
  </si>
  <si>
    <t>Proposed Rates Effective 2005</t>
  </si>
  <si>
    <t>600 - 800</t>
  </si>
  <si>
    <t>All Over 800</t>
  </si>
  <si>
    <t>From COS Basic Charge Worksheet</t>
  </si>
  <si>
    <t>= ratio of $13.60 / $5.50 * $x.xx</t>
  </si>
  <si>
    <t>Target Proposed $ Increase</t>
  </si>
  <si>
    <t>= From COS Ratespread Document</t>
  </si>
  <si>
    <t>Target Proposed Revenue</t>
  </si>
  <si>
    <t>Target Proposed % Increase (Pre-Interim)</t>
  </si>
  <si>
    <t>Remaining Revenue Requirement To Spread</t>
  </si>
  <si>
    <t>First 800  (Flat)</t>
  </si>
  <si>
    <t>Spread remaing revenue to first block</t>
  </si>
  <si>
    <t>All Over 800 (Flat)</t>
  </si>
  <si>
    <t>&lt;= Resulting Differential</t>
  </si>
  <si>
    <t>First 800</t>
  </si>
  <si>
    <t>Total Proposed Revenue</t>
  </si>
  <si>
    <t>Difference due to rounding</t>
  </si>
  <si>
    <t>Schedule 24</t>
  </si>
  <si>
    <t>Total Winter</t>
  </si>
  <si>
    <t>Total Summer</t>
  </si>
  <si>
    <t xml:space="preserve">All </t>
  </si>
  <si>
    <t>Temperature Adjustment</t>
  </si>
  <si>
    <t>All kWh</t>
  </si>
  <si>
    <t>Same as Residential Basic Charge</t>
  </si>
  <si>
    <t>Target Proposed % Increase</t>
  </si>
  <si>
    <t>Retain Current Seasonal Percentage Differential</t>
  </si>
  <si>
    <t>All kWh - October to March</t>
  </si>
  <si>
    <t>All kWh - April to September</t>
  </si>
  <si>
    <t>Schedule 25</t>
  </si>
  <si>
    <t>Winter</t>
  </si>
  <si>
    <t>Summer</t>
  </si>
  <si>
    <t>First 20,000 kWh</t>
  </si>
  <si>
    <t>All over 20,000 kWh</t>
  </si>
  <si>
    <t>All over 20,000 kWh - Temperature Adjustment</t>
  </si>
  <si>
    <t>kW:</t>
  </si>
  <si>
    <t>First 50 kW</t>
  </si>
  <si>
    <t>All over 50 kW</t>
  </si>
  <si>
    <t>kVarh</t>
  </si>
  <si>
    <t>All kVarh</t>
  </si>
  <si>
    <t>Rates:</t>
  </si>
  <si>
    <t>All Phases</t>
  </si>
  <si>
    <t>Demand Charge:</t>
  </si>
  <si>
    <t>Reactive Power Charge:</t>
  </si>
  <si>
    <t>Revenue:</t>
  </si>
  <si>
    <t>Energy Revenue</t>
  </si>
  <si>
    <t>Demand Charge Revenue - Over 50 kW</t>
  </si>
  <si>
    <t>Reactive Power Revenue</t>
  </si>
  <si>
    <t>Total Proposed Increase Sch 25 &amp; Sch 29</t>
  </si>
  <si>
    <t>Total Proforma Revenue Sch 25 &amp; 29</t>
  </si>
  <si>
    <t>Target Proposed Revenue 25</t>
  </si>
  <si>
    <t>All Basic Charges</t>
  </si>
  <si>
    <t>Target Demand Revenue to Spread</t>
  </si>
  <si>
    <t>Up to 50 kW</t>
  </si>
  <si>
    <t>Apply average increase</t>
  </si>
  <si>
    <t>Demand Revenue:</t>
  </si>
  <si>
    <t>Target Reactive Power Revenue to Spread</t>
  </si>
  <si>
    <t>From Demand Revenue Allocation Spreadsheet</t>
  </si>
  <si>
    <t>Reactive Power Revenue:</t>
  </si>
  <si>
    <t>Proforma Energy Revenue</t>
  </si>
  <si>
    <t>Increase to Other Blocks</t>
  </si>
  <si>
    <t>All Over 20,000 kWh</t>
  </si>
  <si>
    <t>Spread remaining on equal percent increase</t>
  </si>
  <si>
    <t>Over 20,000 kWh</t>
  </si>
  <si>
    <t>Schedule 29</t>
  </si>
  <si>
    <t>Proforma Revenue:</t>
  </si>
  <si>
    <t>Subtotal Energy $</t>
  </si>
  <si>
    <t>Demand Charge Over 50 kW</t>
  </si>
  <si>
    <t>Single Phase set = Sched 24</t>
  </si>
  <si>
    <t xml:space="preserve"> = $18.10 / $5.50 * $x.xx</t>
  </si>
  <si>
    <t>Target Proposed Revenue 29</t>
  </si>
  <si>
    <t>Winter Demand = Schedule 25</t>
  </si>
  <si>
    <t>Assumed Load Factor (Current Rates)</t>
  </si>
  <si>
    <t>Add demand to summer first block as Energy Charge</t>
  </si>
  <si>
    <t>Winter Blocks same as Sch 25</t>
  </si>
  <si>
    <t>Summer 2nd Block equal average percentage increase</t>
  </si>
  <si>
    <t>Spread remainder to summer last block</t>
  </si>
  <si>
    <t>Schedule 26</t>
  </si>
  <si>
    <t>Basic Charges</t>
  </si>
  <si>
    <t>kWh</t>
  </si>
  <si>
    <t>Total kWh</t>
  </si>
  <si>
    <t>Current Base Rates Effective 7-1-05</t>
  </si>
  <si>
    <t>Basic Charge</t>
  </si>
  <si>
    <t>Energy Charge</t>
  </si>
  <si>
    <t xml:space="preserve">Demand Charge </t>
  </si>
  <si>
    <t xml:space="preserve">Reactive Power </t>
  </si>
  <si>
    <t>Target Proposed Revenue 26</t>
  </si>
  <si>
    <t>All Demand</t>
  </si>
  <si>
    <t>All kW</t>
  </si>
  <si>
    <t>Average Cents</t>
  </si>
  <si>
    <t>Schedule 31</t>
  </si>
  <si>
    <t>Demand Charge</t>
  </si>
  <si>
    <t>Reactive Power Charge</t>
  </si>
  <si>
    <t xml:space="preserve">Basic Charge </t>
  </si>
  <si>
    <t xml:space="preserve">Energy Charge </t>
  </si>
  <si>
    <t xml:space="preserve">Total Proforma </t>
  </si>
  <si>
    <t>Proposed Revenue Increase 31, 35</t>
  </si>
  <si>
    <t>Proforma Revenue 31, 35</t>
  </si>
  <si>
    <t>Target Proposed Revenue 31</t>
  </si>
  <si>
    <t>Leave unchanged (transformers already included in rentals)</t>
  </si>
  <si>
    <t xml:space="preserve">kW </t>
  </si>
  <si>
    <t>Schedule 35</t>
  </si>
  <si>
    <t>Total Winter 35</t>
  </si>
  <si>
    <t>Total Summer 35</t>
  </si>
  <si>
    <t>Target Proposed Revenue 35</t>
  </si>
  <si>
    <t>Same as Sch 31</t>
  </si>
  <si>
    <t>All kW - Average Annual</t>
  </si>
  <si>
    <t>Winter Demand Charge</t>
  </si>
  <si>
    <t>150% of Average Demand</t>
  </si>
  <si>
    <t>Summer Demand  Charge</t>
  </si>
  <si>
    <t>Schedule 43</t>
  </si>
  <si>
    <t>Target Proposed Revenue 43</t>
  </si>
  <si>
    <t>High Voltage</t>
  </si>
  <si>
    <t>Schedule 46</t>
  </si>
  <si>
    <t>kVa:</t>
  </si>
  <si>
    <t>Target Proposed $ Increase Sch 46 &amp; 49</t>
  </si>
  <si>
    <t>Target Proposed Revenue 46 &amp; 49</t>
  </si>
  <si>
    <t>Target Proposed % Increase Sch 46 &amp; 49</t>
  </si>
  <si>
    <t xml:space="preserve"> kVa </t>
  </si>
  <si>
    <t>All kVa</t>
  </si>
  <si>
    <t>Energy Charge Schedules 46 &amp; 49:</t>
  </si>
  <si>
    <t>From Schedule 49</t>
  </si>
  <si>
    <t>Total Proposed Revenue Schedule 46</t>
  </si>
  <si>
    <t>Schedule 49</t>
  </si>
  <si>
    <t xml:space="preserve"> kVa</t>
  </si>
  <si>
    <t>Schedule 46 Demand Revenue</t>
  </si>
  <si>
    <t>Total Sch 46 &amp; 49 kWh</t>
  </si>
  <si>
    <t>Total Proposed Revenue Sch 49</t>
  </si>
  <si>
    <t>Total Proposed Revenue Sch 46</t>
  </si>
  <si>
    <t>Schedule 449 &amp; 459- Primary &amp; High Voltage</t>
  </si>
  <si>
    <t>all Voltage</t>
  </si>
  <si>
    <t>Primary Voltage
Sch 449</t>
  </si>
  <si>
    <t>High Voltage
Sch 449</t>
  </si>
  <si>
    <t>High Voltage
Sch 459</t>
  </si>
  <si>
    <t>Registered kVa</t>
  </si>
  <si>
    <t>Customer Charge</t>
  </si>
  <si>
    <t>Customer Revenue</t>
  </si>
  <si>
    <t>Demand (Distribution) Revenue</t>
  </si>
  <si>
    <t>Target Proposed Revenue 449 (PV &amp; HV)</t>
  </si>
  <si>
    <t>From COS Basic Charge Template</t>
  </si>
  <si>
    <t>Subtotal Charges Before Demand</t>
  </si>
  <si>
    <t>Remaining Revenue to Spread</t>
  </si>
  <si>
    <t>Adjust Primary Voltage Rate to reduce rounding residual</t>
  </si>
  <si>
    <t>Equal Percentage Increase</t>
  </si>
  <si>
    <t>Total Proposed Revenue Sch 449</t>
  </si>
  <si>
    <t>Summary Class</t>
  </si>
  <si>
    <t>Residential</t>
  </si>
  <si>
    <t>Retail Wheeling</t>
  </si>
  <si>
    <t>Res Svc</t>
  </si>
  <si>
    <t>Sec Svc 24</t>
  </si>
  <si>
    <t>Sec Svc 25</t>
  </si>
  <si>
    <t>Sec Svc 26</t>
  </si>
  <si>
    <t>Pri Svc</t>
  </si>
  <si>
    <t>Lighting Svc</t>
  </si>
  <si>
    <t>All</t>
  </si>
  <si>
    <t xml:space="preserve">less than 50 kW </t>
  </si>
  <si>
    <t>51 kW to 350 kW</t>
  </si>
  <si>
    <t>over 350 kW</t>
  </si>
  <si>
    <t>Irrigation Service</t>
  </si>
  <si>
    <t>Interruptible Service</t>
  </si>
  <si>
    <t>Street &amp; Area</t>
  </si>
  <si>
    <t>Large</t>
  </si>
  <si>
    <t>Small</t>
  </si>
  <si>
    <t>Description</t>
  </si>
  <si>
    <t>50-59, &amp; 003</t>
  </si>
  <si>
    <t>Include 100% of Transformer</t>
  </si>
  <si>
    <t>Exclude Transformer</t>
  </si>
  <si>
    <t>Meter, Service, 35% Transformer &amp; Bill</t>
  </si>
  <si>
    <t>Current Single Phase</t>
  </si>
  <si>
    <t>Current Three Phase</t>
  </si>
  <si>
    <t>Secondary</t>
  </si>
  <si>
    <t>Primary</t>
  </si>
  <si>
    <t>449 / 459</t>
  </si>
  <si>
    <t>Proforma Demand Revenue</t>
  </si>
  <si>
    <t>Demand
First 50 kW</t>
  </si>
  <si>
    <t>Demand
Over 50 kW</t>
  </si>
  <si>
    <t>All
Demand</t>
  </si>
  <si>
    <t>Proforma Reactive Power Revenue</t>
  </si>
  <si>
    <t>Total Proforma Demand Revenue</t>
  </si>
  <si>
    <t>Revenue % to Schedule</t>
  </si>
  <si>
    <t>Target Revenue</t>
  </si>
  <si>
    <t>Target Revenue by Schedule</t>
  </si>
  <si>
    <t>Average Increase</t>
  </si>
  <si>
    <t>Proposed kVarh Revenue</t>
  </si>
  <si>
    <t>Target Demand Revenue by Schedule</t>
  </si>
  <si>
    <t>Subtotal Schedules 11, 25 &amp; 29</t>
  </si>
  <si>
    <t>Subtotal Schedules 31, 35, &amp; 43</t>
  </si>
  <si>
    <t>Subtotal Schedules 46 &amp; 49</t>
  </si>
  <si>
    <t>Schedule 449 Primary Voltage</t>
  </si>
  <si>
    <t>Schedule 449 High Voltage Voltage</t>
  </si>
  <si>
    <t>Schedule 459 High Voltage Voltage</t>
  </si>
  <si>
    <t>Subtotal Schedule 449</t>
  </si>
  <si>
    <t>Total Related Demand</t>
  </si>
  <si>
    <t>(2) Give demand twice average increase since below target and trying to line up with Sch 26 Demand</t>
  </si>
  <si>
    <t>Allocation of Demand Revenue to Class</t>
  </si>
  <si>
    <t>Based on Ratios From Electric Cost of Service</t>
  </si>
  <si>
    <t>Source</t>
  </si>
  <si>
    <t>Secondary
Voltage
Schedules
25 &amp; 29</t>
  </si>
  <si>
    <t>Secondary
Voltage
Schedule
26</t>
  </si>
  <si>
    <t>Primary
Voltage
Schedules
31, 35 &amp; 43</t>
  </si>
  <si>
    <t>High
Voltage
Schedules
46 &amp; 49</t>
  </si>
  <si>
    <t>Transportation Schedules
449 &amp; 459</t>
  </si>
  <si>
    <t>Total Cost of Service Demand</t>
  </si>
  <si>
    <t>COS DEM, Line 7</t>
  </si>
  <si>
    <t>Total Cost of Service Revenue</t>
  </si>
  <si>
    <t>COS TMP2, Line 6</t>
  </si>
  <si>
    <t>Ratio Cost of Service Demand to Total Revenue</t>
  </si>
  <si>
    <t>Line 1 / Line 2</t>
  </si>
  <si>
    <t>Demand Revenue Table</t>
  </si>
  <si>
    <t>Target Proposed Revenue, Column 1</t>
  </si>
  <si>
    <t>Ratio Proforma Demand Revenue to Total Revenue</t>
  </si>
  <si>
    <t>Line 4 / Line 5</t>
  </si>
  <si>
    <t>Move 1/2 Distance toward Parity</t>
  </si>
  <si>
    <t>Line 6 + 1/2 * (Line 3 - Line 6)</t>
  </si>
  <si>
    <t>Target Proposed Revenue, Column (Last - 3)</t>
  </si>
  <si>
    <t>Proposed Demand Revenue</t>
  </si>
  <si>
    <t>Line 7 * Line 8</t>
  </si>
  <si>
    <r>
      <t>Schedule 26</t>
    </r>
    <r>
      <rPr>
        <vertAlign val="superscript"/>
        <sz val="10"/>
        <rFont val="Arial"/>
        <family val="2"/>
      </rPr>
      <t>1</t>
    </r>
  </si>
  <si>
    <r>
      <t>Schedule 31</t>
    </r>
    <r>
      <rPr>
        <vertAlign val="superscript"/>
        <sz val="10"/>
        <rFont val="Arial"/>
        <family val="2"/>
      </rPr>
      <t>2</t>
    </r>
  </si>
  <si>
    <t>(1) No increase to the demand charge since above target and trying to move towards line-up with Schedule 31</t>
  </si>
  <si>
    <t>Proforma and Proposed Revenue</t>
  </si>
  <si>
    <t>Summary</t>
  </si>
  <si>
    <t>Proforma
Revenue</t>
  </si>
  <si>
    <t>Proposed
Revenue</t>
  </si>
  <si>
    <t>$ Increase</t>
  </si>
  <si>
    <t>Increase as Allocated by Rate Spread</t>
  </si>
  <si>
    <t>Rounding Differences</t>
  </si>
  <si>
    <t>Interruptible</t>
  </si>
  <si>
    <t>Total Retail Sales to Customers</t>
  </si>
  <si>
    <t>Small Firm Resale</t>
  </si>
  <si>
    <t>Special Contract</t>
  </si>
  <si>
    <t>001</t>
  </si>
  <si>
    <t>Total Firm Resale</t>
  </si>
  <si>
    <t>Transportation Sales</t>
  </si>
  <si>
    <t>Total Transporation Sales</t>
  </si>
  <si>
    <t>Total Sales to Customers</t>
  </si>
  <si>
    <t>Schedule 7</t>
  </si>
  <si>
    <t>Bill Determinants</t>
  </si>
  <si>
    <t>Proforma</t>
  </si>
  <si>
    <t>Proposed</t>
  </si>
  <si>
    <t>Temperature</t>
  </si>
  <si>
    <t>Rates Effective 10-1-03</t>
  </si>
  <si>
    <t>Rates Effective 2005</t>
  </si>
  <si>
    <t>Differences</t>
  </si>
  <si>
    <t>Adjustment</t>
  </si>
  <si>
    <t>Charge</t>
  </si>
  <si>
    <t>Revenue</t>
  </si>
  <si>
    <t>$</t>
  </si>
  <si>
    <t>%</t>
  </si>
  <si>
    <t>Basic Charge - 1 Phase</t>
  </si>
  <si>
    <t>Basic Charge - 3 Phase</t>
  </si>
  <si>
    <t>Total Basic Charge</t>
  </si>
  <si>
    <t xml:space="preserve">First 600 kWh </t>
  </si>
  <si>
    <t>Next 200 kWh</t>
  </si>
  <si>
    <t>All Over 600 kWh</t>
  </si>
  <si>
    <t>Total Revenue</t>
  </si>
  <si>
    <t>Secondary Voltage, Demand 50 kW or less</t>
  </si>
  <si>
    <t>Winter Energy</t>
  </si>
  <si>
    <t>Summer Energy</t>
  </si>
  <si>
    <t>Total Revenue Schedule 24</t>
  </si>
  <si>
    <t>Secondary Voltage, Demand Greater than 50 kW but less than or equal to 350 kW</t>
  </si>
  <si>
    <t xml:space="preserve">Winter - First 20,000 kWh </t>
  </si>
  <si>
    <t xml:space="preserve">Summer- First 20,000 kWh 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</si>
  <si>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</si>
  <si>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</si>
  <si>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</si>
  <si>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</si>
  <si>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</si>
  <si>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</si>
  <si>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Winter - All kW</t>
  </si>
  <si>
    <t>Summer- All kW</t>
  </si>
  <si>
    <t>Secondary Voltage, Seasonal Irrigation &amp; Drainage Pumping Service</t>
  </si>
  <si>
    <t>Winter - All Over 20,000 kWh</t>
  </si>
  <si>
    <t>Summer- All Over 20,000 kWh</t>
  </si>
  <si>
    <t>Primary Voltage General Service</t>
  </si>
  <si>
    <t>Primary Voltage Seasonal Irrigation &amp; Drainage Pumping Service</t>
  </si>
  <si>
    <t>Bill</t>
  </si>
  <si>
    <t>Determinants</t>
  </si>
  <si>
    <t>Primary Voltage Interruptible Total Electric School Service</t>
  </si>
  <si>
    <t>High Voltage, Interruptible Service</t>
  </si>
  <si>
    <t>Total kVa Demand</t>
  </si>
  <si>
    <t>High Voltage, General Service</t>
  </si>
  <si>
    <t>Lighting Revenues</t>
  </si>
  <si>
    <t>Proforma &amp; Proposed</t>
  </si>
  <si>
    <t>Annual
Proforma Revenue</t>
  </si>
  <si>
    <t>Annual Proposed Revenue</t>
  </si>
  <si>
    <t>Revenue Change</t>
  </si>
  <si>
    <t>%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</si>
  <si>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</si>
  <si>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</si>
  <si>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</si>
  <si>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</si>
  <si>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</si>
  <si>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</si>
  <si>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</si>
  <si>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</si>
  <si>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</si>
  <si>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</si>
  <si>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</si>
  <si>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</si>
  <si>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Allocation of Docket No. UE-011570 Revenue Increase</t>
  </si>
  <si>
    <t>Allocation of Docket No. UE-04xxxx Revenue Increase</t>
  </si>
  <si>
    <t>Transportation</t>
  </si>
  <si>
    <t>Primary Voltage:</t>
  </si>
  <si>
    <t>Distribution Charge</t>
  </si>
  <si>
    <t>Total Primary Voltage Revenue</t>
  </si>
  <si>
    <t>High Voltage:</t>
  </si>
  <si>
    <t>Total High Voltage Revenue</t>
  </si>
  <si>
    <t>Total Schedule 449</t>
  </si>
  <si>
    <t>Transportation with Back-up Distribution</t>
  </si>
  <si>
    <t>Schedule 459</t>
  </si>
  <si>
    <t>Back-up Distrbution Service</t>
  </si>
  <si>
    <t>Transportation Special Contract</t>
  </si>
  <si>
    <t>Add Small Firm Resale Proforma Revenue</t>
  </si>
  <si>
    <t>Total Firm Resale Proforma Revenue</t>
  </si>
  <si>
    <t>Allocation of Firm Resale Increase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</si>
</sst>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0.0%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_);_(* \(#,##0.000\);_(* &quot;-&quot;??_);_(@_)"/>
    <numFmt numFmtId="177" formatCode="#,##0\ \¢"/>
    <numFmt numFmtId="178" formatCode="#,##0.0\ \¢"/>
    <numFmt numFmtId="179" formatCode="#,##0.00\ \¢"/>
    <numFmt numFmtId="180" formatCode="#,##0.000\ \¢"/>
    <numFmt numFmtId="181" formatCode="#,##0.0000\ \¢"/>
    <numFmt numFmtId="182" formatCode="_(* #,##0.000000_);_(* \(#,##0.000000\);_(* &quot;-&quot;??????_);_(@_)"/>
    <numFmt numFmtId="183" formatCode="_(* #,##0.00000_);_(* \(#,##0.00000\);_(* &quot;-&quot;?????_);_(@_)"/>
    <numFmt numFmtId="184" formatCode="0.000%"/>
    <numFmt numFmtId="185" formatCode="m/d/yy\ h:m\i\n"/>
    <numFmt numFmtId="186" formatCode="&quot;$&quot;#,##0.0_);[Red]\(&quot;$&quot;#,##0.0\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.0000"/>
    <numFmt numFmtId="195" formatCode="0.0000000"/>
    <numFmt numFmtId="196" formatCode="0.0000\ "/>
    <numFmt numFmtId="197" formatCode="&quot;$&quot;#,##0.0000_);[Red]\(&quot;$&quot;#,##0.0000\)"/>
    <numFmt numFmtId="198" formatCode="mm/dd/yy"/>
    <numFmt numFmtId="199" formatCode="#,###"/>
    <numFmt numFmtId="200" formatCode="#,###.0"/>
    <numFmt numFmtId="201" formatCode="#,###.00"/>
    <numFmt numFmtId="202" formatCode="_(* #,##0.0000000_);_(* \(#,##0.0000000\);_(* &quot;-&quot;???????_);_(@_)"/>
    <numFmt numFmtId="203" formatCode="0.0000%"/>
    <numFmt numFmtId="204" formatCode="0.00000%"/>
    <numFmt numFmtId="205" formatCode="0.000000%"/>
    <numFmt numFmtId="206" formatCode="[$-409]dddd\,\ mmmm\ dd\,\ yyyy"/>
    <numFmt numFmtId="207" formatCode="[$-F800]dddd\,\ mmmm\ dd\,\ yyyy"/>
    <numFmt numFmtId="208" formatCode="0.000000"/>
    <numFmt numFmtId="209" formatCode="[$-409]mmmm\ d\,\ yyyy;@"/>
    <numFmt numFmtId="210" formatCode="&quot;$&quot;#,##0.000_);[Red]\(&quot;$&quot;#,##0.000\)"/>
    <numFmt numFmtId="211" formatCode="&quot;$&quot;#,##0.00000_);[Red]\(&quot;$&quot;#,##0.00000\)"/>
    <numFmt numFmtId="212" formatCode="&quot;$&quot;#,##0.000000_);[Red]\(&quot;$&quot;#,##0.000000\)"/>
    <numFmt numFmtId="213" formatCode="_(&quot;$&quot;* #,##0.0000000_);_(&quot;$&quot;* \(#,##0.0000000\);_(&quot;$&quot;* &quot;-&quot;??_);_(@_)"/>
    <numFmt numFmtId="214" formatCode="_(&quot;$&quot;* #,##0.00000000_);_(&quot;$&quot;* \(#,##0.00000000\);_(&quot;$&quot;* &quot;-&quot;??_);_(@_)"/>
    <numFmt numFmtId="215" formatCode="&quot;$&quot;#,##0.000_);\(&quot;$&quot;#,##0.000\)"/>
    <numFmt numFmtId="216" formatCode="&quot;$&quot;#,##0.0000_);\(&quot;$&quot;#,##0.0000\)"/>
    <numFmt numFmtId="217" formatCode="&quot;$&quot;#,##0.00000_);\(&quot;$&quot;#,##0.00000\)"/>
    <numFmt numFmtId="218" formatCode="_(&quot;$&quot;* #,##0.00000_);_(&quot;$&quot;* \(#,##0.00000\);_(&quot;$&quot;* &quot;-&quot;?????_);_(@_)"/>
    <numFmt numFmtId="219" formatCode="_(* #,##0.0000000_);_(* \(#,##0.0000000\);_(* &quot;-&quot;??_);_(@_)"/>
    <numFmt numFmtId="220" formatCode="_(* #,##0.00000000_);_(* \(#,##0.00000000\);_(* &quot;-&quot;??_);_(@_)"/>
    <numFmt numFmtId="221" formatCode="mmmm\-yy"/>
  </numFmts>
  <fonts count="1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Helv"/>
      <family val="0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0" fillId="0" borderId="2" xfId="17" applyNumberFormat="1" applyBorder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indent="1"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7" fontId="0" fillId="0" borderId="0" xfId="17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 quotePrefix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7" fontId="0" fillId="0" borderId="2" xfId="17" applyNumberFormat="1" applyFill="1" applyBorder="1" applyAlignment="1">
      <alignment/>
    </xf>
    <xf numFmtId="175" fontId="0" fillId="0" borderId="2" xfId="15" applyNumberFormat="1" applyFill="1" applyBorder="1" applyAlignment="1">
      <alignment/>
    </xf>
    <xf numFmtId="10" fontId="0" fillId="0" borderId="2" xfId="21" applyNumberFormat="1" applyFill="1" applyBorder="1" applyAlignment="1" quotePrefix="1">
      <alignment horizontal="right"/>
    </xf>
    <xf numFmtId="167" fontId="0" fillId="0" borderId="0" xfId="17" applyNumberFormat="1" applyFill="1" applyBorder="1" applyAlignment="1">
      <alignment/>
    </xf>
    <xf numFmtId="10" fontId="0" fillId="0" borderId="0" xfId="21" applyNumberFormat="1" applyFill="1" applyAlignment="1" quotePrefix="1">
      <alignment horizontal="right"/>
    </xf>
    <xf numFmtId="42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 indent="1"/>
    </xf>
    <xf numFmtId="175" fontId="0" fillId="0" borderId="0" xfId="15" applyNumberFormat="1" applyFill="1" applyBorder="1" applyAlignment="1">
      <alignment/>
    </xf>
    <xf numFmtId="10" fontId="0" fillId="0" borderId="0" xfId="21" applyNumberFormat="1" applyFill="1" applyBorder="1" applyAlignment="1" quotePrefix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Alignment="1" quotePrefix="1">
      <alignment horizontal="center"/>
    </xf>
    <xf numFmtId="167" fontId="0" fillId="0" borderId="3" xfId="17" applyNumberFormat="1" applyFill="1" applyBorder="1" applyAlignment="1">
      <alignment/>
    </xf>
    <xf numFmtId="175" fontId="0" fillId="0" borderId="3" xfId="15" applyNumberFormat="1" applyFill="1" applyBorder="1" applyAlignment="1">
      <alignment/>
    </xf>
    <xf numFmtId="10" fontId="0" fillId="0" borderId="3" xfId="21" applyNumberFormat="1" applyFill="1" applyBorder="1" applyAlignment="1" quotePrefix="1">
      <alignment horizontal="right"/>
    </xf>
    <xf numFmtId="43" fontId="0" fillId="0" borderId="0" xfId="0" applyNumberFormat="1" applyFill="1" applyAlignment="1">
      <alignment/>
    </xf>
    <xf numFmtId="167" fontId="0" fillId="0" borderId="0" xfId="17" applyNumberFormat="1" applyFill="1" applyAlignment="1">
      <alignment/>
    </xf>
    <xf numFmtId="37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43" fontId="0" fillId="0" borderId="4" xfId="0" applyNumberFormat="1" applyFill="1" applyBorder="1" applyAlignment="1">
      <alignment/>
    </xf>
    <xf numFmtId="0" fontId="0" fillId="0" borderId="5" xfId="0" applyFill="1" applyBorder="1" applyAlignment="1">
      <alignment horizontal="center"/>
    </xf>
    <xf numFmtId="43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67" fontId="0" fillId="0" borderId="6" xfId="17" applyNumberFormat="1" applyFill="1" applyBorder="1" applyAlignment="1">
      <alignment/>
    </xf>
    <xf numFmtId="0" fontId="0" fillId="0" borderId="4" xfId="0" applyFill="1" applyBorder="1" applyAlignment="1">
      <alignment/>
    </xf>
    <xf numFmtId="9" fontId="0" fillId="0" borderId="6" xfId="2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10" fontId="0" fillId="0" borderId="9" xfId="21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0" fontId="0" fillId="0" borderId="12" xfId="21" applyNumberFormat="1" applyFill="1" applyBorder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4" fontId="0" fillId="0" borderId="0" xfId="0" applyNumberFormat="1" applyAlignment="1">
      <alignment/>
    </xf>
    <xf numFmtId="171" fontId="0" fillId="0" borderId="0" xfId="17" applyNumberFormat="1" applyAlignment="1">
      <alignment/>
    </xf>
    <xf numFmtId="171" fontId="0" fillId="0" borderId="0" xfId="17" applyNumberFormat="1" applyFont="1" applyAlignment="1">
      <alignment/>
    </xf>
    <xf numFmtId="9" fontId="0" fillId="0" borderId="0" xfId="21" applyAlignment="1">
      <alignment/>
    </xf>
    <xf numFmtId="167" fontId="0" fillId="0" borderId="2" xfId="0" applyNumberFormat="1" applyBorder="1" applyAlignment="1">
      <alignment/>
    </xf>
    <xf numFmtId="0" fontId="0" fillId="0" borderId="0" xfId="0" applyBorder="1" applyAlignment="1">
      <alignment horizontal="centerContinuous"/>
    </xf>
    <xf numFmtId="44" fontId="0" fillId="0" borderId="0" xfId="17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/>
    </xf>
    <xf numFmtId="10" fontId="0" fillId="0" borderId="0" xfId="21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 indent="1"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0" fontId="0" fillId="0" borderId="0" xfId="0" applyFont="1" applyAlignment="1" quotePrefix="1">
      <alignment horizontal="left" indent="1"/>
    </xf>
    <xf numFmtId="165" fontId="0" fillId="0" borderId="0" xfId="15" applyNumberFormat="1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44" fontId="0" fillId="0" borderId="0" xfId="0" applyNumberFormat="1" applyFont="1" applyAlignment="1">
      <alignment/>
    </xf>
    <xf numFmtId="171" fontId="0" fillId="0" borderId="0" xfId="17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2" xfId="0" applyNumberFormat="1" applyFont="1" applyBorder="1" applyAlignment="1">
      <alignment/>
    </xf>
    <xf numFmtId="167" fontId="0" fillId="0" borderId="0" xfId="17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44" fontId="0" fillId="0" borderId="0" xfId="17" applyFont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67" fontId="0" fillId="0" borderId="0" xfId="17" applyNumberFormat="1" applyFont="1" applyFill="1" applyAlignment="1">
      <alignment/>
    </xf>
    <xf numFmtId="10" fontId="0" fillId="0" borderId="0" xfId="21" applyNumberFormat="1" applyFont="1" applyAlignment="1">
      <alignment/>
    </xf>
    <xf numFmtId="0" fontId="0" fillId="2" borderId="0" xfId="0" applyFont="1" applyFill="1" applyAlignment="1">
      <alignment horizontal="center"/>
    </xf>
    <xf numFmtId="9" fontId="0" fillId="2" borderId="0" xfId="21" applyFill="1" applyAlignment="1">
      <alignment/>
    </xf>
    <xf numFmtId="10" fontId="0" fillId="2" borderId="0" xfId="21" applyNumberFormat="1" applyFont="1" applyFill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 quotePrefix="1">
      <alignment horizontal="left" indent="2"/>
    </xf>
    <xf numFmtId="170" fontId="0" fillId="0" borderId="0" xfId="17" applyNumberFormat="1" applyFont="1" applyAlignment="1">
      <alignment/>
    </xf>
    <xf numFmtId="0" fontId="0" fillId="0" borderId="0" xfId="0" applyFont="1" applyAlignment="1" quotePrefix="1">
      <alignment horizontal="left" indent="3"/>
    </xf>
    <xf numFmtId="0" fontId="0" fillId="0" borderId="0" xfId="0" applyFont="1" applyAlignment="1">
      <alignment horizontal="left" indent="3"/>
    </xf>
    <xf numFmtId="167" fontId="0" fillId="0" borderId="3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167" fontId="4" fillId="0" borderId="0" xfId="17" applyNumberFormat="1" applyFont="1" applyFill="1" applyAlignment="1">
      <alignment/>
    </xf>
    <xf numFmtId="167" fontId="0" fillId="0" borderId="0" xfId="0" applyNumberFormat="1" applyFont="1" applyBorder="1" applyAlignment="1">
      <alignment horizontal="centerContinuous"/>
    </xf>
    <xf numFmtId="4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 quotePrefix="1">
      <alignment horizontal="left" indent="1"/>
    </xf>
    <xf numFmtId="0" fontId="0" fillId="2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67" fontId="0" fillId="0" borderId="2" xfId="17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 quotePrefix="1">
      <alignment horizontal="left" indent="2"/>
    </xf>
    <xf numFmtId="170" fontId="0" fillId="0" borderId="0" xfId="17" applyNumberFormat="1" applyAlignment="1">
      <alignment/>
    </xf>
    <xf numFmtId="0" fontId="0" fillId="0" borderId="0" xfId="0" applyAlignment="1" quotePrefix="1">
      <alignment horizontal="left" indent="3"/>
    </xf>
    <xf numFmtId="0" fontId="0" fillId="0" borderId="0" xfId="0" applyAlignment="1">
      <alignment horizontal="left" indent="3"/>
    </xf>
    <xf numFmtId="167" fontId="0" fillId="0" borderId="0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0" fillId="0" borderId="0" xfId="0" applyFill="1" applyBorder="1" applyAlignment="1" quotePrefix="1">
      <alignment horizontal="left" indent="1"/>
    </xf>
    <xf numFmtId="0" fontId="0" fillId="0" borderId="0" xfId="0" applyFill="1" applyBorder="1" applyAlignment="1">
      <alignment horizontal="left" indent="1"/>
    </xf>
    <xf numFmtId="44" fontId="0" fillId="0" borderId="0" xfId="17" applyFill="1" applyBorder="1" applyAlignment="1">
      <alignment/>
    </xf>
    <xf numFmtId="0" fontId="5" fillId="0" borderId="0" xfId="0" applyFont="1" applyAlignment="1" quotePrefix="1">
      <alignment horizontal="left"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1" fontId="5" fillId="0" borderId="0" xfId="17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10" fontId="0" fillId="0" borderId="0" xfId="21" applyNumberFormat="1" applyBorder="1" applyAlignment="1">
      <alignment horizontal="right"/>
    </xf>
    <xf numFmtId="0" fontId="6" fillId="0" borderId="0" xfId="0" applyFont="1" applyAlignment="1" quotePrefix="1">
      <alignment horizontal="left"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0" xfId="0" applyNumberFormat="1" applyFill="1" applyBorder="1" applyAlignment="1">
      <alignment horizontal="left" indent="1"/>
    </xf>
    <xf numFmtId="165" fontId="0" fillId="0" borderId="0" xfId="15" applyNumberFormat="1" applyFont="1" applyFill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 quotePrefix="1">
      <alignment horizontal="left" indent="1"/>
    </xf>
    <xf numFmtId="171" fontId="4" fillId="2" borderId="20" xfId="17" applyNumberFormat="1" applyFont="1" applyFill="1" applyBorder="1" applyAlignment="1">
      <alignment/>
    </xf>
    <xf numFmtId="0" fontId="4" fillId="2" borderId="21" xfId="0" applyFont="1" applyFill="1" applyBorder="1" applyAlignment="1" quotePrefix="1">
      <alignment horizontal="left" indent="1"/>
    </xf>
    <xf numFmtId="171" fontId="4" fillId="2" borderId="22" xfId="17" applyNumberFormat="1" applyFont="1" applyFill="1" applyBorder="1" applyAlignment="1">
      <alignment/>
    </xf>
    <xf numFmtId="0" fontId="4" fillId="2" borderId="19" xfId="0" applyFont="1" applyFill="1" applyBorder="1" applyAlignment="1">
      <alignment horizontal="left" indent="1"/>
    </xf>
    <xf numFmtId="44" fontId="4" fillId="2" borderId="20" xfId="17" applyNumberFormat="1" applyFont="1" applyFill="1" applyBorder="1" applyAlignment="1">
      <alignment/>
    </xf>
    <xf numFmtId="0" fontId="4" fillId="2" borderId="21" xfId="0" applyFont="1" applyFill="1" applyBorder="1" applyAlignment="1">
      <alignment horizontal="left" indent="1"/>
    </xf>
    <xf numFmtId="44" fontId="4" fillId="2" borderId="22" xfId="17" applyFont="1" applyFill="1" applyBorder="1" applyAlignment="1">
      <alignment/>
    </xf>
    <xf numFmtId="0" fontId="4" fillId="2" borderId="13" xfId="0" applyFont="1" applyFill="1" applyBorder="1" applyAlignment="1">
      <alignment/>
    </xf>
    <xf numFmtId="167" fontId="4" fillId="2" borderId="14" xfId="0" applyNumberFormat="1" applyFont="1" applyFill="1" applyBorder="1" applyAlignment="1">
      <alignment/>
    </xf>
    <xf numFmtId="7" fontId="4" fillId="2" borderId="20" xfId="17" applyNumberFormat="1" applyFont="1" applyFill="1" applyBorder="1" applyAlignment="1">
      <alignment/>
    </xf>
    <xf numFmtId="7" fontId="4" fillId="2" borderId="22" xfId="17" applyNumberFormat="1" applyFont="1" applyFill="1" applyBorder="1" applyAlignment="1">
      <alignment/>
    </xf>
    <xf numFmtId="44" fontId="4" fillId="2" borderId="22" xfId="17" applyNumberFormat="1" applyFont="1" applyFill="1" applyBorder="1" applyAlignment="1">
      <alignment/>
    </xf>
    <xf numFmtId="0" fontId="4" fillId="2" borderId="17" xfId="0" applyFont="1" applyFill="1" applyBorder="1" applyAlignment="1" quotePrefix="1">
      <alignment horizontal="left"/>
    </xf>
    <xf numFmtId="167" fontId="4" fillId="2" borderId="16" xfId="0" applyNumberFormat="1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4" fontId="4" fillId="2" borderId="0" xfId="17" applyFont="1" applyFill="1" applyBorder="1" applyAlignment="1">
      <alignment/>
    </xf>
    <xf numFmtId="44" fontId="4" fillId="2" borderId="20" xfId="17" applyFont="1" applyFill="1" applyBorder="1" applyAlignment="1">
      <alignment/>
    </xf>
    <xf numFmtId="44" fontId="4" fillId="2" borderId="1" xfId="17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3" fontId="4" fillId="2" borderId="22" xfId="0" applyNumberFormat="1" applyFont="1" applyFill="1" applyBorder="1" applyAlignment="1">
      <alignment/>
    </xf>
    <xf numFmtId="170" fontId="4" fillId="2" borderId="22" xfId="17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171" fontId="4" fillId="2" borderId="0" xfId="17" applyNumberFormat="1" applyFont="1" applyFill="1" applyBorder="1" applyAlignment="1">
      <alignment/>
    </xf>
    <xf numFmtId="171" fontId="4" fillId="2" borderId="1" xfId="17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7" fontId="4" fillId="2" borderId="18" xfId="0" applyNumberFormat="1" applyFont="1" applyFill="1" applyBorder="1" applyAlignment="1">
      <alignment/>
    </xf>
    <xf numFmtId="6" fontId="0" fillId="0" borderId="0" xfId="0" applyNumberFormat="1" applyFill="1" applyBorder="1" applyAlignment="1">
      <alignment horizontal="righ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/>
    </xf>
    <xf numFmtId="167" fontId="4" fillId="2" borderId="16" xfId="0" applyNumberFormat="1" applyFont="1" applyFill="1" applyBorder="1" applyAlignment="1" quotePrefix="1">
      <alignment horizontal="left"/>
    </xf>
    <xf numFmtId="167" fontId="4" fillId="2" borderId="16" xfId="17" applyNumberFormat="1" applyFont="1" applyFill="1" applyBorder="1" applyAlignment="1">
      <alignment/>
    </xf>
    <xf numFmtId="167" fontId="4" fillId="2" borderId="18" xfId="17" applyNumberFormat="1" applyFont="1" applyFill="1" applyBorder="1" applyAlignment="1">
      <alignment/>
    </xf>
    <xf numFmtId="0" fontId="4" fillId="2" borderId="1" xfId="0" applyFont="1" applyFill="1" applyBorder="1" applyAlignment="1" quotePrefix="1">
      <alignment horizontal="left" indent="1"/>
    </xf>
    <xf numFmtId="0" fontId="4" fillId="2" borderId="1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7" fontId="4" fillId="2" borderId="2" xfId="17" applyNumberFormat="1" applyFont="1" applyFill="1" applyBorder="1" applyAlignment="1">
      <alignment/>
    </xf>
    <xf numFmtId="7" fontId="4" fillId="2" borderId="14" xfId="17" applyNumberFormat="1" applyFont="1" applyFill="1" applyBorder="1" applyAlignment="1">
      <alignment/>
    </xf>
    <xf numFmtId="42" fontId="0" fillId="0" borderId="0" xfId="15" applyNumberFormat="1" applyAlignment="1">
      <alignment/>
    </xf>
    <xf numFmtId="0" fontId="0" fillId="0" borderId="7" xfId="0" applyFill="1" applyBorder="1" applyAlignment="1">
      <alignment horizontal="right" wrapText="1"/>
    </xf>
    <xf numFmtId="3" fontId="7" fillId="0" borderId="8" xfId="15" applyNumberFormat="1" applyFont="1" applyFill="1" applyBorder="1" applyAlignment="1" applyProtection="1">
      <alignment horizontal="center" wrapText="1"/>
      <protection locked="0"/>
    </xf>
    <xf numFmtId="42" fontId="7" fillId="0" borderId="8" xfId="15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14" fontId="0" fillId="0" borderId="23" xfId="0" applyNumberFormat="1" applyFill="1" applyBorder="1" applyAlignment="1">
      <alignment horizontal="right" wrapText="1"/>
    </xf>
    <xf numFmtId="3" fontId="7" fillId="0" borderId="0" xfId="15" applyNumberFormat="1" applyFont="1" applyFill="1" applyBorder="1" applyAlignment="1" applyProtection="1">
      <alignment horizontal="center" wrapText="1"/>
      <protection locked="0"/>
    </xf>
    <xf numFmtId="42" fontId="7" fillId="0" borderId="0" xfId="15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 wrapText="1"/>
    </xf>
    <xf numFmtId="3" fontId="7" fillId="0" borderId="11" xfId="15" applyNumberFormat="1" applyFont="1" applyFill="1" applyBorder="1" applyAlignment="1" applyProtection="1">
      <alignment horizontal="center" wrapText="1"/>
      <protection locked="0"/>
    </xf>
    <xf numFmtId="42" fontId="7" fillId="0" borderId="11" xfId="15" applyNumberFormat="1" applyFont="1" applyFill="1" applyBorder="1" applyAlignment="1" applyProtection="1">
      <alignment horizontal="center" wrapText="1"/>
      <protection locked="0"/>
    </xf>
    <xf numFmtId="3" fontId="7" fillId="0" borderId="0" xfId="15" applyNumberFormat="1" applyFont="1" applyFill="1" applyBorder="1" applyAlignment="1" applyProtection="1" quotePrefix="1">
      <alignment horizontal="center" wrapText="1"/>
      <protection locked="0"/>
    </xf>
    <xf numFmtId="3" fontId="7" fillId="0" borderId="9" xfId="15" applyNumberFormat="1" applyFont="1" applyFill="1" applyBorder="1" applyAlignment="1" applyProtection="1">
      <alignment horizontal="center" wrapText="1"/>
      <protection locked="0"/>
    </xf>
    <xf numFmtId="3" fontId="7" fillId="0" borderId="24" xfId="15" applyNumberFormat="1" applyFont="1" applyFill="1" applyBorder="1" applyAlignment="1" applyProtection="1">
      <alignment horizontal="center" wrapText="1"/>
      <protection locked="0"/>
    </xf>
    <xf numFmtId="3" fontId="7" fillId="0" borderId="12" xfId="15" applyNumberFormat="1" applyFont="1" applyFill="1" applyBorder="1" applyAlignment="1" applyProtection="1">
      <alignment horizontal="center" wrapText="1"/>
      <protection locked="0"/>
    </xf>
    <xf numFmtId="184" fontId="0" fillId="0" borderId="0" xfId="21" applyNumberFormat="1" applyAlignment="1">
      <alignment/>
    </xf>
    <xf numFmtId="165" fontId="0" fillId="0" borderId="2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8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67" fontId="0" fillId="0" borderId="3" xfId="17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 quotePrefix="1">
      <alignment horizontal="left" wrapText="1"/>
    </xf>
    <xf numFmtId="167" fontId="0" fillId="0" borderId="0" xfId="17" applyNumberFormat="1" applyAlignment="1">
      <alignment wrapText="1"/>
    </xf>
    <xf numFmtId="0" fontId="0" fillId="0" borderId="0" xfId="0" applyFont="1" applyAlignment="1">
      <alignment wrapText="1"/>
    </xf>
    <xf numFmtId="174" fontId="0" fillId="0" borderId="0" xfId="15" applyNumberFormat="1" applyAlignment="1">
      <alignment wrapText="1"/>
    </xf>
    <xf numFmtId="0" fontId="0" fillId="0" borderId="0" xfId="0" applyAlignment="1" quotePrefix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 quotePrefix="1">
      <alignment horizontal="center" wrapText="1"/>
    </xf>
    <xf numFmtId="167" fontId="0" fillId="0" borderId="0" xfId="0" applyNumberFormat="1" applyBorder="1" applyAlignment="1" quotePrefix="1">
      <alignment horizontal="center" wrapText="1"/>
    </xf>
    <xf numFmtId="165" fontId="0" fillId="0" borderId="0" xfId="15" applyNumberFormat="1" applyAlignment="1" quotePrefix="1">
      <alignment horizontal="left"/>
    </xf>
    <xf numFmtId="167" fontId="0" fillId="0" borderId="0" xfId="17" applyNumberFormat="1" applyAlignment="1" quotePrefix="1">
      <alignment horizontal="left"/>
    </xf>
    <xf numFmtId="172" fontId="0" fillId="0" borderId="0" xfId="21" applyNumberFormat="1" applyAlignment="1" quotePrefix="1">
      <alignment horizontal="center"/>
    </xf>
    <xf numFmtId="165" fontId="0" fillId="0" borderId="2" xfId="15" applyNumberFormat="1" applyBorder="1" applyAlignment="1">
      <alignment/>
    </xf>
    <xf numFmtId="172" fontId="0" fillId="0" borderId="2" xfId="21" applyNumberFormat="1" applyBorder="1" applyAlignment="1" quotePrefix="1">
      <alignment horizontal="center"/>
    </xf>
    <xf numFmtId="167" fontId="0" fillId="0" borderId="0" xfId="17" applyNumberFormat="1" applyBorder="1" applyAlignment="1">
      <alignment/>
    </xf>
    <xf numFmtId="167" fontId="0" fillId="0" borderId="2" xfId="17" applyNumberFormat="1" applyBorder="1" applyAlignment="1" quotePrefix="1">
      <alignment horizontal="left"/>
    </xf>
    <xf numFmtId="172" fontId="0" fillId="0" borderId="3" xfId="21" applyNumberFormat="1" applyBorder="1" applyAlignment="1" quotePrefix="1">
      <alignment horizontal="center"/>
    </xf>
    <xf numFmtId="165" fontId="0" fillId="0" borderId="16" xfId="0" applyNumberFormat="1" applyBorder="1" applyAlignment="1">
      <alignment/>
    </xf>
    <xf numFmtId="167" fontId="0" fillId="0" borderId="16" xfId="17" applyNumberFormat="1" applyBorder="1" applyAlignment="1">
      <alignment/>
    </xf>
    <xf numFmtId="172" fontId="0" fillId="0" borderId="16" xfId="21" applyNumberFormat="1" applyBorder="1" applyAlignment="1" quotePrefix="1">
      <alignment horizontal="center"/>
    </xf>
    <xf numFmtId="172" fontId="0" fillId="0" borderId="0" xfId="21" applyNumberFormat="1" applyAlignment="1" quotePrefix="1">
      <alignment horizontal="left"/>
    </xf>
    <xf numFmtId="0" fontId="0" fillId="0" borderId="0" xfId="0" applyAlignment="1" quotePrefix="1">
      <alignment horizontal="center"/>
    </xf>
    <xf numFmtId="167" fontId="0" fillId="0" borderId="0" xfId="17" applyNumberFormat="1" applyBorder="1" applyAlignment="1" quotePrefix="1">
      <alignment horizontal="left"/>
    </xf>
    <xf numFmtId="172" fontId="0" fillId="0" borderId="0" xfId="21" applyNumberFormat="1" applyBorder="1" applyAlignment="1" quotePrefix="1">
      <alignment horizontal="center"/>
    </xf>
    <xf numFmtId="168" fontId="0" fillId="0" borderId="0" xfId="17" applyNumberFormat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0" xfId="17" applyNumberFormat="1" applyAlignment="1">
      <alignment/>
    </xf>
    <xf numFmtId="172" fontId="0" fillId="0" borderId="0" xfId="21" applyNumberFormat="1" applyAlignment="1">
      <alignment/>
    </xf>
    <xf numFmtId="172" fontId="0" fillId="0" borderId="2" xfId="21" applyNumberFormat="1" applyBorder="1" applyAlignment="1">
      <alignment/>
    </xf>
    <xf numFmtId="172" fontId="0" fillId="0" borderId="0" xfId="21" applyNumberFormat="1" applyBorder="1" applyAlignment="1">
      <alignment/>
    </xf>
    <xf numFmtId="172" fontId="0" fillId="0" borderId="3" xfId="21" applyNumberFormat="1" applyBorder="1" applyAlignment="1">
      <alignment/>
    </xf>
    <xf numFmtId="0" fontId="0" fillId="0" borderId="18" xfId="0" applyBorder="1" applyAlignment="1" quotePrefix="1">
      <alignment horizontal="centerContinuous"/>
    </xf>
    <xf numFmtId="0" fontId="0" fillId="0" borderId="16" xfId="0" applyBorder="1" applyAlignment="1" quotePrefix="1">
      <alignment horizontal="centerContinuous"/>
    </xf>
    <xf numFmtId="0" fontId="0" fillId="0" borderId="21" xfId="0" applyBorder="1" applyAlignment="1" quotePrefix="1">
      <alignment horizontal="centerContinuous"/>
    </xf>
    <xf numFmtId="0" fontId="0" fillId="0" borderId="22" xfId="0" applyBorder="1" applyAlignment="1" quotePrefix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20" xfId="0" applyBorder="1" applyAlignment="1" quotePrefix="1">
      <alignment horizontal="centerContinuous"/>
    </xf>
    <xf numFmtId="0" fontId="0" fillId="0" borderId="13" xfId="0" applyBorder="1" applyAlignment="1" quotePrefix="1">
      <alignment horizontal="centerContinuous"/>
    </xf>
    <xf numFmtId="0" fontId="0" fillId="0" borderId="14" xfId="0" applyBorder="1" applyAlignment="1" quotePrefix="1">
      <alignment horizontal="centerContinuous"/>
    </xf>
    <xf numFmtId="0" fontId="0" fillId="0" borderId="2" xfId="0" applyBorder="1" applyAlignment="1" quotePrefix="1">
      <alignment horizontal="centerContinuous"/>
    </xf>
    <xf numFmtId="7" fontId="0" fillId="0" borderId="0" xfId="17" applyNumberFormat="1" applyAlignment="1">
      <alignment/>
    </xf>
    <xf numFmtId="0" fontId="0" fillId="0" borderId="19" xfId="0" applyBorder="1" applyAlignment="1" quotePrefix="1">
      <alignment horizontal="centerContinuous"/>
    </xf>
    <xf numFmtId="165" fontId="0" fillId="0" borderId="2" xfId="15" applyNumberFormat="1" applyBorder="1" applyAlignment="1" quotePrefix="1">
      <alignment horizontal="left"/>
    </xf>
    <xf numFmtId="165" fontId="0" fillId="0" borderId="0" xfId="15" applyNumberFormat="1" applyBorder="1" applyAlignment="1" quotePrefix="1">
      <alignment horizontal="left"/>
    </xf>
    <xf numFmtId="175" fontId="0" fillId="0" borderId="0" xfId="15" applyNumberFormat="1" applyFont="1" applyAlignment="1">
      <alignment/>
    </xf>
    <xf numFmtId="0" fontId="0" fillId="0" borderId="0" xfId="0" applyBorder="1" applyAlignment="1" quotePrefix="1">
      <alignment horizontal="left" wrapText="1"/>
    </xf>
    <xf numFmtId="165" fontId="0" fillId="0" borderId="0" xfId="15" applyNumberFormat="1" applyBorder="1" applyAlignment="1">
      <alignment wrapText="1"/>
    </xf>
    <xf numFmtId="42" fontId="0" fillId="0" borderId="0" xfId="17" applyNumberFormat="1" applyAlignment="1">
      <alignment/>
    </xf>
    <xf numFmtId="172" fontId="0" fillId="0" borderId="0" xfId="21" applyNumberFormat="1" applyAlignment="1">
      <alignment horizontal="right"/>
    </xf>
    <xf numFmtId="165" fontId="0" fillId="0" borderId="2" xfId="15" applyNumberFormat="1" applyBorder="1" applyAlignment="1">
      <alignment/>
    </xf>
    <xf numFmtId="42" fontId="0" fillId="0" borderId="2" xfId="17" applyNumberFormat="1" applyBorder="1" applyAlignment="1">
      <alignment/>
    </xf>
    <xf numFmtId="172" fontId="0" fillId="0" borderId="2" xfId="21" applyNumberFormat="1" applyBorder="1" applyAlignment="1">
      <alignment horizontal="right"/>
    </xf>
    <xf numFmtId="165" fontId="0" fillId="0" borderId="0" xfId="15" applyNumberFormat="1" applyAlignment="1">
      <alignment horizontal="right"/>
    </xf>
    <xf numFmtId="42" fontId="0" fillId="0" borderId="0" xfId="0" applyNumberFormat="1" applyAlignment="1">
      <alignment horizontal="right"/>
    </xf>
    <xf numFmtId="165" fontId="0" fillId="0" borderId="3" xfId="15" applyNumberFormat="1" applyBorder="1" applyAlignment="1" quotePrefix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pane xSplit="2" ySplit="6" topLeftCell="C7" activePane="bottomRight" state="frozen"/>
      <selection pane="topLeft" activeCell="T1" sqref="J1:T16384"/>
      <selection pane="topRight" activeCell="T1" sqref="J1:T16384"/>
      <selection pane="bottomLeft" activeCell="T1" sqref="J1:T16384"/>
      <selection pane="bottomRight" activeCell="C7" sqref="C7"/>
    </sheetView>
  </sheetViews>
  <sheetFormatPr defaultColWidth="9.140625" defaultRowHeight="12.75"/>
  <cols>
    <col min="1" max="1" width="38.00390625" style="0" customWidth="1"/>
    <col min="2" max="2" width="8.7109375" style="0" bestFit="1" customWidth="1"/>
    <col min="3" max="3" width="17.7109375" style="0" bestFit="1" customWidth="1"/>
    <col min="4" max="4" width="16.421875" style="0" customWidth="1"/>
    <col min="5" max="5" width="16.00390625" style="0" customWidth="1"/>
    <col min="6" max="7" width="12.28125" style="0" bestFit="1" customWidth="1"/>
    <col min="8" max="8" width="12.8515625" style="0" bestFit="1" customWidth="1"/>
    <col min="9" max="9" width="10.28125" style="0" bestFit="1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307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308</v>
      </c>
      <c r="B4" s="1"/>
      <c r="C4" s="1"/>
      <c r="D4" s="1"/>
      <c r="E4" s="1"/>
      <c r="F4" s="1"/>
      <c r="G4" s="1"/>
      <c r="H4" s="1"/>
      <c r="I4" s="1"/>
    </row>
    <row r="6" spans="1:9" s="4" customFormat="1" ht="38.25">
      <c r="A6" s="2" t="s">
        <v>3</v>
      </c>
      <c r="B6" s="2" t="s">
        <v>4</v>
      </c>
      <c r="C6" s="2" t="s">
        <v>166</v>
      </c>
      <c r="D6" s="3" t="s">
        <v>309</v>
      </c>
      <c r="E6" s="3" t="s">
        <v>310</v>
      </c>
      <c r="F6" s="2" t="s">
        <v>311</v>
      </c>
      <c r="G6" s="2" t="s">
        <v>312</v>
      </c>
      <c r="H6" s="2" t="s">
        <v>313</v>
      </c>
      <c r="I6" s="2" t="s">
        <v>17</v>
      </c>
    </row>
    <row r="7" spans="1:9" s="4" customFormat="1" ht="12.75">
      <c r="A7" s="225" t="s">
        <v>233</v>
      </c>
      <c r="B7" s="126"/>
      <c r="C7" s="126"/>
      <c r="D7" s="226"/>
      <c r="E7" s="227"/>
      <c r="F7" s="226"/>
      <c r="G7" s="226"/>
      <c r="H7" s="226"/>
      <c r="I7" s="226"/>
    </row>
    <row r="8" spans="1:9" ht="12.75">
      <c r="A8" s="10" t="str">
        <f>+'Residential Sch 7'!A4</f>
        <v>Residential</v>
      </c>
      <c r="B8" s="6">
        <v>7</v>
      </c>
      <c r="C8" s="228">
        <f>+'Residential Sch 7'!D17</f>
        <v>9756700657.42176</v>
      </c>
      <c r="D8" s="229">
        <f>+'Residential Sch 7'!F21</f>
        <v>770153730.1026341</v>
      </c>
      <c r="E8" s="229">
        <f>+'Residential Sch 7'!H21</f>
        <v>826754644.2002687</v>
      </c>
      <c r="F8" s="229">
        <f>+E8-D8</f>
        <v>56600914.09763467</v>
      </c>
      <c r="G8" s="229">
        <v>56599829.56651819</v>
      </c>
      <c r="H8" s="229">
        <f>+G8-F8</f>
        <v>-1084.5311164855957</v>
      </c>
      <c r="I8" s="230">
        <f>+F8/D8</f>
        <v>0.07349300780519727</v>
      </c>
    </row>
    <row r="9" spans="1:9" ht="12.75">
      <c r="A9" s="5" t="s">
        <v>43</v>
      </c>
      <c r="C9" s="231">
        <f aca="true" t="shared" si="0" ref="C9:H9">SUM(C8:C8)</f>
        <v>9756700657.42176</v>
      </c>
      <c r="D9" s="7">
        <f t="shared" si="0"/>
        <v>770153730.1026341</v>
      </c>
      <c r="E9" s="7">
        <f t="shared" si="0"/>
        <v>826754644.2002687</v>
      </c>
      <c r="F9" s="7">
        <f t="shared" si="0"/>
        <v>56600914.09763467</v>
      </c>
      <c r="G9" s="7">
        <f t="shared" si="0"/>
        <v>56599829.56651819</v>
      </c>
      <c r="H9" s="7">
        <f t="shared" si="0"/>
        <v>-1084.5311164855957</v>
      </c>
      <c r="I9" s="232">
        <f>+F9/D9</f>
        <v>0.07349300780519727</v>
      </c>
    </row>
    <row r="10" spans="3:9" ht="12.75">
      <c r="C10" s="127"/>
      <c r="D10" s="233"/>
      <c r="E10" s="233"/>
      <c r="F10" s="233"/>
      <c r="G10" s="233"/>
      <c r="H10" s="233"/>
      <c r="I10" s="230"/>
    </row>
    <row r="11" spans="1:9" ht="12.75">
      <c r="A11" t="s">
        <v>44</v>
      </c>
      <c r="C11" s="127"/>
      <c r="D11" s="233"/>
      <c r="E11" s="233"/>
      <c r="F11" s="233"/>
      <c r="G11" s="233"/>
      <c r="H11" s="233"/>
      <c r="I11" s="230"/>
    </row>
    <row r="12" spans="1:9" ht="12.75">
      <c r="A12" s="8" t="s">
        <v>45</v>
      </c>
      <c r="B12" s="6">
        <v>24</v>
      </c>
      <c r="C12" s="127">
        <f>+'Secondary Sch 24'!D16</f>
        <v>2383338106.1946707</v>
      </c>
      <c r="D12" s="233">
        <f>+'Secondary Sch 24'!F20</f>
        <v>175072411.88833803</v>
      </c>
      <c r="E12" s="233">
        <f>+'Secondary Sch 24'!H20</f>
        <v>181708282.546444</v>
      </c>
      <c r="F12" s="229">
        <f>+E12-D12</f>
        <v>6635870.658105969</v>
      </c>
      <c r="G12" s="229">
        <v>6636228.718713939</v>
      </c>
      <c r="H12" s="229">
        <f>+G12-F12</f>
        <v>358.0606079697609</v>
      </c>
      <c r="I12" s="230">
        <f>+F12/D12</f>
        <v>0.03790357707722881</v>
      </c>
    </row>
    <row r="13" spans="1:9" ht="12.75">
      <c r="A13" s="8" t="s">
        <v>46</v>
      </c>
      <c r="B13" s="6">
        <v>25</v>
      </c>
      <c r="C13" s="127">
        <f>+'Secondary Sch 25'!D15</f>
        <v>2848998293.241209</v>
      </c>
      <c r="D13" s="233">
        <f>+'Secondary Sch 25'!F25</f>
        <v>204858083.84392786</v>
      </c>
      <c r="E13" s="233">
        <f>+'Secondary Sch 25'!H25</f>
        <v>210722480.24063727</v>
      </c>
      <c r="F13" s="229">
        <f>+E13-D13</f>
        <v>5864396.396709412</v>
      </c>
      <c r="G13" s="229">
        <v>5864507.725034972</v>
      </c>
      <c r="H13" s="229">
        <f>+G13-F13</f>
        <v>111.32832555938512</v>
      </c>
      <c r="I13" s="230">
        <f>+F13/D13</f>
        <v>0.028626629160395895</v>
      </c>
    </row>
    <row r="14" spans="1:9" ht="12.75">
      <c r="A14" s="8" t="s">
        <v>48</v>
      </c>
      <c r="B14" s="6">
        <v>26</v>
      </c>
      <c r="C14" s="127">
        <f>+'Secondary Sch 26'!D12</f>
        <v>1886822193.5422368</v>
      </c>
      <c r="D14" s="233">
        <f>+'Secondary Sch 26'!F22</f>
        <v>120803752.78982204</v>
      </c>
      <c r="E14" s="233">
        <f>+'Secondary Sch 26'!H22</f>
        <v>123268618.12848093</v>
      </c>
      <c r="F14" s="229">
        <f>+E14-D14</f>
        <v>2464865.338658884</v>
      </c>
      <c r="G14" s="229">
        <v>2464199.1419183165</v>
      </c>
      <c r="H14" s="229">
        <f>+G14-F14</f>
        <v>-666.1967405676842</v>
      </c>
      <c r="I14" s="230">
        <f>+F14/D14</f>
        <v>0.0204038805230441</v>
      </c>
    </row>
    <row r="15" spans="1:9" ht="12.75">
      <c r="A15" s="10" t="s">
        <v>52</v>
      </c>
      <c r="B15" s="6">
        <v>29</v>
      </c>
      <c r="C15" s="127">
        <f>+'Secondary Sch 29'!D18</f>
        <v>15065067.10113266</v>
      </c>
      <c r="D15" s="233">
        <f>+'Secondary Sch 29'!F28</f>
        <v>920104.3172118538</v>
      </c>
      <c r="E15" s="233">
        <f>+'Secondary Sch 29'!H28</f>
        <v>946442.6540272132</v>
      </c>
      <c r="F15" s="229">
        <f>+E15-D15</f>
        <v>26338.33681535942</v>
      </c>
      <c r="G15" s="229">
        <v>26339.985100309364</v>
      </c>
      <c r="H15" s="229">
        <f>+G15-F15</f>
        <v>1.6482849499443546</v>
      </c>
      <c r="I15" s="230">
        <f>+F15/D15</f>
        <v>0.028625381190657998</v>
      </c>
    </row>
    <row r="16" spans="1:9" ht="12.75">
      <c r="A16" s="9" t="s">
        <v>49</v>
      </c>
      <c r="C16" s="231">
        <f aca="true" t="shared" si="1" ref="C16:H16">SUM(C12:C15)</f>
        <v>7134223660.079249</v>
      </c>
      <c r="D16" s="7">
        <f t="shared" si="1"/>
        <v>501654352.8392998</v>
      </c>
      <c r="E16" s="7">
        <f t="shared" si="1"/>
        <v>516645823.5695894</v>
      </c>
      <c r="F16" s="7">
        <f t="shared" si="1"/>
        <v>14991470.730289625</v>
      </c>
      <c r="G16" s="7">
        <f t="shared" si="1"/>
        <v>14991275.570767537</v>
      </c>
      <c r="H16" s="7">
        <f t="shared" si="1"/>
        <v>-195.1595220885938</v>
      </c>
      <c r="I16" s="232">
        <f>+F16/D16</f>
        <v>0.029884063888691106</v>
      </c>
    </row>
    <row r="17" spans="3:9" ht="12.75">
      <c r="C17" s="127"/>
      <c r="D17" s="233"/>
      <c r="E17" s="233"/>
      <c r="F17" s="233"/>
      <c r="G17" s="233"/>
      <c r="H17" s="233"/>
      <c r="I17" s="230"/>
    </row>
    <row r="18" spans="1:9" ht="12.75">
      <c r="A18" t="s">
        <v>50</v>
      </c>
      <c r="C18" s="127"/>
      <c r="D18" s="233"/>
      <c r="E18" s="233"/>
      <c r="F18" s="233"/>
      <c r="G18" s="233"/>
      <c r="H18" s="233"/>
      <c r="I18" s="230"/>
    </row>
    <row r="19" spans="1:9" ht="12.75">
      <c r="A19" s="8" t="s">
        <v>51</v>
      </c>
      <c r="B19" s="6">
        <v>31</v>
      </c>
      <c r="C19" s="127">
        <f>+'Primary Sch 31'!D12</f>
        <v>1657531591.0765023</v>
      </c>
      <c r="D19" s="233">
        <f>+'Primary Sch 31'!F22</f>
        <v>97635591.30937117</v>
      </c>
      <c r="E19" s="233">
        <f>+'Primary Sch 31'!H22</f>
        <v>103224377.19356859</v>
      </c>
      <c r="F19" s="229">
        <f>+E19-D19</f>
        <v>5588785.884197414</v>
      </c>
      <c r="G19" s="229">
        <v>5589425.919338813</v>
      </c>
      <c r="H19" s="229">
        <f>+G19-F19</f>
        <v>640.0351413991302</v>
      </c>
      <c r="I19" s="230">
        <f>+F19/D19</f>
        <v>0.05724127655957563</v>
      </c>
    </row>
    <row r="20" spans="1:9" ht="12.75">
      <c r="A20" s="10" t="s">
        <v>52</v>
      </c>
      <c r="B20" s="6">
        <v>35</v>
      </c>
      <c r="C20" s="127">
        <f>+'Primary Sch 35'!B12</f>
        <v>4966200</v>
      </c>
      <c r="D20" s="233">
        <f>+'Primary Sch 35'!D22</f>
        <v>202269.1420236328</v>
      </c>
      <c r="E20" s="233">
        <f>+'Primary Sch 35'!F22</f>
        <v>213847.56978376207</v>
      </c>
      <c r="F20" s="229">
        <f>+E20-D20</f>
        <v>11578.42776012927</v>
      </c>
      <c r="G20" s="229">
        <v>11579.469842375025</v>
      </c>
      <c r="H20" s="229">
        <f>+G20-F20</f>
        <v>1.0420822457545</v>
      </c>
      <c r="I20" s="230">
        <f>+F20/D20</f>
        <v>0.057242679947574336</v>
      </c>
    </row>
    <row r="21" spans="1:9" ht="12.75">
      <c r="A21" s="10" t="s">
        <v>53</v>
      </c>
      <c r="B21" s="6">
        <v>43</v>
      </c>
      <c r="C21" s="127">
        <f>+'Primary Sch 43'!D12</f>
        <v>189692764.85826433</v>
      </c>
      <c r="D21" s="233">
        <f>+'Primary Sch 43'!F20</f>
        <v>12090736.163132522</v>
      </c>
      <c r="E21" s="233">
        <f>+'Primary Sch 43'!H20</f>
        <v>13129166.759016978</v>
      </c>
      <c r="F21" s="229">
        <f>+E21-D21</f>
        <v>1038430.5958844554</v>
      </c>
      <c r="G21" s="229">
        <v>1038370.7730675247</v>
      </c>
      <c r="H21" s="229">
        <f>+G21-F21</f>
        <v>-59.82281693071127</v>
      </c>
      <c r="I21" s="230">
        <f>+F21/D21</f>
        <v>0.08588646562736789</v>
      </c>
    </row>
    <row r="22" spans="1:9" ht="12.75">
      <c r="A22" s="5" t="s">
        <v>54</v>
      </c>
      <c r="C22" s="231">
        <f aca="true" t="shared" si="2" ref="C22:H22">SUM(C19:C21)</f>
        <v>1852190555.9347668</v>
      </c>
      <c r="D22" s="7">
        <f t="shared" si="2"/>
        <v>109928596.61452733</v>
      </c>
      <c r="E22" s="7">
        <f t="shared" si="2"/>
        <v>116567391.52236933</v>
      </c>
      <c r="F22" s="7">
        <f t="shared" si="2"/>
        <v>6638794.907841998</v>
      </c>
      <c r="G22" s="7">
        <f t="shared" si="2"/>
        <v>6639376.162248713</v>
      </c>
      <c r="H22" s="7">
        <f t="shared" si="2"/>
        <v>581.2544067141735</v>
      </c>
      <c r="I22" s="232">
        <f>+F22/D22</f>
        <v>0.06039188266108243</v>
      </c>
    </row>
    <row r="23" ht="12.75">
      <c r="I23" s="230"/>
    </row>
    <row r="24" spans="1:9" ht="12.75">
      <c r="A24" t="s">
        <v>199</v>
      </c>
      <c r="C24" s="127"/>
      <c r="D24" s="233"/>
      <c r="E24" s="233"/>
      <c r="F24" s="233"/>
      <c r="G24" s="233"/>
      <c r="H24" s="233"/>
      <c r="I24" s="230"/>
    </row>
    <row r="25" spans="1:9" ht="12.75">
      <c r="A25" s="8" t="s">
        <v>314</v>
      </c>
      <c r="B25" s="6">
        <v>46</v>
      </c>
      <c r="C25" s="127">
        <f>+'HV Sch 46'!B10</f>
        <v>51109000</v>
      </c>
      <c r="D25" s="233">
        <f>+'HV Sch 46'!D16</f>
        <v>2239141.420393258</v>
      </c>
      <c r="E25" s="233">
        <f>+'HV Sch 46'!F16</f>
        <v>2488351.33</v>
      </c>
      <c r="F25" s="229">
        <f>+E25-D25</f>
        <v>249209.9096067422</v>
      </c>
      <c r="G25" s="229"/>
      <c r="H25" s="229"/>
      <c r="I25" s="230">
        <f>+F25/D25</f>
        <v>0.1112970834879084</v>
      </c>
    </row>
    <row r="26" spans="1:9" ht="12.75">
      <c r="A26" s="8" t="s">
        <v>51</v>
      </c>
      <c r="B26" s="6">
        <v>49</v>
      </c>
      <c r="C26" s="127">
        <f>+'HV Sch 49'!B10</f>
        <v>424545212.4999</v>
      </c>
      <c r="D26" s="233">
        <f>+'HV Sch 49'!D16</f>
        <v>20192635.925761964</v>
      </c>
      <c r="E26" s="233">
        <f>+'HV Sch 49'!F16</f>
        <v>21870028.42962052</v>
      </c>
      <c r="F26" s="229">
        <f>+E26-D26</f>
        <v>1677392.503858555</v>
      </c>
      <c r="G26" s="229"/>
      <c r="H26" s="229"/>
      <c r="I26" s="230">
        <f>+F26/D26</f>
        <v>0.08306951653194129</v>
      </c>
    </row>
    <row r="27" spans="1:9" ht="12.75">
      <c r="A27" s="9" t="s">
        <v>55</v>
      </c>
      <c r="C27" s="231">
        <f>SUM(C25:C26)</f>
        <v>475654212.4999</v>
      </c>
      <c r="D27" s="7">
        <f>SUM(D25:D26)</f>
        <v>22431777.346155223</v>
      </c>
      <c r="E27" s="7">
        <f>SUM(E25:E26)</f>
        <v>24358379.759620517</v>
      </c>
      <c r="F27" s="7">
        <f>SUM(F25:F26)</f>
        <v>1926602.4134652973</v>
      </c>
      <c r="G27" s="7">
        <v>1926475.085547734</v>
      </c>
      <c r="H27" s="7">
        <f>+G27-F27</f>
        <v>-127.32791756326333</v>
      </c>
      <c r="I27" s="232">
        <f>+F27/D27</f>
        <v>0.08588719403438241</v>
      </c>
    </row>
    <row r="28" ht="12.75">
      <c r="I28" s="230"/>
    </row>
    <row r="29" spans="1:9" ht="12.75">
      <c r="A29" t="s">
        <v>58</v>
      </c>
      <c r="B29" s="6" t="s">
        <v>59</v>
      </c>
      <c r="C29" s="231">
        <f>+Lighting!B20</f>
        <v>82428541.5996</v>
      </c>
      <c r="D29" s="7">
        <f>+Lighting!C20</f>
        <v>12888320.439728683</v>
      </c>
      <c r="E29" s="7">
        <f>+Lighting!D20</f>
        <v>13995191.217307499</v>
      </c>
      <c r="F29" s="7">
        <f>+E29-D29</f>
        <v>1106870.7775788158</v>
      </c>
      <c r="G29" s="234">
        <v>1106868.5213188678</v>
      </c>
      <c r="H29" s="234">
        <f>+G29-F29</f>
        <v>-2.256259948015213</v>
      </c>
      <c r="I29" s="232">
        <f>+F29/D29</f>
        <v>0.08588169286719853</v>
      </c>
    </row>
    <row r="30" spans="2:9" ht="12.75">
      <c r="B30" s="6"/>
      <c r="I30" s="230"/>
    </row>
    <row r="31" spans="1:9" ht="13.5" thickBot="1">
      <c r="A31" s="9" t="s">
        <v>315</v>
      </c>
      <c r="C31" s="216">
        <f aca="true" t="shared" si="3" ref="C31:H31">SUM(C9,C16,C22,C27,C29)</f>
        <v>19301197627.53528</v>
      </c>
      <c r="D31" s="217">
        <f t="shared" si="3"/>
        <v>1417056777.342345</v>
      </c>
      <c r="E31" s="217">
        <f t="shared" si="3"/>
        <v>1498321430.2691555</v>
      </c>
      <c r="F31" s="217">
        <f t="shared" si="3"/>
        <v>81264652.9268104</v>
      </c>
      <c r="G31" s="217">
        <f t="shared" si="3"/>
        <v>81263824.90640104</v>
      </c>
      <c r="H31" s="217">
        <f t="shared" si="3"/>
        <v>-828.0204093712946</v>
      </c>
      <c r="I31" s="235">
        <f>+F31/D31</f>
        <v>0.05734749251135882</v>
      </c>
    </row>
    <row r="32" spans="3:9" ht="13.5" thickTop="1">
      <c r="C32" s="236"/>
      <c r="D32" s="237"/>
      <c r="E32" s="237"/>
      <c r="F32" s="237"/>
      <c r="G32" s="237"/>
      <c r="H32" s="237"/>
      <c r="I32" s="238"/>
    </row>
    <row r="33" spans="1:9" ht="12.75">
      <c r="A33" s="8" t="s">
        <v>316</v>
      </c>
      <c r="B33" s="6" t="s">
        <v>61</v>
      </c>
      <c r="C33" s="127">
        <f>+'Small Firm Resale'!D10</f>
        <v>7678077.648679508</v>
      </c>
      <c r="D33" s="233">
        <f>SUM('Small Firm Resale'!F19)</f>
        <v>457442.6812635774</v>
      </c>
      <c r="E33" s="233">
        <f>SUM('Small Firm Resale'!H19)</f>
        <v>496728.5530392029</v>
      </c>
      <c r="F33" s="229"/>
      <c r="G33" s="229"/>
      <c r="H33" s="229"/>
      <c r="I33" s="239"/>
    </row>
    <row r="34" spans="1:9" ht="12.75">
      <c r="A34" s="10" t="s">
        <v>317</v>
      </c>
      <c r="B34" s="240" t="s">
        <v>318</v>
      </c>
      <c r="C34" s="127">
        <f>+'Transportation Special Contract'!B10</f>
        <v>128379640</v>
      </c>
      <c r="D34" s="233">
        <f>+'Transportation Special Contract'!D15</f>
        <v>1339666.5288594202</v>
      </c>
      <c r="E34" s="233">
        <f>+'Transportation Special Contract'!F15</f>
        <v>1454719.1237101904</v>
      </c>
      <c r="F34" s="229"/>
      <c r="G34" s="229"/>
      <c r="H34" s="229"/>
      <c r="I34" s="239"/>
    </row>
    <row r="35" spans="1:9" ht="12.75">
      <c r="A35" s="9" t="s">
        <v>319</v>
      </c>
      <c r="C35" s="231">
        <f>SUM(C33:C34)</f>
        <v>136057717.6486795</v>
      </c>
      <c r="D35" s="7">
        <f>SUM(D33:D34)</f>
        <v>1797109.2101229976</v>
      </c>
      <c r="E35" s="7">
        <f>SUM(E33:E34)</f>
        <v>1951447.6767493933</v>
      </c>
      <c r="F35" s="7">
        <f>+E35-D35</f>
        <v>154338.4666263957</v>
      </c>
      <c r="G35" s="7">
        <v>154338.4666263957</v>
      </c>
      <c r="H35" s="7">
        <f>+G35-F35</f>
        <v>0</v>
      </c>
      <c r="I35" s="232">
        <f>+F35/D35</f>
        <v>0.08588151780482639</v>
      </c>
    </row>
    <row r="36" spans="2:9" ht="12.75">
      <c r="B36" s="240"/>
      <c r="C36" s="127"/>
      <c r="D36" s="233"/>
      <c r="E36" s="233"/>
      <c r="F36" s="233"/>
      <c r="G36" s="241"/>
      <c r="H36" s="241"/>
      <c r="I36" s="242"/>
    </row>
    <row r="37" ht="12.75">
      <c r="I37" s="230"/>
    </row>
    <row r="38" spans="1:9" ht="12.75">
      <c r="A38" t="s">
        <v>320</v>
      </c>
      <c r="C38" s="127"/>
      <c r="D38" s="233"/>
      <c r="E38" s="233"/>
      <c r="F38" s="233"/>
      <c r="G38" s="233"/>
      <c r="H38" s="233"/>
      <c r="I38" s="230"/>
    </row>
    <row r="39" spans="1:9" ht="12.75">
      <c r="A39" s="8"/>
      <c r="B39" s="6">
        <v>449</v>
      </c>
      <c r="C39" s="127">
        <f>SUM('Sch 449'!B17,'Sch 449'!B11)</f>
        <v>1687987484</v>
      </c>
      <c r="D39" s="233">
        <f>+'Sch 449'!D22</f>
        <v>5384368.1</v>
      </c>
      <c r="E39" s="233">
        <f>+'Sch 449'!F22</f>
        <v>5536278.840000001</v>
      </c>
      <c r="F39" s="229">
        <f>+E39-D39</f>
        <v>151910.74000000115</v>
      </c>
      <c r="G39" s="229"/>
      <c r="H39" s="229"/>
      <c r="I39" s="230">
        <f>+F39/D39</f>
        <v>0.028213290246631013</v>
      </c>
    </row>
    <row r="40" spans="1:9" ht="12.75">
      <c r="A40" s="8"/>
      <c r="B40" s="6">
        <v>459</v>
      </c>
      <c r="C40" s="127">
        <f>+'Sch 459'!B11</f>
        <v>357930997</v>
      </c>
      <c r="D40" s="233">
        <f>+'Sch 459'!D16</f>
        <v>994646.76</v>
      </c>
      <c r="E40" s="233">
        <f>+'Sch 459'!F16</f>
        <v>1025761.3600000001</v>
      </c>
      <c r="F40" s="229">
        <f>+E40-D40</f>
        <v>31114.600000000093</v>
      </c>
      <c r="G40" s="229"/>
      <c r="H40" s="229"/>
      <c r="I40" s="230">
        <f>+F40/D40</f>
        <v>0.03128206037689209</v>
      </c>
    </row>
    <row r="41" spans="1:9" ht="12.75">
      <c r="A41" s="5" t="s">
        <v>321</v>
      </c>
      <c r="C41" s="231">
        <f>SUM(C39:C40)</f>
        <v>2045918481</v>
      </c>
      <c r="D41" s="7">
        <f>SUM(D39:D40)</f>
        <v>6379014.859999999</v>
      </c>
      <c r="E41" s="7">
        <f>SUM(E39:E40)</f>
        <v>6562040.200000001</v>
      </c>
      <c r="F41" s="7">
        <f>SUM(F39:F40)</f>
        <v>183025.34000000125</v>
      </c>
      <c r="G41" s="7">
        <v>182613.1594254477</v>
      </c>
      <c r="H41" s="7">
        <f>+G41-F41</f>
        <v>-412.180574553553</v>
      </c>
      <c r="I41" s="232">
        <f>+F41/D41</f>
        <v>0.028691787684595748</v>
      </c>
    </row>
    <row r="42" spans="4:9" ht="12.75">
      <c r="D42" s="14"/>
      <c r="I42" s="230"/>
    </row>
    <row r="43" spans="1:9" ht="13.5" thickBot="1">
      <c r="A43" s="9" t="s">
        <v>322</v>
      </c>
      <c r="C43" s="62">
        <f aca="true" t="shared" si="4" ref="C43:H43">SUM(C31,C35,C41)</f>
        <v>21483173826.183956</v>
      </c>
      <c r="D43" s="217">
        <f t="shared" si="4"/>
        <v>1425232901.412468</v>
      </c>
      <c r="E43" s="217">
        <f t="shared" si="4"/>
        <v>1506834918.145905</v>
      </c>
      <c r="F43" s="217">
        <f t="shared" si="4"/>
        <v>81602016.7334368</v>
      </c>
      <c r="G43" s="217">
        <f t="shared" si="4"/>
        <v>81600776.53245288</v>
      </c>
      <c r="H43" s="217">
        <f t="shared" si="4"/>
        <v>-1240.2009839248476</v>
      </c>
      <c r="I43" s="235">
        <f>+F43/D43</f>
        <v>0.057255215377476645</v>
      </c>
    </row>
    <row r="44" spans="4:8" ht="13.5" thickTop="1">
      <c r="D44" s="13"/>
      <c r="F44" s="14"/>
      <c r="G44" s="14"/>
      <c r="H44" s="14"/>
    </row>
    <row r="45" spans="4:8" ht="12.75">
      <c r="D45" s="243"/>
      <c r="E45" s="14"/>
      <c r="F45" s="13"/>
      <c r="G45" s="13"/>
      <c r="H45" s="13"/>
    </row>
    <row r="46" ht="12.75">
      <c r="D46" s="14"/>
    </row>
    <row r="47" spans="4:8" ht="12.75">
      <c r="D47" s="14"/>
      <c r="F47" s="14"/>
      <c r="G47" s="14"/>
      <c r="H47" s="14"/>
    </row>
  </sheetData>
  <printOptions horizontalCentered="1"/>
  <pageMargins left="0.25" right="0.25" top="1.5" bottom="1" header="1.5" footer="0.5"/>
  <pageSetup fitToHeight="1" fitToWidth="1" horizontalDpi="600" verticalDpi="600" orientation="landscape" scale="77" r:id="rId1"/>
  <headerFooter alignWithMargins="0">
    <oddHeader>&amp;RDocket No. UE-04_________
Exhibit No. _________(JAH-4)
Page &amp;P of &amp;N</oddHeader>
    <oddFooter>&amp;LProforma  - Proposed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T1" sqref="J1:T16384"/>
    </sheetView>
  </sheetViews>
  <sheetFormatPr defaultColWidth="9.140625" defaultRowHeight="12.75"/>
  <cols>
    <col min="1" max="1" width="27.8515625" style="0" bestFit="1" customWidth="1"/>
    <col min="2" max="2" width="14.00390625" style="0" bestFit="1" customWidth="1"/>
    <col min="3" max="3" width="11.8515625" style="0" bestFit="1" customWidth="1"/>
    <col min="4" max="4" width="13.421875" style="0" bestFit="1" customWidth="1"/>
    <col min="5" max="5" width="11.421875" style="0" bestFit="1" customWidth="1"/>
    <col min="6" max="6" width="13.42187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366</v>
      </c>
      <c r="B4" s="1"/>
      <c r="C4" s="1"/>
      <c r="D4" s="1"/>
      <c r="E4" s="1"/>
      <c r="F4" s="1"/>
      <c r="G4" s="1"/>
      <c r="H4" s="1"/>
    </row>
    <row r="5" spans="1:8" ht="12.75">
      <c r="A5" s="1" t="s">
        <v>200</v>
      </c>
      <c r="B5" s="1"/>
      <c r="C5" s="1"/>
      <c r="D5" s="1"/>
      <c r="E5" s="1"/>
      <c r="F5" s="1"/>
      <c r="G5" s="1"/>
      <c r="H5" s="1"/>
    </row>
    <row r="7" spans="3:8" ht="12.75">
      <c r="C7" s="244" t="str">
        <f>+'Residential Sch 7'!E7</f>
        <v>Proforma</v>
      </c>
      <c r="D7" s="259"/>
      <c r="E7" s="260" t="str">
        <f>+'Residential Sch 7'!G7</f>
        <v>Proposed</v>
      </c>
      <c r="F7" s="259"/>
      <c r="G7" s="11"/>
      <c r="H7" s="11"/>
    </row>
    <row r="8" spans="3:8" ht="12.75">
      <c r="C8" s="269" t="str">
        <f>+'Residential Sch 7'!E8</f>
        <v>Rates Effective 10-1-03</v>
      </c>
      <c r="D8" s="264"/>
      <c r="E8" s="263" t="str">
        <f>+'Residential Sch 7'!G8</f>
        <v>Rates Effective 2005</v>
      </c>
      <c r="F8" s="264"/>
      <c r="G8" s="265" t="str">
        <f>+'Residential Sch 7'!I8</f>
        <v>Differences</v>
      </c>
      <c r="H8" s="266"/>
    </row>
    <row r="9" spans="1:8" ht="12.75">
      <c r="A9" s="251"/>
      <c r="B9" s="251"/>
      <c r="C9" s="265" t="str">
        <f>+'Residential Sch 7'!E9</f>
        <v>Charge</v>
      </c>
      <c r="D9" s="266" t="str">
        <f>+'Residential Sch 7'!F9</f>
        <v>Revenue</v>
      </c>
      <c r="E9" s="267" t="str">
        <f>+'Residential Sch 7'!G9</f>
        <v>Charge</v>
      </c>
      <c r="F9" s="266" t="str">
        <f>+'Residential Sch 7'!H9</f>
        <v>Revenue</v>
      </c>
      <c r="G9" s="267" t="str">
        <f>+'Residential Sch 7'!I9</f>
        <v>$</v>
      </c>
      <c r="H9" s="266" t="str">
        <f>+'Residential Sch 7'!J9</f>
        <v>%</v>
      </c>
    </row>
    <row r="10" spans="1:8" ht="12.75">
      <c r="A10" s="9" t="s">
        <v>350</v>
      </c>
      <c r="B10" s="231">
        <v>51109000</v>
      </c>
      <c r="C10" s="68">
        <v>0.037259</v>
      </c>
      <c r="D10" s="7">
        <f>+C10*B10</f>
        <v>1904270.231</v>
      </c>
      <c r="E10" s="68">
        <v>0.04381</v>
      </c>
      <c r="F10" s="7">
        <f>+E10*B10</f>
        <v>2239085.29</v>
      </c>
      <c r="G10" s="7">
        <f>+F10-D10</f>
        <v>334815.0590000001</v>
      </c>
      <c r="H10" s="256">
        <f>+G10/D10</f>
        <v>0.17582329101693558</v>
      </c>
    </row>
    <row r="11" ht="12.75">
      <c r="B11" s="63"/>
    </row>
    <row r="12" spans="1:8" ht="12.75">
      <c r="A12" s="9" t="s">
        <v>367</v>
      </c>
      <c r="B12" s="231">
        <v>168423</v>
      </c>
      <c r="C12" s="73">
        <v>1.58</v>
      </c>
      <c r="D12" s="7">
        <f>+C12*B12</f>
        <v>266108.34</v>
      </c>
      <c r="E12" s="73">
        <v>1.48</v>
      </c>
      <c r="F12" s="7">
        <f>+E12*B12</f>
        <v>249266.04</v>
      </c>
      <c r="G12" s="7">
        <f>+F12-D12</f>
        <v>-16842.300000000017</v>
      </c>
      <c r="H12" s="256">
        <f>+G12/D12</f>
        <v>-0.06329113924050639</v>
      </c>
    </row>
    <row r="13" spans="2:8" ht="12.75">
      <c r="B13" s="127"/>
      <c r="D13" s="233"/>
      <c r="F13" s="233"/>
      <c r="G13" s="233"/>
      <c r="H13" s="257"/>
    </row>
    <row r="14" spans="1:8" ht="12.75">
      <c r="A14" s="5" t="s">
        <v>82</v>
      </c>
      <c r="B14" s="231">
        <f>+B10</f>
        <v>51109000</v>
      </c>
      <c r="C14" s="68">
        <v>0.0013454156683413462</v>
      </c>
      <c r="D14" s="7">
        <f>+C14*B14</f>
        <v>68762.84939325787</v>
      </c>
      <c r="E14" s="68">
        <v>0</v>
      </c>
      <c r="F14" s="7">
        <f>+E14*B14</f>
        <v>0</v>
      </c>
      <c r="G14" s="7">
        <f>+F14-D14</f>
        <v>-68762.84939325787</v>
      </c>
      <c r="H14" s="256">
        <f>+G14/D14</f>
        <v>-1</v>
      </c>
    </row>
    <row r="15" spans="2:8" ht="12.75">
      <c r="B15" s="127"/>
      <c r="D15" s="233"/>
      <c r="F15" s="233"/>
      <c r="G15" s="233"/>
      <c r="H15" s="257"/>
    </row>
    <row r="16" spans="1:8" ht="13.5" thickBot="1">
      <c r="A16" t="s">
        <v>342</v>
      </c>
      <c r="D16" s="135">
        <f>SUM(D12,D10,D14)</f>
        <v>2239141.420393258</v>
      </c>
      <c r="F16" s="135">
        <f>SUM(F12,F10,F14)</f>
        <v>2488351.33</v>
      </c>
      <c r="G16" s="135">
        <f>SUM(G12,G10,G14)</f>
        <v>249209.9096067422</v>
      </c>
      <c r="H16" s="258">
        <f>+G16/D16</f>
        <v>0.1112970834879084</v>
      </c>
    </row>
    <row r="17" ht="13.5" thickTop="1"/>
    <row r="19" spans="2:7" ht="12.75">
      <c r="B19" s="63"/>
      <c r="F19" s="14"/>
      <c r="G19" s="272"/>
    </row>
    <row r="20" spans="2:7" ht="12.75">
      <c r="B20" s="63"/>
      <c r="F20" s="14"/>
      <c r="G20" s="272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46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T1" sqref="J1:T16384"/>
    </sheetView>
  </sheetViews>
  <sheetFormatPr defaultColWidth="9.140625" defaultRowHeight="12.75"/>
  <cols>
    <col min="1" max="1" width="27.8515625" style="0" bestFit="1" customWidth="1"/>
    <col min="2" max="2" width="14.00390625" style="0" bestFit="1" customWidth="1"/>
    <col min="3" max="3" width="11.8515625" style="0" bestFit="1" customWidth="1"/>
    <col min="4" max="4" width="15.00390625" style="0" bestFit="1" customWidth="1"/>
    <col min="5" max="5" width="11.421875" style="0" bestFit="1" customWidth="1"/>
    <col min="6" max="6" width="15.00390625" style="0" bestFit="1" customWidth="1"/>
    <col min="7" max="7" width="12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368</v>
      </c>
      <c r="B4" s="1"/>
      <c r="C4" s="1"/>
      <c r="D4" s="1"/>
      <c r="E4" s="1"/>
      <c r="F4" s="1"/>
      <c r="G4" s="1"/>
      <c r="H4" s="1"/>
    </row>
    <row r="5" spans="1:8" ht="12.75">
      <c r="A5" s="1" t="s">
        <v>210</v>
      </c>
      <c r="B5" s="1"/>
      <c r="C5" s="1"/>
      <c r="D5" s="1"/>
      <c r="E5" s="1"/>
      <c r="F5" s="1"/>
      <c r="G5" s="1"/>
      <c r="H5" s="1"/>
    </row>
    <row r="7" spans="3:8" ht="12.75">
      <c r="C7" s="244" t="str">
        <f>+'Residential Sch 7'!E7</f>
        <v>Proforma</v>
      </c>
      <c r="D7" s="259"/>
      <c r="E7" s="260" t="str">
        <f>+'Residential Sch 7'!G7</f>
        <v>Proposed</v>
      </c>
      <c r="F7" s="259"/>
      <c r="G7" s="11"/>
      <c r="H7" s="11"/>
    </row>
    <row r="8" spans="3:8" ht="12.75">
      <c r="C8" s="269" t="str">
        <f>+'Residential Sch 7'!E8</f>
        <v>Rates Effective 10-1-03</v>
      </c>
      <c r="D8" s="264"/>
      <c r="E8" s="263" t="str">
        <f>+'Residential Sch 7'!G8</f>
        <v>Rates Effective 2005</v>
      </c>
      <c r="F8" s="264"/>
      <c r="G8" s="265" t="str">
        <f>+'Residential Sch 7'!I8</f>
        <v>Differences</v>
      </c>
      <c r="H8" s="266"/>
    </row>
    <row r="9" spans="1:8" ht="12.75">
      <c r="A9" s="251"/>
      <c r="B9" s="251"/>
      <c r="C9" s="265" t="str">
        <f>+'Residential Sch 7'!E9</f>
        <v>Charge</v>
      </c>
      <c r="D9" s="266" t="str">
        <f>+'Residential Sch 7'!F9</f>
        <v>Revenue</v>
      </c>
      <c r="E9" s="267" t="str">
        <f>+'Residential Sch 7'!G9</f>
        <v>Charge</v>
      </c>
      <c r="F9" s="266" t="str">
        <f>+'Residential Sch 7'!H9</f>
        <v>Revenue</v>
      </c>
      <c r="G9" s="267" t="str">
        <f>+'Residential Sch 7'!I9</f>
        <v>$</v>
      </c>
      <c r="H9" s="266" t="str">
        <f>+'Residential Sch 7'!J9</f>
        <v>%</v>
      </c>
    </row>
    <row r="10" spans="1:8" ht="12.75">
      <c r="A10" s="9" t="s">
        <v>350</v>
      </c>
      <c r="B10" s="231">
        <v>424545212.4999</v>
      </c>
      <c r="C10" s="68">
        <v>0.037259</v>
      </c>
      <c r="D10" s="7">
        <f>+C10*B10</f>
        <v>15818130.072533773</v>
      </c>
      <c r="E10" s="68">
        <v>0.04381</v>
      </c>
      <c r="F10" s="7">
        <f>+E10*B10</f>
        <v>18599325.759620618</v>
      </c>
      <c r="G10" s="7">
        <f>+F10-D10</f>
        <v>2781195.687086845</v>
      </c>
      <c r="H10" s="256">
        <f>+G10/D10</f>
        <v>0.1758232910169355</v>
      </c>
    </row>
    <row r="11" ht="12.75">
      <c r="B11" s="63"/>
    </row>
    <row r="12" spans="1:8" ht="12.75">
      <c r="A12" s="9" t="s">
        <v>367</v>
      </c>
      <c r="B12" s="231">
        <v>1172294.8637992474</v>
      </c>
      <c r="C12" s="73">
        <v>2.79</v>
      </c>
      <c r="D12" s="7">
        <f>+C12*B12</f>
        <v>3270702.6699999003</v>
      </c>
      <c r="E12" s="73">
        <v>2.79</v>
      </c>
      <c r="F12" s="7">
        <f>+E12*B12</f>
        <v>3270702.6699999003</v>
      </c>
      <c r="G12" s="7">
        <f>+F12-D12</f>
        <v>0</v>
      </c>
      <c r="H12" s="256">
        <f>+G12/D12</f>
        <v>0</v>
      </c>
    </row>
    <row r="13" spans="2:8" ht="12.75">
      <c r="B13" s="127"/>
      <c r="D13" s="233"/>
      <c r="F13" s="233"/>
      <c r="G13" s="233"/>
      <c r="H13" s="257"/>
    </row>
    <row r="14" spans="1:8" ht="12.75">
      <c r="A14" s="5" t="s">
        <v>82</v>
      </c>
      <c r="B14" s="231">
        <f>+B10</f>
        <v>424545212.4999</v>
      </c>
      <c r="C14" s="68">
        <v>0.0025999661537310396</v>
      </c>
      <c r="D14" s="7">
        <f>+C14*B14</f>
        <v>1103803.1832282918</v>
      </c>
      <c r="E14" s="68">
        <v>0</v>
      </c>
      <c r="F14" s="7">
        <f>+E14*B14</f>
        <v>0</v>
      </c>
      <c r="G14" s="7">
        <f>+F14-D14</f>
        <v>-1103803.1832282918</v>
      </c>
      <c r="H14" s="256">
        <f>+G14/D14</f>
        <v>-1</v>
      </c>
    </row>
    <row r="15" spans="2:8" ht="12.75">
      <c r="B15" s="127"/>
      <c r="D15" s="233"/>
      <c r="F15" s="233"/>
      <c r="G15" s="233"/>
      <c r="H15" s="257"/>
    </row>
    <row r="16" spans="1:8" ht="13.5" thickBot="1">
      <c r="A16" t="s">
        <v>342</v>
      </c>
      <c r="D16" s="135">
        <f>SUM(D12,D10,D14)</f>
        <v>20192635.925761964</v>
      </c>
      <c r="F16" s="135">
        <f>SUM(F12,F10,F14)</f>
        <v>21870028.42962052</v>
      </c>
      <c r="G16" s="135">
        <f>SUM(G12,G10,G14)</f>
        <v>1677392.503858553</v>
      </c>
      <c r="H16" s="258">
        <f>+G16/D16</f>
        <v>0.08306951653194118</v>
      </c>
    </row>
    <row r="17" ht="13.5" thickTop="1"/>
    <row r="19" spans="2:7" ht="12.75">
      <c r="B19" s="63"/>
      <c r="F19" s="14"/>
      <c r="G19" s="272"/>
    </row>
    <row r="20" spans="2:7" ht="12.75">
      <c r="B20" s="63"/>
      <c r="F20" s="14"/>
      <c r="G20" s="272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49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T1" sqref="J1:T16384"/>
    </sheetView>
  </sheetViews>
  <sheetFormatPr defaultColWidth="9.140625" defaultRowHeight="12.75"/>
  <cols>
    <col min="1" max="1" width="23.28125" style="0" bestFit="1" customWidth="1"/>
    <col min="2" max="2" width="13.8515625" style="0" bestFit="1" customWidth="1"/>
    <col min="3" max="4" width="15.00390625" style="0" bestFit="1" customWidth="1"/>
    <col min="5" max="5" width="12.8515625" style="0" bestFit="1" customWidth="1"/>
    <col min="6" max="6" width="7.8515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369</v>
      </c>
      <c r="B2" s="1"/>
      <c r="C2" s="1"/>
      <c r="D2" s="1"/>
      <c r="E2" s="1"/>
      <c r="F2" s="1"/>
    </row>
    <row r="3" spans="1:6" ht="12.75">
      <c r="A3" s="1" t="s">
        <v>370</v>
      </c>
      <c r="B3" s="1"/>
      <c r="C3" s="1"/>
      <c r="D3" s="1"/>
      <c r="E3" s="1"/>
      <c r="F3" s="1"/>
    </row>
    <row r="4" spans="1:6" ht="12.75">
      <c r="A4" s="1" t="s">
        <v>1</v>
      </c>
      <c r="B4" s="1"/>
      <c r="C4" s="1"/>
      <c r="D4" s="1"/>
      <c r="E4" s="1"/>
      <c r="F4" s="1"/>
    </row>
    <row r="7" spans="1:6" s="4" customFormat="1" ht="38.25">
      <c r="A7" s="2" t="s">
        <v>4</v>
      </c>
      <c r="B7" s="2" t="s">
        <v>166</v>
      </c>
      <c r="C7" s="3" t="s">
        <v>371</v>
      </c>
      <c r="D7" s="3" t="s">
        <v>372</v>
      </c>
      <c r="E7" s="2" t="s">
        <v>373</v>
      </c>
      <c r="F7" s="2" t="s">
        <v>374</v>
      </c>
    </row>
    <row r="8" spans="1:6" s="4" customFormat="1" ht="12.75">
      <c r="A8" s="273" t="s">
        <v>375</v>
      </c>
      <c r="B8" s="274">
        <v>7056.72</v>
      </c>
      <c r="C8" s="275">
        <v>453.6</v>
      </c>
      <c r="D8" s="275">
        <v>492.56</v>
      </c>
      <c r="E8" s="275">
        <f aca="true" t="shared" si="0" ref="E8:E19">+D8-C8</f>
        <v>38.95999999999998</v>
      </c>
      <c r="F8" s="276">
        <f aca="true" t="shared" si="1" ref="F8:F20">+E8/C8</f>
        <v>0.08589065255731917</v>
      </c>
    </row>
    <row r="9" spans="1:6" ht="12.75">
      <c r="A9" s="5" t="s">
        <v>376</v>
      </c>
      <c r="B9" s="274">
        <v>211602.3416</v>
      </c>
      <c r="C9" s="275">
        <v>21014</v>
      </c>
      <c r="D9" s="275">
        <v>22819</v>
      </c>
      <c r="E9" s="275">
        <f t="shared" si="0"/>
        <v>1805</v>
      </c>
      <c r="F9" s="276">
        <f t="shared" si="1"/>
        <v>0.08589511754068715</v>
      </c>
    </row>
    <row r="10" spans="1:6" ht="12.75">
      <c r="A10" s="5" t="s">
        <v>377</v>
      </c>
      <c r="B10" s="274">
        <v>301836.48</v>
      </c>
      <c r="C10" s="275">
        <v>24045</v>
      </c>
      <c r="D10" s="275">
        <v>26109</v>
      </c>
      <c r="E10" s="275">
        <f t="shared" si="0"/>
        <v>2064</v>
      </c>
      <c r="F10" s="276">
        <f t="shared" si="1"/>
        <v>0.08583905177791641</v>
      </c>
    </row>
    <row r="11" spans="1:6" ht="12.75">
      <c r="A11" s="9" t="s">
        <v>378</v>
      </c>
      <c r="B11" s="274">
        <v>0</v>
      </c>
      <c r="C11" s="275">
        <v>334444.27383359993</v>
      </c>
      <c r="D11" s="275">
        <v>363166.8556915629</v>
      </c>
      <c r="E11" s="275">
        <f t="shared" si="0"/>
        <v>28722.58185796294</v>
      </c>
      <c r="F11" s="276">
        <f t="shared" si="1"/>
        <v>0.08588151780482757</v>
      </c>
    </row>
    <row r="12" spans="1:6" ht="12.75">
      <c r="A12" s="5" t="s">
        <v>379</v>
      </c>
      <c r="B12" s="274">
        <v>3807497.2569000004</v>
      </c>
      <c r="C12" s="275">
        <v>323857</v>
      </c>
      <c r="D12" s="275">
        <v>351671</v>
      </c>
      <c r="E12" s="275">
        <f t="shared" si="0"/>
        <v>27814</v>
      </c>
      <c r="F12" s="276">
        <f t="shared" si="1"/>
        <v>0.08588358442151937</v>
      </c>
    </row>
    <row r="13" spans="1:6" ht="12.75">
      <c r="A13" s="5" t="s">
        <v>380</v>
      </c>
      <c r="B13" s="274">
        <v>45792661.733600006</v>
      </c>
      <c r="C13" s="275">
        <v>9150748</v>
      </c>
      <c r="D13" s="275">
        <v>9936630</v>
      </c>
      <c r="E13" s="275">
        <f t="shared" si="0"/>
        <v>785882</v>
      </c>
      <c r="F13" s="276">
        <f t="shared" si="1"/>
        <v>0.0858817224559129</v>
      </c>
    </row>
    <row r="14" spans="1:6" ht="12.75">
      <c r="A14" s="9" t="s">
        <v>381</v>
      </c>
      <c r="B14" s="274">
        <v>16064011.057900002</v>
      </c>
      <c r="C14" s="275">
        <v>935533</v>
      </c>
      <c r="D14" s="275">
        <v>1015878</v>
      </c>
      <c r="E14" s="275">
        <f t="shared" si="0"/>
        <v>80345</v>
      </c>
      <c r="F14" s="276">
        <f t="shared" si="1"/>
        <v>0.08588152422202103</v>
      </c>
    </row>
    <row r="15" spans="1:6" ht="12.75">
      <c r="A15" s="9" t="s">
        <v>382</v>
      </c>
      <c r="B15" s="274">
        <v>4274893.09</v>
      </c>
      <c r="C15" s="275">
        <v>967433</v>
      </c>
      <c r="D15" s="275">
        <v>1050518</v>
      </c>
      <c r="E15" s="275">
        <f t="shared" si="0"/>
        <v>83085</v>
      </c>
      <c r="F15" s="276">
        <f t="shared" si="1"/>
        <v>0.08588191637043599</v>
      </c>
    </row>
    <row r="16" spans="1:6" ht="12.75">
      <c r="A16" s="9" t="s">
        <v>383</v>
      </c>
      <c r="B16" s="274">
        <v>10032757.8703</v>
      </c>
      <c r="C16" s="275">
        <v>769085.5658950824</v>
      </c>
      <c r="D16" s="275">
        <v>835135.8016159368</v>
      </c>
      <c r="E16" s="275">
        <f t="shared" si="0"/>
        <v>66050.23572085437</v>
      </c>
      <c r="F16" s="276">
        <f t="shared" si="1"/>
        <v>0.08588151780482751</v>
      </c>
    </row>
    <row r="17" spans="1:6" ht="12.75">
      <c r="A17" s="9" t="s">
        <v>384</v>
      </c>
      <c r="B17" s="274">
        <v>1936225.0493</v>
      </c>
      <c r="C17" s="275">
        <v>312831</v>
      </c>
      <c r="D17" s="275">
        <v>339697</v>
      </c>
      <c r="E17" s="275">
        <f t="shared" si="0"/>
        <v>26866</v>
      </c>
      <c r="F17" s="276">
        <f t="shared" si="1"/>
        <v>0.08588023565439487</v>
      </c>
    </row>
    <row r="18" spans="1:6" ht="12.75">
      <c r="A18" s="9" t="s">
        <v>385</v>
      </c>
      <c r="B18" s="274">
        <v>0</v>
      </c>
      <c r="C18" s="275">
        <v>30645</v>
      </c>
      <c r="D18" s="275">
        <v>33277</v>
      </c>
      <c r="E18" s="275">
        <f t="shared" si="0"/>
        <v>2632</v>
      </c>
      <c r="F18" s="276">
        <f t="shared" si="1"/>
        <v>0.08588676782509382</v>
      </c>
    </row>
    <row r="19" spans="1:6" ht="12.75">
      <c r="A19" t="s">
        <v>386</v>
      </c>
      <c r="B19" s="274">
        <v>0</v>
      </c>
      <c r="C19" s="275">
        <v>18231</v>
      </c>
      <c r="D19" s="275">
        <v>19797</v>
      </c>
      <c r="E19" s="275">
        <f t="shared" si="0"/>
        <v>1566</v>
      </c>
      <c r="F19" s="276">
        <f t="shared" si="1"/>
        <v>0.08589764686522955</v>
      </c>
    </row>
    <row r="20" spans="2:6" ht="12.75">
      <c r="B20" s="277">
        <f>SUM(B8:B19)</f>
        <v>82428541.5996</v>
      </c>
      <c r="C20" s="278">
        <f>SUM(C8:C19)</f>
        <v>12888320.439728683</v>
      </c>
      <c r="D20" s="278">
        <f>SUM(D8:D19)</f>
        <v>13995191.217307499</v>
      </c>
      <c r="E20" s="278">
        <f>SUM(E8:E19)</f>
        <v>1106870.7775788172</v>
      </c>
      <c r="F20" s="279">
        <f t="shared" si="1"/>
        <v>0.08588169286719864</v>
      </c>
    </row>
    <row r="21" spans="2:6" ht="12.75">
      <c r="B21" s="280"/>
      <c r="D21" s="281"/>
      <c r="E21" s="281"/>
      <c r="F21" s="276"/>
    </row>
    <row r="23" spans="2:3" ht="12.75">
      <c r="B23" s="12"/>
      <c r="C23" s="12"/>
    </row>
  </sheetData>
  <printOptions horizontalCentered="1"/>
  <pageMargins left="0.75" right="0.75" top="1.5" bottom="1" header="1.5" footer="0.5"/>
  <pageSetup horizontalDpi="600" verticalDpi="600" orientation="landscape" r:id="rId3"/>
  <headerFooter alignWithMargins="0">
    <oddHeader>&amp;RDocket No. UE-04_________
Exhibit No. _________(JAH-4)
Page &amp;P of &amp;N</oddHeader>
    <oddFooter>&amp;LLighting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T1" sqref="J1:T16384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8.7109375" style="0" bestFit="1" customWidth="1"/>
    <col min="10" max="10" width="5.281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316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64" t="s">
        <v>324</v>
      </c>
      <c r="C7" s="65"/>
      <c r="D7" s="66"/>
      <c r="E7" s="244" t="str">
        <f>+'Residential Sch 7'!E7</f>
        <v>Proforma</v>
      </c>
      <c r="F7" s="259"/>
      <c r="G7" s="260" t="str">
        <f>+'Residential Sch 7'!G7</f>
        <v>Proposed</v>
      </c>
      <c r="H7" s="259"/>
      <c r="I7" s="11"/>
      <c r="J7" s="11"/>
    </row>
    <row r="8" spans="3:10" ht="12.75">
      <c r="C8" s="240" t="s">
        <v>327</v>
      </c>
      <c r="D8" s="247"/>
      <c r="E8" s="269" t="str">
        <f>+'Residential Sch 7'!E8</f>
        <v>Rates Effective 10-1-03</v>
      </c>
      <c r="F8" s="264"/>
      <c r="G8" s="263" t="str">
        <f>+'Residential Sch 7'!G8</f>
        <v>Rates Effective 2005</v>
      </c>
      <c r="H8" s="264"/>
      <c r="I8" s="265" t="str">
        <f>+'Residential Sch 7'!I8</f>
        <v>Differences</v>
      </c>
      <c r="J8" s="266"/>
    </row>
    <row r="9" spans="1:10" ht="12.75">
      <c r="A9" s="251"/>
      <c r="B9" s="251"/>
      <c r="C9" s="251" t="s">
        <v>331</v>
      </c>
      <c r="D9" s="251" t="s">
        <v>71</v>
      </c>
      <c r="E9" s="265" t="str">
        <f>+'Residential Sch 7'!E9</f>
        <v>Charge</v>
      </c>
      <c r="F9" s="266" t="str">
        <f>+'Residential Sch 7'!F9</f>
        <v>Revenue</v>
      </c>
      <c r="G9" s="267" t="str">
        <f>+'Residential Sch 7'!G9</f>
        <v>Charge</v>
      </c>
      <c r="H9" s="266" t="str">
        <f>+'Residential Sch 7'!H9</f>
        <v>Revenue</v>
      </c>
      <c r="I9" s="267" t="str">
        <f>+'Residential Sch 7'!I9</f>
        <v>$</v>
      </c>
      <c r="J9" s="266" t="str">
        <f>+'Residential Sch 7'!J9</f>
        <v>%</v>
      </c>
    </row>
    <row r="10" spans="1:8" ht="13.5" thickBot="1">
      <c r="A10" s="9" t="s">
        <v>350</v>
      </c>
      <c r="B10" s="62">
        <v>7644104</v>
      </c>
      <c r="C10" s="62">
        <v>33973.64867950827</v>
      </c>
      <c r="D10" s="62">
        <f>+C10+B10</f>
        <v>7678077.648679508</v>
      </c>
      <c r="E10" s="68">
        <v>0.03514</v>
      </c>
      <c r="F10" s="217">
        <f>+E10*D10</f>
        <v>269807.6485745979</v>
      </c>
      <c r="G10" s="68">
        <f>+E10</f>
        <v>0.03514</v>
      </c>
      <c r="H10" s="217">
        <f>+G10*D10</f>
        <v>269807.6485745979</v>
      </c>
    </row>
    <row r="11" spans="2:4" ht="13.5" thickTop="1">
      <c r="B11" s="63"/>
      <c r="C11" s="63"/>
      <c r="D11" s="63"/>
    </row>
    <row r="12" spans="1:8" ht="13.5" thickBot="1">
      <c r="A12" s="9" t="s">
        <v>353</v>
      </c>
      <c r="B12" s="62">
        <v>15387.068571428572</v>
      </c>
      <c r="C12" s="62"/>
      <c r="D12" s="62">
        <f>+C12+B12</f>
        <v>15387.068571428572</v>
      </c>
      <c r="E12" s="73">
        <v>5.25</v>
      </c>
      <c r="F12" s="217">
        <f>+E12*D12</f>
        <v>80782.11</v>
      </c>
      <c r="G12" s="73">
        <f>+E12</f>
        <v>5.25</v>
      </c>
      <c r="H12" s="217">
        <f>+G12*D12</f>
        <v>80782.11</v>
      </c>
    </row>
    <row r="13" spans="2:8" ht="13.5" thickTop="1">
      <c r="B13" s="127"/>
      <c r="C13" s="127"/>
      <c r="D13" s="127"/>
      <c r="F13" s="233"/>
      <c r="H13" s="233"/>
    </row>
    <row r="14" spans="1:8" ht="13.5" thickBot="1">
      <c r="A14" s="9" t="s">
        <v>354</v>
      </c>
      <c r="B14" s="282">
        <v>2156640</v>
      </c>
      <c r="C14" s="282"/>
      <c r="D14" s="62">
        <f>+C14+B14</f>
        <v>2156640</v>
      </c>
      <c r="E14" s="131">
        <v>0.00025</v>
      </c>
      <c r="F14" s="217">
        <f>+E14*D14</f>
        <v>539.16</v>
      </c>
      <c r="G14" s="131">
        <f>+E14</f>
        <v>0.00025</v>
      </c>
      <c r="H14" s="217">
        <f>+G14*D14</f>
        <v>539.16</v>
      </c>
    </row>
    <row r="15" spans="2:4" ht="13.5" thickTop="1">
      <c r="B15" s="63"/>
      <c r="C15" s="63"/>
      <c r="D15" s="63"/>
    </row>
    <row r="16" spans="1:8" ht="13.5" thickBot="1">
      <c r="A16" s="9" t="s">
        <v>387</v>
      </c>
      <c r="B16" s="63"/>
      <c r="C16" s="63"/>
      <c r="D16" s="63"/>
      <c r="F16" s="217">
        <v>106313.76268897954</v>
      </c>
      <c r="H16" s="217">
        <f>+F16</f>
        <v>106313.76268897954</v>
      </c>
    </row>
    <row r="17" spans="1:8" ht="14.25" thickBot="1" thickTop="1">
      <c r="A17" s="9" t="s">
        <v>388</v>
      </c>
      <c r="B17" s="63"/>
      <c r="C17" s="63"/>
      <c r="D17" s="63"/>
      <c r="H17" s="217">
        <f>+F19*'Transportation Special Contract'!D24</f>
        <v>39285.87177562545</v>
      </c>
    </row>
    <row r="18" spans="2:4" ht="13.5" thickTop="1">
      <c r="B18" s="63"/>
      <c r="C18" s="63"/>
      <c r="D18" s="63"/>
    </row>
    <row r="19" spans="1:10" ht="13.5" thickBot="1">
      <c r="A19" t="s">
        <v>342</v>
      </c>
      <c r="F19" s="135">
        <f>SUM(F14,F12,F10,F16)</f>
        <v>457442.6812635774</v>
      </c>
      <c r="H19" s="135">
        <f>SUM(H10,H12,H14,H16:H17)</f>
        <v>496728.5530392029</v>
      </c>
      <c r="I19" s="135">
        <f>+H19-F19</f>
        <v>39285.87177562545</v>
      </c>
      <c r="J19" s="258">
        <f>+I19/F19</f>
        <v>0.08588151780482639</v>
      </c>
    </row>
    <row r="20" ht="13.5" thickTop="1"/>
    <row r="21" ht="12.75">
      <c r="F21" s="14"/>
    </row>
    <row r="22" spans="4:9" ht="12.75">
      <c r="D22" s="63"/>
      <c r="H22" s="14"/>
      <c r="I22" s="68"/>
    </row>
    <row r="23" spans="4:9" ht="12.75">
      <c r="D23" s="63"/>
      <c r="H23" s="14"/>
      <c r="I23" s="68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&amp;LSmall Firm Resale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T1" sqref="J1:T16384"/>
    </sheetView>
  </sheetViews>
  <sheetFormatPr defaultColWidth="9.140625" defaultRowHeight="12.75"/>
  <cols>
    <col min="1" max="1" width="29.8515625" style="0" bestFit="1" customWidth="1"/>
    <col min="2" max="2" width="14.00390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389</v>
      </c>
      <c r="B4" s="1"/>
      <c r="C4" s="1"/>
      <c r="D4" s="1"/>
      <c r="E4" s="1"/>
      <c r="F4" s="1"/>
      <c r="G4" s="1"/>
      <c r="H4" s="1"/>
    </row>
    <row r="5" spans="1:8" ht="12.75">
      <c r="A5" s="1" t="s">
        <v>57</v>
      </c>
      <c r="B5" s="1"/>
      <c r="C5" s="1"/>
      <c r="D5" s="1"/>
      <c r="E5" s="1"/>
      <c r="F5" s="1"/>
      <c r="G5" s="1"/>
      <c r="H5" s="1"/>
    </row>
    <row r="7" spans="3:8" ht="12.75">
      <c r="C7" s="244" t="str">
        <f>+'Residential Sch 7'!E7</f>
        <v>Proforma</v>
      </c>
      <c r="D7" s="259"/>
      <c r="E7" s="260" t="str">
        <f>+'Residential Sch 7'!G7</f>
        <v>Proposed</v>
      </c>
      <c r="F7" s="259"/>
      <c r="G7" s="11"/>
      <c r="H7" s="11"/>
    </row>
    <row r="8" spans="3:8" ht="12.75">
      <c r="C8" s="269" t="str">
        <f>+'Residential Sch 7'!E8</f>
        <v>Rates Effective 10-1-03</v>
      </c>
      <c r="D8" s="264"/>
      <c r="E8" s="263" t="str">
        <f>+'Residential Sch 7'!G8</f>
        <v>Rates Effective 2005</v>
      </c>
      <c r="F8" s="264"/>
      <c r="G8" s="265" t="str">
        <f>+'Residential Sch 7'!I8</f>
        <v>Differences</v>
      </c>
      <c r="H8" s="266"/>
    </row>
    <row r="9" spans="1:8" ht="12.75">
      <c r="A9" s="251"/>
      <c r="B9" s="251"/>
      <c r="C9" s="265" t="str">
        <f>+'Residential Sch 7'!E9</f>
        <v>Charge</v>
      </c>
      <c r="D9" s="266" t="str">
        <f>+'Residential Sch 7'!F9</f>
        <v>Revenue</v>
      </c>
      <c r="E9" s="267" t="str">
        <f>+'Residential Sch 7'!G9</f>
        <v>Charge</v>
      </c>
      <c r="F9" s="266" t="str">
        <f>+'Residential Sch 7'!H9</f>
        <v>Revenue</v>
      </c>
      <c r="G9" s="267" t="str">
        <f>+'Residential Sch 7'!I9</f>
        <v>$</v>
      </c>
      <c r="H9" s="266" t="str">
        <f>+'Residential Sch 7'!J9</f>
        <v>%</v>
      </c>
    </row>
    <row r="10" spans="1:10" ht="12.75">
      <c r="A10" s="128" t="s">
        <v>390</v>
      </c>
      <c r="B10" s="247"/>
      <c r="C10" s="263"/>
      <c r="D10" s="263"/>
      <c r="E10" s="263"/>
      <c r="F10" s="263"/>
      <c r="G10" s="263"/>
      <c r="H10" s="263"/>
      <c r="I10" s="263"/>
      <c r="J10" s="263"/>
    </row>
    <row r="11" spans="1:8" ht="12.75">
      <c r="A11" s="10" t="s">
        <v>166</v>
      </c>
      <c r="B11" s="63">
        <v>115803576</v>
      </c>
      <c r="C11" s="67"/>
      <c r="D11" s="233"/>
      <c r="E11" s="254"/>
      <c r="F11" s="233"/>
      <c r="G11" s="134"/>
      <c r="H11" s="257"/>
    </row>
    <row r="12" spans="1:8" ht="12.75">
      <c r="A12" s="10" t="s">
        <v>222</v>
      </c>
      <c r="B12" s="271">
        <v>24</v>
      </c>
      <c r="C12" s="73">
        <v>709</v>
      </c>
      <c r="D12" s="233">
        <f>+C12*B12</f>
        <v>17016</v>
      </c>
      <c r="E12" s="268">
        <v>709</v>
      </c>
      <c r="F12" s="233">
        <f>+E12*B12</f>
        <v>17016</v>
      </c>
      <c r="G12" s="134">
        <f>+F12-D12</f>
        <v>0</v>
      </c>
      <c r="H12" s="257">
        <f>+G12/D12</f>
        <v>0</v>
      </c>
    </row>
    <row r="13" spans="1:8" ht="12.75">
      <c r="A13" s="10" t="s">
        <v>391</v>
      </c>
      <c r="B13" s="61">
        <v>216056</v>
      </c>
      <c r="C13" s="67">
        <v>4</v>
      </c>
      <c r="D13" s="233">
        <f>+C13*B13</f>
        <v>864224</v>
      </c>
      <c r="E13" s="254">
        <v>4.04</v>
      </c>
      <c r="F13" s="233">
        <f>+E13*B13</f>
        <v>872866.24</v>
      </c>
      <c r="G13" s="134">
        <f>+F13-D13</f>
        <v>8642.23999999999</v>
      </c>
      <c r="H13" s="257">
        <f>+G13/D13</f>
        <v>0.00999999999999999</v>
      </c>
    </row>
    <row r="14" spans="1:8" ht="13.5" thickBot="1">
      <c r="A14" s="130" t="s">
        <v>392</v>
      </c>
      <c r="D14" s="135">
        <f>SUM(D12:D13)</f>
        <v>881240</v>
      </c>
      <c r="F14" s="135">
        <f>SUM(F12:F13)</f>
        <v>889882.24</v>
      </c>
      <c r="G14" s="135">
        <f>SUM(G12:G13)</f>
        <v>8642.23999999999</v>
      </c>
      <c r="H14" s="258">
        <f>+G14/D14</f>
        <v>0.009806908447188043</v>
      </c>
    </row>
    <row r="15" ht="13.5" thickTop="1">
      <c r="D15" s="14"/>
    </row>
    <row r="16" spans="1:8" ht="12.75">
      <c r="A16" s="128" t="s">
        <v>393</v>
      </c>
      <c r="B16" s="247"/>
      <c r="C16" s="263"/>
      <c r="D16" s="263"/>
      <c r="E16" s="263"/>
      <c r="F16" s="263"/>
      <c r="G16" s="263"/>
      <c r="H16" s="263"/>
    </row>
    <row r="17" spans="1:8" ht="12.75">
      <c r="A17" s="10" t="s">
        <v>166</v>
      </c>
      <c r="B17" s="63">
        <v>1572183908</v>
      </c>
      <c r="C17" s="67"/>
      <c r="D17" s="233"/>
      <c r="E17" s="254"/>
      <c r="F17" s="233"/>
      <c r="G17" s="134"/>
      <c r="H17" s="257"/>
    </row>
    <row r="18" spans="1:8" ht="12.75">
      <c r="A18" s="10" t="s">
        <v>222</v>
      </c>
      <c r="B18" s="271">
        <v>168</v>
      </c>
      <c r="C18" s="73">
        <v>709</v>
      </c>
      <c r="D18" s="233">
        <f>+C18*B18</f>
        <v>119112</v>
      </c>
      <c r="E18" s="268">
        <v>709</v>
      </c>
      <c r="F18" s="233">
        <f>+E18*B18</f>
        <v>119112</v>
      </c>
      <c r="G18" s="134">
        <f>+F18-D18</f>
        <v>0</v>
      </c>
      <c r="H18" s="257">
        <f>+G18/D18</f>
        <v>0</v>
      </c>
    </row>
    <row r="19" spans="1:8" ht="12.75">
      <c r="A19" s="10" t="s">
        <v>391</v>
      </c>
      <c r="B19" s="61">
        <v>2865370</v>
      </c>
      <c r="C19" s="67">
        <v>1.53</v>
      </c>
      <c r="D19" s="233">
        <f>+C19*B19</f>
        <v>4384016.1</v>
      </c>
      <c r="E19" s="254">
        <v>1.58</v>
      </c>
      <c r="F19" s="233">
        <f>+E19*B19</f>
        <v>4527284.600000001</v>
      </c>
      <c r="G19" s="134">
        <f>+F19-D19</f>
        <v>143268.50000000093</v>
      </c>
      <c r="H19" s="257">
        <f>+G19/D19</f>
        <v>0.03267973856209172</v>
      </c>
    </row>
    <row r="20" spans="1:8" ht="13.5" thickBot="1">
      <c r="A20" s="130" t="s">
        <v>394</v>
      </c>
      <c r="D20" s="135">
        <f>SUM(D18:D19)</f>
        <v>4503128.1</v>
      </c>
      <c r="F20" s="135">
        <f>SUM(F18:F19)</f>
        <v>4646396.600000001</v>
      </c>
      <c r="G20" s="135">
        <f>SUM(G18:G19)</f>
        <v>143268.50000000093</v>
      </c>
      <c r="H20" s="258">
        <f>+G20/D20</f>
        <v>0.03181532854905925</v>
      </c>
    </row>
    <row r="21" ht="13.5" thickTop="1"/>
    <row r="22" spans="1:8" ht="13.5" thickBot="1">
      <c r="A22" t="s">
        <v>395</v>
      </c>
      <c r="D22" s="135">
        <f>+D20+D14</f>
        <v>5384368.1</v>
      </c>
      <c r="F22" s="135">
        <f>+F20+F14</f>
        <v>5536278.840000001</v>
      </c>
      <c r="G22" s="135">
        <f>+G20+G14</f>
        <v>151910.74000000092</v>
      </c>
      <c r="H22" s="258">
        <f>+G22/D22</f>
        <v>0.02821329024663097</v>
      </c>
    </row>
    <row r="23" ht="13.5" thickTop="1">
      <c r="B23" s="63"/>
    </row>
    <row r="24" ht="12.75">
      <c r="D24" s="14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449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T1" sqref="J1:T16384"/>
    </sheetView>
  </sheetViews>
  <sheetFormatPr defaultColWidth="9.140625" defaultRowHeight="12.75"/>
  <cols>
    <col min="1" max="1" width="29.8515625" style="0" bestFit="1" customWidth="1"/>
    <col min="2" max="2" width="14.00390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396</v>
      </c>
      <c r="B4" s="1"/>
      <c r="C4" s="1"/>
      <c r="D4" s="1"/>
      <c r="E4" s="1"/>
      <c r="F4" s="1"/>
      <c r="G4" s="1"/>
      <c r="H4" s="1"/>
    </row>
    <row r="5" spans="1:8" ht="12.75">
      <c r="A5" s="1" t="s">
        <v>397</v>
      </c>
      <c r="B5" s="1"/>
      <c r="C5" s="1"/>
      <c r="D5" s="1"/>
      <c r="E5" s="1"/>
      <c r="F5" s="1"/>
      <c r="G5" s="1"/>
      <c r="H5" s="1"/>
    </row>
    <row r="7" spans="3:8" ht="12.75">
      <c r="C7" s="244" t="str">
        <f>+'Residential Sch 7'!E7</f>
        <v>Proforma</v>
      </c>
      <c r="D7" s="259"/>
      <c r="E7" s="260" t="str">
        <f>+'Residential Sch 7'!G7</f>
        <v>Proposed</v>
      </c>
      <c r="F7" s="259"/>
      <c r="G7" s="11"/>
      <c r="H7" s="11"/>
    </row>
    <row r="8" spans="3:8" ht="12.75">
      <c r="C8" s="269" t="str">
        <f>+'Residential Sch 7'!E8</f>
        <v>Rates Effective 10-1-03</v>
      </c>
      <c r="D8" s="264"/>
      <c r="E8" s="263" t="str">
        <f>+'Residential Sch 7'!G8</f>
        <v>Rates Effective 2005</v>
      </c>
      <c r="F8" s="264"/>
      <c r="G8" s="265" t="str">
        <f>+'Residential Sch 7'!I8</f>
        <v>Differences</v>
      </c>
      <c r="H8" s="266"/>
    </row>
    <row r="9" spans="1:8" ht="12.75">
      <c r="A9" s="251"/>
      <c r="B9" s="251"/>
      <c r="C9" s="265" t="str">
        <f>+'Residential Sch 7'!E9</f>
        <v>Charge</v>
      </c>
      <c r="D9" s="266" t="str">
        <f>+'Residential Sch 7'!F9</f>
        <v>Revenue</v>
      </c>
      <c r="E9" s="267" t="str">
        <f>+'Residential Sch 7'!G9</f>
        <v>Charge</v>
      </c>
      <c r="F9" s="266" t="str">
        <f>+'Residential Sch 7'!H9</f>
        <v>Revenue</v>
      </c>
      <c r="G9" s="267" t="str">
        <f>+'Residential Sch 7'!I9</f>
        <v>$</v>
      </c>
      <c r="H9" s="266" t="str">
        <f>+'Residential Sch 7'!J9</f>
        <v>%</v>
      </c>
    </row>
    <row r="10" spans="1:8" ht="12.75">
      <c r="A10" s="128" t="s">
        <v>393</v>
      </c>
      <c r="B10" s="247"/>
      <c r="C10" s="263"/>
      <c r="D10" s="263"/>
      <c r="E10" s="263"/>
      <c r="F10" s="263"/>
      <c r="G10" s="263"/>
      <c r="H10" s="263"/>
    </row>
    <row r="11" spans="1:8" ht="12.75">
      <c r="A11" s="10" t="s">
        <v>166</v>
      </c>
      <c r="B11" s="63">
        <v>357930997</v>
      </c>
      <c r="C11" s="67"/>
      <c r="D11" s="233"/>
      <c r="E11" s="254"/>
      <c r="F11" s="233"/>
      <c r="G11" s="134"/>
      <c r="H11" s="257"/>
    </row>
    <row r="12" spans="1:8" ht="12.75">
      <c r="A12" s="10" t="s">
        <v>222</v>
      </c>
      <c r="B12" s="271">
        <v>60</v>
      </c>
      <c r="C12" s="73">
        <v>709</v>
      </c>
      <c r="D12" s="233">
        <f>+C12*B12</f>
        <v>42540</v>
      </c>
      <c r="E12" s="268">
        <v>709</v>
      </c>
      <c r="F12" s="233">
        <f>+E12*B12</f>
        <v>42540</v>
      </c>
      <c r="G12" s="134">
        <f>+F12-D12</f>
        <v>0</v>
      </c>
      <c r="H12" s="257">
        <f>+G12/D12</f>
        <v>0</v>
      </c>
    </row>
    <row r="13" spans="1:8" ht="12.75">
      <c r="A13" s="10" t="s">
        <v>398</v>
      </c>
      <c r="B13" s="61">
        <v>622292</v>
      </c>
      <c r="C13" s="67">
        <v>1.53</v>
      </c>
      <c r="D13" s="233">
        <f>+C13*B13</f>
        <v>952106.76</v>
      </c>
      <c r="E13" s="254">
        <v>1.58</v>
      </c>
      <c r="F13" s="233">
        <f>+E13*B13</f>
        <v>983221.3600000001</v>
      </c>
      <c r="G13" s="134">
        <f>+F13-D13</f>
        <v>31114.600000000093</v>
      </c>
      <c r="H13" s="257">
        <f>+G13/D13</f>
        <v>0.0326797385620916</v>
      </c>
    </row>
    <row r="14" spans="1:8" ht="13.5" thickBot="1">
      <c r="A14" s="130" t="s">
        <v>394</v>
      </c>
      <c r="D14" s="135">
        <f>SUM(D12:D13)</f>
        <v>994646.76</v>
      </c>
      <c r="F14" s="135">
        <f>SUM(F12:F13)</f>
        <v>1025761.3600000001</v>
      </c>
      <c r="G14" s="135">
        <f>SUM(G12:G13)</f>
        <v>31114.600000000093</v>
      </c>
      <c r="H14" s="258">
        <f>+G14/D14</f>
        <v>0.03128206037689209</v>
      </c>
    </row>
    <row r="15" ht="13.5" thickTop="1"/>
    <row r="16" spans="1:8" ht="13.5" thickBot="1">
      <c r="A16" t="s">
        <v>395</v>
      </c>
      <c r="D16" s="135">
        <f>+D14</f>
        <v>994646.76</v>
      </c>
      <c r="F16" s="135">
        <f>+F14</f>
        <v>1025761.3600000001</v>
      </c>
      <c r="G16" s="135">
        <f>+G14</f>
        <v>31114.600000000093</v>
      </c>
      <c r="H16" s="258">
        <f>+G16/D16</f>
        <v>0.03128206037689209</v>
      </c>
    </row>
    <row r="17" ht="13.5" thickTop="1">
      <c r="B17" s="63"/>
    </row>
    <row r="18" ht="12.75">
      <c r="D18" s="14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459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T1" sqref="J1:T16384"/>
    </sheetView>
  </sheetViews>
  <sheetFormatPr defaultColWidth="9.140625" defaultRowHeight="12.75"/>
  <cols>
    <col min="1" max="1" width="38.57421875" style="0" customWidth="1"/>
    <col min="2" max="2" width="14.00390625" style="0" bestFit="1" customWidth="1"/>
    <col min="3" max="3" width="10.7109375" style="0" bestFit="1" customWidth="1"/>
    <col min="4" max="4" width="15.00390625" style="0" bestFit="1" customWidth="1"/>
    <col min="5" max="5" width="10.7109375" style="0" bestFit="1" customWidth="1"/>
    <col min="6" max="6" width="13.421875" style="0" bestFit="1" customWidth="1"/>
    <col min="7" max="7" width="9.7109375" style="0" bestFit="1" customWidth="1"/>
    <col min="8" max="8" width="7.00390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399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7" spans="2:8" ht="12.75">
      <c r="B7" s="66"/>
      <c r="C7" s="244" t="str">
        <f>+'Residential Sch 7'!E7</f>
        <v>Proforma</v>
      </c>
      <c r="D7" s="259"/>
      <c r="E7" s="260" t="str">
        <f>+'Residential Sch 7'!G7</f>
        <v>Proposed</v>
      </c>
      <c r="F7" s="259"/>
      <c r="G7" s="11"/>
      <c r="H7" s="11"/>
    </row>
    <row r="8" spans="2:8" ht="12.75">
      <c r="B8" s="247"/>
      <c r="C8" s="269" t="str">
        <f>+'Residential Sch 7'!E8</f>
        <v>Rates Effective 10-1-03</v>
      </c>
      <c r="D8" s="264"/>
      <c r="E8" s="263" t="str">
        <f>+'Residential Sch 7'!G8</f>
        <v>Rates Effective 2005</v>
      </c>
      <c r="F8" s="264"/>
      <c r="G8" s="265" t="str">
        <f>+'Residential Sch 7'!I8</f>
        <v>Differences</v>
      </c>
      <c r="H8" s="266"/>
    </row>
    <row r="9" spans="1:8" ht="12.75">
      <c r="A9" s="251"/>
      <c r="B9" s="251" t="s">
        <v>71</v>
      </c>
      <c r="C9" s="265" t="str">
        <f>+'Residential Sch 7'!E9</f>
        <v>Charge</v>
      </c>
      <c r="D9" s="266" t="str">
        <f>+'Residential Sch 7'!F9</f>
        <v>Revenue</v>
      </c>
      <c r="E9" s="267" t="str">
        <f>+'Residential Sch 7'!G9</f>
        <v>Charge</v>
      </c>
      <c r="F9" s="266" t="str">
        <f>+'Residential Sch 7'!H9</f>
        <v>Revenue</v>
      </c>
      <c r="G9" s="267" t="str">
        <f>+'Residential Sch 7'!I9</f>
        <v>$</v>
      </c>
      <c r="H9" s="266" t="str">
        <f>+'Residential Sch 7'!J9</f>
        <v>%</v>
      </c>
    </row>
    <row r="10" spans="1:6" ht="13.5" thickBot="1">
      <c r="A10" s="9" t="s">
        <v>350</v>
      </c>
      <c r="B10" s="62">
        <v>128379640</v>
      </c>
      <c r="C10" s="68"/>
      <c r="D10" s="217">
        <v>909678.36</v>
      </c>
      <c r="E10" s="68"/>
      <c r="F10" s="217">
        <f>+D10</f>
        <v>909678.36</v>
      </c>
    </row>
    <row r="11" ht="13.5" thickTop="1">
      <c r="B11" s="63"/>
    </row>
    <row r="12" spans="1:6" ht="13.5" thickBot="1">
      <c r="A12" s="9" t="s">
        <v>387</v>
      </c>
      <c r="B12" s="63"/>
      <c r="D12" s="217">
        <v>429988.1688594201</v>
      </c>
      <c r="F12" s="217">
        <f>+D12</f>
        <v>429988.1688594201</v>
      </c>
    </row>
    <row r="13" spans="1:6" ht="14.25" thickBot="1" thickTop="1">
      <c r="A13" s="9" t="s">
        <v>388</v>
      </c>
      <c r="B13" s="63"/>
      <c r="F13" s="217">
        <f>+D24*D15</f>
        <v>115052.59485077027</v>
      </c>
    </row>
    <row r="14" ht="13.5" thickTop="1">
      <c r="B14" s="63"/>
    </row>
    <row r="15" spans="1:8" ht="13.5" thickBot="1">
      <c r="A15" t="s">
        <v>342</v>
      </c>
      <c r="D15" s="135">
        <f>SUM(D12,D10)</f>
        <v>1339666.5288594202</v>
      </c>
      <c r="F15" s="135">
        <f>SUM(F10,F12:F13)</f>
        <v>1454719.1237101904</v>
      </c>
      <c r="G15" s="135">
        <f>+F15-D15</f>
        <v>115052.5948507702</v>
      </c>
      <c r="H15" s="258">
        <f>+G15/D15</f>
        <v>0.08588151780482634</v>
      </c>
    </row>
    <row r="16" ht="13.5" thickTop="1"/>
    <row r="17" ht="12.75">
      <c r="D17" s="14"/>
    </row>
    <row r="18" spans="2:7" ht="12.75">
      <c r="B18" s="63"/>
      <c r="F18" s="14"/>
      <c r="G18" s="68"/>
    </row>
    <row r="19" spans="2:7" ht="12.75">
      <c r="B19" s="63"/>
      <c r="F19" s="14"/>
      <c r="G19" s="68"/>
    </row>
    <row r="20" spans="1:4" ht="12.75">
      <c r="A20" s="9" t="s">
        <v>400</v>
      </c>
      <c r="D20" s="14">
        <f>+'Small Firm Resale'!F19</f>
        <v>457442.6812635774</v>
      </c>
    </row>
    <row r="21" spans="1:4" ht="12.75">
      <c r="A21" s="9" t="s">
        <v>401</v>
      </c>
      <c r="D21" s="14">
        <f>+D20+D15</f>
        <v>1797109.2101229976</v>
      </c>
    </row>
    <row r="22" spans="1:4" ht="12.75">
      <c r="A22" s="9"/>
      <c r="D22" s="61"/>
    </row>
    <row r="23" spans="1:4" ht="12.75">
      <c r="A23" t="s">
        <v>402</v>
      </c>
      <c r="D23" s="13">
        <v>154338.4666263957</v>
      </c>
    </row>
    <row r="24" spans="1:4" ht="12.75">
      <c r="A24" s="5" t="s">
        <v>17</v>
      </c>
      <c r="D24" s="77">
        <f>+D23/D21</f>
        <v>0.08588151780482639</v>
      </c>
    </row>
    <row r="26" ht="12.75">
      <c r="D26" s="14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&amp;LSpecial Contract Transportation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">
      <pane xSplit="2" ySplit="6" topLeftCell="Q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:U39"/>
    </sheetView>
  </sheetViews>
  <sheetFormatPr defaultColWidth="9.140625" defaultRowHeight="12.75"/>
  <cols>
    <col min="1" max="1" width="35.57421875" style="15" customWidth="1"/>
    <col min="2" max="2" width="8.7109375" style="15" customWidth="1"/>
    <col min="3" max="6" width="14.8515625" style="15" customWidth="1"/>
    <col min="7" max="7" width="10.28125" style="15" customWidth="1"/>
    <col min="8" max="8" width="14.8515625" style="15" customWidth="1"/>
    <col min="9" max="9" width="9.7109375" style="15" customWidth="1"/>
    <col min="10" max="11" width="10.28125" style="15" customWidth="1"/>
    <col min="12" max="12" width="11.421875" style="15" bestFit="1" customWidth="1"/>
    <col min="13" max="13" width="14.8515625" style="15" customWidth="1"/>
    <col min="14" max="14" width="13.28125" style="15" customWidth="1"/>
    <col min="15" max="15" width="10.8515625" style="15" customWidth="1"/>
    <col min="16" max="16" width="13.7109375" style="15" customWidth="1"/>
    <col min="17" max="17" width="12.00390625" style="15" customWidth="1"/>
    <col min="18" max="18" width="14.28125" style="15" customWidth="1"/>
    <col min="19" max="19" width="10.8515625" style="15" customWidth="1"/>
    <col min="20" max="20" width="14.28125" style="15" customWidth="1"/>
    <col min="21" max="21" width="16.57421875" style="15" customWidth="1"/>
    <col min="22" max="16384" width="8.8515625" style="15" customWidth="1"/>
  </cols>
  <sheetData>
    <row r="1" spans="1:21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2.7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2:21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s="19" customFormat="1" ht="63.75">
      <c r="A6" s="17" t="s">
        <v>3</v>
      </c>
      <c r="B6" s="17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  <c r="Q6" s="17" t="s">
        <v>19</v>
      </c>
      <c r="R6" s="17" t="s">
        <v>20</v>
      </c>
      <c r="S6" s="17" t="s">
        <v>21</v>
      </c>
      <c r="T6" s="17" t="s">
        <v>22</v>
      </c>
      <c r="U6" s="17" t="s">
        <v>23</v>
      </c>
    </row>
    <row r="7" spans="1:21" s="23" customFormat="1" ht="38.25">
      <c r="A7" s="20"/>
      <c r="B7" s="21"/>
      <c r="C7" s="22" t="s">
        <v>24</v>
      </c>
      <c r="D7" s="22" t="s">
        <v>25</v>
      </c>
      <c r="E7" s="22" t="s">
        <v>26</v>
      </c>
      <c r="F7" s="22" t="s">
        <v>27</v>
      </c>
      <c r="G7" s="22" t="s">
        <v>28</v>
      </c>
      <c r="H7" s="22" t="s">
        <v>29</v>
      </c>
      <c r="I7" s="22" t="s">
        <v>30</v>
      </c>
      <c r="J7" s="22" t="s">
        <v>31</v>
      </c>
      <c r="K7" s="22" t="s">
        <v>32</v>
      </c>
      <c r="L7" s="22" t="s">
        <v>33</v>
      </c>
      <c r="M7" s="22" t="s">
        <v>34</v>
      </c>
      <c r="N7" s="22" t="s">
        <v>35</v>
      </c>
      <c r="O7" s="22" t="s">
        <v>36</v>
      </c>
      <c r="P7" s="21" t="s">
        <v>37</v>
      </c>
      <c r="Q7" s="22" t="s">
        <v>38</v>
      </c>
      <c r="R7" s="23" t="s">
        <v>39</v>
      </c>
      <c r="S7" s="22" t="s">
        <v>40</v>
      </c>
      <c r="T7" s="23" t="s">
        <v>41</v>
      </c>
      <c r="U7" s="22" t="s">
        <v>42</v>
      </c>
    </row>
    <row r="8" spans="1:21" s="23" customFormat="1" ht="12.75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S8" s="22"/>
      <c r="U8" s="22"/>
    </row>
    <row r="9" spans="1:21" ht="12.75">
      <c r="A9" s="24" t="s">
        <v>43</v>
      </c>
      <c r="B9" s="25">
        <v>7</v>
      </c>
      <c r="C9" s="26">
        <v>852250623.5887568</v>
      </c>
      <c r="D9" s="26">
        <v>770153730.1026341</v>
      </c>
      <c r="E9" s="26">
        <v>803836548.8367786</v>
      </c>
      <c r="F9" s="26">
        <f>+C9-(E9-D9)</f>
        <v>818567804.8546122</v>
      </c>
      <c r="G9" s="27">
        <f>+F9/$F$31</f>
        <v>0.5643368755703724</v>
      </c>
      <c r="H9" s="26">
        <f>+G9*$H$34</f>
        <v>850361809.8156495</v>
      </c>
      <c r="I9" s="27">
        <f>+D9/$D$31</f>
        <v>0.5403704400448363</v>
      </c>
      <c r="J9" s="27">
        <f>+I9-G9</f>
        <v>-0.023966435525536123</v>
      </c>
      <c r="K9" s="27">
        <f>+J9*$K$36</f>
        <v>-0.011983217762768061</v>
      </c>
      <c r="L9" s="27">
        <f>+I9-K9</f>
        <v>0.5523536578076043</v>
      </c>
      <c r="M9" s="26">
        <f>+L9*$H$34</f>
        <v>832305093.7205627</v>
      </c>
      <c r="N9" s="26">
        <f>+M9-D9</f>
        <v>62151363.617928624</v>
      </c>
      <c r="O9" s="28">
        <f>+N9/D9</f>
        <v>0.08069994494429841</v>
      </c>
      <c r="P9" s="28">
        <f>IF(O9&gt;P$38,P$38,IF(O9&lt;P$39,P$39,O9))</f>
        <v>0.08069994494429841</v>
      </c>
      <c r="Q9" s="26">
        <f>IF(O9=P9,0,P9*D9-N9)</f>
        <v>0</v>
      </c>
      <c r="R9" s="26">
        <f>IF(Q9=0,N9-Q$31*(M9/SUMIF(Q$9:Q$29,"=0",M$9:M$29)),N9+Q9)</f>
        <v>56599829.56651822</v>
      </c>
      <c r="S9" s="28">
        <f>+R9/D9</f>
        <v>0.0734915996043744</v>
      </c>
      <c r="T9" s="26">
        <f>R9</f>
        <v>56599829.56651822</v>
      </c>
      <c r="U9" s="28">
        <f>+T9/D9</f>
        <v>0.0734915996043744</v>
      </c>
    </row>
    <row r="10" spans="2:21" ht="12.75">
      <c r="B10" s="2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Q10" s="31"/>
      <c r="S10" s="30"/>
      <c r="U10" s="30"/>
    </row>
    <row r="11" spans="1:21" ht="12.75">
      <c r="A11" s="15" t="s">
        <v>44</v>
      </c>
      <c r="B11" s="25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Q11" s="31"/>
      <c r="S11" s="30"/>
      <c r="U11" s="30"/>
    </row>
    <row r="12" spans="1:21" ht="12.75">
      <c r="A12" s="32" t="s">
        <v>45</v>
      </c>
      <c r="B12" s="25">
        <v>24</v>
      </c>
      <c r="C12" s="29">
        <v>181294062.1671606</v>
      </c>
      <c r="D12" s="29">
        <v>175072411.88833803</v>
      </c>
      <c r="E12" s="29">
        <v>182363420.36760712</v>
      </c>
      <c r="F12" s="29">
        <f>+C12-(E12-D12)</f>
        <v>174003053.6878915</v>
      </c>
      <c r="G12" s="33">
        <f>+F12/$F$31</f>
        <v>0.11996115541750306</v>
      </c>
      <c r="H12" s="29">
        <f>+G12*$H$34</f>
        <v>180761509.0282784</v>
      </c>
      <c r="I12" s="33">
        <f>+D12/$D$31</f>
        <v>0.12283775635184511</v>
      </c>
      <c r="J12" s="33">
        <f>+I12-G12</f>
        <v>0.002876600934342055</v>
      </c>
      <c r="K12" s="33">
        <f>+J12*$K$36</f>
        <v>0.0014383004671710276</v>
      </c>
      <c r="L12" s="33">
        <f>+I12-K12</f>
        <v>0.12139945588467409</v>
      </c>
      <c r="M12" s="29">
        <f>+L12*$H$34</f>
        <v>182928788.61121565</v>
      </c>
      <c r="N12" s="29">
        <f>+M12-D12</f>
        <v>7856376.722877622</v>
      </c>
      <c r="O12" s="34">
        <f>+N12/D12</f>
        <v>0.044875012791212664</v>
      </c>
      <c r="P12" s="34">
        <f>IF(O12&gt;P$38,P$38,IF(O12&lt;P$39,P$39,O12))</f>
        <v>0.044875012791212664</v>
      </c>
      <c r="Q12" s="31">
        <f>IF(O12=P12,0,P12*D12-N12)</f>
        <v>0</v>
      </c>
      <c r="R12" s="29">
        <f>IF(Q12=0,N12-Q$31*(M12/SUMIF(Q$9:Q$29,"=0",M$9:M$29)),N12+Q12)</f>
        <v>6636228.718713929</v>
      </c>
      <c r="S12" s="34">
        <f>+R12/D12</f>
        <v>0.03790562229157239</v>
      </c>
      <c r="T12" s="29">
        <f>R12</f>
        <v>6636228.718713929</v>
      </c>
      <c r="U12" s="34">
        <f>+T12/D12</f>
        <v>0.03790562229157239</v>
      </c>
    </row>
    <row r="13" spans="1:21" ht="12.75">
      <c r="A13" s="32" t="s">
        <v>46</v>
      </c>
      <c r="B13" s="25" t="s">
        <v>47</v>
      </c>
      <c r="C13" s="29">
        <v>190089734.62513018</v>
      </c>
      <c r="D13" s="29">
        <v>205778188.16113973</v>
      </c>
      <c r="E13" s="29">
        <v>211986769.68742928</v>
      </c>
      <c r="F13" s="29">
        <f>+C13-(E13-D13)</f>
        <v>183881153.09884062</v>
      </c>
      <c r="G13" s="33">
        <f>+F13/$F$31</f>
        <v>0.12677131301848357</v>
      </c>
      <c r="H13" s="29">
        <f>+G13*$H$34</f>
        <v>191023283.85354844</v>
      </c>
      <c r="I13" s="33">
        <f>+D13/$D$31</f>
        <v>0.1443821483192007</v>
      </c>
      <c r="J13" s="33">
        <f>+I13-G13</f>
        <v>0.017610835300717137</v>
      </c>
      <c r="K13" s="33">
        <f>+J13*$K$36</f>
        <v>0.008805417650358568</v>
      </c>
      <c r="L13" s="33">
        <f>+I13-K13</f>
        <v>0.13557673066884213</v>
      </c>
      <c r="M13" s="29">
        <f>+L13*$H$34</f>
        <v>204291583.71747935</v>
      </c>
      <c r="N13" s="29">
        <f>+M13-D13</f>
        <v>-1486604.4436603785</v>
      </c>
      <c r="O13" s="34">
        <f>+N13/D13</f>
        <v>-0.007224305243159474</v>
      </c>
      <c r="P13" s="34">
        <f>IF(O13&gt;P$38,P$38,IF(O13&lt;P$39,P$39,O13))</f>
        <v>0.028627172601608825</v>
      </c>
      <c r="Q13" s="31">
        <f>IF(O13=P13,0,P13*D13-N13)</f>
        <v>7377452.153795663</v>
      </c>
      <c r="R13" s="29">
        <f>IF(Q13=0,N13-Q$31*(M13/SUMIF(Q$9:Q$29,"=0",M$9:M$29)),N13+Q13)</f>
        <v>5890847.710135285</v>
      </c>
      <c r="S13" s="34">
        <f>+R13/D13</f>
        <v>0.028627172601608825</v>
      </c>
      <c r="T13" s="29">
        <f>R13</f>
        <v>5890847.710135285</v>
      </c>
      <c r="U13" s="34">
        <f>+T13/D13</f>
        <v>0.028627172601608825</v>
      </c>
    </row>
    <row r="14" spans="1:21" ht="12.75">
      <c r="A14" s="32" t="s">
        <v>48</v>
      </c>
      <c r="B14" s="25">
        <v>26</v>
      </c>
      <c r="C14" s="29">
        <v>118089031.10883717</v>
      </c>
      <c r="D14" s="29">
        <v>120803752.78982204</v>
      </c>
      <c r="E14" s="29">
        <v>124612067.20659506</v>
      </c>
      <c r="F14" s="29">
        <f>+C14-(E14-D14)</f>
        <v>114280716.69206415</v>
      </c>
      <c r="G14" s="33">
        <f>+F14/$F$31</f>
        <v>0.07878739209319026</v>
      </c>
      <c r="H14" s="29">
        <f>+G14*$H$34</f>
        <v>118719495.80347046</v>
      </c>
      <c r="I14" s="33">
        <f>+D14/$D$31</f>
        <v>0.08476071010576605</v>
      </c>
      <c r="J14" s="33">
        <f>+I14-G14</f>
        <v>0.005973318012575793</v>
      </c>
      <c r="K14" s="33">
        <f>+J14*$K$36</f>
        <v>0.0029866590062878964</v>
      </c>
      <c r="L14" s="33">
        <f>+I14-K14</f>
        <v>0.08177405109947816</v>
      </c>
      <c r="M14" s="29">
        <f>+L14*$H$34</f>
        <v>123219894.1786826</v>
      </c>
      <c r="N14" s="29">
        <f>+M14-D14</f>
        <v>2416141.3888605535</v>
      </c>
      <c r="O14" s="34">
        <f>+N14/D14</f>
        <v>0.020000549097710797</v>
      </c>
      <c r="P14" s="34">
        <f>IF(O14&gt;P$38,P$38,IF(O14&lt;P$39,P$39,O14))</f>
        <v>0.028627172601608825</v>
      </c>
      <c r="Q14" s="31">
        <f>IF(O14=P14,0,P14*D14-N14)</f>
        <v>1042128.4931757655</v>
      </c>
      <c r="R14" s="29">
        <f>IF(Q14=0,N14-Q$31*(M14/SUMIF(Q$9:Q$29,"=0",M$9:M$29)),N14+Q14)</f>
        <v>3458269.882036319</v>
      </c>
      <c r="S14" s="34">
        <f>+R14/D14</f>
        <v>0.028627172601608825</v>
      </c>
      <c r="T14" s="29">
        <f>R14-(T18-R18)</f>
        <v>2464199.14191832</v>
      </c>
      <c r="U14" s="34">
        <f>+T14/D14</f>
        <v>0.020398365820684453</v>
      </c>
    </row>
    <row r="15" spans="1:21" ht="12.75">
      <c r="A15" s="35" t="s">
        <v>49</v>
      </c>
      <c r="B15" s="25"/>
      <c r="C15" s="26">
        <f aca="true" t="shared" si="0" ref="C15:N15">SUM(C12:C14)</f>
        <v>489472827.901128</v>
      </c>
      <c r="D15" s="26">
        <f t="shared" si="0"/>
        <v>501654352.8392998</v>
      </c>
      <c r="E15" s="26">
        <f t="shared" si="0"/>
        <v>518962257.2616315</v>
      </c>
      <c r="F15" s="26">
        <f t="shared" si="0"/>
        <v>472164923.4787963</v>
      </c>
      <c r="G15" s="27">
        <f t="shared" si="0"/>
        <v>0.32551986052917686</v>
      </c>
      <c r="H15" s="26">
        <f t="shared" si="0"/>
        <v>490504288.68529737</v>
      </c>
      <c r="I15" s="27">
        <f t="shared" si="0"/>
        <v>0.35198061477681186</v>
      </c>
      <c r="J15" s="27">
        <f t="shared" si="0"/>
        <v>0.026460754247634985</v>
      </c>
      <c r="K15" s="27">
        <f t="shared" si="0"/>
        <v>0.013230377123817492</v>
      </c>
      <c r="L15" s="27">
        <f t="shared" si="0"/>
        <v>0.3387502376529944</v>
      </c>
      <c r="M15" s="26">
        <f t="shared" si="0"/>
        <v>510440266.5073776</v>
      </c>
      <c r="N15" s="26">
        <f t="shared" si="0"/>
        <v>8785913.668077797</v>
      </c>
      <c r="O15" s="28">
        <f>+N15/D15</f>
        <v>0.017513879065038793</v>
      </c>
      <c r="P15" s="28">
        <f>IF(O15&gt;P$38,P$38,IF(O15&lt;P$39,P$39,O15))</f>
        <v>0.028627172601608825</v>
      </c>
      <c r="Q15" s="26">
        <f>SUM(Q12:Q14)</f>
        <v>8419580.646971429</v>
      </c>
      <c r="R15" s="26">
        <f>SUM(R12:R14)</f>
        <v>15985346.310885532</v>
      </c>
      <c r="S15" s="28">
        <f>+R15/D15</f>
        <v>0.031865259855536995</v>
      </c>
      <c r="T15" s="26">
        <f>SUM(T12:T14)</f>
        <v>14991275.570767533</v>
      </c>
      <c r="U15" s="28">
        <f>+T15/D15</f>
        <v>0.02988367485683882</v>
      </c>
    </row>
    <row r="16" spans="2:21" ht="12.75">
      <c r="B16" s="2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S16" s="30"/>
      <c r="U16" s="30"/>
    </row>
    <row r="17" spans="1:21" ht="12.75">
      <c r="A17" s="15" t="s">
        <v>50</v>
      </c>
      <c r="B17" s="2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S17" s="30"/>
      <c r="U17" s="30"/>
    </row>
    <row r="18" spans="1:21" ht="12.75">
      <c r="A18" s="32" t="s">
        <v>51</v>
      </c>
      <c r="B18" s="25">
        <v>31</v>
      </c>
      <c r="C18" s="29">
        <v>102415900.29106069</v>
      </c>
      <c r="D18" s="29">
        <v>97635591.30937117</v>
      </c>
      <c r="E18" s="29">
        <v>101277519.87028727</v>
      </c>
      <c r="F18" s="29">
        <f>+C18-(E18-D18)</f>
        <v>98773971.73014459</v>
      </c>
      <c r="G18" s="33">
        <f>+F18/$F$31</f>
        <v>0.06809673464224081</v>
      </c>
      <c r="H18" s="29">
        <f>+G18*$H$34</f>
        <v>102610453.11700703</v>
      </c>
      <c r="I18" s="33">
        <f>+D18/$D$31</f>
        <v>0.06850500799736664</v>
      </c>
      <c r="J18" s="33">
        <f>+I18-G18</f>
        <v>0.0004082733551258322</v>
      </c>
      <c r="K18" s="33">
        <f>+J18*$K$36</f>
        <v>0.0002041366775629161</v>
      </c>
      <c r="L18" s="33">
        <f>+I18-K18</f>
        <v>0.06830087131980372</v>
      </c>
      <c r="M18" s="29">
        <f>+L18*$H$34</f>
        <v>102918053.13766262</v>
      </c>
      <c r="N18" s="29">
        <f>+M18-D18</f>
        <v>5282461.828291446</v>
      </c>
      <c r="O18" s="34">
        <f>+N18/D18</f>
        <v>0.05410385452117838</v>
      </c>
      <c r="P18" s="34">
        <f>IF(O18&gt;P$38,P$38,IF(O18&lt;P$39,P$39,O18))</f>
        <v>0.05410385452117838</v>
      </c>
      <c r="Q18" s="31">
        <f>IF(O18=P18,0,P18*D18-N18)</f>
        <v>0</v>
      </c>
      <c r="R18" s="29">
        <f>IF(Q18=0,N18-Q$31*(M18/SUMIF(Q$9:Q$29,"=0",M$9:M$29)),N18+Q18)</f>
        <v>4595991.108829016</v>
      </c>
      <c r="S18" s="34">
        <f>+R18/D18</f>
        <v>0.04707290699214404</v>
      </c>
      <c r="T18" s="29">
        <f>D18*S31</f>
        <v>5590061.848947015</v>
      </c>
      <c r="U18" s="34">
        <f>+T18/D18</f>
        <v>0.057254345203217656</v>
      </c>
    </row>
    <row r="19" spans="1:21" ht="12.75">
      <c r="A19" s="36" t="s">
        <v>52</v>
      </c>
      <c r="B19" s="25">
        <v>35</v>
      </c>
      <c r="C19" s="29">
        <v>325461.93612336915</v>
      </c>
      <c r="D19" s="29">
        <v>202269.1420236328</v>
      </c>
      <c r="E19" s="29">
        <v>211331.32005983422</v>
      </c>
      <c r="F19" s="29">
        <f>+C19-(E19-D19)</f>
        <v>316399.75808716775</v>
      </c>
      <c r="G19" s="33">
        <f>+F19/$F$31</f>
        <v>0.00021813226693156797</v>
      </c>
      <c r="H19" s="29">
        <f>+G19*$H$34</f>
        <v>328689.0460589578</v>
      </c>
      <c r="I19" s="33">
        <f>+D19/$D$31</f>
        <v>0.00014192006220399155</v>
      </c>
      <c r="J19" s="33">
        <f>+I19-G19</f>
        <v>-7.621220472757643E-05</v>
      </c>
      <c r="K19" s="33">
        <f>+J19*$K$36</f>
        <v>-3.810610236378821E-05</v>
      </c>
      <c r="L19" s="33">
        <f>+I19-K19</f>
        <v>0.00018002616456777977</v>
      </c>
      <c r="M19" s="29">
        <f>+L19*$H$34</f>
        <v>271269.4876819852</v>
      </c>
      <c r="N19" s="29">
        <f>+M19-D19</f>
        <v>69000.3456583524</v>
      </c>
      <c r="O19" s="34">
        <f>+N19/D19</f>
        <v>0.34113135087254437</v>
      </c>
      <c r="P19" s="34">
        <f>P18</f>
        <v>0.05410385452117838</v>
      </c>
      <c r="Q19" s="31">
        <f>IF(O19=P19,0,P19*D19-N19)</f>
        <v>-58056.805424182196</v>
      </c>
      <c r="R19" s="29">
        <f>IF(Q19=0,N19-Q$31*(M19/SUMIF(Q$9:Q$29,"=0",M$9:M$29)),N19+Q19)</f>
        <v>10943.5402341702</v>
      </c>
      <c r="S19" s="34">
        <f>+R19/D19</f>
        <v>0.05410385452117839</v>
      </c>
      <c r="T19" s="29">
        <f>R19</f>
        <v>10943.5402341702</v>
      </c>
      <c r="U19" s="34">
        <f>+T19/D19</f>
        <v>0.05410385452117839</v>
      </c>
    </row>
    <row r="20" spans="1:21" ht="12.75">
      <c r="A20" s="36" t="s">
        <v>53</v>
      </c>
      <c r="B20" s="25">
        <v>43</v>
      </c>
      <c r="C20" s="29">
        <v>14745651.215008333</v>
      </c>
      <c r="D20" s="29">
        <v>12090736.163132522</v>
      </c>
      <c r="E20" s="29">
        <v>12515348.427693838</v>
      </c>
      <c r="F20" s="29">
        <f>+C20-(E20-D20)</f>
        <v>14321038.950447017</v>
      </c>
      <c r="G20" s="33">
        <f>+F20/$F$31</f>
        <v>0.0098732082159673</v>
      </c>
      <c r="H20" s="29">
        <f>+G20*$H$34</f>
        <v>14877282.649182018</v>
      </c>
      <c r="I20" s="33">
        <f>+D20/$D$31</f>
        <v>0.00848334061832987</v>
      </c>
      <c r="J20" s="33">
        <f>+I20-G20</f>
        <v>-0.0013898675976374286</v>
      </c>
      <c r="K20" s="33">
        <f>+J20*$K$36</f>
        <v>-0.0006949337988187143</v>
      </c>
      <c r="L20" s="33">
        <f>+I20-K20</f>
        <v>0.009178274417148585</v>
      </c>
      <c r="M20" s="29">
        <f>+L20*$H$34</f>
        <v>13830132.997179778</v>
      </c>
      <c r="N20" s="29">
        <f>+M20-D20</f>
        <v>1739396.834047256</v>
      </c>
      <c r="O20" s="34">
        <f>+N20/D20</f>
        <v>0.14386194608654873</v>
      </c>
      <c r="P20" s="34">
        <f>IF(O20&gt;P$38,P$38,IF(O20&lt;P$39,P$39,O20))</f>
        <v>0.08588151780482647</v>
      </c>
      <c r="Q20" s="31">
        <f>IF(O20=P20,0,P20*D20-N20)</f>
        <v>-701026.060979731</v>
      </c>
      <c r="R20" s="29">
        <f>IF(Q20=0,N20-Q$31*(M20/SUMIF(Q$9:Q$29,"=0",M$9:M$29)),N20+Q20)</f>
        <v>1038370.773067525</v>
      </c>
      <c r="S20" s="34">
        <f>+R20/D20</f>
        <v>0.08588151780482647</v>
      </c>
      <c r="T20" s="29">
        <f>R20</f>
        <v>1038370.773067525</v>
      </c>
      <c r="U20" s="34">
        <f>+T20/D20</f>
        <v>0.08588151780482647</v>
      </c>
    </row>
    <row r="21" spans="1:21" ht="12.75">
      <c r="A21" s="24" t="s">
        <v>54</v>
      </c>
      <c r="B21" s="25"/>
      <c r="C21" s="26">
        <v>117487013.44219239</v>
      </c>
      <c r="D21" s="26">
        <v>109928596.61452733</v>
      </c>
      <c r="E21" s="26">
        <v>114004199.61804095</v>
      </c>
      <c r="F21" s="26">
        <f aca="true" t="shared" si="1" ref="F21:N21">SUM(F18:F20)</f>
        <v>113411410.43867879</v>
      </c>
      <c r="G21" s="27">
        <f t="shared" si="1"/>
        <v>0.07818807512513967</v>
      </c>
      <c r="H21" s="26">
        <f t="shared" si="1"/>
        <v>117816424.812248</v>
      </c>
      <c r="I21" s="27">
        <f t="shared" si="1"/>
        <v>0.0771302686779005</v>
      </c>
      <c r="J21" s="27">
        <f t="shared" si="1"/>
        <v>-0.0010578064472391729</v>
      </c>
      <c r="K21" s="27">
        <f t="shared" si="1"/>
        <v>-0.0005289032236195864</v>
      </c>
      <c r="L21" s="27">
        <f t="shared" si="1"/>
        <v>0.07765917190152008</v>
      </c>
      <c r="M21" s="26">
        <f t="shared" si="1"/>
        <v>117019455.62252438</v>
      </c>
      <c r="N21" s="26">
        <f t="shared" si="1"/>
        <v>7090859.007997055</v>
      </c>
      <c r="O21" s="28">
        <f>+N21/D21</f>
        <v>0.06450422570990941</v>
      </c>
      <c r="P21" s="28">
        <f>IF(O21&gt;P$38,P$38,IF(O21&lt;P$39,P$39,O21))</f>
        <v>0.06450422570990941</v>
      </c>
      <c r="Q21" s="26">
        <f>SUM(Q18:Q20)</f>
        <v>-759082.8664039132</v>
      </c>
      <c r="R21" s="26">
        <f>SUM(R18:R20)</f>
        <v>5645305.42213071</v>
      </c>
      <c r="S21" s="28">
        <f>+R21/D21</f>
        <v>0.05135429356863699</v>
      </c>
      <c r="T21" s="26">
        <f>SUM(T18:T20)</f>
        <v>6639376.162248709</v>
      </c>
      <c r="U21" s="28">
        <f>+T21/D21</f>
        <v>0.0603971702243245</v>
      </c>
    </row>
    <row r="22" spans="2:21" ht="12.75">
      <c r="B22" s="25"/>
      <c r="O22" s="30"/>
      <c r="S22" s="30"/>
      <c r="U22" s="30"/>
    </row>
    <row r="23" spans="1:21" ht="12.75">
      <c r="A23" s="35" t="s">
        <v>55</v>
      </c>
      <c r="B23" s="25" t="s">
        <v>56</v>
      </c>
      <c r="C23" s="26">
        <v>26423145.313931406</v>
      </c>
      <c r="D23" s="26">
        <v>22431777.346155223</v>
      </c>
      <c r="E23" s="26">
        <v>23805116.540226996</v>
      </c>
      <c r="F23" s="26">
        <f>+C23-(E23-D23)</f>
        <v>25049806.119859632</v>
      </c>
      <c r="G23" s="27">
        <f>+F23/$F$31</f>
        <v>0.017269833037027397</v>
      </c>
      <c r="H23" s="26">
        <f>+G23*$H$34</f>
        <v>26022766.032678697</v>
      </c>
      <c r="I23" s="27">
        <f>+D23/$D$31</f>
        <v>0.01573902575777219</v>
      </c>
      <c r="J23" s="27">
        <f>+I23-G23</f>
        <v>-0.0015308072792552078</v>
      </c>
      <c r="K23" s="27">
        <f>+J23*$K$36</f>
        <v>-0.0007654036396276039</v>
      </c>
      <c r="L23" s="27">
        <f>+I23-K23</f>
        <v>0.016504429397399795</v>
      </c>
      <c r="M23" s="26">
        <f>+L23*$H$34</f>
        <v>24869430.05126621</v>
      </c>
      <c r="N23" s="26">
        <f>+M23-D23</f>
        <v>2437652.705110986</v>
      </c>
      <c r="O23" s="28">
        <f>+N23/D23</f>
        <v>0.10866961933040033</v>
      </c>
      <c r="P23" s="28">
        <f>IF(O23&gt;P$38,P$38,IF(O23&lt;P$39,P$39,O23))</f>
        <v>0.08588151780482647</v>
      </c>
      <c r="Q23" s="26">
        <f>IF(O23=P23,0,P23*D23-N23)</f>
        <v>-511177.6195632529</v>
      </c>
      <c r="R23" s="26">
        <f>IF(Q23=0,N23-Q$31*(M23/SUMIF(Q$9:Q$29,"=0",M$9:M$29)),N23+Q23)</f>
        <v>1926475.085547733</v>
      </c>
      <c r="S23" s="28">
        <f>+R23/D23</f>
        <v>0.08588151780482647</v>
      </c>
      <c r="T23" s="26">
        <f>R23</f>
        <v>1926475.085547733</v>
      </c>
      <c r="U23" s="28">
        <f>+T23/D23</f>
        <v>0.08588151780482647</v>
      </c>
    </row>
    <row r="24" spans="2:21" ht="12.75"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4"/>
      <c r="S24" s="34"/>
      <c r="U24" s="34"/>
    </row>
    <row r="25" spans="1:21" ht="12.75">
      <c r="A25" s="35" t="s">
        <v>57</v>
      </c>
      <c r="B25" s="25">
        <v>449</v>
      </c>
      <c r="C25" s="26">
        <v>7143963.759452188</v>
      </c>
      <c r="D25" s="26">
        <v>6379014.859999999</v>
      </c>
      <c r="E25" s="26">
        <v>9798310.187735455</v>
      </c>
      <c r="F25" s="26">
        <f>+C25-(E25-D25)</f>
        <v>3724668.4317167327</v>
      </c>
      <c r="G25" s="27">
        <f>+F25/$F$31</f>
        <v>0.0025678602711035714</v>
      </c>
      <c r="H25" s="26">
        <f>+G25*$H$34</f>
        <v>3869338.3367556366</v>
      </c>
      <c r="I25" s="27">
        <f>+D25/$D$31</f>
        <v>0.004475770138114351</v>
      </c>
      <c r="J25" s="27">
        <f>+I25-G25</f>
        <v>0.0019079098670107797</v>
      </c>
      <c r="K25" s="27">
        <f>+J25*$K$36</f>
        <v>0.0009539549335053899</v>
      </c>
      <c r="L25" s="27">
        <f>+I25-K25</f>
        <v>0.003521815204608961</v>
      </c>
      <c r="M25" s="26">
        <f>+L25*$H$34</f>
        <v>5306789.757803265</v>
      </c>
      <c r="N25" s="26">
        <f>+M25-D25</f>
        <v>-1072225.1021967344</v>
      </c>
      <c r="O25" s="28">
        <f>+N25/D25</f>
        <v>-0.16808631516446013</v>
      </c>
      <c r="P25" s="28">
        <f>IF(O25&gt;P$38,P$38,IF(O25&lt;P$39,P$39,O25))</f>
        <v>0.028627172601608825</v>
      </c>
      <c r="Q25" s="26">
        <f>IF(O25=P25,0,P25*D25-N25)</f>
        <v>1254838.2616221819</v>
      </c>
      <c r="R25" s="26">
        <f>IF(Q25=0,N25-Q$31*(M25/SUMIF(Q$9:Q$29,"=0",M$9:M$29)),N25+Q25)</f>
        <v>182613.15942544746</v>
      </c>
      <c r="S25" s="28">
        <f>+R25/D25</f>
        <v>0.028627172601608814</v>
      </c>
      <c r="T25" s="26">
        <f>R25</f>
        <v>182613.15942544746</v>
      </c>
      <c r="U25" s="28">
        <f>+T25/D25</f>
        <v>0.028627172601608814</v>
      </c>
    </row>
    <row r="26" spans="2:21" ht="12.75">
      <c r="B26" s="2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4"/>
      <c r="S26" s="34"/>
      <c r="U26" s="34"/>
    </row>
    <row r="27" spans="1:21" ht="12.75">
      <c r="A27" s="15" t="s">
        <v>58</v>
      </c>
      <c r="B27" s="25" t="s">
        <v>59</v>
      </c>
      <c r="C27" s="26">
        <v>15839437.449161965</v>
      </c>
      <c r="D27" s="26">
        <v>12888320.439728683</v>
      </c>
      <c r="E27" s="26">
        <v>13139986.579516646</v>
      </c>
      <c r="F27" s="26">
        <f>+C27-(E27-D27)</f>
        <v>15587771.309374003</v>
      </c>
      <c r="G27" s="27">
        <f>+F27/$F$31</f>
        <v>0.010746518621508733</v>
      </c>
      <c r="H27" s="26">
        <f>+G27*$H$34</f>
        <v>16193216.179551587</v>
      </c>
      <c r="I27" s="27">
        <f>+D27/$D$31</f>
        <v>0.009042957419068697</v>
      </c>
      <c r="J27" s="27">
        <f>+I27-G27</f>
        <v>-0.0017035612024400362</v>
      </c>
      <c r="K27" s="27">
        <f>+J27*$K$36</f>
        <v>-0.0008517806012200181</v>
      </c>
      <c r="L27" s="27">
        <f>+I27-K27</f>
        <v>0.009894738020288715</v>
      </c>
      <c r="M27" s="26">
        <f>+L27*$H$34</f>
        <v>14909724.48341309</v>
      </c>
      <c r="N27" s="26">
        <f>+M27-D27</f>
        <v>2021404.043684408</v>
      </c>
      <c r="O27" s="28">
        <f>+N27/D27</f>
        <v>0.15683998959657783</v>
      </c>
      <c r="P27" s="28">
        <f>IF(O27&gt;P$38,P$38,IF(O27&lt;P$39,P$39,O27))</f>
        <v>0.08588151780482647</v>
      </c>
      <c r="Q27" s="26">
        <f>IF(O27=P27,0,P27*D27-N27)</f>
        <v>-914535.5223655403</v>
      </c>
      <c r="R27" s="26">
        <f>IF(Q27=0,N27-Q$31*(M27/SUMIF(Q$9:Q$29,"=0",M$9:M$29)),N27+Q27)</f>
        <v>1106868.5213188678</v>
      </c>
      <c r="S27" s="28">
        <f>+R27/D27</f>
        <v>0.08588151780482647</v>
      </c>
      <c r="T27" s="26">
        <f>R27</f>
        <v>1106868.5213188678</v>
      </c>
      <c r="U27" s="28">
        <f>+T27/D27</f>
        <v>0.08588151780482647</v>
      </c>
    </row>
    <row r="28" spans="2:21" ht="12.75">
      <c r="B28" s="2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4"/>
      <c r="S28" s="34"/>
      <c r="U28" s="34"/>
    </row>
    <row r="29" spans="1:21" ht="12.75">
      <c r="A29" s="15" t="s">
        <v>60</v>
      </c>
      <c r="B29" s="38" t="s">
        <v>61</v>
      </c>
      <c r="C29" s="26">
        <v>2030603.9678301052</v>
      </c>
      <c r="D29" s="26">
        <v>1797109.2101229976</v>
      </c>
      <c r="E29" s="26">
        <v>1839118.14606997</v>
      </c>
      <c r="F29" s="26">
        <f>+C29-(E29-D29)</f>
        <v>1988595.0318831329</v>
      </c>
      <c r="G29" s="27">
        <f>+F29/$F$31</f>
        <v>0.0013709768456713436</v>
      </c>
      <c r="H29" s="26">
        <f>+G29*$H$34</f>
        <v>2065834.082740277</v>
      </c>
      <c r="I29" s="27">
        <f>+D29/$D$31</f>
        <v>0.0012609231854961978</v>
      </c>
      <c r="J29" s="27">
        <f>+I29-G29</f>
        <v>-0.00011005366017514582</v>
      </c>
      <c r="K29" s="27">
        <f>+J29*$K$36</f>
        <v>-5.502683008757291E-05</v>
      </c>
      <c r="L29" s="27">
        <f>+I29-K29</f>
        <v>0.0013159500155837706</v>
      </c>
      <c r="M29" s="26">
        <f>+L29*$H$34</f>
        <v>1982917.8019737692</v>
      </c>
      <c r="N29" s="26">
        <f>+M29-D29</f>
        <v>185808.59185077157</v>
      </c>
      <c r="O29" s="28">
        <f>+N29/D29</f>
        <v>0.10339304412003679</v>
      </c>
      <c r="P29" s="28">
        <f>IF(O29&gt;P$38,P$38,IF(O29&lt;P$39,P$39,O29))</f>
        <v>0.08588151780482647</v>
      </c>
      <c r="Q29" s="26">
        <f>IF(O29=P29,0,P29*D29-N29)</f>
        <v>-31470.12522437572</v>
      </c>
      <c r="R29" s="26">
        <f>IF(Q29=0,N29-Q$31*(M29/SUMIF(Q$9:Q$29,"=0",M$9:M$29)),N29+Q29)</f>
        <v>154338.46662639585</v>
      </c>
      <c r="S29" s="28">
        <f>+R29/D29</f>
        <v>0.08588151780482646</v>
      </c>
      <c r="T29" s="26">
        <f>R29</f>
        <v>154338.46662639585</v>
      </c>
      <c r="U29" s="28">
        <f>+T29/D29</f>
        <v>0.08588151780482646</v>
      </c>
    </row>
    <row r="30" spans="2:21" ht="12.75">
      <c r="B30" s="25"/>
      <c r="O30" s="30"/>
      <c r="S30" s="30"/>
      <c r="U30" s="30"/>
    </row>
    <row r="31" spans="1:21" ht="13.5" thickBot="1">
      <c r="A31" s="15" t="s">
        <v>62</v>
      </c>
      <c r="B31" s="25"/>
      <c r="C31" s="39">
        <f aca="true" t="shared" si="2" ref="C31:N31">SUM(C29,C27,C25,C23,C21,C15,C9)</f>
        <v>1510647615.422453</v>
      </c>
      <c r="D31" s="39">
        <f t="shared" si="2"/>
        <v>1425232901.412468</v>
      </c>
      <c r="E31" s="39">
        <f t="shared" si="2"/>
        <v>1485385537.17</v>
      </c>
      <c r="F31" s="39">
        <f t="shared" si="2"/>
        <v>1450494979.6649208</v>
      </c>
      <c r="G31" s="40">
        <f t="shared" si="2"/>
        <v>1</v>
      </c>
      <c r="H31" s="39">
        <f t="shared" si="2"/>
        <v>1506833677.944921</v>
      </c>
      <c r="I31" s="40">
        <f t="shared" si="2"/>
        <v>1</v>
      </c>
      <c r="J31" s="40">
        <f t="shared" si="2"/>
        <v>7.979727989493313E-17</v>
      </c>
      <c r="K31" s="40">
        <f t="shared" si="2"/>
        <v>3.9898639947466563E-17</v>
      </c>
      <c r="L31" s="40">
        <f t="shared" si="2"/>
        <v>1</v>
      </c>
      <c r="M31" s="39">
        <f t="shared" si="2"/>
        <v>1506833677.944921</v>
      </c>
      <c r="N31" s="39">
        <f t="shared" si="2"/>
        <v>81600776.53245291</v>
      </c>
      <c r="O31" s="41">
        <f>+N31/D31</f>
        <v>0.05725434520321765</v>
      </c>
      <c r="Q31" s="39">
        <f>SUM(Q29,Q27,Q25,Q23,Q21,Q15,Q9)</f>
        <v>7458152.775036529</v>
      </c>
      <c r="R31" s="39">
        <f>SUM(R29,R27,R25,R23,R21,R15,R9)</f>
        <v>81600776.53245291</v>
      </c>
      <c r="S31" s="28">
        <f>+R31/D31</f>
        <v>0.05725434520321765</v>
      </c>
      <c r="T31" s="39">
        <f>SUM(T29,T27,T25,T23,T21,T15,T9)</f>
        <v>81600776.53245291</v>
      </c>
      <c r="U31" s="28">
        <f>+T31/D31</f>
        <v>0.05725434520321765</v>
      </c>
    </row>
    <row r="32" spans="2:21" ht="13.5" thickTop="1">
      <c r="B32" s="25"/>
      <c r="C32" s="42"/>
      <c r="D32" s="43"/>
      <c r="E32" s="42"/>
      <c r="G32" s="42"/>
      <c r="H32" s="42"/>
      <c r="I32" s="42"/>
      <c r="J32" s="42"/>
      <c r="K32" s="42"/>
      <c r="L32" s="42"/>
      <c r="M32" s="42"/>
      <c r="N32" s="42"/>
      <c r="O32" s="42"/>
      <c r="S32" s="42"/>
      <c r="U32" s="42"/>
    </row>
    <row r="33" spans="2:8" ht="13.5" thickBot="1">
      <c r="B33" s="25"/>
      <c r="C33" s="44"/>
      <c r="E33" s="44"/>
      <c r="F33" s="44"/>
      <c r="G33" s="44"/>
      <c r="H33" s="45"/>
    </row>
    <row r="34" spans="1:8" ht="13.5" thickBot="1">
      <c r="A34" s="46" t="s">
        <v>63</v>
      </c>
      <c r="B34" s="47"/>
      <c r="C34" s="48"/>
      <c r="D34" s="49"/>
      <c r="E34" s="48"/>
      <c r="F34" s="48"/>
      <c r="G34" s="48"/>
      <c r="H34" s="50">
        <v>1506833677.944921</v>
      </c>
    </row>
    <row r="35" spans="2:8" ht="13.5" thickBot="1">
      <c r="B35" s="25"/>
      <c r="H35" s="45"/>
    </row>
    <row r="36" spans="1:11" ht="13.5" thickBot="1">
      <c r="A36" s="51" t="s">
        <v>64</v>
      </c>
      <c r="B36" s="47"/>
      <c r="C36" s="49"/>
      <c r="D36" s="49"/>
      <c r="E36" s="49"/>
      <c r="F36" s="49"/>
      <c r="G36" s="49"/>
      <c r="H36" s="49"/>
      <c r="I36" s="49"/>
      <c r="J36" s="49"/>
      <c r="K36" s="52">
        <v>0.5</v>
      </c>
    </row>
    <row r="37" ht="13.5" thickBot="1">
      <c r="B37" s="25"/>
    </row>
    <row r="38" spans="1:16" ht="12.75">
      <c r="A38" s="53" t="s">
        <v>65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>
        <f>1.5*O31</f>
        <v>0.08588151780482647</v>
      </c>
    </row>
    <row r="39" spans="1:16" ht="13.5" thickBot="1">
      <c r="A39" s="57" t="s">
        <v>66</v>
      </c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>
        <f>0.5*O31</f>
        <v>0.028627172601608825</v>
      </c>
    </row>
    <row r="40" ht="12.75">
      <c r="B40" s="25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</sheetData>
  <printOptions/>
  <pageMargins left="0.5" right="0.25" top="2" bottom="1" header="1.5" footer="0.5"/>
  <pageSetup fitToWidth="2" fitToHeight="1" horizontalDpi="600" verticalDpi="600" orientation="landscape" scale="68" r:id="rId1"/>
  <headerFooter alignWithMargins="0">
    <oddHeader>&amp;CPuget Sound Energy
Twelve Months ended September 30, 2003
Summary
Increase Based on Cost of Service Parity Ratios&amp;RDocket No. UE-04______
Exhibit No. _______ (JAH-4)
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22">
      <selection activeCell="E45" sqref="E45:F46"/>
    </sheetView>
  </sheetViews>
  <sheetFormatPr defaultColWidth="9.140625" defaultRowHeight="12.75"/>
  <cols>
    <col min="1" max="1" width="4.57421875" style="0" bestFit="1" customWidth="1"/>
    <col min="2" max="2" width="39.00390625" style="0" bestFit="1" customWidth="1"/>
    <col min="3" max="3" width="20.57421875" style="0" bestFit="1" customWidth="1"/>
    <col min="4" max="4" width="13.8515625" style="0" bestFit="1" customWidth="1"/>
    <col min="5" max="5" width="16.421875" style="0" customWidth="1"/>
    <col min="6" max="6" width="15.421875" style="0" bestFit="1" customWidth="1"/>
    <col min="7" max="7" width="16.7109375" style="0" bestFit="1" customWidth="1"/>
    <col min="8" max="8" width="13.8515625" style="0" bestFit="1" customWidth="1"/>
    <col min="9" max="9" width="14.140625" style="0" customWidth="1"/>
    <col min="10" max="10" width="13.28125" style="0" bestFit="1" customWidth="1"/>
    <col min="11" max="11" width="11.57421875" style="0" bestFit="1" customWidth="1"/>
    <col min="12" max="12" width="12.8515625" style="0" bestFit="1" customWidth="1"/>
    <col min="13" max="13" width="8.00390625" style="0" bestFit="1" customWidth="1"/>
    <col min="14" max="14" width="12.57421875" style="0" bestFit="1" customWidth="1"/>
  </cols>
  <sheetData>
    <row r="1" spans="2:12" ht="12.75">
      <c r="B1" s="1" t="s">
        <v>0</v>
      </c>
      <c r="C1" s="1"/>
      <c r="D1" s="1"/>
      <c r="E1" s="1"/>
      <c r="F1" s="1"/>
      <c r="H1" s="1"/>
      <c r="I1" s="1"/>
      <c r="J1" s="1"/>
      <c r="K1" s="1" t="s">
        <v>67</v>
      </c>
      <c r="L1" s="1"/>
    </row>
    <row r="2" spans="2:12" ht="12.75">
      <c r="B2" s="1" t="s">
        <v>68</v>
      </c>
      <c r="C2" s="1"/>
      <c r="D2" s="1"/>
      <c r="E2" s="1"/>
      <c r="F2" s="1"/>
      <c r="H2" s="1"/>
      <c r="I2" s="1"/>
      <c r="J2" s="1"/>
      <c r="K2" s="1" t="s">
        <v>67</v>
      </c>
      <c r="L2" s="1"/>
    </row>
    <row r="3" spans="2:12" ht="12.75">
      <c r="B3" s="1" t="s">
        <v>69</v>
      </c>
      <c r="C3" s="1"/>
      <c r="D3" s="1"/>
      <c r="E3" s="1"/>
      <c r="F3" s="1"/>
      <c r="H3" s="1"/>
      <c r="I3" s="1"/>
      <c r="J3" s="1"/>
      <c r="K3" s="1" t="s">
        <v>67</v>
      </c>
      <c r="L3" s="1"/>
    </row>
    <row r="5" spans="1:5" s="4" customFormat="1" ht="25.5">
      <c r="A5" s="2" t="s">
        <v>70</v>
      </c>
      <c r="B5" s="2"/>
      <c r="C5" s="3" t="s">
        <v>71</v>
      </c>
      <c r="D5" s="3" t="s">
        <v>72</v>
      </c>
      <c r="E5" s="2"/>
    </row>
    <row r="6" spans="1:2" ht="12.75">
      <c r="A6" s="6">
        <v>1</v>
      </c>
      <c r="B6" s="9" t="s">
        <v>73</v>
      </c>
    </row>
    <row r="7" spans="1:3" ht="12.75">
      <c r="A7" s="6">
        <f aca="true" t="shared" si="0" ref="A7:A38">+A6+1</f>
        <v>2</v>
      </c>
      <c r="B7" s="10" t="s">
        <v>74</v>
      </c>
      <c r="C7" s="61">
        <v>10495072.07104895</v>
      </c>
    </row>
    <row r="8" spans="1:3" ht="12.75">
      <c r="A8" s="6">
        <f t="shared" si="0"/>
        <v>3</v>
      </c>
      <c r="B8" s="10" t="s">
        <v>75</v>
      </c>
      <c r="C8" s="61">
        <v>3216.4338235294113</v>
      </c>
    </row>
    <row r="9" spans="1:3" ht="13.5" thickBot="1">
      <c r="A9" s="6">
        <f t="shared" si="0"/>
        <v>4</v>
      </c>
      <c r="C9" s="62">
        <f>SUM(C7:C8)</f>
        <v>10498288.50487248</v>
      </c>
    </row>
    <row r="10" spans="1:3" ht="13.5" thickTop="1">
      <c r="A10" s="6">
        <f t="shared" si="0"/>
        <v>5</v>
      </c>
      <c r="C10" s="61"/>
    </row>
    <row r="11" spans="1:3" ht="12.75">
      <c r="A11" s="6">
        <f t="shared" si="0"/>
        <v>6</v>
      </c>
      <c r="B11" s="9" t="s">
        <v>76</v>
      </c>
      <c r="C11" s="61"/>
    </row>
    <row r="12" spans="1:5" ht="12.75">
      <c r="A12" s="6">
        <f t="shared" si="0"/>
        <v>7</v>
      </c>
      <c r="B12" s="10" t="s">
        <v>77</v>
      </c>
      <c r="C12" s="61">
        <f>SUM(D12:E12)</f>
        <v>5357297988.156485</v>
      </c>
      <c r="D12" s="61">
        <v>0</v>
      </c>
      <c r="E12" s="61">
        <v>5357297988.156485</v>
      </c>
    </row>
    <row r="13" spans="1:5" ht="12.75">
      <c r="A13" s="6">
        <f t="shared" si="0"/>
        <v>8</v>
      </c>
      <c r="B13" s="10" t="s">
        <v>78</v>
      </c>
      <c r="C13" s="61">
        <f>SUM(D13:E13)</f>
        <v>4399402669.265277</v>
      </c>
      <c r="D13" s="61">
        <v>86881239.42596033</v>
      </c>
      <c r="E13" s="61">
        <v>4312521429.839316</v>
      </c>
    </row>
    <row r="14" spans="1:5" ht="13.5" thickBot="1">
      <c r="A14" s="6">
        <f t="shared" si="0"/>
        <v>9</v>
      </c>
      <c r="C14" s="62">
        <f>SUM(C12:C13)</f>
        <v>9756700657.42176</v>
      </c>
      <c r="D14" s="62">
        <f>SUM(D12:D13)</f>
        <v>86881239.42596033</v>
      </c>
      <c r="E14" s="62">
        <f>SUM(E12:E13)</f>
        <v>9669819417.9958</v>
      </c>
    </row>
    <row r="15" spans="1:10" ht="13.5" thickTop="1">
      <c r="A15" s="6">
        <f t="shared" si="0"/>
        <v>10</v>
      </c>
      <c r="J15" s="63"/>
    </row>
    <row r="16" spans="1:5" ht="12.75">
      <c r="A16" s="6">
        <f t="shared" si="0"/>
        <v>11</v>
      </c>
      <c r="B16" s="64" t="s">
        <v>79</v>
      </c>
      <c r="C16" s="65"/>
      <c r="D16" s="65"/>
      <c r="E16" s="66"/>
    </row>
    <row r="17" spans="1:2" ht="12.75">
      <c r="A17" s="6">
        <f t="shared" si="0"/>
        <v>12</v>
      </c>
      <c r="B17" t="s">
        <v>80</v>
      </c>
    </row>
    <row r="18" spans="1:5" ht="12.75">
      <c r="A18" s="6">
        <f t="shared" si="0"/>
        <v>13</v>
      </c>
      <c r="B18" s="10" t="s">
        <v>74</v>
      </c>
      <c r="C18" s="67">
        <v>5.5</v>
      </c>
      <c r="D18" s="67"/>
      <c r="E18" s="67"/>
    </row>
    <row r="19" spans="1:5" ht="12.75">
      <c r="A19" s="6">
        <f t="shared" si="0"/>
        <v>14</v>
      </c>
      <c r="B19" s="10" t="s">
        <v>75</v>
      </c>
      <c r="C19" s="67">
        <v>13.6</v>
      </c>
      <c r="D19" s="67"/>
      <c r="E19" s="67"/>
    </row>
    <row r="20" ht="12.75">
      <c r="A20" s="6">
        <f t="shared" si="0"/>
        <v>15</v>
      </c>
    </row>
    <row r="21" spans="1:2" ht="12.75">
      <c r="A21" s="6">
        <f t="shared" si="0"/>
        <v>16</v>
      </c>
      <c r="B21" t="s">
        <v>81</v>
      </c>
    </row>
    <row r="22" spans="1:5" ht="12.75">
      <c r="A22" s="6">
        <f t="shared" si="0"/>
        <v>17</v>
      </c>
      <c r="B22" s="10" t="s">
        <v>77</v>
      </c>
      <c r="C22" s="68">
        <v>0.062727</v>
      </c>
      <c r="D22" s="68"/>
      <c r="E22" s="68"/>
    </row>
    <row r="23" spans="1:5" ht="12.75">
      <c r="A23" s="6">
        <f t="shared" si="0"/>
        <v>18</v>
      </c>
      <c r="B23" s="10" t="s">
        <v>78</v>
      </c>
      <c r="C23" s="68">
        <v>0.07914399999999999</v>
      </c>
      <c r="D23" s="68"/>
      <c r="E23" s="68"/>
    </row>
    <row r="24" spans="1:6" ht="12.75">
      <c r="A24" s="6">
        <f t="shared" si="0"/>
        <v>19</v>
      </c>
      <c r="B24" s="10" t="s">
        <v>82</v>
      </c>
      <c r="C24" s="68">
        <v>0.002885558903667507</v>
      </c>
      <c r="D24" s="68"/>
      <c r="E24" s="69" t="s">
        <v>83</v>
      </c>
      <c r="F24" s="70">
        <f>((C23+C24)-(C22+C24))/(C22+C24)</f>
        <v>0.250211244223891</v>
      </c>
    </row>
    <row r="25" spans="1:2" ht="12.75">
      <c r="A25" s="6">
        <f t="shared" si="0"/>
        <v>20</v>
      </c>
      <c r="B25" s="9" t="s">
        <v>84</v>
      </c>
    </row>
    <row r="26" spans="1:3" ht="12.75">
      <c r="A26" s="6">
        <f t="shared" si="0"/>
        <v>21</v>
      </c>
      <c r="B26" s="10" t="s">
        <v>74</v>
      </c>
      <c r="C26" s="14">
        <f>+C18*C7</f>
        <v>57722896.39076923</v>
      </c>
    </row>
    <row r="27" spans="1:3" ht="12.75">
      <c r="A27" s="6">
        <f t="shared" si="0"/>
        <v>22</v>
      </c>
      <c r="B27" s="10" t="s">
        <v>75</v>
      </c>
      <c r="C27" s="14">
        <f>+C8*C19</f>
        <v>43743.49999999999</v>
      </c>
    </row>
    <row r="28" spans="1:3" ht="12.75">
      <c r="A28" s="6">
        <f t="shared" si="0"/>
        <v>23</v>
      </c>
      <c r="B28" s="8" t="s">
        <v>85</v>
      </c>
      <c r="C28" s="71">
        <f>SUM(C26:C27)</f>
        <v>57766639.89076923</v>
      </c>
    </row>
    <row r="29" spans="1:2" ht="12.75">
      <c r="A29" s="6">
        <f t="shared" si="0"/>
        <v>24</v>
      </c>
      <c r="B29" t="s">
        <v>86</v>
      </c>
    </row>
    <row r="30" spans="1:3" ht="12.75">
      <c r="A30" s="6">
        <f t="shared" si="0"/>
        <v>25</v>
      </c>
      <c r="B30" s="10" t="s">
        <v>77</v>
      </c>
      <c r="C30" s="14">
        <f>+C12*C22</f>
        <v>336047230.90309185</v>
      </c>
    </row>
    <row r="31" spans="1:3" ht="12.75">
      <c r="A31" s="6">
        <f t="shared" si="0"/>
        <v>26</v>
      </c>
      <c r="B31" s="10" t="s">
        <v>78</v>
      </c>
      <c r="C31" s="14">
        <f>+C13*C23</f>
        <v>348186324.85633105</v>
      </c>
    </row>
    <row r="32" spans="1:3" ht="12.75">
      <c r="A32" s="6">
        <f t="shared" si="0"/>
        <v>27</v>
      </c>
      <c r="B32" s="10" t="s">
        <v>82</v>
      </c>
      <c r="C32" s="14">
        <f>+C14*C24</f>
        <v>28153534.45244198</v>
      </c>
    </row>
    <row r="33" spans="1:3" ht="12.75">
      <c r="A33" s="6">
        <f t="shared" si="0"/>
        <v>28</v>
      </c>
      <c r="B33" s="5" t="s">
        <v>87</v>
      </c>
      <c r="C33" s="14">
        <f>SUM(C28:C32)</f>
        <v>770153730.1026341</v>
      </c>
    </row>
    <row r="34" ht="12.75">
      <c r="A34" s="6">
        <f t="shared" si="0"/>
        <v>29</v>
      </c>
    </row>
    <row r="35" spans="1:5" ht="12.75">
      <c r="A35" s="6">
        <f t="shared" si="0"/>
        <v>30</v>
      </c>
      <c r="B35" s="64" t="s">
        <v>88</v>
      </c>
      <c r="C35" s="65"/>
      <c r="D35" s="65"/>
      <c r="E35" s="66"/>
    </row>
    <row r="36" spans="1:5" ht="12.75">
      <c r="A36" s="6">
        <f t="shared" si="0"/>
        <v>31</v>
      </c>
      <c r="B36" s="72"/>
      <c r="C36" s="72"/>
      <c r="D36" s="72"/>
      <c r="E36" s="72"/>
    </row>
    <row r="37" spans="1:3" ht="12.75">
      <c r="A37" s="6">
        <f t="shared" si="0"/>
        <v>32</v>
      </c>
      <c r="B37" s="9" t="s">
        <v>76</v>
      </c>
      <c r="C37" s="61"/>
    </row>
    <row r="38" spans="1:5" ht="12.75">
      <c r="A38" s="6">
        <f t="shared" si="0"/>
        <v>33</v>
      </c>
      <c r="B38" s="8" t="s">
        <v>89</v>
      </c>
      <c r="C38" s="61">
        <f>SUM(D38:E38)</f>
        <v>943012109.44261</v>
      </c>
      <c r="D38" s="61">
        <v>0</v>
      </c>
      <c r="E38" s="61">
        <v>943012109.44261</v>
      </c>
    </row>
    <row r="39" spans="1:5" ht="12.75">
      <c r="A39" s="6">
        <f aca="true" t="shared" si="1" ref="A39:A69">+A38+1</f>
        <v>34</v>
      </c>
      <c r="B39" s="10" t="s">
        <v>90</v>
      </c>
      <c r="C39" s="61">
        <f>SUM(D39:E39)</f>
        <v>3456390559.8226666</v>
      </c>
      <c r="D39" s="61">
        <f>D13</f>
        <v>86881239.42596033</v>
      </c>
      <c r="E39" s="61">
        <v>3369509320.396706</v>
      </c>
    </row>
    <row r="40" spans="1:5" ht="13.5" thickBot="1">
      <c r="A40" s="6">
        <f t="shared" si="1"/>
        <v>35</v>
      </c>
      <c r="C40" s="62">
        <f>SUM(C38:C39)</f>
        <v>4399402669.265277</v>
      </c>
      <c r="D40" s="62">
        <f>SUM(D38:D39)</f>
        <v>86881239.42596033</v>
      </c>
      <c r="E40" s="62">
        <f>SUM(E38:E39)</f>
        <v>4312521429.839316</v>
      </c>
    </row>
    <row r="41" spans="1:5" ht="13.5" thickTop="1">
      <c r="A41" s="6">
        <f t="shared" si="1"/>
        <v>36</v>
      </c>
      <c r="B41" s="72"/>
      <c r="C41" s="72"/>
      <c r="D41" s="72"/>
      <c r="E41" s="72"/>
    </row>
    <row r="42" spans="1:5" ht="12.75">
      <c r="A42" s="6">
        <f t="shared" si="1"/>
        <v>37</v>
      </c>
      <c r="B42" s="72"/>
      <c r="C42" s="72"/>
      <c r="D42" s="72"/>
      <c r="E42" s="72"/>
    </row>
    <row r="43" spans="1:5" ht="12.75">
      <c r="A43" s="6">
        <f t="shared" si="1"/>
        <v>38</v>
      </c>
      <c r="B43" s="72"/>
      <c r="C43" s="72"/>
      <c r="D43" s="72"/>
      <c r="E43" s="72"/>
    </row>
    <row r="44" spans="1:5" ht="12.75">
      <c r="A44" s="6">
        <f t="shared" si="1"/>
        <v>39</v>
      </c>
      <c r="B44" s="153" t="s">
        <v>80</v>
      </c>
      <c r="C44" s="154"/>
      <c r="E44" s="72"/>
    </row>
    <row r="45" spans="1:6" ht="12.75">
      <c r="A45" s="6">
        <f t="shared" si="1"/>
        <v>40</v>
      </c>
      <c r="B45" s="159" t="s">
        <v>74</v>
      </c>
      <c r="C45" s="160">
        <v>6.5</v>
      </c>
      <c r="D45" s="73"/>
      <c r="E45" s="74" t="s">
        <v>91</v>
      </c>
      <c r="F45" s="75"/>
    </row>
    <row r="46" spans="1:6" ht="12.75">
      <c r="A46" s="6">
        <f t="shared" si="1"/>
        <v>41</v>
      </c>
      <c r="B46" s="161" t="s">
        <v>75</v>
      </c>
      <c r="C46" s="162">
        <f>ROUND(C19/C18*C45,1)</f>
        <v>16.1</v>
      </c>
      <c r="D46" s="73"/>
      <c r="E46" s="75" t="s">
        <v>92</v>
      </c>
      <c r="F46" s="76"/>
    </row>
    <row r="47" ht="12.75">
      <c r="A47" s="6">
        <f t="shared" si="1"/>
        <v>42</v>
      </c>
    </row>
    <row r="48" spans="1:6" ht="12.75">
      <c r="A48" s="6">
        <f t="shared" si="1"/>
        <v>43</v>
      </c>
      <c r="B48" s="9" t="s">
        <v>93</v>
      </c>
      <c r="C48" s="43">
        <v>56599829.56651819</v>
      </c>
      <c r="E48" s="75" t="s">
        <v>94</v>
      </c>
      <c r="F48" s="75"/>
    </row>
    <row r="49" spans="1:3" ht="12.75">
      <c r="A49" s="6">
        <f t="shared" si="1"/>
        <v>44</v>
      </c>
      <c r="B49" t="s">
        <v>95</v>
      </c>
      <c r="C49" s="13">
        <f>+C48+C33</f>
        <v>826753559.6691523</v>
      </c>
    </row>
    <row r="50" spans="1:3" ht="12.75">
      <c r="A50" s="6">
        <f t="shared" si="1"/>
        <v>45</v>
      </c>
      <c r="B50" s="9" t="s">
        <v>96</v>
      </c>
      <c r="C50" s="77">
        <f>+C48/C33</f>
        <v>0.07349159960437437</v>
      </c>
    </row>
    <row r="51" ht="12.75">
      <c r="A51" s="6">
        <f t="shared" si="1"/>
        <v>46</v>
      </c>
    </row>
    <row r="52" spans="1:2" ht="12.75">
      <c r="A52" s="6">
        <f t="shared" si="1"/>
        <v>47</v>
      </c>
      <c r="B52" s="9" t="s">
        <v>84</v>
      </c>
    </row>
    <row r="53" spans="1:3" ht="12.75">
      <c r="A53" s="6">
        <f t="shared" si="1"/>
        <v>48</v>
      </c>
      <c r="B53" s="10" t="s">
        <v>74</v>
      </c>
      <c r="C53" s="14">
        <f>+C45*C7</f>
        <v>68217968.46181817</v>
      </c>
    </row>
    <row r="54" spans="1:3" ht="12.75">
      <c r="A54" s="6">
        <f t="shared" si="1"/>
        <v>49</v>
      </c>
      <c r="B54" s="10" t="s">
        <v>75</v>
      </c>
      <c r="C54" s="14">
        <f>+C46*C8</f>
        <v>51784.584558823524</v>
      </c>
    </row>
    <row r="55" spans="1:3" ht="12.75">
      <c r="A55" s="6">
        <f t="shared" si="1"/>
        <v>50</v>
      </c>
      <c r="B55" s="8" t="s">
        <v>85</v>
      </c>
      <c r="C55" s="71">
        <f>SUM(C53:C54)</f>
        <v>68269753.046377</v>
      </c>
    </row>
    <row r="56" spans="1:3" ht="12.75">
      <c r="A56" s="6">
        <f t="shared" si="1"/>
        <v>51</v>
      </c>
      <c r="B56" s="8"/>
      <c r="C56" s="14"/>
    </row>
    <row r="57" spans="1:3" ht="12.75">
      <c r="A57" s="6">
        <f t="shared" si="1"/>
        <v>52</v>
      </c>
      <c r="B57" s="10" t="s">
        <v>97</v>
      </c>
      <c r="C57" s="14">
        <f>+C49-C55</f>
        <v>758483806.6227753</v>
      </c>
    </row>
    <row r="58" spans="1:3" ht="12.75">
      <c r="A58" s="6">
        <f t="shared" si="1"/>
        <v>53</v>
      </c>
      <c r="B58" s="10"/>
      <c r="C58" s="14"/>
    </row>
    <row r="59" spans="1:3" ht="12.75">
      <c r="A59" s="6">
        <f t="shared" si="1"/>
        <v>54</v>
      </c>
      <c r="B59" s="153" t="s">
        <v>81</v>
      </c>
      <c r="C59" s="154"/>
    </row>
    <row r="60" spans="1:8" ht="12.75">
      <c r="A60" s="6">
        <f t="shared" si="1"/>
        <v>55</v>
      </c>
      <c r="B60" s="155" t="s">
        <v>98</v>
      </c>
      <c r="C60" s="156">
        <f>ROUND(C22*(1.1)*(C57/SUM(C30:C32)),6)</f>
        <v>0.073464</v>
      </c>
      <c r="E60" s="74" t="s">
        <v>99</v>
      </c>
      <c r="F60" s="76"/>
      <c r="H60" s="78"/>
    </row>
    <row r="61" spans="1:8" ht="12.75">
      <c r="A61" s="6">
        <f t="shared" si="1"/>
        <v>56</v>
      </c>
      <c r="B61" s="157" t="s">
        <v>100</v>
      </c>
      <c r="C61" s="158">
        <f>ROUND((C57-C60*(C12+C38))/C39,6)</f>
        <v>0.085534</v>
      </c>
      <c r="D61" s="77">
        <f>(C61-C60)/C60</f>
        <v>0.16429815964281821</v>
      </c>
      <c r="E61" s="74" t="s">
        <v>101</v>
      </c>
      <c r="F61" s="76"/>
      <c r="H61" s="78"/>
    </row>
    <row r="62" ht="12.75">
      <c r="A62" s="6">
        <f t="shared" si="1"/>
        <v>57</v>
      </c>
    </row>
    <row r="63" spans="1:2" ht="12.75">
      <c r="A63" s="6">
        <f t="shared" si="1"/>
        <v>58</v>
      </c>
      <c r="B63" t="s">
        <v>86</v>
      </c>
    </row>
    <row r="64" spans="1:4" ht="12.75">
      <c r="A64" s="6">
        <f t="shared" si="1"/>
        <v>59</v>
      </c>
      <c r="B64" s="10" t="s">
        <v>102</v>
      </c>
      <c r="C64" s="13">
        <f>C60*(C12+C38)</f>
        <v>462845981.0100199</v>
      </c>
      <c r="D64" s="13">
        <v>462845981.0100199</v>
      </c>
    </row>
    <row r="65" spans="1:4" ht="12.75">
      <c r="A65" s="6">
        <f t="shared" si="1"/>
        <v>60</v>
      </c>
      <c r="B65" s="10" t="s">
        <v>90</v>
      </c>
      <c r="C65" s="13">
        <f>C61*C39</f>
        <v>295638910.14387196</v>
      </c>
      <c r="D65" s="68"/>
    </row>
    <row r="66" spans="1:4" ht="12.75">
      <c r="A66" s="6">
        <f t="shared" si="1"/>
        <v>61</v>
      </c>
      <c r="B66" s="8"/>
      <c r="D66" s="13"/>
    </row>
    <row r="67" spans="1:7" ht="12.75">
      <c r="A67" s="6">
        <f t="shared" si="1"/>
        <v>62</v>
      </c>
      <c r="B67" t="s">
        <v>103</v>
      </c>
      <c r="C67" s="14">
        <f>+C65+C64+C55</f>
        <v>826754644.2002687</v>
      </c>
      <c r="D67" s="13"/>
      <c r="G67" s="14"/>
    </row>
    <row r="68" spans="1:7" ht="12.75">
      <c r="A68" s="6">
        <f t="shared" si="1"/>
        <v>63</v>
      </c>
      <c r="B68" s="163" t="s">
        <v>104</v>
      </c>
      <c r="C68" s="164">
        <f>+C49-C67</f>
        <v>-1084.5311164855957</v>
      </c>
      <c r="G68" s="14"/>
    </row>
    <row r="69" spans="1:7" ht="12.75">
      <c r="A69" s="6">
        <f t="shared" si="1"/>
        <v>64</v>
      </c>
      <c r="G69" s="14"/>
    </row>
  </sheetData>
  <printOptions horizontalCentered="1"/>
  <pageMargins left="1.5" right="0.25" top="1" bottom="0.75" header="1" footer="0.5"/>
  <pageSetup cellComments="asDisplayed" fitToHeight="1" fitToWidth="1" horizontalDpi="600" verticalDpi="600" orientation="portrait" scale="71" r:id="rId1"/>
  <headerFooter alignWithMargins="0">
    <oddHeader>&amp;RDocket No. UE-04______
Exhibit No. _______ (JAH-4)
Page &amp;P of &amp;N</oddHeader>
    <oddFooter>&amp;LSchedule 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85" zoomScaleNormal="85" workbookViewId="0" topLeftCell="A1">
      <selection activeCell="A61" sqref="A61"/>
    </sheetView>
  </sheetViews>
  <sheetFormatPr defaultColWidth="9.140625" defaultRowHeight="12.75"/>
  <cols>
    <col min="1" max="1" width="4.57421875" style="79" customWidth="1"/>
    <col min="2" max="2" width="40.00390625" style="79" bestFit="1" customWidth="1"/>
    <col min="3" max="3" width="21.00390625" style="79" bestFit="1" customWidth="1"/>
    <col min="4" max="5" width="14.8515625" style="79" customWidth="1"/>
    <col min="6" max="6" width="14.28125" style="79" customWidth="1"/>
    <col min="7" max="7" width="15.140625" style="79" bestFit="1" customWidth="1"/>
    <col min="8" max="8" width="14.7109375" style="79" bestFit="1" customWidth="1"/>
    <col min="9" max="9" width="15.8515625" style="79" bestFit="1" customWidth="1"/>
    <col min="10" max="10" width="13.57421875" style="79" bestFit="1" customWidth="1"/>
    <col min="11" max="11" width="12.28125" style="79" bestFit="1" customWidth="1"/>
    <col min="12" max="12" width="13.140625" style="79" bestFit="1" customWidth="1"/>
    <col min="13" max="16384" width="9.140625" style="79" customWidth="1"/>
  </cols>
  <sheetData>
    <row r="1" spans="2:9" ht="12.75">
      <c r="B1" s="80" t="s">
        <v>0</v>
      </c>
      <c r="C1" s="80"/>
      <c r="D1" s="80"/>
      <c r="E1" s="80"/>
      <c r="F1" s="80"/>
      <c r="G1" s="80"/>
      <c r="H1" s="81"/>
      <c r="I1" s="81"/>
    </row>
    <row r="2" spans="2:9" ht="12.75">
      <c r="B2" s="80" t="s">
        <v>68</v>
      </c>
      <c r="C2" s="80"/>
      <c r="D2" s="80"/>
      <c r="E2" s="80"/>
      <c r="F2" s="80"/>
      <c r="G2" s="80"/>
      <c r="H2" s="81"/>
      <c r="I2" s="81"/>
    </row>
    <row r="3" spans="2:9" ht="12.75">
      <c r="B3" s="80" t="s">
        <v>44</v>
      </c>
      <c r="C3" s="80"/>
      <c r="D3" s="80"/>
      <c r="E3" s="80"/>
      <c r="F3" s="80"/>
      <c r="G3" s="80"/>
      <c r="H3" s="81"/>
      <c r="I3" s="81"/>
    </row>
    <row r="4" spans="2:9" ht="12.75">
      <c r="B4" s="80" t="s">
        <v>105</v>
      </c>
      <c r="C4" s="80"/>
      <c r="D4" s="80"/>
      <c r="E4" s="80"/>
      <c r="F4" s="80"/>
      <c r="G4" s="80"/>
      <c r="H4" s="81"/>
      <c r="I4" s="81"/>
    </row>
    <row r="5" spans="8:9" ht="12.75">
      <c r="H5" s="81"/>
      <c r="I5" s="81"/>
    </row>
    <row r="6" spans="1:5" s="81" customFormat="1" ht="25.5">
      <c r="A6" s="82" t="s">
        <v>70</v>
      </c>
      <c r="B6" s="82"/>
      <c r="C6" s="3" t="s">
        <v>71</v>
      </c>
      <c r="D6" s="82" t="s">
        <v>106</v>
      </c>
      <c r="E6" s="82" t="s">
        <v>107</v>
      </c>
    </row>
    <row r="7" spans="1:2" ht="12.75">
      <c r="A7" s="83">
        <v>1</v>
      </c>
      <c r="B7" s="84" t="s">
        <v>73</v>
      </c>
    </row>
    <row r="8" spans="1:3" ht="12.75">
      <c r="A8" s="83">
        <f>+A7+1</f>
        <v>2</v>
      </c>
      <c r="B8" s="85" t="s">
        <v>74</v>
      </c>
      <c r="C8" s="86">
        <v>954004.2297902098</v>
      </c>
    </row>
    <row r="9" spans="1:3" ht="12.75">
      <c r="A9" s="83">
        <f>+A8+1</f>
        <v>3</v>
      </c>
      <c r="B9" s="85" t="s">
        <v>75</v>
      </c>
      <c r="C9" s="86">
        <v>351858.924304996</v>
      </c>
    </row>
    <row r="10" spans="1:3" ht="13.5" thickBot="1">
      <c r="A10" s="83">
        <f>+A9+1</f>
        <v>4</v>
      </c>
      <c r="C10" s="87">
        <f>SUM(C8:C9)</f>
        <v>1305863.1540952057</v>
      </c>
    </row>
    <row r="11" spans="1:5" ht="13.5" thickTop="1">
      <c r="A11" s="83">
        <f>+A10+1</f>
        <v>5</v>
      </c>
      <c r="B11" s="84" t="s">
        <v>76</v>
      </c>
      <c r="C11" s="86"/>
      <c r="D11" s="86"/>
      <c r="E11" s="86"/>
    </row>
    <row r="12" spans="1:5" ht="12.75">
      <c r="A12" s="83">
        <f>+A11+1</f>
        <v>6</v>
      </c>
      <c r="B12" s="88" t="s">
        <v>108</v>
      </c>
      <c r="C12" s="86">
        <f>SUM(D12:E12)</f>
        <v>2382776164.6929</v>
      </c>
      <c r="D12" s="86">
        <v>1257189864.3315</v>
      </c>
      <c r="E12" s="86">
        <v>1125586300.3614001</v>
      </c>
    </row>
    <row r="13" spans="1:5" ht="12.75">
      <c r="A13" s="83"/>
      <c r="B13" s="85" t="s">
        <v>109</v>
      </c>
      <c r="C13" s="86">
        <f>SUM(D13:E13)</f>
        <v>561941.5017706435</v>
      </c>
      <c r="D13" s="86">
        <v>8390946.054473223</v>
      </c>
      <c r="E13" s="86">
        <v>-7829004.55270258</v>
      </c>
    </row>
    <row r="14" spans="1:5" ht="13.5" thickBot="1">
      <c r="A14" s="83">
        <f>+A12+1</f>
        <v>7</v>
      </c>
      <c r="B14" s="79" t="s">
        <v>71</v>
      </c>
      <c r="C14" s="87">
        <f>SUM(C12:C13)</f>
        <v>2383338106.1946707</v>
      </c>
      <c r="D14" s="87">
        <f>SUM(D12:D13)</f>
        <v>1265580810.3859732</v>
      </c>
      <c r="E14" s="87">
        <f>SUM(E12:E13)</f>
        <v>1117757295.8086975</v>
      </c>
    </row>
    <row r="15" spans="1:12" ht="13.5" thickTop="1">
      <c r="A15" s="83">
        <f aca="true" t="shared" si="0" ref="A15:A39">+A14+1</f>
        <v>8</v>
      </c>
      <c r="C15" s="89"/>
      <c r="D15" s="89"/>
      <c r="E15" s="89"/>
      <c r="J15" s="89"/>
      <c r="K15" s="89"/>
      <c r="L15" s="89"/>
    </row>
    <row r="16" ht="12.75">
      <c r="A16" s="83">
        <f t="shared" si="0"/>
        <v>9</v>
      </c>
    </row>
    <row r="17" spans="1:5" ht="12.75">
      <c r="A17" s="83">
        <f t="shared" si="0"/>
        <v>10</v>
      </c>
      <c r="B17" s="90" t="str">
        <f>+'Residential Schedule 7'!B16</f>
        <v>Current Base Rates Effective 10-1-03</v>
      </c>
      <c r="C17" s="91"/>
      <c r="D17" s="91"/>
      <c r="E17" s="92"/>
    </row>
    <row r="18" spans="1:2" ht="12.75">
      <c r="A18" s="83">
        <f t="shared" si="0"/>
        <v>11</v>
      </c>
      <c r="B18" s="79" t="s">
        <v>80</v>
      </c>
    </row>
    <row r="19" spans="1:3" ht="12.75">
      <c r="A19" s="83">
        <f t="shared" si="0"/>
        <v>12</v>
      </c>
      <c r="B19" s="85" t="s">
        <v>74</v>
      </c>
      <c r="C19" s="93">
        <v>5.5</v>
      </c>
    </row>
    <row r="20" spans="1:3" ht="12.75">
      <c r="A20" s="83">
        <f t="shared" si="0"/>
        <v>13</v>
      </c>
      <c r="B20" s="85" t="s">
        <v>75</v>
      </c>
      <c r="C20" s="93">
        <v>13.6</v>
      </c>
    </row>
    <row r="21" ht="12.75">
      <c r="A21" s="83">
        <f t="shared" si="0"/>
        <v>14</v>
      </c>
    </row>
    <row r="22" spans="1:2" ht="12.75">
      <c r="A22" s="83">
        <f t="shared" si="0"/>
        <v>15</v>
      </c>
      <c r="B22" s="79" t="s">
        <v>81</v>
      </c>
    </row>
    <row r="23" spans="1:5" ht="12.75">
      <c r="A23" s="83">
        <f t="shared" si="0"/>
        <v>16</v>
      </c>
      <c r="B23" s="85" t="s">
        <v>110</v>
      </c>
      <c r="D23" s="94">
        <v>0.06754500000000001</v>
      </c>
      <c r="E23" s="94">
        <v>0.064967</v>
      </c>
    </row>
    <row r="24" spans="1:3" ht="12.75">
      <c r="A24" s="83">
        <f t="shared" si="0"/>
        <v>17</v>
      </c>
      <c r="B24" s="85" t="s">
        <v>82</v>
      </c>
      <c r="C24" s="94">
        <v>0.0029115101888329818</v>
      </c>
    </row>
    <row r="25" spans="1:2" ht="12.75">
      <c r="A25" s="83">
        <f t="shared" si="0"/>
        <v>18</v>
      </c>
      <c r="B25" s="84" t="s">
        <v>84</v>
      </c>
    </row>
    <row r="26" spans="1:3" ht="12.75">
      <c r="A26" s="83">
        <f t="shared" si="0"/>
        <v>19</v>
      </c>
      <c r="B26" s="85" t="s">
        <v>74</v>
      </c>
      <c r="C26" s="95">
        <f>+C8*C19</f>
        <v>5247023.263846153</v>
      </c>
    </row>
    <row r="27" spans="1:3" ht="12.75">
      <c r="A27" s="83">
        <f t="shared" si="0"/>
        <v>20</v>
      </c>
      <c r="B27" s="85" t="s">
        <v>75</v>
      </c>
      <c r="C27" s="95">
        <f>+C9*C20</f>
        <v>4785281.370547946</v>
      </c>
    </row>
    <row r="28" spans="1:3" ht="12.75">
      <c r="A28" s="83">
        <f t="shared" si="0"/>
        <v>21</v>
      </c>
      <c r="B28" s="88" t="s">
        <v>85</v>
      </c>
      <c r="C28" s="96">
        <f>SUM(C26:C27)</f>
        <v>10032304.634394098</v>
      </c>
    </row>
    <row r="29" spans="1:2" ht="12.75">
      <c r="A29" s="83">
        <f t="shared" si="0"/>
        <v>22</v>
      </c>
      <c r="B29" s="79" t="s">
        <v>86</v>
      </c>
    </row>
    <row r="30" spans="1:5" ht="12.75">
      <c r="A30" s="83">
        <f t="shared" si="0"/>
        <v>23</v>
      </c>
      <c r="B30" s="85" t="s">
        <v>110</v>
      </c>
      <c r="C30" s="95">
        <f>SUM(D30:E30)</f>
        <v>158100994.07432422</v>
      </c>
      <c r="D30" s="97">
        <f>+D14*D23</f>
        <v>85483655.83752057</v>
      </c>
      <c r="E30" s="97">
        <f>+E14*E23</f>
        <v>72617338.23680365</v>
      </c>
    </row>
    <row r="31" spans="1:5" ht="12.75">
      <c r="A31" s="83">
        <f t="shared" si="0"/>
        <v>24</v>
      </c>
      <c r="B31" s="85" t="s">
        <v>82</v>
      </c>
      <c r="C31" s="95">
        <f>+C24*C14</f>
        <v>6939113.179619687</v>
      </c>
      <c r="D31" s="97"/>
      <c r="E31" s="97"/>
    </row>
    <row r="32" spans="1:6" ht="12.75">
      <c r="A32" s="83">
        <f t="shared" si="0"/>
        <v>25</v>
      </c>
      <c r="B32" s="79" t="s">
        <v>87</v>
      </c>
      <c r="C32" s="95">
        <f>SUM(C30,C28,C31)</f>
        <v>175072411.88833803</v>
      </c>
      <c r="D32" s="97"/>
      <c r="E32" s="97"/>
      <c r="F32" s="95"/>
    </row>
    <row r="33" ht="12.75">
      <c r="A33" s="83">
        <f t="shared" si="0"/>
        <v>26</v>
      </c>
    </row>
    <row r="34" spans="1:5" ht="12.75">
      <c r="A34" s="83">
        <f t="shared" si="0"/>
        <v>27</v>
      </c>
      <c r="B34" s="90" t="str">
        <f>+'Residential Schedule 7'!B35</f>
        <v>Proposed Rates Effective 2005</v>
      </c>
      <c r="C34" s="91"/>
      <c r="D34" s="91"/>
      <c r="E34" s="92"/>
    </row>
    <row r="35" spans="1:5" ht="12.75">
      <c r="A35" s="83">
        <f t="shared" si="0"/>
        <v>28</v>
      </c>
      <c r="B35" s="98"/>
      <c r="C35" s="98"/>
      <c r="D35" s="98"/>
      <c r="E35" s="98"/>
    </row>
    <row r="36" spans="1:5" ht="12.75">
      <c r="A36" s="83">
        <f t="shared" si="0"/>
        <v>29</v>
      </c>
      <c r="B36" s="153" t="s">
        <v>80</v>
      </c>
      <c r="C36" s="154"/>
      <c r="E36" s="99"/>
    </row>
    <row r="37" spans="1:6" ht="12.75">
      <c r="A37" s="83">
        <f t="shared" si="0"/>
        <v>30</v>
      </c>
      <c r="B37" s="159" t="s">
        <v>74</v>
      </c>
      <c r="C37" s="165">
        <f>+'Residential Schedule 7'!C45</f>
        <v>6.5</v>
      </c>
      <c r="D37" s="100"/>
      <c r="E37" s="101" t="s">
        <v>111</v>
      </c>
      <c r="F37" s="102"/>
    </row>
    <row r="38" spans="1:6" ht="12.75">
      <c r="A38" s="83">
        <f t="shared" si="0"/>
        <v>31</v>
      </c>
      <c r="B38" s="161" t="s">
        <v>75</v>
      </c>
      <c r="C38" s="166">
        <f>+'Residential Schedule 7'!C46</f>
        <v>16.1</v>
      </c>
      <c r="D38" s="100"/>
      <c r="E38" s="101" t="s">
        <v>111</v>
      </c>
      <c r="F38" s="102"/>
    </row>
    <row r="39" ht="12.75">
      <c r="A39" s="83">
        <f t="shared" si="0"/>
        <v>32</v>
      </c>
    </row>
    <row r="40" spans="1:6" ht="12.75">
      <c r="A40" s="83">
        <f>+A41+1</f>
        <v>34</v>
      </c>
      <c r="B40" s="84" t="s">
        <v>93</v>
      </c>
      <c r="C40" s="103">
        <v>6636228.718713939</v>
      </c>
      <c r="E40" s="75" t="s">
        <v>94</v>
      </c>
      <c r="F40" s="75"/>
    </row>
    <row r="41" spans="1:3" ht="12.75">
      <c r="A41" s="83">
        <f>+A39+1</f>
        <v>33</v>
      </c>
      <c r="B41" s="79" t="s">
        <v>95</v>
      </c>
      <c r="C41" s="97">
        <f>+C40+C32</f>
        <v>181708640.60705197</v>
      </c>
    </row>
    <row r="42" spans="1:3" ht="12.75">
      <c r="A42" s="83">
        <f>+A40+1</f>
        <v>35</v>
      </c>
      <c r="B42" s="84" t="s">
        <v>112</v>
      </c>
      <c r="C42" s="104">
        <f>+C40/C32</f>
        <v>0.03790562229157245</v>
      </c>
    </row>
    <row r="43" ht="12.75">
      <c r="A43" s="83">
        <f aca="true" t="shared" si="1" ref="A43:A60">+A42+1</f>
        <v>36</v>
      </c>
    </row>
    <row r="44" spans="1:2" ht="12.75">
      <c r="A44" s="83">
        <f t="shared" si="1"/>
        <v>37</v>
      </c>
      <c r="B44" s="84" t="s">
        <v>84</v>
      </c>
    </row>
    <row r="45" spans="1:3" ht="12.75">
      <c r="A45" s="83">
        <f t="shared" si="1"/>
        <v>38</v>
      </c>
      <c r="B45" s="85" t="s">
        <v>74</v>
      </c>
      <c r="C45" s="95">
        <f>+C37*C8</f>
        <v>6201027.493636364</v>
      </c>
    </row>
    <row r="46" spans="1:3" ht="12.75">
      <c r="A46" s="83">
        <f t="shared" si="1"/>
        <v>39</v>
      </c>
      <c r="B46" s="85" t="s">
        <v>75</v>
      </c>
      <c r="C46" s="95">
        <f>+C38*C9</f>
        <v>5664928.681310436</v>
      </c>
    </row>
    <row r="47" spans="1:3" ht="12.75">
      <c r="A47" s="83">
        <f t="shared" si="1"/>
        <v>40</v>
      </c>
      <c r="B47" s="88" t="s">
        <v>85</v>
      </c>
      <c r="C47" s="96">
        <f>SUM(C45:C46)</f>
        <v>11865956.1749468</v>
      </c>
    </row>
    <row r="48" spans="1:3" ht="12.75">
      <c r="A48" s="83">
        <f t="shared" si="1"/>
        <v>41</v>
      </c>
      <c r="B48" s="88"/>
      <c r="C48" s="95"/>
    </row>
    <row r="49" spans="1:3" ht="12.75">
      <c r="A49" s="83">
        <f t="shared" si="1"/>
        <v>42</v>
      </c>
      <c r="B49" s="85" t="s">
        <v>97</v>
      </c>
      <c r="C49" s="95">
        <f>+C41-C47</f>
        <v>169842684.43210518</v>
      </c>
    </row>
    <row r="50" spans="1:4" ht="12.75">
      <c r="A50" s="83">
        <f t="shared" si="1"/>
        <v>43</v>
      </c>
      <c r="B50" s="85"/>
      <c r="C50" s="95"/>
      <c r="D50"/>
    </row>
    <row r="51" spans="1:7" ht="12.75">
      <c r="A51" s="83">
        <f t="shared" si="1"/>
        <v>44</v>
      </c>
      <c r="B51" s="153" t="s">
        <v>81</v>
      </c>
      <c r="C51" s="154"/>
      <c r="D51"/>
      <c r="E51" s="74" t="s">
        <v>113</v>
      </c>
      <c r="F51" s="105"/>
      <c r="G51" s="105"/>
    </row>
    <row r="52" spans="1:7" ht="12.75">
      <c r="A52" s="83">
        <f t="shared" si="1"/>
        <v>45</v>
      </c>
      <c r="B52" s="155" t="s">
        <v>114</v>
      </c>
      <c r="C52" s="156">
        <f>ROUND(C53*(D23/E23),6)</f>
        <v>0.072561</v>
      </c>
      <c r="D52"/>
      <c r="E52" s="106">
        <f>D23/E23</f>
        <v>1.0396816845475396</v>
      </c>
      <c r="F52" s="107"/>
      <c r="G52" s="107"/>
    </row>
    <row r="53" spans="1:4" ht="12.75">
      <c r="A53" s="83">
        <f t="shared" si="1"/>
        <v>46</v>
      </c>
      <c r="B53" s="157" t="s">
        <v>115</v>
      </c>
      <c r="C53" s="158">
        <f>ROUND(C49/(E14+D14*(D23/E23)),6)</f>
        <v>0.069792</v>
      </c>
      <c r="D53"/>
    </row>
    <row r="54" spans="1:7" ht="12.75">
      <c r="A54" s="83">
        <f t="shared" si="1"/>
        <v>47</v>
      </c>
      <c r="G54" s="108"/>
    </row>
    <row r="55" spans="1:7" ht="12.75">
      <c r="A55" s="83">
        <f t="shared" si="1"/>
        <v>48</v>
      </c>
      <c r="B55" s="79" t="s">
        <v>86</v>
      </c>
      <c r="G55" s="108"/>
    </row>
    <row r="56" ht="12.75">
      <c r="A56" s="83">
        <f t="shared" si="1"/>
        <v>49</v>
      </c>
    </row>
    <row r="57" spans="1:4" ht="12.75">
      <c r="A57" s="83">
        <f t="shared" si="1"/>
        <v>50</v>
      </c>
      <c r="B57" s="85" t="s">
        <v>110</v>
      </c>
      <c r="C57" s="97">
        <f>+C52*D14+C53*E14</f>
        <v>169842326.3714972</v>
      </c>
      <c r="D57" s="94"/>
    </row>
    <row r="58" spans="1:4" ht="12.75">
      <c r="A58" s="83">
        <f t="shared" si="1"/>
        <v>51</v>
      </c>
      <c r="B58" s="88"/>
      <c r="D58" s="97"/>
    </row>
    <row r="59" spans="1:4" ht="12.75">
      <c r="A59" s="83">
        <f t="shared" si="1"/>
        <v>52</v>
      </c>
      <c r="B59" s="79" t="s">
        <v>103</v>
      </c>
      <c r="C59" s="95">
        <f>+C57+C47</f>
        <v>181708282.546444</v>
      </c>
      <c r="D59" s="95"/>
    </row>
    <row r="60" spans="1:3" ht="12.75">
      <c r="A60" s="83">
        <f t="shared" si="1"/>
        <v>53</v>
      </c>
      <c r="B60" s="163" t="s">
        <v>104</v>
      </c>
      <c r="C60" s="164">
        <f>+C59-C41</f>
        <v>-358.0606079697609</v>
      </c>
    </row>
    <row r="61" ht="12.75">
      <c r="A61" s="83"/>
    </row>
    <row r="62" spans="6:8" ht="12.75">
      <c r="F62"/>
      <c r="G62"/>
      <c r="H62" s="14"/>
    </row>
    <row r="63" spans="6:8" ht="12.75">
      <c r="F63"/>
      <c r="G63" s="14"/>
      <c r="H63"/>
    </row>
    <row r="64" spans="6:8" ht="12.75">
      <c r="F64"/>
      <c r="G64"/>
      <c r="H64" s="14"/>
    </row>
  </sheetData>
  <printOptions horizontalCentered="1"/>
  <pageMargins left="1.5" right="0.25" top="1" bottom="0.75" header="1" footer="0.5"/>
  <pageSetup cellComments="asDisplayed" fitToHeight="1" fitToWidth="1" horizontalDpi="600" verticalDpi="600" orientation="portrait" scale="70" r:id="rId1"/>
  <headerFooter alignWithMargins="0">
    <oddHeader>&amp;RDocket No. UE-04______
Exhibit No. _______ (JAH-4)
Page &amp;P of &amp;N</oddHeader>
    <oddFooter>&amp;LSchedule 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T1" sqref="J1:T16384"/>
    </sheetView>
  </sheetViews>
  <sheetFormatPr defaultColWidth="9.140625" defaultRowHeight="12.75"/>
  <cols>
    <col min="1" max="1" width="21.0039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8515625" style="0" bestFit="1" customWidth="1"/>
    <col min="10" max="10" width="7.8515625" style="0" bestFit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307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+'Summary Proforma Proposed'!A3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233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323</v>
      </c>
      <c r="B5" s="1"/>
      <c r="C5" s="1"/>
      <c r="D5" s="1"/>
      <c r="E5" s="1"/>
      <c r="F5" s="1"/>
      <c r="G5" s="1"/>
      <c r="H5" s="1"/>
      <c r="I5" s="1"/>
      <c r="J5" s="1"/>
    </row>
    <row r="7" spans="2:8" ht="12.75">
      <c r="B7" s="64" t="s">
        <v>324</v>
      </c>
      <c r="C7" s="65"/>
      <c r="D7" s="66"/>
      <c r="E7" s="244" t="s">
        <v>325</v>
      </c>
      <c r="F7" s="245"/>
      <c r="G7" s="246" t="s">
        <v>326</v>
      </c>
      <c r="H7" s="245"/>
    </row>
    <row r="8" spans="3:10" ht="12.75">
      <c r="C8" s="240" t="s">
        <v>327</v>
      </c>
      <c r="D8" s="247"/>
      <c r="E8" s="248" t="s">
        <v>328</v>
      </c>
      <c r="F8" s="249"/>
      <c r="G8" s="250" t="s">
        <v>329</v>
      </c>
      <c r="H8" s="249"/>
      <c r="I8" s="64" t="s">
        <v>330</v>
      </c>
      <c r="J8" s="66"/>
    </row>
    <row r="9" spans="1:10" ht="12.75">
      <c r="A9" s="251"/>
      <c r="B9" s="251"/>
      <c r="C9" s="251" t="s">
        <v>331</v>
      </c>
      <c r="D9" s="251" t="s">
        <v>71</v>
      </c>
      <c r="E9" s="252" t="s">
        <v>332</v>
      </c>
      <c r="F9" s="253" t="s">
        <v>333</v>
      </c>
      <c r="G9" s="251" t="s">
        <v>332</v>
      </c>
      <c r="H9" s="253" t="s">
        <v>333</v>
      </c>
      <c r="I9" s="252" t="s">
        <v>334</v>
      </c>
      <c r="J9" s="253" t="s">
        <v>335</v>
      </c>
    </row>
    <row r="10" spans="1:10" ht="12.75">
      <c r="A10" s="9" t="s">
        <v>336</v>
      </c>
      <c r="B10" s="228">
        <v>10495072.07104895</v>
      </c>
      <c r="C10" s="228"/>
      <c r="D10" s="228">
        <f>+B10</f>
        <v>10495072.07104895</v>
      </c>
      <c r="E10" s="73">
        <v>5.5</v>
      </c>
      <c r="F10" s="13">
        <f>+E10*D10</f>
        <v>57722896.39076923</v>
      </c>
      <c r="G10" s="254">
        <v>6.5</v>
      </c>
      <c r="H10" s="13">
        <f>+G10*B10</f>
        <v>68217968.46181817</v>
      </c>
      <c r="I10" s="14">
        <f>+H10-F10</f>
        <v>10495072.071048945</v>
      </c>
      <c r="J10" s="255">
        <f>+I10/F10</f>
        <v>0.1818181818181817</v>
      </c>
    </row>
    <row r="11" spans="1:10" ht="12.75">
      <c r="A11" t="s">
        <v>337</v>
      </c>
      <c r="B11" s="228">
        <v>3216.4338235294113</v>
      </c>
      <c r="C11" s="228"/>
      <c r="D11" s="228">
        <f>+B11</f>
        <v>3216.4338235294113</v>
      </c>
      <c r="E11" s="73">
        <v>13.6</v>
      </c>
      <c r="F11" s="13">
        <f>+E11*D11</f>
        <v>43743.49999999999</v>
      </c>
      <c r="G11" s="254">
        <v>16.1</v>
      </c>
      <c r="H11" s="13">
        <f>+G11*B11</f>
        <v>51784.584558823524</v>
      </c>
      <c r="I11" s="14">
        <f>+H11-F11</f>
        <v>8041.084558823532</v>
      </c>
      <c r="J11" s="255">
        <f>+I11/F11</f>
        <v>0.18382352941176477</v>
      </c>
    </row>
    <row r="12" spans="1:10" ht="12.75">
      <c r="A12" t="s">
        <v>338</v>
      </c>
      <c r="B12" s="231">
        <f>SUM(B10:B11)</f>
        <v>10498288.50487248</v>
      </c>
      <c r="C12" s="231"/>
      <c r="D12" s="231">
        <f>SUM(D10:D11)</f>
        <v>10498288.50487248</v>
      </c>
      <c r="F12" s="7">
        <f>SUM(F10:F11)</f>
        <v>57766639.89076923</v>
      </c>
      <c r="H12" s="7">
        <f>SUM(H10:H11)</f>
        <v>68269753.046377</v>
      </c>
      <c r="I12" s="7">
        <f>SUM(I10:I11)</f>
        <v>10503113.15560777</v>
      </c>
      <c r="J12" s="256">
        <f>+I12/F12</f>
        <v>0.18181970035764716</v>
      </c>
    </row>
    <row r="13" spans="6:8" ht="12.75">
      <c r="F13" s="13"/>
      <c r="H13" s="13"/>
    </row>
    <row r="14" spans="1:10" ht="12.75">
      <c r="A14" t="s">
        <v>339</v>
      </c>
      <c r="B14" s="61">
        <v>5357297988.156485</v>
      </c>
      <c r="C14" s="61"/>
      <c r="D14" s="61">
        <f>+C14+B14</f>
        <v>5357297988.156485</v>
      </c>
      <c r="E14" s="68">
        <v>0.062727</v>
      </c>
      <c r="F14" s="13">
        <f>+E14*D14</f>
        <v>336047230.90309185</v>
      </c>
      <c r="G14" s="68">
        <v>0.073464</v>
      </c>
      <c r="H14" s="13">
        <f>+G14*D14</f>
        <v>393568539.401928</v>
      </c>
      <c r="I14" s="14">
        <f>+H14-F14</f>
        <v>57521308.49883616</v>
      </c>
      <c r="J14" s="255">
        <f>+I14/F14</f>
        <v>0.1711703094361279</v>
      </c>
    </row>
    <row r="15" spans="1:10" ht="12.75">
      <c r="A15" t="s">
        <v>340</v>
      </c>
      <c r="B15" s="61">
        <v>943012109.44261</v>
      </c>
      <c r="C15" s="61"/>
      <c r="D15" s="61">
        <f>+C15+B15</f>
        <v>943012109.44261</v>
      </c>
      <c r="E15" s="68">
        <v>0.07914399999999999</v>
      </c>
      <c r="F15" s="13">
        <f>+E15*D15</f>
        <v>74633750.38972592</v>
      </c>
      <c r="G15" s="68">
        <v>0.073464</v>
      </c>
      <c r="H15" s="13">
        <f>+G15*D15</f>
        <v>69277441.6080919</v>
      </c>
      <c r="I15" s="14">
        <f>+H15-F15</f>
        <v>-5356308.781634018</v>
      </c>
      <c r="J15" s="255">
        <f>+I15/F15</f>
        <v>-0.0717679167087839</v>
      </c>
    </row>
    <row r="16" spans="1:10" ht="12.75">
      <c r="A16" s="5" t="s">
        <v>341</v>
      </c>
      <c r="B16" s="61">
        <v>3369509320.396706</v>
      </c>
      <c r="C16" s="61">
        <v>86881239.42596033</v>
      </c>
      <c r="D16" s="61">
        <f>+C16+B16</f>
        <v>3456390559.8226666</v>
      </c>
      <c r="E16" s="68">
        <v>0.07914399999999999</v>
      </c>
      <c r="F16" s="13">
        <f>+E16*D16</f>
        <v>273552574.4666051</v>
      </c>
      <c r="G16" s="68">
        <v>0.085534</v>
      </c>
      <c r="H16" s="13">
        <f>+G16*D16</f>
        <v>295638910.14387196</v>
      </c>
      <c r="I16" s="14">
        <f>+H16-F16</f>
        <v>22086335.677266836</v>
      </c>
      <c r="J16" s="255">
        <f>+I16/F16</f>
        <v>0.08073890629738198</v>
      </c>
    </row>
    <row r="17" spans="1:10" ht="12.75">
      <c r="A17" t="s">
        <v>167</v>
      </c>
      <c r="B17" s="231">
        <f>SUM(B14:B16)</f>
        <v>9669819417.9958</v>
      </c>
      <c r="C17" s="231">
        <f>SUM(C14:C16)</f>
        <v>86881239.42596033</v>
      </c>
      <c r="D17" s="231">
        <f>SUM(D14:D16)</f>
        <v>9756700657.42176</v>
      </c>
      <c r="F17" s="7">
        <f>SUM(F14:F16)</f>
        <v>684233555.7594229</v>
      </c>
      <c r="H17" s="7">
        <f>SUM(H14:H16)</f>
        <v>758484891.1538918</v>
      </c>
      <c r="I17" s="7">
        <f>SUM(I14:I16)</f>
        <v>74251335.39446898</v>
      </c>
      <c r="J17" s="256">
        <f>+I17/F17</f>
        <v>0.10851752997126585</v>
      </c>
    </row>
    <row r="18" spans="2:10" ht="12.75">
      <c r="B18" s="127"/>
      <c r="C18" s="127"/>
      <c r="D18" s="127"/>
      <c r="F18" s="233"/>
      <c r="H18" s="233"/>
      <c r="I18" s="233"/>
      <c r="J18" s="257"/>
    </row>
    <row r="19" spans="1:10" ht="12.75">
      <c r="A19" t="s">
        <v>82</v>
      </c>
      <c r="B19" s="127"/>
      <c r="C19" s="127"/>
      <c r="D19" s="231">
        <f>+D17</f>
        <v>9756700657.42176</v>
      </c>
      <c r="E19" s="68">
        <v>0.002885558903667507</v>
      </c>
      <c r="F19" s="7">
        <f>+E19*D19</f>
        <v>28153534.45244198</v>
      </c>
      <c r="G19" s="68">
        <v>0</v>
      </c>
      <c r="H19" s="7">
        <f>+G19*D19</f>
        <v>0</v>
      </c>
      <c r="I19" s="7">
        <f>+H19-F19</f>
        <v>-28153534.45244198</v>
      </c>
      <c r="J19" s="256">
        <f>+I19/F19</f>
        <v>-1</v>
      </c>
    </row>
    <row r="21" spans="1:10" ht="13.5" thickBot="1">
      <c r="A21" t="s">
        <v>342</v>
      </c>
      <c r="B21" s="12"/>
      <c r="C21" s="12"/>
      <c r="D21" s="63"/>
      <c r="F21" s="135">
        <f>SUM(F12,F17,F19)</f>
        <v>770153730.1026341</v>
      </c>
      <c r="H21" s="135">
        <f>SUM(H12,H17,H19)</f>
        <v>826754644.2002687</v>
      </c>
      <c r="I21" s="135">
        <f>SUM(I12,I17,I19)</f>
        <v>56600914.09763478</v>
      </c>
      <c r="J21" s="258">
        <f>+I21/F21</f>
        <v>0.0734930078051974</v>
      </c>
    </row>
    <row r="22" ht="13.5" thickTop="1"/>
    <row r="23" ht="12.75">
      <c r="F23" s="14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="90" zoomScaleNormal="90" workbookViewId="0" topLeftCell="A1">
      <selection activeCell="D87" sqref="D87"/>
    </sheetView>
  </sheetViews>
  <sheetFormatPr defaultColWidth="9.140625" defaultRowHeight="12.75"/>
  <cols>
    <col min="1" max="1" width="4.8515625" style="79" bestFit="1" customWidth="1"/>
    <col min="2" max="2" width="44.140625" style="79" bestFit="1" customWidth="1"/>
    <col min="3" max="3" width="15.00390625" style="79" bestFit="1" customWidth="1"/>
    <col min="4" max="5" width="13.28125" style="79" bestFit="1" customWidth="1"/>
    <col min="6" max="6" width="6.421875" style="79" customWidth="1"/>
    <col min="7" max="7" width="48.140625" style="79" bestFit="1" customWidth="1"/>
    <col min="8" max="16384" width="9.140625" style="79" customWidth="1"/>
  </cols>
  <sheetData>
    <row r="1" spans="2:7" ht="12.75">
      <c r="B1" s="80" t="s">
        <v>0</v>
      </c>
      <c r="C1" s="80"/>
      <c r="D1" s="80"/>
      <c r="E1" s="80"/>
      <c r="F1" s="80"/>
      <c r="G1" s="80"/>
    </row>
    <row r="2" spans="2:7" ht="12.75">
      <c r="B2" s="80" t="s">
        <v>68</v>
      </c>
      <c r="C2" s="80"/>
      <c r="D2" s="80"/>
      <c r="E2" s="80"/>
      <c r="F2" s="80"/>
      <c r="G2" s="80"/>
    </row>
    <row r="3" spans="2:7" ht="12.75">
      <c r="B3" s="80" t="s">
        <v>44</v>
      </c>
      <c r="C3" s="80"/>
      <c r="D3" s="80"/>
      <c r="E3" s="80"/>
      <c r="F3" s="80"/>
      <c r="G3" s="80"/>
    </row>
    <row r="4" spans="2:7" ht="12.75">
      <c r="B4" s="80" t="s">
        <v>116</v>
      </c>
      <c r="C4" s="80"/>
      <c r="D4" s="80"/>
      <c r="E4" s="80"/>
      <c r="F4" s="80"/>
      <c r="G4" s="80"/>
    </row>
    <row r="6" spans="1:5" s="81" customFormat="1" ht="25.5">
      <c r="A6" s="82" t="s">
        <v>70</v>
      </c>
      <c r="B6" s="82"/>
      <c r="C6" s="3" t="s">
        <v>71</v>
      </c>
      <c r="D6" s="82" t="s">
        <v>117</v>
      </c>
      <c r="E6" s="82" t="s">
        <v>118</v>
      </c>
    </row>
    <row r="7" spans="1:5" ht="13.5" thickBot="1">
      <c r="A7" s="83">
        <v>1</v>
      </c>
      <c r="B7" s="84" t="s">
        <v>73</v>
      </c>
      <c r="C7" s="87">
        <v>87939.87429718864</v>
      </c>
      <c r="D7" s="86"/>
      <c r="E7" s="86"/>
    </row>
    <row r="8" spans="1:5" ht="13.5" thickTop="1">
      <c r="A8" s="83">
        <f aca="true" t="shared" si="0" ref="A8:A27">+A7+1</f>
        <v>2</v>
      </c>
      <c r="B8" s="84" t="s">
        <v>76</v>
      </c>
      <c r="C8" s="86"/>
      <c r="D8" s="86"/>
      <c r="E8" s="86"/>
    </row>
    <row r="9" spans="1:5" ht="12.75">
      <c r="A9" s="83">
        <f t="shared" si="0"/>
        <v>3</v>
      </c>
      <c r="B9" s="85" t="s">
        <v>119</v>
      </c>
      <c r="C9" s="86">
        <f>SUM(D9:E9)</f>
        <v>1443691610.3191</v>
      </c>
      <c r="D9" s="86">
        <v>725287982.5006</v>
      </c>
      <c r="E9" s="86">
        <v>718403627.8185</v>
      </c>
    </row>
    <row r="10" spans="1:5" ht="12.75">
      <c r="A10" s="83">
        <f t="shared" si="0"/>
        <v>4</v>
      </c>
      <c r="B10" s="85" t="s">
        <v>120</v>
      </c>
      <c r="C10" s="86">
        <v>1408084335.5730999</v>
      </c>
      <c r="D10" s="86"/>
      <c r="E10" s="86"/>
    </row>
    <row r="11" spans="1:5" ht="12.75">
      <c r="A11" s="83">
        <f t="shared" si="0"/>
        <v>5</v>
      </c>
      <c r="B11" s="88" t="s">
        <v>121</v>
      </c>
      <c r="C11" s="86">
        <v>-2777652.650990819</v>
      </c>
      <c r="D11" s="86"/>
      <c r="E11" s="86"/>
    </row>
    <row r="12" spans="1:5" ht="13.5" thickBot="1">
      <c r="A12" s="83">
        <f t="shared" si="0"/>
        <v>6</v>
      </c>
      <c r="C12" s="87">
        <f>SUM(C9:C11)</f>
        <v>2848998293.2412086</v>
      </c>
      <c r="D12" s="86"/>
      <c r="E12" s="86"/>
    </row>
    <row r="13" spans="1:5" ht="13.5" thickTop="1">
      <c r="A13" s="83">
        <f t="shared" si="0"/>
        <v>7</v>
      </c>
      <c r="B13" s="84" t="s">
        <v>122</v>
      </c>
      <c r="C13" s="86"/>
      <c r="D13" s="86"/>
      <c r="E13" s="86"/>
    </row>
    <row r="14" spans="1:5" ht="12.75">
      <c r="A14" s="83">
        <f t="shared" si="0"/>
        <v>8</v>
      </c>
      <c r="B14" s="85" t="s">
        <v>123</v>
      </c>
      <c r="C14" s="152">
        <f>SUM(D14:E14)</f>
        <v>4082201.201703973</v>
      </c>
      <c r="D14" s="86">
        <v>2023407.6200112926</v>
      </c>
      <c r="E14" s="86">
        <v>2058793.5816926805</v>
      </c>
    </row>
    <row r="15" spans="1:5" ht="12.75">
      <c r="A15" s="83">
        <f t="shared" si="0"/>
        <v>9</v>
      </c>
      <c r="B15" s="88" t="s">
        <v>124</v>
      </c>
      <c r="C15" s="86">
        <f>SUM(D15:E15)</f>
        <v>4287493.58933934</v>
      </c>
      <c r="D15" s="86">
        <v>2125410.9204204204</v>
      </c>
      <c r="E15" s="86">
        <v>2162082.66891892</v>
      </c>
    </row>
    <row r="16" spans="1:3" ht="13.5" thickBot="1">
      <c r="A16" s="83">
        <f t="shared" si="0"/>
        <v>10</v>
      </c>
      <c r="C16" s="87">
        <f>SUM(C14:C15)</f>
        <v>8369694.791043313</v>
      </c>
    </row>
    <row r="17" spans="1:5" ht="13.5" thickTop="1">
      <c r="A17" s="83">
        <f t="shared" si="0"/>
        <v>11</v>
      </c>
      <c r="B17" s="109" t="s">
        <v>125</v>
      </c>
      <c r="C17" s="86"/>
      <c r="D17" s="86"/>
      <c r="E17" s="86"/>
    </row>
    <row r="18" spans="1:7" ht="12.75">
      <c r="A18" s="83">
        <f t="shared" si="0"/>
        <v>12</v>
      </c>
      <c r="B18" s="85" t="s">
        <v>126</v>
      </c>
      <c r="C18" s="86">
        <v>745499708.1545074</v>
      </c>
      <c r="D18" s="86"/>
      <c r="E18" s="86"/>
      <c r="G18" s="93">
        <f>SUM(E14:E15)*E31+SUM(D14:D15)*D31</f>
        <v>46371822.031990714</v>
      </c>
    </row>
    <row r="19" spans="1:5" ht="13.5" thickBot="1">
      <c r="A19" s="83">
        <f t="shared" si="0"/>
        <v>13</v>
      </c>
      <c r="C19" s="87">
        <f>SUM(C18:C18)</f>
        <v>745499708.1545074</v>
      </c>
      <c r="D19" s="86"/>
      <c r="E19" s="86"/>
    </row>
    <row r="20" spans="1:5" ht="13.5" thickTop="1">
      <c r="A20" s="83">
        <f t="shared" si="0"/>
        <v>14</v>
      </c>
      <c r="D20" s="86"/>
      <c r="E20" s="86"/>
    </row>
    <row r="21" spans="1:5" ht="12.75">
      <c r="A21" s="83">
        <f t="shared" si="0"/>
        <v>15</v>
      </c>
      <c r="B21" s="90" t="str">
        <f>+'Residential Schedule 7'!B16</f>
        <v>Current Base Rates Effective 10-1-03</v>
      </c>
      <c r="C21" s="91"/>
      <c r="D21" s="91"/>
      <c r="E21" s="92"/>
    </row>
    <row r="22" spans="1:5" ht="12.75">
      <c r="A22" s="83">
        <f t="shared" si="0"/>
        <v>16</v>
      </c>
      <c r="B22" s="110" t="s">
        <v>127</v>
      </c>
      <c r="C22" s="98"/>
      <c r="D22" s="98"/>
      <c r="E22" s="98"/>
    </row>
    <row r="23" spans="1:2" ht="12.75">
      <c r="A23" s="83">
        <f t="shared" si="0"/>
        <v>17</v>
      </c>
      <c r="B23" s="85" t="s">
        <v>80</v>
      </c>
    </row>
    <row r="24" spans="1:5" ht="12.75">
      <c r="A24" s="83">
        <f t="shared" si="0"/>
        <v>18</v>
      </c>
      <c r="B24" s="111" t="s">
        <v>128</v>
      </c>
      <c r="C24" s="93">
        <v>24.9</v>
      </c>
      <c r="D24" s="93"/>
      <c r="E24" s="93"/>
    </row>
    <row r="25" spans="1:2" ht="12.75">
      <c r="A25" s="83">
        <f t="shared" si="0"/>
        <v>19</v>
      </c>
      <c r="B25" s="85" t="s">
        <v>81</v>
      </c>
    </row>
    <row r="26" spans="1:5" ht="12.75">
      <c r="A26" s="83">
        <f t="shared" si="0"/>
        <v>20</v>
      </c>
      <c r="B26" s="111" t="s">
        <v>119</v>
      </c>
      <c r="D26" s="94">
        <v>0.069616</v>
      </c>
      <c r="E26" s="94">
        <v>0.062652</v>
      </c>
    </row>
    <row r="27" spans="1:5" ht="12.75">
      <c r="A27" s="83">
        <f t="shared" si="0"/>
        <v>21</v>
      </c>
      <c r="B27" s="111" t="s">
        <v>120</v>
      </c>
      <c r="C27" s="94">
        <v>0.05226</v>
      </c>
      <c r="D27" s="94"/>
      <c r="E27" s="94"/>
    </row>
    <row r="28" spans="1:5" ht="12.75">
      <c r="A28" s="83"/>
      <c r="B28" s="111" t="s">
        <v>82</v>
      </c>
      <c r="C28" s="94">
        <v>0.0028901678755322664</v>
      </c>
      <c r="D28" s="94"/>
      <c r="E28" s="94"/>
    </row>
    <row r="29" spans="1:2" ht="12.75">
      <c r="A29" s="83">
        <f>+A27+1</f>
        <v>22</v>
      </c>
      <c r="B29" s="88" t="s">
        <v>129</v>
      </c>
    </row>
    <row r="30" spans="1:5" ht="12.75">
      <c r="A30" s="83">
        <f aca="true" t="shared" si="1" ref="A30:A39">+A29+1</f>
        <v>23</v>
      </c>
      <c r="B30" s="112" t="s">
        <v>123</v>
      </c>
      <c r="D30" s="93">
        <v>0</v>
      </c>
      <c r="E30" s="93">
        <v>0</v>
      </c>
    </row>
    <row r="31" spans="1:5" ht="12.75">
      <c r="A31" s="83">
        <f t="shared" si="1"/>
        <v>24</v>
      </c>
      <c r="B31" s="112" t="s">
        <v>124</v>
      </c>
      <c r="C31" s="93">
        <f>(D31*D15+E31*E15)/C15</f>
        <v>5.54050595878801</v>
      </c>
      <c r="D31" s="93">
        <v>6.66</v>
      </c>
      <c r="E31" s="93">
        <v>4.44</v>
      </c>
    </row>
    <row r="32" spans="1:5" ht="12.75">
      <c r="A32" s="83">
        <f t="shared" si="1"/>
        <v>25</v>
      </c>
      <c r="B32" s="85" t="s">
        <v>130</v>
      </c>
      <c r="C32" s="113">
        <v>0.00233</v>
      </c>
      <c r="D32" s="113"/>
      <c r="E32" s="113"/>
    </row>
    <row r="33" ht="12.75">
      <c r="A33" s="83">
        <f t="shared" si="1"/>
        <v>26</v>
      </c>
    </row>
    <row r="34" spans="1:2" ht="12.75">
      <c r="A34" s="83">
        <f t="shared" si="1"/>
        <v>27</v>
      </c>
      <c r="B34" s="79" t="s">
        <v>131</v>
      </c>
    </row>
    <row r="35" spans="1:7" ht="12.75">
      <c r="A35" s="83">
        <f t="shared" si="1"/>
        <v>28</v>
      </c>
      <c r="B35" s="88" t="s">
        <v>84</v>
      </c>
      <c r="C35" s="96">
        <f>+C24*C7</f>
        <v>2189702.869999997</v>
      </c>
      <c r="G35" s="97"/>
    </row>
    <row r="36" spans="1:7" ht="12.75">
      <c r="A36" s="83">
        <f t="shared" si="1"/>
        <v>29</v>
      </c>
      <c r="B36" s="85" t="s">
        <v>86</v>
      </c>
      <c r="C36" s="95"/>
      <c r="G36" s="97"/>
    </row>
    <row r="37" spans="1:7" ht="12.75">
      <c r="A37" s="83">
        <f t="shared" si="1"/>
        <v>30</v>
      </c>
      <c r="B37" s="111" t="s">
        <v>119</v>
      </c>
      <c r="C37" s="95">
        <f>SUM(D37:E37)</f>
        <v>95501072.27984643</v>
      </c>
      <c r="D37" s="97">
        <f>+D26*D9</f>
        <v>50491648.189761765</v>
      </c>
      <c r="E37" s="97">
        <f>+E26*E9</f>
        <v>45009424.090084665</v>
      </c>
      <c r="G37" s="97"/>
    </row>
    <row r="38" spans="1:7" ht="12.75">
      <c r="A38" s="83">
        <f t="shared" si="1"/>
        <v>31</v>
      </c>
      <c r="B38" s="111" t="s">
        <v>120</v>
      </c>
      <c r="C38" s="95">
        <f>SUM(C10:C11)*C27</f>
        <v>73441327.24950942</v>
      </c>
      <c r="D38" s="97"/>
      <c r="E38" s="97"/>
      <c r="G38" s="97"/>
    </row>
    <row r="39" spans="1:7" ht="12.75">
      <c r="A39" s="83">
        <f t="shared" si="1"/>
        <v>32</v>
      </c>
      <c r="B39" s="114" t="s">
        <v>132</v>
      </c>
      <c r="C39" s="96">
        <f>SUM(C37:C38)</f>
        <v>168942399.52935585</v>
      </c>
      <c r="D39" s="97"/>
      <c r="E39" s="97"/>
      <c r="G39" s="97"/>
    </row>
    <row r="40" spans="1:7" ht="12.75">
      <c r="A40" s="83"/>
      <c r="B40" s="115" t="s">
        <v>82</v>
      </c>
      <c r="C40" s="96">
        <f>+C28*C12</f>
        <v>8234083.3445719965</v>
      </c>
      <c r="D40" s="97"/>
      <c r="E40" s="97"/>
      <c r="G40" s="97"/>
    </row>
    <row r="41" spans="1:7" ht="12.75">
      <c r="A41" s="83">
        <f>+A39+1</f>
        <v>33</v>
      </c>
      <c r="B41" s="88" t="s">
        <v>133</v>
      </c>
      <c r="C41" s="96">
        <f>SUM(D41:E41)</f>
        <v>23754883.78000001</v>
      </c>
      <c r="D41" s="97">
        <f>+D31*D15</f>
        <v>14155236.73</v>
      </c>
      <c r="E41" s="97">
        <f>+E31*E15</f>
        <v>9599647.050000006</v>
      </c>
      <c r="G41" s="97"/>
    </row>
    <row r="42" spans="1:7" ht="12.75">
      <c r="A42" s="83">
        <f aca="true" t="shared" si="2" ref="A42:A88">+A41+1</f>
        <v>34</v>
      </c>
      <c r="B42" s="85" t="s">
        <v>134</v>
      </c>
      <c r="C42" s="96">
        <f>+C32*C19</f>
        <v>1737014.3200000022</v>
      </c>
      <c r="G42" s="97"/>
    </row>
    <row r="43" spans="1:7" ht="13.5" thickBot="1">
      <c r="A43" s="83">
        <f t="shared" si="2"/>
        <v>35</v>
      </c>
      <c r="B43" s="79" t="s">
        <v>87</v>
      </c>
      <c r="C43" s="116">
        <f>SUM(C42,C41,C39,C35,C40)</f>
        <v>204858083.84392786</v>
      </c>
      <c r="G43" s="95"/>
    </row>
    <row r="44" spans="1:3" ht="13.5" thickTop="1">
      <c r="A44" s="83">
        <f t="shared" si="2"/>
        <v>36</v>
      </c>
      <c r="C44" s="95"/>
    </row>
    <row r="45" spans="1:5" ht="12.75">
      <c r="A45" s="83">
        <f t="shared" si="2"/>
        <v>37</v>
      </c>
      <c r="B45" s="90" t="str">
        <f>+'Residential Schedule 7'!B35</f>
        <v>Proposed Rates Effective 2005</v>
      </c>
      <c r="C45" s="91"/>
      <c r="D45" s="91"/>
      <c r="E45" s="92"/>
    </row>
    <row r="46" spans="1:5" ht="12.75">
      <c r="A46" s="83">
        <f t="shared" si="2"/>
        <v>38</v>
      </c>
      <c r="B46" s="98"/>
      <c r="C46" s="98"/>
      <c r="D46" s="117"/>
      <c r="E46" s="98"/>
    </row>
    <row r="47" spans="1:7" ht="12.75">
      <c r="A47" s="83">
        <f t="shared" si="2"/>
        <v>39</v>
      </c>
      <c r="B47" s="110" t="s">
        <v>135</v>
      </c>
      <c r="C47" s="118">
        <v>5890847.710135281</v>
      </c>
      <c r="D47" s="117"/>
      <c r="G47" s="75" t="s">
        <v>94</v>
      </c>
    </row>
    <row r="48" spans="1:5" ht="12.75">
      <c r="A48" s="83">
        <f t="shared" si="2"/>
        <v>40</v>
      </c>
      <c r="B48" s="110" t="s">
        <v>136</v>
      </c>
      <c r="C48" s="119">
        <f>+C43+'Secondary Voltage Schedule 29'!C49</f>
        <v>205778188.16113973</v>
      </c>
      <c r="D48" s="117"/>
      <c r="E48" s="98"/>
    </row>
    <row r="49" spans="1:5" ht="12.75">
      <c r="A49" s="83">
        <f t="shared" si="2"/>
        <v>41</v>
      </c>
      <c r="B49" s="98"/>
      <c r="C49" s="98"/>
      <c r="D49" s="117"/>
      <c r="E49" s="98"/>
    </row>
    <row r="50" spans="1:6" ht="12.75">
      <c r="A50" s="83">
        <f t="shared" si="2"/>
        <v>42</v>
      </c>
      <c r="B50" s="84" t="s">
        <v>93</v>
      </c>
      <c r="C50" s="97">
        <f>+C47/C48*C43</f>
        <v>5864507.725034972</v>
      </c>
      <c r="D50" s="95"/>
      <c r="F50" s="120"/>
    </row>
    <row r="51" spans="1:3" ht="12.75">
      <c r="A51" s="83">
        <f t="shared" si="2"/>
        <v>43</v>
      </c>
      <c r="B51" s="84" t="s">
        <v>137</v>
      </c>
      <c r="C51" s="97">
        <f>+C50+C43</f>
        <v>210722591.56896284</v>
      </c>
    </row>
    <row r="52" spans="1:3" ht="12.75">
      <c r="A52" s="83">
        <f t="shared" si="2"/>
        <v>44</v>
      </c>
      <c r="B52" s="84" t="s">
        <v>112</v>
      </c>
      <c r="C52" s="104">
        <f>+C50/C43</f>
        <v>0.028627172601608807</v>
      </c>
    </row>
    <row r="53" ht="12.75">
      <c r="A53" s="83">
        <f t="shared" si="2"/>
        <v>45</v>
      </c>
    </row>
    <row r="54" spans="1:5" ht="12.75">
      <c r="A54" s="83">
        <f t="shared" si="2"/>
        <v>46</v>
      </c>
      <c r="B54" s="153" t="s">
        <v>80</v>
      </c>
      <c r="C54" s="154"/>
      <c r="E54" s="99"/>
    </row>
    <row r="55" spans="1:7" ht="12.75">
      <c r="A55" s="83">
        <f t="shared" si="2"/>
        <v>47</v>
      </c>
      <c r="B55" s="161" t="s">
        <v>138</v>
      </c>
      <c r="C55" s="167">
        <v>33.5</v>
      </c>
      <c r="D55" s="100"/>
      <c r="E55" s="100"/>
      <c r="G55" s="74" t="s">
        <v>91</v>
      </c>
    </row>
    <row r="56" ht="12.75">
      <c r="A56" s="83">
        <f t="shared" si="2"/>
        <v>48</v>
      </c>
    </row>
    <row r="57" spans="1:2" ht="12.75">
      <c r="A57" s="83">
        <f t="shared" si="2"/>
        <v>49</v>
      </c>
      <c r="B57" s="84" t="s">
        <v>84</v>
      </c>
    </row>
    <row r="58" spans="1:3" ht="12.75">
      <c r="A58" s="83">
        <f t="shared" si="2"/>
        <v>50</v>
      </c>
      <c r="B58" s="88" t="s">
        <v>85</v>
      </c>
      <c r="C58" s="96">
        <f>+C55*C7</f>
        <v>2945985.7889558193</v>
      </c>
    </row>
    <row r="59" spans="1:7" ht="12.75">
      <c r="A59" s="83">
        <f t="shared" si="2"/>
        <v>51</v>
      </c>
      <c r="B59" s="88"/>
      <c r="C59" s="95"/>
      <c r="F59" s="121"/>
      <c r="G59" s="121"/>
    </row>
    <row r="60" spans="1:6" ht="12.75">
      <c r="A60" s="83">
        <f t="shared" si="2"/>
        <v>52</v>
      </c>
      <c r="B60" s="168" t="s">
        <v>139</v>
      </c>
      <c r="C60" s="169">
        <v>38854993.41277125</v>
      </c>
      <c r="D60" s="170" t="s">
        <v>117</v>
      </c>
      <c r="E60" s="171" t="s">
        <v>118</v>
      </c>
      <c r="F60" s="120"/>
    </row>
    <row r="61" spans="1:7" ht="12.75">
      <c r="A61" s="83">
        <f t="shared" si="2"/>
        <v>53</v>
      </c>
      <c r="B61" s="159" t="s">
        <v>140</v>
      </c>
      <c r="C61" s="172">
        <v>0</v>
      </c>
      <c r="D61" s="172">
        <v>0</v>
      </c>
      <c r="E61" s="173">
        <v>0</v>
      </c>
      <c r="G61" s="122"/>
    </row>
    <row r="62" spans="1:7" ht="12.75">
      <c r="A62" s="83">
        <f t="shared" si="2"/>
        <v>54</v>
      </c>
      <c r="B62" s="161" t="s">
        <v>124</v>
      </c>
      <c r="C62" s="174">
        <f>IF(C60/C16&lt;C31,C31,ROUND(C60/C16,2))</f>
        <v>5.54050595878801</v>
      </c>
      <c r="D62" s="175">
        <f>ROUND(D31*(1+C52),2)</f>
        <v>6.85</v>
      </c>
      <c r="E62" s="176">
        <f>ROUND(E31*(1+C52),2)</f>
        <v>4.57</v>
      </c>
      <c r="G62" s="101" t="s">
        <v>141</v>
      </c>
    </row>
    <row r="63" spans="1:3" ht="12.75">
      <c r="A63" s="83">
        <f t="shared" si="2"/>
        <v>55</v>
      </c>
      <c r="B63" s="88"/>
      <c r="C63" s="95"/>
    </row>
    <row r="64" spans="1:3" ht="12.75">
      <c r="A64" s="83">
        <f t="shared" si="2"/>
        <v>56</v>
      </c>
      <c r="B64" s="109" t="s">
        <v>142</v>
      </c>
      <c r="C64" s="95"/>
    </row>
    <row r="65" spans="1:3" ht="12.75">
      <c r="A65" s="83">
        <f t="shared" si="2"/>
        <v>57</v>
      </c>
      <c r="B65" s="85" t="s">
        <v>124</v>
      </c>
      <c r="C65" s="96">
        <f>+D62*D15+E15*E62</f>
        <v>24439782.601839345</v>
      </c>
    </row>
    <row r="66" spans="1:3" ht="12.75">
      <c r="A66" s="83">
        <f t="shared" si="2"/>
        <v>58</v>
      </c>
      <c r="B66" s="88"/>
      <c r="C66" s="95"/>
    </row>
    <row r="67" spans="1:7" ht="12.75">
      <c r="A67" s="83">
        <f t="shared" si="2"/>
        <v>59</v>
      </c>
      <c r="B67" s="168" t="s">
        <v>143</v>
      </c>
      <c r="C67" s="169">
        <v>1785317.6469907772</v>
      </c>
      <c r="D67" s="95"/>
      <c r="G67" s="123" t="s">
        <v>144</v>
      </c>
    </row>
    <row r="68" spans="1:3" ht="12.75">
      <c r="A68" s="83">
        <f t="shared" si="2"/>
        <v>60</v>
      </c>
      <c r="B68" s="161" t="s">
        <v>126</v>
      </c>
      <c r="C68" s="177">
        <f>ROUND(C67/C18,5)</f>
        <v>0.00239</v>
      </c>
    </row>
    <row r="69" spans="1:3" ht="12.75">
      <c r="A69" s="83">
        <f t="shared" si="2"/>
        <v>61</v>
      </c>
      <c r="B69" s="88"/>
      <c r="C69" s="95"/>
    </row>
    <row r="70" spans="1:3" ht="12.75">
      <c r="A70" s="83">
        <f t="shared" si="2"/>
        <v>62</v>
      </c>
      <c r="B70" s="109" t="s">
        <v>145</v>
      </c>
      <c r="C70" s="96">
        <f>+C68*C19</f>
        <v>1781744.3024892728</v>
      </c>
    </row>
    <row r="71" spans="1:6" ht="12.75">
      <c r="A71" s="83">
        <f t="shared" si="2"/>
        <v>63</v>
      </c>
      <c r="F71" s="124"/>
    </row>
    <row r="72" spans="1:3" ht="12.75">
      <c r="A72" s="83">
        <f t="shared" si="2"/>
        <v>64</v>
      </c>
      <c r="B72" s="85" t="s">
        <v>97</v>
      </c>
      <c r="C72" s="95">
        <f>+C51-C58-C65-C70</f>
        <v>181555078.87567842</v>
      </c>
    </row>
    <row r="73" spans="1:3" ht="12.75">
      <c r="A73" s="83">
        <f t="shared" si="2"/>
        <v>65</v>
      </c>
      <c r="B73" s="85" t="s">
        <v>146</v>
      </c>
      <c r="C73" s="95">
        <f>+C39+C40</f>
        <v>177176482.87392786</v>
      </c>
    </row>
    <row r="74" spans="1:3" ht="12.75">
      <c r="A74" s="83">
        <f t="shared" si="2"/>
        <v>66</v>
      </c>
      <c r="B74" s="85" t="s">
        <v>16</v>
      </c>
      <c r="C74" s="97">
        <f>+C72-C73</f>
        <v>4378596.001750559</v>
      </c>
    </row>
    <row r="75" spans="1:3" ht="12.75">
      <c r="A75" s="83">
        <f t="shared" si="2"/>
        <v>67</v>
      </c>
      <c r="B75" s="85" t="s">
        <v>17</v>
      </c>
      <c r="C75" s="104">
        <f>+C74/C73</f>
        <v>0.024713189531289</v>
      </c>
    </row>
    <row r="76" spans="1:3" ht="12.75">
      <c r="A76" s="83">
        <f t="shared" si="2"/>
        <v>68</v>
      </c>
      <c r="B76" s="85" t="s">
        <v>147</v>
      </c>
      <c r="C76" s="94"/>
    </row>
    <row r="77" spans="1:3" ht="12.75">
      <c r="A77" s="83">
        <f t="shared" si="2"/>
        <v>69</v>
      </c>
      <c r="B77" s="85"/>
      <c r="C77" s="95"/>
    </row>
    <row r="78" spans="1:6" ht="12.75">
      <c r="A78" s="83">
        <f t="shared" si="2"/>
        <v>70</v>
      </c>
      <c r="B78" s="153" t="s">
        <v>81</v>
      </c>
      <c r="C78" s="178"/>
      <c r="D78" s="178" t="s">
        <v>117</v>
      </c>
      <c r="E78" s="154" t="s">
        <v>118</v>
      </c>
      <c r="F78" s="124"/>
    </row>
    <row r="79" spans="1:7" ht="12.75">
      <c r="A79" s="83">
        <f t="shared" si="2"/>
        <v>71</v>
      </c>
      <c r="B79" s="159" t="s">
        <v>119</v>
      </c>
      <c r="C79" s="179"/>
      <c r="D79" s="179">
        <f>ROUND((D26+C28)*(1+$C75),6)</f>
        <v>0.074298</v>
      </c>
      <c r="E79" s="156">
        <f>ROUND((E26+C28)*(1+$C75),6)</f>
        <v>0.067162</v>
      </c>
      <c r="F79" s="124"/>
      <c r="G79" s="123"/>
    </row>
    <row r="80" spans="1:7" ht="12.75">
      <c r="A80" s="83">
        <f t="shared" si="2"/>
        <v>72</v>
      </c>
      <c r="B80" s="161" t="s">
        <v>148</v>
      </c>
      <c r="C80" s="180"/>
      <c r="D80" s="180">
        <f>ROUND((C27+C28)*(1+C75),6)</f>
        <v>0.056513</v>
      </c>
      <c r="E80" s="158">
        <f>ROUND(+D80,6)</f>
        <v>0.056513</v>
      </c>
      <c r="F80" s="124"/>
      <c r="G80" s="101" t="s">
        <v>149</v>
      </c>
    </row>
    <row r="81" ht="12.75">
      <c r="A81" s="83">
        <f t="shared" si="2"/>
        <v>73</v>
      </c>
    </row>
    <row r="82" spans="1:2" ht="12.75">
      <c r="A82" s="83">
        <f t="shared" si="2"/>
        <v>74</v>
      </c>
      <c r="B82" s="79" t="s">
        <v>86</v>
      </c>
    </row>
    <row r="83" spans="1:3" ht="12.75">
      <c r="A83" s="83">
        <f t="shared" si="2"/>
        <v>75</v>
      </c>
      <c r="B83" s="79" t="s">
        <v>119</v>
      </c>
      <c r="C83" s="97">
        <f>+D79*D9+E79*E9</f>
        <v>102136870.97537568</v>
      </c>
    </row>
    <row r="84" spans="1:3" ht="12.75">
      <c r="A84" s="83">
        <f t="shared" si="2"/>
        <v>76</v>
      </c>
      <c r="B84" s="79" t="s">
        <v>150</v>
      </c>
      <c r="C84" s="97">
        <f>+D80*SUM(C10,C11)</f>
        <v>79418096.57197715</v>
      </c>
    </row>
    <row r="85" spans="1:3" ht="12.75">
      <c r="A85" s="83">
        <f t="shared" si="2"/>
        <v>77</v>
      </c>
      <c r="B85" s="85" t="s">
        <v>110</v>
      </c>
      <c r="C85" s="125">
        <f>SUM(C83:C84)</f>
        <v>181554967.54735285</v>
      </c>
    </row>
    <row r="86" spans="1:2" ht="12.75">
      <c r="A86" s="83">
        <f t="shared" si="2"/>
        <v>78</v>
      </c>
      <c r="B86" s="88"/>
    </row>
    <row r="87" spans="1:3" ht="12.75">
      <c r="A87" s="83">
        <f t="shared" si="2"/>
        <v>79</v>
      </c>
      <c r="B87" s="79" t="s">
        <v>103</v>
      </c>
      <c r="C87" s="95">
        <f>+C85+C70+C65+C58</f>
        <v>210722480.24063727</v>
      </c>
    </row>
    <row r="88" spans="1:3" ht="12.75">
      <c r="A88" s="83">
        <f t="shared" si="2"/>
        <v>80</v>
      </c>
      <c r="B88" s="163" t="s">
        <v>104</v>
      </c>
      <c r="C88" s="164">
        <f>+C87-C51</f>
        <v>-111.32832556962967</v>
      </c>
    </row>
  </sheetData>
  <printOptions horizontalCentered="1"/>
  <pageMargins left="1.5" right="0.5" top="1" bottom="0.75" header="1" footer="0.5"/>
  <pageSetup cellComments="asDisplayed" fitToHeight="1" fitToWidth="1" horizontalDpi="600" verticalDpi="600" orientation="portrait" scale="58" r:id="rId1"/>
  <headerFooter alignWithMargins="0">
    <oddHeader>&amp;RDocket No. UE-04______
Exhibit No. _______ (JAH-4)
Page &amp;P of &amp;N</oddHeader>
    <oddFooter>&amp;LSchedule 25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6"/>
  <sheetViews>
    <sheetView zoomScale="85" zoomScaleNormal="85" workbookViewId="0" topLeftCell="A1">
      <selection activeCell="B53" sqref="B53:C55"/>
    </sheetView>
  </sheetViews>
  <sheetFormatPr defaultColWidth="9.140625" defaultRowHeight="12.75"/>
  <cols>
    <col min="1" max="1" width="4.57421875" style="0" customWidth="1"/>
    <col min="2" max="2" width="46.00390625" style="0" bestFit="1" customWidth="1"/>
    <col min="3" max="3" width="11.57421875" style="0" bestFit="1" customWidth="1"/>
    <col min="4" max="4" width="14.7109375" style="0" bestFit="1" customWidth="1"/>
    <col min="5" max="5" width="12.57421875" style="0" bestFit="1" customWidth="1"/>
    <col min="7" max="7" width="41.00390625" style="0" bestFit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68</v>
      </c>
      <c r="C2" s="1"/>
      <c r="D2" s="1"/>
      <c r="E2" s="1"/>
    </row>
    <row r="3" spans="2:5" ht="12.75">
      <c r="B3" s="1" t="s">
        <v>44</v>
      </c>
      <c r="C3" s="1"/>
      <c r="D3" s="1"/>
      <c r="E3" s="1"/>
    </row>
    <row r="4" spans="2:5" ht="12.75">
      <c r="B4" s="1" t="s">
        <v>151</v>
      </c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 s="2" t="s">
        <v>106</v>
      </c>
      <c r="E6" s="2" t="s">
        <v>107</v>
      </c>
    </row>
    <row r="7" spans="1:5" s="4" customFormat="1" ht="12.75">
      <c r="A7" s="6">
        <v>1</v>
      </c>
      <c r="B7" s="9" t="s">
        <v>73</v>
      </c>
      <c r="C7" s="126"/>
      <c r="D7" s="126"/>
      <c r="E7" s="126"/>
    </row>
    <row r="8" spans="1:5" s="4" customFormat="1" ht="12.75">
      <c r="A8" s="6">
        <f aca="true" t="shared" si="0" ref="A8:A30">+A7+1</f>
        <v>2</v>
      </c>
      <c r="B8" s="10" t="s">
        <v>74</v>
      </c>
      <c r="C8" s="61">
        <v>2191.9527272727273</v>
      </c>
      <c r="D8" s="126"/>
      <c r="E8" s="126"/>
    </row>
    <row r="9" spans="1:5" s="4" customFormat="1" ht="12.75">
      <c r="A9" s="6">
        <f t="shared" si="0"/>
        <v>3</v>
      </c>
      <c r="B9" s="10" t="s">
        <v>75</v>
      </c>
      <c r="C9" s="61">
        <v>5087.546961325864</v>
      </c>
      <c r="D9" s="126"/>
      <c r="E9" s="126"/>
    </row>
    <row r="10" spans="1:5" ht="13.5" thickBot="1">
      <c r="A10" s="6">
        <f t="shared" si="0"/>
        <v>4</v>
      </c>
      <c r="B10" s="9"/>
      <c r="C10" s="62">
        <f>SUM(C8:C9)</f>
        <v>7279.499688598591</v>
      </c>
      <c r="D10" s="126"/>
      <c r="E10" s="126"/>
    </row>
    <row r="11" spans="1:5" ht="13.5" thickTop="1">
      <c r="A11" s="6">
        <f t="shared" si="0"/>
        <v>5</v>
      </c>
      <c r="B11" s="9" t="s">
        <v>76</v>
      </c>
      <c r="C11" s="61"/>
      <c r="D11" s="61"/>
      <c r="E11" s="61"/>
    </row>
    <row r="12" spans="1:5" ht="12.75">
      <c r="A12" s="6">
        <f t="shared" si="0"/>
        <v>6</v>
      </c>
      <c r="B12" s="10" t="s">
        <v>119</v>
      </c>
      <c r="C12" s="61">
        <f>SUM(D12:E12)</f>
        <v>13804007.298500001</v>
      </c>
      <c r="D12" s="61">
        <v>1692450.5580999998</v>
      </c>
      <c r="E12" s="61">
        <v>12111556.740400001</v>
      </c>
    </row>
    <row r="13" spans="1:5" ht="12.75">
      <c r="A13" s="6">
        <f t="shared" si="0"/>
        <v>7</v>
      </c>
      <c r="B13" s="10" t="s">
        <v>120</v>
      </c>
      <c r="C13" s="61">
        <f>SUM(D13:E13)</f>
        <v>919225.6115</v>
      </c>
      <c r="D13" s="61">
        <v>66057.1333</v>
      </c>
      <c r="E13" s="61">
        <v>853168.4782</v>
      </c>
    </row>
    <row r="14" spans="1:5" ht="12.75">
      <c r="A14" s="6">
        <f t="shared" si="0"/>
        <v>8</v>
      </c>
      <c r="B14" s="88" t="s">
        <v>121</v>
      </c>
      <c r="C14" s="61">
        <f>SUM(D14:E14)</f>
        <v>341834.19113265636</v>
      </c>
      <c r="D14" s="61">
        <v>151247.37039957766</v>
      </c>
      <c r="E14" s="61">
        <v>190586.8207330787</v>
      </c>
    </row>
    <row r="15" spans="1:5" ht="13.5" thickBot="1">
      <c r="A15" s="6">
        <f t="shared" si="0"/>
        <v>9</v>
      </c>
      <c r="C15" s="62">
        <f>SUM(C12:C14)</f>
        <v>15065067.10113266</v>
      </c>
      <c r="D15" s="62">
        <f>SUM(D12:D14)</f>
        <v>1909755.0617995774</v>
      </c>
      <c r="E15" s="62">
        <f>SUM(E12:E14)</f>
        <v>13155312.039333079</v>
      </c>
    </row>
    <row r="16" spans="1:5" ht="13.5" thickTop="1">
      <c r="A16" s="6">
        <f t="shared" si="0"/>
        <v>10</v>
      </c>
      <c r="B16" s="9" t="s">
        <v>122</v>
      </c>
      <c r="C16" s="61"/>
      <c r="D16" s="61"/>
      <c r="E16" s="61"/>
    </row>
    <row r="17" spans="1:5" ht="12.75">
      <c r="A17" s="6">
        <f t="shared" si="0"/>
        <v>11</v>
      </c>
      <c r="B17" s="8" t="s">
        <v>123</v>
      </c>
      <c r="C17" s="61">
        <f>SUM(D17:E17)</f>
        <v>17056.937680184776</v>
      </c>
      <c r="D17" s="61">
        <v>3395.6724335560502</v>
      </c>
      <c r="E17" s="61">
        <v>13661.265246628725</v>
      </c>
    </row>
    <row r="18" spans="1:5" ht="12.75">
      <c r="A18" s="6">
        <f t="shared" si="0"/>
        <v>12</v>
      </c>
      <c r="B18" s="8" t="s">
        <v>124</v>
      </c>
      <c r="C18" s="61">
        <f>SUM(D18:E18)</f>
        <v>10243.781613931036</v>
      </c>
      <c r="D18" s="61">
        <v>2025.126126126126</v>
      </c>
      <c r="E18" s="61">
        <v>8218.65548780491</v>
      </c>
    </row>
    <row r="19" spans="1:5" ht="13.5" thickBot="1">
      <c r="A19" s="6">
        <f t="shared" si="0"/>
        <v>13</v>
      </c>
      <c r="C19" s="62">
        <f>SUM(C17:C18)</f>
        <v>27300.719294115814</v>
      </c>
      <c r="D19" s="62">
        <f>SUM(D17:D18)</f>
        <v>5420.798559682176</v>
      </c>
      <c r="E19" s="62">
        <f>SUM(E17:E18)</f>
        <v>21879.920734433636</v>
      </c>
    </row>
    <row r="20" spans="1:5" ht="14.25" thickBot="1" thickTop="1">
      <c r="A20" s="6">
        <f t="shared" si="0"/>
        <v>14</v>
      </c>
      <c r="C20" s="62"/>
      <c r="D20" s="127"/>
      <c r="E20" s="127"/>
    </row>
    <row r="21" spans="1:3" ht="14.25" thickBot="1" thickTop="1">
      <c r="A21" s="6">
        <f t="shared" si="0"/>
        <v>15</v>
      </c>
      <c r="B21" s="10" t="s">
        <v>126</v>
      </c>
      <c r="C21" s="62">
        <v>393795.8333333334</v>
      </c>
    </row>
    <row r="22" ht="13.5" thickTop="1">
      <c r="A22" s="6">
        <f t="shared" si="0"/>
        <v>16</v>
      </c>
    </row>
    <row r="23" spans="1:5" ht="12.75">
      <c r="A23" s="6">
        <f t="shared" si="0"/>
        <v>17</v>
      </c>
      <c r="B23" s="64" t="str">
        <f>+'Residential Schedule 7'!B16</f>
        <v>Current Base Rates Effective 10-1-03</v>
      </c>
      <c r="C23" s="65"/>
      <c r="D23" s="65"/>
      <c r="E23" s="66"/>
    </row>
    <row r="24" spans="1:5" ht="12.75">
      <c r="A24" s="6">
        <f t="shared" si="0"/>
        <v>18</v>
      </c>
      <c r="B24" s="128" t="s">
        <v>127</v>
      </c>
      <c r="C24" s="72"/>
      <c r="D24" s="72"/>
      <c r="E24" s="72"/>
    </row>
    <row r="25" spans="1:2" ht="12.75">
      <c r="A25" s="6">
        <f t="shared" si="0"/>
        <v>19</v>
      </c>
      <c r="B25" s="10" t="s">
        <v>80</v>
      </c>
    </row>
    <row r="26" spans="1:5" ht="12.75">
      <c r="A26" s="6">
        <f t="shared" si="0"/>
        <v>20</v>
      </c>
      <c r="B26" s="129" t="s">
        <v>74</v>
      </c>
      <c r="C26" s="67">
        <v>5.5</v>
      </c>
      <c r="E26" s="67"/>
    </row>
    <row r="27" spans="1:5" ht="12.75">
      <c r="A27" s="6">
        <f t="shared" si="0"/>
        <v>21</v>
      </c>
      <c r="B27" s="129" t="s">
        <v>75</v>
      </c>
      <c r="C27" s="67">
        <v>18.1</v>
      </c>
      <c r="D27" s="67"/>
      <c r="E27" s="67"/>
    </row>
    <row r="28" spans="1:2" ht="12.75">
      <c r="A28" s="6">
        <f t="shared" si="0"/>
        <v>22</v>
      </c>
      <c r="B28" s="10" t="s">
        <v>81</v>
      </c>
    </row>
    <row r="29" spans="1:5" ht="12.75">
      <c r="A29" s="6">
        <f t="shared" si="0"/>
        <v>23</v>
      </c>
      <c r="B29" s="129" t="s">
        <v>119</v>
      </c>
      <c r="D29" s="68">
        <v>0.069616</v>
      </c>
      <c r="E29" s="68">
        <v>0.047359</v>
      </c>
    </row>
    <row r="30" spans="1:5" ht="12.75">
      <c r="A30" s="6">
        <f t="shared" si="0"/>
        <v>24</v>
      </c>
      <c r="B30" s="129" t="s">
        <v>120</v>
      </c>
      <c r="D30" s="68">
        <v>0.054356999999999996</v>
      </c>
      <c r="E30" s="68">
        <v>0.041171</v>
      </c>
    </row>
    <row r="31" spans="1:5" ht="12.75">
      <c r="A31" s="6"/>
      <c r="B31" s="129" t="s">
        <v>82</v>
      </c>
      <c r="C31" s="68">
        <v>0.0018836300548875124</v>
      </c>
      <c r="D31" s="68"/>
      <c r="E31" s="68"/>
    </row>
    <row r="32" spans="1:2" ht="12.75">
      <c r="A32" s="6">
        <f>+A30+1</f>
        <v>25</v>
      </c>
      <c r="B32" s="8" t="s">
        <v>129</v>
      </c>
    </row>
    <row r="33" spans="1:5" ht="12.75">
      <c r="A33" s="6">
        <f aca="true" t="shared" si="1" ref="A33:A45">+A32+1</f>
        <v>26</v>
      </c>
      <c r="B33" s="130" t="s">
        <v>123</v>
      </c>
      <c r="D33" s="67">
        <v>0</v>
      </c>
      <c r="E33" s="67">
        <f>+D33</f>
        <v>0</v>
      </c>
    </row>
    <row r="34" spans="1:5" ht="12.75">
      <c r="A34" s="6">
        <f t="shared" si="1"/>
        <v>27</v>
      </c>
      <c r="B34" s="130" t="s">
        <v>124</v>
      </c>
      <c r="D34" s="67">
        <v>6.66</v>
      </c>
      <c r="E34" s="67">
        <v>3.28</v>
      </c>
    </row>
    <row r="35" spans="1:5" ht="12.75">
      <c r="A35" s="6">
        <f t="shared" si="1"/>
        <v>28</v>
      </c>
      <c r="B35" s="10" t="s">
        <v>130</v>
      </c>
      <c r="C35" s="131">
        <v>0.0024</v>
      </c>
      <c r="D35" s="131"/>
      <c r="E35" s="131"/>
    </row>
    <row r="36" spans="1:5" ht="12.75">
      <c r="A36" s="6">
        <f t="shared" si="1"/>
        <v>29</v>
      </c>
      <c r="B36" s="129"/>
      <c r="D36" s="131"/>
      <c r="E36" s="131"/>
    </row>
    <row r="37" spans="1:5" ht="12.75">
      <c r="A37" s="6">
        <f t="shared" si="1"/>
        <v>30</v>
      </c>
      <c r="B37" s="9" t="s">
        <v>152</v>
      </c>
      <c r="D37" s="131"/>
      <c r="E37" s="131"/>
    </row>
    <row r="38" spans="1:2" ht="12.75">
      <c r="A38" s="6">
        <f t="shared" si="1"/>
        <v>31</v>
      </c>
      <c r="B38" s="8" t="s">
        <v>84</v>
      </c>
    </row>
    <row r="39" spans="1:3" ht="12.75">
      <c r="A39" s="6">
        <f t="shared" si="1"/>
        <v>32</v>
      </c>
      <c r="B39" s="129" t="s">
        <v>74</v>
      </c>
      <c r="C39" s="14">
        <f>+C8*C26</f>
        <v>12055.74</v>
      </c>
    </row>
    <row r="40" spans="1:3" ht="12.75">
      <c r="A40" s="6">
        <f t="shared" si="1"/>
        <v>33</v>
      </c>
      <c r="B40" s="129" t="s">
        <v>75</v>
      </c>
      <c r="C40" s="14">
        <f>+C9*C27</f>
        <v>92084.59999999814</v>
      </c>
    </row>
    <row r="41" spans="1:3" ht="12.75">
      <c r="A41" s="6">
        <f t="shared" si="1"/>
        <v>34</v>
      </c>
      <c r="B41" s="132" t="s">
        <v>85</v>
      </c>
      <c r="C41" s="71">
        <f>SUM(C39:C40)</f>
        <v>104140.33999999815</v>
      </c>
    </row>
    <row r="42" spans="1:2" ht="12.75">
      <c r="A42" s="6">
        <f t="shared" si="1"/>
        <v>35</v>
      </c>
      <c r="B42" s="10" t="s">
        <v>86</v>
      </c>
    </row>
    <row r="43" spans="1:5" ht="12.75">
      <c r="A43" s="6">
        <f t="shared" si="1"/>
        <v>36</v>
      </c>
      <c r="B43" s="129" t="s">
        <v>119</v>
      </c>
      <c r="C43" s="14">
        <f>SUM(D43:E43)</f>
        <v>691412.8537212933</v>
      </c>
      <c r="D43" s="13">
        <f>+D29*D12</f>
        <v>117821.63805268958</v>
      </c>
      <c r="E43" s="13">
        <f>+E29*E12</f>
        <v>573591.2156686037</v>
      </c>
    </row>
    <row r="44" spans="1:5" ht="12.75">
      <c r="A44" s="6">
        <f t="shared" si="1"/>
        <v>37</v>
      </c>
      <c r="B44" s="129" t="s">
        <v>120</v>
      </c>
      <c r="C44" s="14">
        <f>SUM(D44:E44)</f>
        <v>54784.470319971726</v>
      </c>
      <c r="D44" s="13">
        <f>SUM(D13:D14)*D30</f>
        <v>11812.020907597942</v>
      </c>
      <c r="E44" s="13">
        <f>SUM(E13:E14)*E30</f>
        <v>42972.44941237378</v>
      </c>
    </row>
    <row r="45" spans="1:3" ht="12.75">
      <c r="A45" s="6">
        <f t="shared" si="1"/>
        <v>38</v>
      </c>
      <c r="B45" s="133" t="s">
        <v>153</v>
      </c>
      <c r="C45" s="71">
        <f>SUM(C43:C44)</f>
        <v>746197.324041265</v>
      </c>
    </row>
    <row r="46" spans="1:3" ht="12.75">
      <c r="A46" s="6"/>
      <c r="B46" s="133" t="s">
        <v>82</v>
      </c>
      <c r="C46" s="134">
        <f>+C15*C31</f>
        <v>28377.013170590566</v>
      </c>
    </row>
    <row r="47" spans="1:5" ht="12.75">
      <c r="A47" s="6">
        <f>+A45+1</f>
        <v>39</v>
      </c>
      <c r="B47" s="8" t="s">
        <v>154</v>
      </c>
      <c r="C47" s="13">
        <f>SUM(D47:E47)</f>
        <v>40444.5300000001</v>
      </c>
      <c r="D47" s="13">
        <f>+D34*D18</f>
        <v>13487.34</v>
      </c>
      <c r="E47" s="13">
        <f>+E34*E18</f>
        <v>26957.190000000104</v>
      </c>
    </row>
    <row r="48" spans="1:3" ht="12.75">
      <c r="A48" s="6">
        <f aca="true" t="shared" si="2" ref="A48:A56">+A47+1</f>
        <v>40</v>
      </c>
      <c r="B48" s="10" t="s">
        <v>134</v>
      </c>
      <c r="C48" s="71">
        <f>+C35*C21</f>
        <v>945.11</v>
      </c>
    </row>
    <row r="49" spans="1:3" ht="13.5" thickBot="1">
      <c r="A49" s="6">
        <f t="shared" si="2"/>
        <v>41</v>
      </c>
      <c r="B49" s="10" t="s">
        <v>87</v>
      </c>
      <c r="C49" s="135">
        <f>SUM(C48,C47,C45,C41,C46)</f>
        <v>920104.3172118538</v>
      </c>
    </row>
    <row r="50" spans="1:3" ht="13.5" thickTop="1">
      <c r="A50" s="6">
        <f t="shared" si="2"/>
        <v>42</v>
      </c>
      <c r="C50" s="14"/>
    </row>
    <row r="51" spans="1:5" ht="12.75">
      <c r="A51" s="6">
        <f t="shared" si="2"/>
        <v>43</v>
      </c>
      <c r="B51" s="90" t="str">
        <f>+'Residential Schedule 7'!B35</f>
        <v>Proposed Rates Effective 2005</v>
      </c>
      <c r="C51" s="65"/>
      <c r="D51" s="65"/>
      <c r="E51" s="66"/>
    </row>
    <row r="52" spans="1:5" ht="12.75">
      <c r="A52" s="6">
        <f t="shared" si="2"/>
        <v>44</v>
      </c>
      <c r="B52" s="72"/>
      <c r="C52" s="72"/>
      <c r="D52" s="72"/>
      <c r="E52" s="72"/>
    </row>
    <row r="53" spans="1:3" ht="12.75">
      <c r="A53" s="6">
        <f t="shared" si="2"/>
        <v>45</v>
      </c>
      <c r="B53" s="153" t="s">
        <v>80</v>
      </c>
      <c r="C53" s="154"/>
    </row>
    <row r="54" spans="1:7" ht="12.75">
      <c r="A54" s="6">
        <f t="shared" si="2"/>
        <v>46</v>
      </c>
      <c r="B54" s="159" t="s">
        <v>74</v>
      </c>
      <c r="C54" s="165">
        <f>'Secondary Voltage Schedule 24'!C37</f>
        <v>6.5</v>
      </c>
      <c r="G54" s="75" t="s">
        <v>155</v>
      </c>
    </row>
    <row r="55" spans="1:7" ht="12.75">
      <c r="A55" s="6">
        <f t="shared" si="2"/>
        <v>47</v>
      </c>
      <c r="B55" s="161" t="s">
        <v>75</v>
      </c>
      <c r="C55" s="166">
        <f>ROUND(+C27/C26*C54,1)</f>
        <v>21.4</v>
      </c>
      <c r="D55" s="73"/>
      <c r="E55" s="73"/>
      <c r="G55" s="75" t="s">
        <v>156</v>
      </c>
    </row>
    <row r="56" ht="12.75">
      <c r="A56" s="6">
        <f t="shared" si="2"/>
        <v>48</v>
      </c>
    </row>
    <row r="57" spans="1:3" ht="12.75">
      <c r="A57" s="6">
        <f>+A59+1</f>
        <v>51</v>
      </c>
      <c r="B57" s="9" t="s">
        <v>112</v>
      </c>
      <c r="C57" s="77">
        <f>+'Secondary Voltage Schedule 25'!C52</f>
        <v>0.028627172601608807</v>
      </c>
    </row>
    <row r="58" spans="1:3" ht="12.75">
      <c r="A58" s="6">
        <f>+A56+1</f>
        <v>49</v>
      </c>
      <c r="B58" s="9" t="s">
        <v>157</v>
      </c>
      <c r="C58" s="97">
        <f>C49*(1+C57)</f>
        <v>946444.3023121629</v>
      </c>
    </row>
    <row r="59" spans="1:4" ht="12.75">
      <c r="A59" s="6">
        <f aca="true" t="shared" si="3" ref="A59:A91">+A58+1</f>
        <v>50</v>
      </c>
      <c r="B59" s="9" t="s">
        <v>93</v>
      </c>
      <c r="C59" s="13">
        <f>+'Secondary Voltage Schedule 25'!C47-'Secondary Voltage Schedule 25'!C50</f>
        <v>26339.985100309364</v>
      </c>
      <c r="D59" s="14"/>
    </row>
    <row r="60" ht="12.75">
      <c r="A60" s="6">
        <f t="shared" si="3"/>
        <v>51</v>
      </c>
    </row>
    <row r="61" spans="1:2" ht="12.75">
      <c r="A61" s="6">
        <f t="shared" si="3"/>
        <v>52</v>
      </c>
      <c r="B61" s="9" t="s">
        <v>84</v>
      </c>
    </row>
    <row r="62" spans="1:3" ht="12.75">
      <c r="A62" s="6">
        <f t="shared" si="3"/>
        <v>53</v>
      </c>
      <c r="B62" s="10" t="s">
        <v>74</v>
      </c>
      <c r="C62" s="13">
        <f>+C54*C8</f>
        <v>14247.692727272728</v>
      </c>
    </row>
    <row r="63" spans="1:3" ht="12.75">
      <c r="A63" s="6">
        <f t="shared" si="3"/>
        <v>54</v>
      </c>
      <c r="B63" s="10" t="s">
        <v>75</v>
      </c>
      <c r="C63" s="13">
        <f>+C55*C9</f>
        <v>108873.50497237348</v>
      </c>
    </row>
    <row r="64" spans="1:3" ht="12.75">
      <c r="A64" s="6">
        <f t="shared" si="3"/>
        <v>55</v>
      </c>
      <c r="B64" s="8" t="s">
        <v>85</v>
      </c>
      <c r="C64" s="71">
        <f>SUM(C62:C63)</f>
        <v>123121.19769964622</v>
      </c>
    </row>
    <row r="65" spans="1:3" ht="12.75">
      <c r="A65" s="6">
        <f t="shared" si="3"/>
        <v>56</v>
      </c>
      <c r="B65" s="10"/>
      <c r="C65" s="14"/>
    </row>
    <row r="66" spans="1:7" ht="12.75">
      <c r="A66" s="6">
        <f t="shared" si="3"/>
        <v>57</v>
      </c>
      <c r="B66" s="168" t="s">
        <v>139</v>
      </c>
      <c r="C66" s="169">
        <v>65013.80225135779</v>
      </c>
      <c r="D66" s="170" t="s">
        <v>117</v>
      </c>
      <c r="E66" s="171" t="s">
        <v>118</v>
      </c>
      <c r="G66" s="75" t="s">
        <v>144</v>
      </c>
    </row>
    <row r="67" spans="1:7" ht="12.75">
      <c r="A67" s="6">
        <f t="shared" si="3"/>
        <v>58</v>
      </c>
      <c r="B67" s="161" t="s">
        <v>124</v>
      </c>
      <c r="C67" s="174">
        <f>(D67*D18+E18*E67)/C18</f>
        <v>4.065995457781043</v>
      </c>
      <c r="D67" s="175">
        <f>+'Secondary Voltage Schedule 25'!D62</f>
        <v>6.85</v>
      </c>
      <c r="E67" s="176">
        <f>ROUND(E34*('Secondary Voltage Schedule 25'!E62/'Secondary Voltage Schedule 25'!E31),2)</f>
        <v>3.38</v>
      </c>
      <c r="G67" s="76" t="s">
        <v>158</v>
      </c>
    </row>
    <row r="68" spans="1:3" ht="12.75">
      <c r="A68" s="6">
        <f t="shared" si="3"/>
        <v>59</v>
      </c>
      <c r="B68" s="8"/>
      <c r="C68" s="14"/>
    </row>
    <row r="69" spans="1:3" ht="12.75">
      <c r="A69" s="6">
        <f t="shared" si="3"/>
        <v>60</v>
      </c>
      <c r="B69" s="5" t="s">
        <v>142</v>
      </c>
      <c r="C69" s="14"/>
    </row>
    <row r="70" spans="1:3" ht="12.75">
      <c r="A70" s="6">
        <f t="shared" si="3"/>
        <v>61</v>
      </c>
      <c r="B70" s="136" t="s">
        <v>124</v>
      </c>
      <c r="C70" s="71">
        <f>+C67*SUM(C18)</f>
        <v>41651.16951274456</v>
      </c>
    </row>
    <row r="71" spans="1:3" ht="12.75">
      <c r="A71" s="6">
        <f t="shared" si="3"/>
        <v>62</v>
      </c>
      <c r="B71" s="8"/>
      <c r="C71" s="14"/>
    </row>
    <row r="72" spans="1:7" ht="12.75">
      <c r="A72" s="6">
        <f t="shared" si="3"/>
        <v>63</v>
      </c>
      <c r="B72" s="168" t="s">
        <v>143</v>
      </c>
      <c r="C72" s="183">
        <v>971.3918543558417</v>
      </c>
      <c r="G72" s="75" t="s">
        <v>144</v>
      </c>
    </row>
    <row r="73" spans="1:3" ht="12.75">
      <c r="A73" s="6">
        <f t="shared" si="3"/>
        <v>64</v>
      </c>
      <c r="B73" s="161" t="s">
        <v>126</v>
      </c>
      <c r="C73" s="177">
        <f>ROUND(+C72/C21,5)</f>
        <v>0.00247</v>
      </c>
    </row>
    <row r="74" spans="1:3" ht="12.75">
      <c r="A74" s="6">
        <f t="shared" si="3"/>
        <v>65</v>
      </c>
      <c r="B74" s="8"/>
      <c r="C74" s="14"/>
    </row>
    <row r="75" spans="1:3" ht="12.75">
      <c r="A75" s="6">
        <f t="shared" si="3"/>
        <v>66</v>
      </c>
      <c r="B75" s="5" t="s">
        <v>145</v>
      </c>
      <c r="C75" s="14"/>
    </row>
    <row r="76" spans="1:3" ht="12.75">
      <c r="A76" s="6">
        <f t="shared" si="3"/>
        <v>67</v>
      </c>
      <c r="B76" s="137" t="s">
        <v>126</v>
      </c>
      <c r="C76" s="71">
        <f>+C73*C21</f>
        <v>972.6757083333334</v>
      </c>
    </row>
    <row r="77" spans="1:3" s="37" customFormat="1" ht="12.75">
      <c r="A77" s="6">
        <f t="shared" si="3"/>
        <v>68</v>
      </c>
      <c r="B77" s="137"/>
      <c r="C77" s="138"/>
    </row>
    <row r="78" spans="1:3" ht="12.75">
      <c r="A78" s="6">
        <f t="shared" si="3"/>
        <v>69</v>
      </c>
      <c r="B78" s="10" t="s">
        <v>97</v>
      </c>
      <c r="C78" s="14">
        <f>+C58-C64-C70-C76</f>
        <v>780699.2593914388</v>
      </c>
    </row>
    <row r="79" ht="12.75">
      <c r="A79" s="6">
        <f t="shared" si="3"/>
        <v>70</v>
      </c>
    </row>
    <row r="80" spans="1:5" ht="12.75">
      <c r="A80" s="6">
        <f t="shared" si="3"/>
        <v>71</v>
      </c>
      <c r="B80" s="84" t="s">
        <v>159</v>
      </c>
      <c r="C80" s="104">
        <f>AVERAGE(D80:E80)</f>
        <v>0.662001303727704</v>
      </c>
      <c r="D80" s="104">
        <f>(E34/(E29-E30))/730</f>
        <v>0.7261070919410968</v>
      </c>
      <c r="E80" s="104">
        <f>(D34/(D29-D30))/730</f>
        <v>0.5978955155143113</v>
      </c>
    </row>
    <row r="81" spans="1:3" ht="12.75">
      <c r="A81" s="6">
        <f t="shared" si="3"/>
        <v>72</v>
      </c>
      <c r="B81" s="84" t="s">
        <v>160</v>
      </c>
      <c r="C81" s="94">
        <f>ROUND(E67/(730*C80),6)</f>
        <v>0.006994</v>
      </c>
    </row>
    <row r="82" spans="1:3" s="37" customFormat="1" ht="12.75">
      <c r="A82" s="6">
        <f t="shared" si="3"/>
        <v>73</v>
      </c>
      <c r="B82" s="137"/>
      <c r="C82" s="138"/>
    </row>
    <row r="83" spans="1:6" ht="12.75">
      <c r="A83" s="6">
        <f t="shared" si="3"/>
        <v>74</v>
      </c>
      <c r="B83" s="153" t="s">
        <v>81</v>
      </c>
      <c r="C83" s="178"/>
      <c r="D83" s="170" t="s">
        <v>117</v>
      </c>
      <c r="E83" s="171" t="s">
        <v>118</v>
      </c>
      <c r="F83" s="37"/>
    </row>
    <row r="84" spans="1:7" ht="12.75">
      <c r="A84" s="6">
        <f t="shared" si="3"/>
        <v>75</v>
      </c>
      <c r="B84" s="159" t="s">
        <v>119</v>
      </c>
      <c r="C84" s="181"/>
      <c r="D84" s="179">
        <f>+'Secondary Voltage Schedule 25'!D79</f>
        <v>0.074298</v>
      </c>
      <c r="E84" s="156">
        <f>ROUND((C78-D84*D12-D85*(D13+D14)-E85*(E13+E14))/E12,6)</f>
        <v>0.049413</v>
      </c>
      <c r="F84" s="37"/>
      <c r="G84" s="75" t="s">
        <v>161</v>
      </c>
    </row>
    <row r="85" spans="1:7" ht="12.75">
      <c r="A85" s="6">
        <f t="shared" si="3"/>
        <v>76</v>
      </c>
      <c r="B85" s="161" t="s">
        <v>148</v>
      </c>
      <c r="C85" s="182"/>
      <c r="D85" s="180">
        <f>'Secondary Voltage Schedule 25'!D80</f>
        <v>0.056513</v>
      </c>
      <c r="E85" s="158">
        <f>ROUND(E30*(1+C57),6)</f>
        <v>0.04235</v>
      </c>
      <c r="F85" s="37"/>
      <c r="G85" s="74" t="s">
        <v>162</v>
      </c>
    </row>
    <row r="86" spans="1:7" ht="12.75">
      <c r="A86" s="6">
        <f t="shared" si="3"/>
        <v>77</v>
      </c>
      <c r="F86" s="37"/>
      <c r="G86" s="75" t="s">
        <v>163</v>
      </c>
    </row>
    <row r="87" spans="1:6" ht="12.75">
      <c r="A87" s="6">
        <f t="shared" si="3"/>
        <v>78</v>
      </c>
      <c r="B87" t="s">
        <v>86</v>
      </c>
      <c r="F87" s="37"/>
    </row>
    <row r="88" spans="1:4" ht="12.75">
      <c r="A88" s="6">
        <f t="shared" si="3"/>
        <v>79</v>
      </c>
      <c r="B88" s="10" t="s">
        <v>110</v>
      </c>
      <c r="C88" s="125">
        <f>E84*E12+SUM(E13,E14)*E85+D84*D12+D85*SUM(D13,D14)</f>
        <v>780697.6111064891</v>
      </c>
      <c r="D88" s="68"/>
    </row>
    <row r="89" spans="1:4" ht="12.75">
      <c r="A89" s="6">
        <f t="shared" si="3"/>
        <v>80</v>
      </c>
      <c r="B89" s="8"/>
      <c r="D89" s="13"/>
    </row>
    <row r="90" spans="1:4" ht="12.75">
      <c r="A90" s="6">
        <f t="shared" si="3"/>
        <v>81</v>
      </c>
      <c r="B90" t="s">
        <v>103</v>
      </c>
      <c r="C90" s="150">
        <f>SUM(C88,C76,C64,C70)</f>
        <v>946442.6540272132</v>
      </c>
      <c r="D90" s="14"/>
    </row>
    <row r="91" spans="1:3" ht="12.75">
      <c r="A91" s="6">
        <f t="shared" si="3"/>
        <v>82</v>
      </c>
      <c r="B91" s="163" t="s">
        <v>104</v>
      </c>
      <c r="C91" s="164">
        <f>+C58-C90</f>
        <v>1.648284949711524</v>
      </c>
    </row>
    <row r="92" ht="12.75">
      <c r="A92" s="6"/>
    </row>
    <row r="93" spans="1:3" ht="12.75">
      <c r="A93" s="6"/>
      <c r="B93" s="139"/>
      <c r="C93" s="140"/>
    </row>
    <row r="94" spans="1:3" ht="12.75">
      <c r="A94" s="6"/>
      <c r="B94" s="141"/>
      <c r="C94" s="142"/>
    </row>
    <row r="95" spans="1:3" ht="12.75">
      <c r="A95" s="6"/>
      <c r="B95" s="143"/>
      <c r="C95" s="143"/>
    </row>
    <row r="96" spans="1:3" ht="12.75">
      <c r="A96" s="6"/>
      <c r="B96" s="143"/>
      <c r="C96" s="142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</sheetData>
  <printOptions horizontalCentered="1"/>
  <pageMargins left="1.5" right="0" top="1" bottom="0.5" header="1" footer="0.5"/>
  <pageSetup cellComments="asDisplayed" horizontalDpi="600" verticalDpi="600" orientation="portrait" scale="55" r:id="rId1"/>
  <headerFooter alignWithMargins="0">
    <oddHeader>&amp;RDocket No. UE-04______
Exhibit No. _______ (JAH-4)
Page &amp;P of &amp;N</oddHeader>
    <oddFooter>&amp;LSchedule 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85" zoomScaleNormal="85" workbookViewId="0" topLeftCell="A1">
      <selection activeCell="B39" sqref="B39:C40"/>
    </sheetView>
  </sheetViews>
  <sheetFormatPr defaultColWidth="9.140625" defaultRowHeight="12.75"/>
  <cols>
    <col min="1" max="1" width="4.57421875" style="0" customWidth="1"/>
    <col min="2" max="2" width="41.140625" style="0" bestFit="1" customWidth="1"/>
    <col min="3" max="3" width="14.28125" style="0" bestFit="1" customWidth="1"/>
    <col min="4" max="5" width="12.57421875" style="0" bestFit="1" customWidth="1"/>
    <col min="6" max="6" width="10.7109375" style="0" customWidth="1"/>
    <col min="7" max="7" width="41.00390625" style="0" bestFit="1" customWidth="1"/>
  </cols>
  <sheetData>
    <row r="1" spans="2:7" ht="12.75">
      <c r="B1" s="1" t="s">
        <v>0</v>
      </c>
      <c r="C1" s="1"/>
      <c r="D1" s="1"/>
      <c r="E1" s="1"/>
      <c r="F1" s="1"/>
      <c r="G1" s="1"/>
    </row>
    <row r="2" spans="2:7" ht="12.75">
      <c r="B2" s="1" t="s">
        <v>68</v>
      </c>
      <c r="C2" s="1"/>
      <c r="D2" s="1"/>
      <c r="E2" s="1"/>
      <c r="F2" s="1"/>
      <c r="G2" s="1"/>
    </row>
    <row r="3" spans="2:7" ht="12.75">
      <c r="B3" s="1" t="s">
        <v>44</v>
      </c>
      <c r="C3" s="1"/>
      <c r="D3" s="1"/>
      <c r="E3" s="1"/>
      <c r="F3" s="1"/>
      <c r="G3" s="1"/>
    </row>
    <row r="4" spans="2:7" ht="12.75">
      <c r="B4" s="1" t="s">
        <v>164</v>
      </c>
      <c r="C4" s="1"/>
      <c r="D4" s="1"/>
      <c r="E4" s="1"/>
      <c r="F4" s="1"/>
      <c r="G4" s="1"/>
    </row>
    <row r="6" spans="1:5" s="4" customFormat="1" ht="25.5">
      <c r="A6" s="2" t="s">
        <v>70</v>
      </c>
      <c r="B6" s="2"/>
      <c r="C6" s="2" t="s">
        <v>71</v>
      </c>
      <c r="D6" s="2" t="s">
        <v>106</v>
      </c>
      <c r="E6" s="2" t="s">
        <v>107</v>
      </c>
    </row>
    <row r="7" spans="1:5" ht="13.5" thickBot="1">
      <c r="A7" s="6">
        <v>1</v>
      </c>
      <c r="B7" s="9" t="s">
        <v>165</v>
      </c>
      <c r="C7" s="62">
        <v>8698.775601374571</v>
      </c>
      <c r="D7" s="61"/>
      <c r="E7" s="61"/>
    </row>
    <row r="8" spans="1:5" ht="13.5" thickTop="1">
      <c r="A8" s="6">
        <f aca="true" t="shared" si="0" ref="A8:A20">+A7+1</f>
        <v>2</v>
      </c>
      <c r="C8" s="61"/>
      <c r="D8" s="61"/>
      <c r="E8" s="61"/>
    </row>
    <row r="9" spans="1:5" ht="12.75">
      <c r="A9" s="6">
        <f t="shared" si="0"/>
        <v>3</v>
      </c>
      <c r="B9" t="s">
        <v>166</v>
      </c>
      <c r="C9" s="61">
        <v>1890378961.9696</v>
      </c>
      <c r="D9" s="61"/>
      <c r="E9" s="61"/>
    </row>
    <row r="10" spans="1:5" ht="12.75">
      <c r="A10" s="6">
        <f t="shared" si="0"/>
        <v>4</v>
      </c>
      <c r="B10" t="s">
        <v>109</v>
      </c>
      <c r="C10" s="61">
        <v>-3556768.427363172</v>
      </c>
      <c r="D10" s="61"/>
      <c r="E10" s="61"/>
    </row>
    <row r="11" spans="1:5" ht="13.5" thickBot="1">
      <c r="A11" s="6">
        <f t="shared" si="0"/>
        <v>5</v>
      </c>
      <c r="B11" s="5" t="s">
        <v>167</v>
      </c>
      <c r="C11" s="62">
        <f>SUM(C9:C10)</f>
        <v>1886822193.5422368</v>
      </c>
      <c r="D11" s="61"/>
      <c r="E11" s="61"/>
    </row>
    <row r="12" ht="13.5" thickTop="1">
      <c r="A12" s="6">
        <f t="shared" si="0"/>
        <v>6</v>
      </c>
    </row>
    <row r="13" spans="1:5" ht="13.5" thickBot="1">
      <c r="A13" s="6">
        <f t="shared" si="0"/>
        <v>7</v>
      </c>
      <c r="B13" s="9" t="s">
        <v>122</v>
      </c>
      <c r="C13" s="62">
        <f>SUM(D13:E13)</f>
        <v>4387268.884314232</v>
      </c>
      <c r="D13" s="62">
        <v>2134139.841514701</v>
      </c>
      <c r="E13" s="62">
        <v>2253129.0427995306</v>
      </c>
    </row>
    <row r="14" ht="13.5" thickTop="1">
      <c r="A14" s="6">
        <f t="shared" si="0"/>
        <v>8</v>
      </c>
    </row>
    <row r="15" spans="1:3" ht="13.5" thickBot="1">
      <c r="A15" s="6">
        <f t="shared" si="0"/>
        <v>9</v>
      </c>
      <c r="B15" s="5" t="s">
        <v>125</v>
      </c>
      <c r="C15" s="62">
        <v>934070048.1194694</v>
      </c>
    </row>
    <row r="16" ht="13.5" thickTop="1">
      <c r="A16" s="6">
        <f t="shared" si="0"/>
        <v>10</v>
      </c>
    </row>
    <row r="17" spans="1:5" ht="12.75">
      <c r="A17" s="6">
        <f t="shared" si="0"/>
        <v>11</v>
      </c>
      <c r="B17" s="64" t="s">
        <v>168</v>
      </c>
      <c r="C17" s="65"/>
      <c r="D17" s="65"/>
      <c r="E17" s="66"/>
    </row>
    <row r="18" spans="1:5" ht="12.75">
      <c r="A18" s="6">
        <f t="shared" si="0"/>
        <v>12</v>
      </c>
      <c r="B18" s="128" t="s">
        <v>127</v>
      </c>
      <c r="C18" s="72"/>
      <c r="D18" s="72"/>
      <c r="E18" s="72"/>
    </row>
    <row r="19" spans="1:5" ht="12.75">
      <c r="A19" s="6">
        <f t="shared" si="0"/>
        <v>13</v>
      </c>
      <c r="B19" s="10" t="s">
        <v>80</v>
      </c>
      <c r="C19" s="67">
        <v>29.1</v>
      </c>
      <c r="D19" s="67"/>
      <c r="E19" s="67"/>
    </row>
    <row r="20" spans="1:5" ht="12.75">
      <c r="A20" s="6">
        <f t="shared" si="0"/>
        <v>14</v>
      </c>
      <c r="B20" s="10" t="s">
        <v>81</v>
      </c>
      <c r="C20" s="68">
        <v>0.04732</v>
      </c>
      <c r="D20" s="68"/>
      <c r="E20" s="68"/>
    </row>
    <row r="21" spans="1:5" ht="12.75">
      <c r="A21" s="6"/>
      <c r="B21" s="10" t="s">
        <v>82</v>
      </c>
      <c r="C21" s="68">
        <v>0.0027061764938891703</v>
      </c>
      <c r="D21" s="67"/>
      <c r="E21" s="67"/>
    </row>
    <row r="22" spans="1:5" ht="12.75">
      <c r="A22" s="6">
        <f>+A20+1</f>
        <v>15</v>
      </c>
      <c r="B22" s="8" t="s">
        <v>129</v>
      </c>
      <c r="D22" s="67">
        <v>6.92</v>
      </c>
      <c r="E22" s="67">
        <v>4.6</v>
      </c>
    </row>
    <row r="23" spans="1:5" ht="12.75">
      <c r="A23" s="6">
        <f>+A22+1</f>
        <v>16</v>
      </c>
      <c r="B23" s="10" t="s">
        <v>130</v>
      </c>
      <c r="C23" s="131">
        <v>0.0011</v>
      </c>
      <c r="D23" s="131"/>
      <c r="E23" s="131"/>
    </row>
    <row r="24" spans="1:5" ht="12.75">
      <c r="A24" s="6">
        <f>+A23+1</f>
        <v>17</v>
      </c>
      <c r="B24" s="10"/>
      <c r="D24" s="131"/>
      <c r="E24" s="131"/>
    </row>
    <row r="25" spans="1:2" ht="12.75">
      <c r="A25" s="6">
        <f>+A24+1</f>
        <v>18</v>
      </c>
      <c r="B25" s="5" t="s">
        <v>131</v>
      </c>
    </row>
    <row r="26" spans="1:7" ht="12.75">
      <c r="A26" s="6">
        <f>+A25+1</f>
        <v>19</v>
      </c>
      <c r="B26" s="8" t="s">
        <v>169</v>
      </c>
      <c r="C26" s="134">
        <f>+C19*C7</f>
        <v>253134.37000000002</v>
      </c>
      <c r="D26" s="11"/>
      <c r="E26" s="11"/>
      <c r="G26" s="13"/>
    </row>
    <row r="27" spans="1:7" ht="12.75">
      <c r="A27" s="6">
        <f>+A26+1</f>
        <v>20</v>
      </c>
      <c r="B27" s="8" t="s">
        <v>170</v>
      </c>
      <c r="C27" s="134">
        <f>+C11*C20</f>
        <v>89284426.19841865</v>
      </c>
      <c r="D27" s="11"/>
      <c r="E27" s="11"/>
      <c r="G27" s="13"/>
    </row>
    <row r="28" spans="1:7" ht="12.75">
      <c r="A28" s="6"/>
      <c r="B28" s="10" t="s">
        <v>82</v>
      </c>
      <c r="C28" s="134">
        <f>+C11*C21</f>
        <v>5106073.868312404</v>
      </c>
      <c r="D28" s="11"/>
      <c r="E28" s="11"/>
      <c r="G28" s="13"/>
    </row>
    <row r="29" spans="1:7" ht="12.75">
      <c r="A29" s="6">
        <f>+A27+1</f>
        <v>21</v>
      </c>
      <c r="B29" s="10" t="s">
        <v>171</v>
      </c>
      <c r="C29" s="134">
        <f>SUM(D29:E29)</f>
        <v>25132641.30015957</v>
      </c>
      <c r="D29" s="134">
        <f>+D22*D13</f>
        <v>14768247.70328173</v>
      </c>
      <c r="E29" s="134">
        <f>+E22*E13</f>
        <v>10364393.59687784</v>
      </c>
      <c r="G29" s="13"/>
    </row>
    <row r="30" spans="1:7" ht="12.75">
      <c r="A30" s="6">
        <f aca="true" t="shared" si="1" ref="A30:A66">+A29+1</f>
        <v>22</v>
      </c>
      <c r="B30" s="10" t="s">
        <v>172</v>
      </c>
      <c r="C30" s="134">
        <f>+C15*C23</f>
        <v>1027477.0529314164</v>
      </c>
      <c r="D30" s="11"/>
      <c r="E30" s="11"/>
      <c r="G30" s="13"/>
    </row>
    <row r="31" spans="1:7" ht="13.5" thickBot="1">
      <c r="A31" s="6">
        <f t="shared" si="1"/>
        <v>23</v>
      </c>
      <c r="B31" s="10" t="s">
        <v>87</v>
      </c>
      <c r="C31" s="135">
        <f>SUM(C30,C29,C27,C26,C28)</f>
        <v>120803752.78982204</v>
      </c>
      <c r="G31" s="14"/>
    </row>
    <row r="32" spans="1:3" ht="13.5" thickTop="1">
      <c r="A32" s="6">
        <f t="shared" si="1"/>
        <v>24</v>
      </c>
      <c r="C32" s="14"/>
    </row>
    <row r="33" spans="1:5" ht="12.75">
      <c r="A33" s="6">
        <f t="shared" si="1"/>
        <v>25</v>
      </c>
      <c r="B33" s="90" t="str">
        <f>+'Residential Schedule 7'!B35</f>
        <v>Proposed Rates Effective 2005</v>
      </c>
      <c r="C33" s="65"/>
      <c r="D33" s="65"/>
      <c r="E33" s="66"/>
    </row>
    <row r="34" spans="1:5" ht="12.75">
      <c r="A34" s="6">
        <f t="shared" si="1"/>
        <v>26</v>
      </c>
      <c r="B34" s="72"/>
      <c r="C34" s="72"/>
      <c r="D34" s="72"/>
      <c r="E34" s="72"/>
    </row>
    <row r="35" spans="1:7" ht="12.75">
      <c r="A35" s="6">
        <f t="shared" si="1"/>
        <v>27</v>
      </c>
      <c r="B35" s="9" t="s">
        <v>173</v>
      </c>
      <c r="C35" s="43">
        <f>+C31+C36</f>
        <v>123267951.93174036</v>
      </c>
      <c r="G35" s="75" t="s">
        <v>94</v>
      </c>
    </row>
    <row r="36" spans="1:4" ht="12.75">
      <c r="A36" s="6">
        <f t="shared" si="1"/>
        <v>28</v>
      </c>
      <c r="B36" s="9" t="s">
        <v>93</v>
      </c>
      <c r="C36" s="13">
        <v>2464199.1419183165</v>
      </c>
      <c r="D36" s="14"/>
    </row>
    <row r="37" spans="1:3" ht="12.75">
      <c r="A37" s="6">
        <f t="shared" si="1"/>
        <v>29</v>
      </c>
      <c r="B37" s="9" t="s">
        <v>112</v>
      </c>
      <c r="C37" s="77">
        <f>+C36/C31</f>
        <v>0.020398365820684425</v>
      </c>
    </row>
    <row r="38" ht="12.75">
      <c r="A38" s="6">
        <f t="shared" si="1"/>
        <v>30</v>
      </c>
    </row>
    <row r="39" spans="1:5" ht="12.75">
      <c r="A39" s="6">
        <f t="shared" si="1"/>
        <v>31</v>
      </c>
      <c r="B39" s="153" t="s">
        <v>80</v>
      </c>
      <c r="C39" s="154"/>
      <c r="E39" s="99"/>
    </row>
    <row r="40" spans="1:7" ht="12.75">
      <c r="A40" s="6">
        <f t="shared" si="1"/>
        <v>32</v>
      </c>
      <c r="B40" s="161" t="s">
        <v>138</v>
      </c>
      <c r="C40" s="167">
        <v>79</v>
      </c>
      <c r="D40" s="73"/>
      <c r="E40" s="73"/>
      <c r="G40" s="74" t="s">
        <v>91</v>
      </c>
    </row>
    <row r="41" ht="12.75">
      <c r="A41" s="6">
        <f t="shared" si="1"/>
        <v>33</v>
      </c>
    </row>
    <row r="42" spans="1:2" ht="12.75">
      <c r="A42" s="6">
        <f t="shared" si="1"/>
        <v>34</v>
      </c>
      <c r="B42" s="9" t="s">
        <v>84</v>
      </c>
    </row>
    <row r="43" spans="1:3" ht="12.75">
      <c r="A43" s="6">
        <f t="shared" si="1"/>
        <v>35</v>
      </c>
      <c r="B43" s="8" t="s">
        <v>85</v>
      </c>
      <c r="C43" s="71">
        <f>+C40*C7</f>
        <v>687203.2725085911</v>
      </c>
    </row>
    <row r="44" spans="1:3" ht="12.75">
      <c r="A44" s="6">
        <f t="shared" si="1"/>
        <v>36</v>
      </c>
      <c r="B44" s="8"/>
      <c r="C44" s="14"/>
    </row>
    <row r="45" spans="1:7" ht="12.75">
      <c r="A45" s="6">
        <f t="shared" si="1"/>
        <v>37</v>
      </c>
      <c r="B45" s="168" t="s">
        <v>139</v>
      </c>
      <c r="C45" s="169">
        <v>25365040.39363811</v>
      </c>
      <c r="D45" s="170" t="s">
        <v>117</v>
      </c>
      <c r="E45" s="171" t="s">
        <v>118</v>
      </c>
      <c r="G45" s="75" t="s">
        <v>144</v>
      </c>
    </row>
    <row r="46" spans="1:5" ht="12.75">
      <c r="A46" s="6">
        <f t="shared" si="1"/>
        <v>38</v>
      </c>
      <c r="B46" s="157" t="s">
        <v>174</v>
      </c>
      <c r="C46" s="174">
        <f>C45/C13</f>
        <v>5.7815103342139675</v>
      </c>
      <c r="D46" s="175">
        <f>ROUND((D22/E22)*E46,2)</f>
        <v>6.98</v>
      </c>
      <c r="E46" s="176">
        <f>ROUND(C45/(E13+(D22/E22)*D13),2)</f>
        <v>4.64</v>
      </c>
    </row>
    <row r="47" spans="1:3" ht="12.75">
      <c r="A47" s="6">
        <f t="shared" si="1"/>
        <v>39</v>
      </c>
      <c r="B47" s="8"/>
      <c r="C47" s="14"/>
    </row>
    <row r="48" spans="1:3" ht="12.75">
      <c r="A48" s="6">
        <f t="shared" si="1"/>
        <v>40</v>
      </c>
      <c r="B48" s="5" t="s">
        <v>142</v>
      </c>
      <c r="C48" s="14"/>
    </row>
    <row r="49" spans="1:3" ht="12.75">
      <c r="A49" s="6">
        <f t="shared" si="1"/>
        <v>41</v>
      </c>
      <c r="B49" s="137" t="s">
        <v>175</v>
      </c>
      <c r="C49" s="71">
        <f>D46*D13+E13*E46</f>
        <v>25350814.852362435</v>
      </c>
    </row>
    <row r="50" spans="1:3" ht="12.75">
      <c r="A50" s="6">
        <f t="shared" si="1"/>
        <v>42</v>
      </c>
      <c r="B50" s="8"/>
      <c r="C50" s="14"/>
    </row>
    <row r="51" spans="1:7" ht="12.75">
      <c r="A51" s="6">
        <f t="shared" si="1"/>
        <v>43</v>
      </c>
      <c r="B51" s="168" t="s">
        <v>143</v>
      </c>
      <c r="C51" s="183">
        <v>1056049.390817073</v>
      </c>
      <c r="G51" s="75" t="s">
        <v>144</v>
      </c>
    </row>
    <row r="52" spans="1:3" ht="12.75">
      <c r="A52" s="6">
        <f t="shared" si="1"/>
        <v>44</v>
      </c>
      <c r="B52" s="161" t="s">
        <v>126</v>
      </c>
      <c r="C52" s="177">
        <f>ROUND(C51/C15,5)</f>
        <v>0.00113</v>
      </c>
    </row>
    <row r="53" spans="1:3" ht="12.75">
      <c r="A53" s="6">
        <f t="shared" si="1"/>
        <v>45</v>
      </c>
      <c r="B53" s="8"/>
      <c r="C53" s="14"/>
    </row>
    <row r="54" spans="1:3" ht="12.75">
      <c r="A54" s="6">
        <f t="shared" si="1"/>
        <v>46</v>
      </c>
      <c r="B54" s="5" t="s">
        <v>145</v>
      </c>
      <c r="C54" s="14"/>
    </row>
    <row r="55" spans="1:3" ht="12.75">
      <c r="A55" s="6">
        <f t="shared" si="1"/>
        <v>47</v>
      </c>
      <c r="B55" s="137" t="s">
        <v>126</v>
      </c>
      <c r="C55" s="71">
        <f>+C52*C15</f>
        <v>1055499.1543750004</v>
      </c>
    </row>
    <row r="56" spans="1:6" ht="12.75">
      <c r="A56" s="6">
        <f t="shared" si="1"/>
        <v>48</v>
      </c>
      <c r="F56" s="37"/>
    </row>
    <row r="57" spans="1:3" ht="12.75">
      <c r="A57" s="6">
        <f t="shared" si="1"/>
        <v>49</v>
      </c>
      <c r="B57" s="10" t="s">
        <v>97</v>
      </c>
      <c r="C57" s="14">
        <f>+C35-C43-C49-C55</f>
        <v>96174434.65249433</v>
      </c>
    </row>
    <row r="58" spans="1:3" ht="12.75">
      <c r="A58" s="6">
        <f t="shared" si="1"/>
        <v>50</v>
      </c>
      <c r="B58" s="10"/>
      <c r="C58" s="14"/>
    </row>
    <row r="59" spans="1:6" ht="12.75">
      <c r="A59" s="6">
        <f t="shared" si="1"/>
        <v>51</v>
      </c>
      <c r="B59" s="153" t="s">
        <v>81</v>
      </c>
      <c r="C59" s="154"/>
      <c r="D59" s="68"/>
      <c r="F59" s="37"/>
    </row>
    <row r="60" spans="1:7" ht="12.75">
      <c r="A60" s="6">
        <f t="shared" si="1"/>
        <v>52</v>
      </c>
      <c r="B60" s="161" t="s">
        <v>110</v>
      </c>
      <c r="C60" s="158">
        <f>ROUND(+C57/C11,6)</f>
        <v>0.050972</v>
      </c>
      <c r="D60" s="14"/>
      <c r="G60" s="76" t="s">
        <v>176</v>
      </c>
    </row>
    <row r="61" ht="12.75">
      <c r="A61" s="6">
        <f t="shared" si="1"/>
        <v>53</v>
      </c>
    </row>
    <row r="62" spans="1:2" ht="12.75">
      <c r="A62" s="6">
        <f t="shared" si="1"/>
        <v>54</v>
      </c>
      <c r="B62" t="s">
        <v>86</v>
      </c>
    </row>
    <row r="63" spans="1:3" ht="12.75">
      <c r="A63" s="6">
        <f t="shared" si="1"/>
        <v>55</v>
      </c>
      <c r="B63" s="10" t="s">
        <v>110</v>
      </c>
      <c r="C63" s="7">
        <f>+C60*C11</f>
        <v>96175100.8492349</v>
      </c>
    </row>
    <row r="64" spans="1:2" ht="12.75">
      <c r="A64" s="6">
        <f t="shared" si="1"/>
        <v>56</v>
      </c>
      <c r="B64" s="8"/>
    </row>
    <row r="65" spans="1:3" ht="12.75">
      <c r="A65" s="6">
        <f t="shared" si="1"/>
        <v>57</v>
      </c>
      <c r="B65" t="s">
        <v>103</v>
      </c>
      <c r="C65" s="14">
        <f>+C63+C55+C49+C43</f>
        <v>123268618.12848093</v>
      </c>
    </row>
    <row r="66" spans="1:3" ht="12.75">
      <c r="A66" s="6">
        <f t="shared" si="1"/>
        <v>58</v>
      </c>
      <c r="B66" s="163" t="s">
        <v>104</v>
      </c>
      <c r="C66" s="164">
        <f>+C65-C35</f>
        <v>666.1967405676842</v>
      </c>
    </row>
  </sheetData>
  <printOptions horizontalCentered="1"/>
  <pageMargins left="1.5" right="0.25" top="1" bottom="0.75" header="1" footer="0.5"/>
  <pageSetup cellComments="asDisplayed" fitToHeight="1" fitToWidth="1" horizontalDpi="600" verticalDpi="600" orientation="portrait" scale="64" r:id="rId1"/>
  <headerFooter alignWithMargins="0">
    <oddHeader>&amp;RDocket No. UE-04______
Exhibit No. _______ (JAH-4)
Page &amp;P of &amp;N</oddHeader>
    <oddFooter>&amp;LSchedule 26</oddFooter>
  </headerFooter>
  <rowBreaks count="1" manualBreakCount="1">
    <brk id="3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85" zoomScaleNormal="85" workbookViewId="0" topLeftCell="A1">
      <selection activeCell="C35" sqref="C35"/>
    </sheetView>
  </sheetViews>
  <sheetFormatPr defaultColWidth="9.140625" defaultRowHeight="12.75"/>
  <cols>
    <col min="1" max="1" width="4.57421875" style="0" customWidth="1"/>
    <col min="2" max="2" width="41.140625" style="0" bestFit="1" customWidth="1"/>
    <col min="3" max="3" width="14.28125" style="0" bestFit="1" customWidth="1"/>
    <col min="4" max="5" width="12.57421875" style="0" bestFit="1" customWidth="1"/>
    <col min="6" max="6" width="6.8515625" style="0" customWidth="1"/>
    <col min="7" max="7" width="41.00390625" style="0" bestFit="1" customWidth="1"/>
  </cols>
  <sheetData>
    <row r="1" spans="2:7" ht="12.75">
      <c r="B1" s="1" t="s">
        <v>0</v>
      </c>
      <c r="C1" s="1"/>
      <c r="D1" s="1"/>
      <c r="E1" s="1"/>
      <c r="F1" s="1"/>
      <c r="G1" s="1"/>
    </row>
    <row r="2" spans="2:7" ht="12.75">
      <c r="B2" s="1" t="s">
        <v>68</v>
      </c>
      <c r="C2" s="1"/>
      <c r="D2" s="1"/>
      <c r="E2" s="1"/>
      <c r="F2" s="1"/>
      <c r="G2" s="1"/>
    </row>
    <row r="3" spans="2:7" ht="12.75">
      <c r="B3" s="1" t="s">
        <v>50</v>
      </c>
      <c r="C3" s="1"/>
      <c r="D3" s="1"/>
      <c r="E3" s="1"/>
      <c r="F3" s="1"/>
      <c r="G3" s="1"/>
    </row>
    <row r="4" spans="2:7" ht="12.75">
      <c r="B4" s="1" t="s">
        <v>177</v>
      </c>
      <c r="C4" s="1"/>
      <c r="D4" s="1"/>
      <c r="E4" s="1"/>
      <c r="F4" s="1"/>
      <c r="G4" s="1"/>
    </row>
    <row r="6" spans="1:5" s="4" customFormat="1" ht="25.5">
      <c r="A6" s="2" t="s">
        <v>70</v>
      </c>
      <c r="B6" s="2"/>
      <c r="C6" s="2" t="s">
        <v>71</v>
      </c>
      <c r="D6" s="2" t="s">
        <v>106</v>
      </c>
      <c r="E6" s="2" t="s">
        <v>107</v>
      </c>
    </row>
    <row r="7" spans="1:3" ht="13.5" thickBot="1">
      <c r="A7" s="6">
        <v>1</v>
      </c>
      <c r="B7" s="9" t="s">
        <v>73</v>
      </c>
      <c r="C7" s="62">
        <v>6077.528599999999</v>
      </c>
    </row>
    <row r="8" spans="1:3" ht="13.5" thickTop="1">
      <c r="A8" s="6">
        <f aca="true" t="shared" si="0" ref="A8:A20">+A7+1</f>
        <v>2</v>
      </c>
      <c r="C8" s="61"/>
    </row>
    <row r="9" spans="1:3" ht="12.75">
      <c r="A9" s="6">
        <f t="shared" si="0"/>
        <v>3</v>
      </c>
      <c r="B9" s="8" t="s">
        <v>166</v>
      </c>
      <c r="C9" s="61">
        <v>1661414453.1427002</v>
      </c>
    </row>
    <row r="10" spans="1:3" ht="12.75">
      <c r="A10" s="6">
        <f t="shared" si="0"/>
        <v>4</v>
      </c>
      <c r="B10" s="10" t="s">
        <v>109</v>
      </c>
      <c r="C10" s="61">
        <v>-3882862.066197941</v>
      </c>
    </row>
    <row r="11" spans="1:3" ht="13.5" thickBot="1">
      <c r="A11" s="6">
        <f t="shared" si="0"/>
        <v>5</v>
      </c>
      <c r="B11" s="5" t="s">
        <v>167</v>
      </c>
      <c r="C11" s="62">
        <f>SUM(C9:C10)</f>
        <v>1657531591.0765023</v>
      </c>
    </row>
    <row r="12" ht="13.5" thickTop="1">
      <c r="A12" s="6">
        <f t="shared" si="0"/>
        <v>6</v>
      </c>
    </row>
    <row r="13" spans="1:5" ht="13.5" thickBot="1">
      <c r="A13" s="6">
        <f t="shared" si="0"/>
        <v>7</v>
      </c>
      <c r="B13" s="9" t="s">
        <v>122</v>
      </c>
      <c r="C13" s="62">
        <f>SUM(D13:E13)</f>
        <v>3946814.654071696</v>
      </c>
      <c r="D13" s="62">
        <v>1927229.011235914</v>
      </c>
      <c r="E13" s="62">
        <v>2019585.6428357824</v>
      </c>
    </row>
    <row r="14" ht="13.5" thickTop="1">
      <c r="A14" s="6">
        <f t="shared" si="0"/>
        <v>8</v>
      </c>
    </row>
    <row r="15" spans="1:3" ht="13.5" thickBot="1">
      <c r="A15" s="6">
        <f t="shared" si="0"/>
        <v>9</v>
      </c>
      <c r="B15" s="5" t="s">
        <v>125</v>
      </c>
      <c r="C15" s="62">
        <v>919421179.1755927</v>
      </c>
    </row>
    <row r="16" ht="13.5" thickTop="1">
      <c r="A16" s="6">
        <f t="shared" si="0"/>
        <v>10</v>
      </c>
    </row>
    <row r="17" spans="1:5" ht="12.75">
      <c r="A17" s="6">
        <f t="shared" si="0"/>
        <v>11</v>
      </c>
      <c r="B17" s="64" t="s">
        <v>168</v>
      </c>
      <c r="C17" s="65"/>
      <c r="D17" s="65"/>
      <c r="E17" s="66"/>
    </row>
    <row r="18" spans="1:2" ht="12.75">
      <c r="A18" s="6">
        <f t="shared" si="0"/>
        <v>12</v>
      </c>
      <c r="B18" t="s">
        <v>127</v>
      </c>
    </row>
    <row r="19" spans="1:5" ht="12.75">
      <c r="A19" s="6">
        <f t="shared" si="0"/>
        <v>13</v>
      </c>
      <c r="B19" s="10" t="s">
        <v>169</v>
      </c>
      <c r="C19" s="67">
        <v>200</v>
      </c>
      <c r="D19" s="67"/>
      <c r="E19" s="67"/>
    </row>
    <row r="20" spans="1:5" ht="12.75">
      <c r="A20" s="6">
        <f t="shared" si="0"/>
        <v>14</v>
      </c>
      <c r="B20" s="10" t="s">
        <v>170</v>
      </c>
      <c r="C20" s="68">
        <v>0.042539999999999994</v>
      </c>
      <c r="D20" s="68"/>
      <c r="E20" s="68"/>
    </row>
    <row r="21" spans="1:5" ht="12.75">
      <c r="A21" s="6"/>
      <c r="B21" s="10" t="s">
        <v>82</v>
      </c>
      <c r="C21" s="68">
        <v>0.0025259198168249607</v>
      </c>
      <c r="D21" s="68"/>
      <c r="E21" s="68"/>
    </row>
    <row r="22" spans="1:5" ht="12.75">
      <c r="A22" s="6">
        <f>+A20+1</f>
        <v>15</v>
      </c>
      <c r="B22" s="8" t="s">
        <v>178</v>
      </c>
      <c r="D22" s="67">
        <v>6.41</v>
      </c>
      <c r="E22" s="67">
        <v>4.27</v>
      </c>
    </row>
    <row r="23" spans="1:5" ht="12.75">
      <c r="A23" s="6">
        <f aca="true" t="shared" si="1" ref="A23:A70">+A22+1</f>
        <v>16</v>
      </c>
      <c r="B23" s="10" t="s">
        <v>179</v>
      </c>
      <c r="C23" s="131">
        <v>0.0008100000000000001</v>
      </c>
      <c r="D23" s="131"/>
      <c r="E23" s="131"/>
    </row>
    <row r="24" ht="12.75">
      <c r="A24" s="6">
        <f t="shared" si="1"/>
        <v>17</v>
      </c>
    </row>
    <row r="25" spans="1:2" ht="12.75">
      <c r="A25" s="6">
        <f t="shared" si="1"/>
        <v>18</v>
      </c>
      <c r="B25" t="s">
        <v>131</v>
      </c>
    </row>
    <row r="26" spans="1:7" ht="12.75">
      <c r="A26" s="6">
        <f t="shared" si="1"/>
        <v>19</v>
      </c>
      <c r="B26" s="8" t="s">
        <v>180</v>
      </c>
      <c r="C26" s="134">
        <f>+C7*C19</f>
        <v>1215505.7199999997</v>
      </c>
      <c r="D26" s="134"/>
      <c r="E26" s="134"/>
      <c r="F26" s="11"/>
      <c r="G26" s="13"/>
    </row>
    <row r="27" spans="1:7" ht="12.75">
      <c r="A27" s="6">
        <f t="shared" si="1"/>
        <v>20</v>
      </c>
      <c r="B27" s="10" t="s">
        <v>181</v>
      </c>
      <c r="C27" s="134">
        <f>+C11*C20</f>
        <v>70511393.88439439</v>
      </c>
      <c r="D27" s="134"/>
      <c r="E27" s="134"/>
      <c r="F27" s="11"/>
      <c r="G27" s="13"/>
    </row>
    <row r="28" spans="1:7" ht="12.75">
      <c r="A28" s="6">
        <f t="shared" si="1"/>
        <v>21</v>
      </c>
      <c r="B28" s="10" t="s">
        <v>82</v>
      </c>
      <c r="C28" s="134">
        <f>+C11*C21</f>
        <v>4186791.8929135446</v>
      </c>
      <c r="D28" s="134"/>
      <c r="E28" s="134"/>
      <c r="F28" s="11"/>
      <c r="G28" s="13"/>
    </row>
    <row r="29" spans="1:7" ht="12.75">
      <c r="A29" s="6">
        <f t="shared" si="1"/>
        <v>22</v>
      </c>
      <c r="B29" s="10" t="s">
        <v>171</v>
      </c>
      <c r="C29" s="134">
        <f>SUM(D29:E29)</f>
        <v>20977168.656930998</v>
      </c>
      <c r="D29" s="134">
        <f>+D13*D22</f>
        <v>12353537.96202221</v>
      </c>
      <c r="E29" s="134">
        <f>+E13*E22</f>
        <v>8623630.69490879</v>
      </c>
      <c r="F29" s="11"/>
      <c r="G29" s="13"/>
    </row>
    <row r="30" spans="1:7" ht="12.75">
      <c r="A30" s="6">
        <f t="shared" si="1"/>
        <v>23</v>
      </c>
      <c r="B30" s="10" t="s">
        <v>172</v>
      </c>
      <c r="C30" s="134">
        <f>+C15*C23</f>
        <v>744731.1551322301</v>
      </c>
      <c r="F30" s="11"/>
      <c r="G30" s="13"/>
    </row>
    <row r="31" spans="1:7" ht="13.5" thickBot="1">
      <c r="A31" s="6">
        <f t="shared" si="1"/>
        <v>24</v>
      </c>
      <c r="B31" s="10" t="s">
        <v>182</v>
      </c>
      <c r="C31" s="135">
        <f>SUM(C30,C29,C27,C26,C28)</f>
        <v>97635591.30937117</v>
      </c>
      <c r="F31" s="14"/>
      <c r="G31" s="14"/>
    </row>
    <row r="32" spans="1:3" ht="13.5" thickTop="1">
      <c r="A32" s="6">
        <f t="shared" si="1"/>
        <v>25</v>
      </c>
      <c r="C32" s="14"/>
    </row>
    <row r="33" spans="1:5" ht="12.75">
      <c r="A33" s="6">
        <f t="shared" si="1"/>
        <v>26</v>
      </c>
      <c r="B33" s="90" t="str">
        <f>+'Residential Schedule 7'!B35</f>
        <v>Proposed Rates Effective 2005</v>
      </c>
      <c r="C33" s="65"/>
      <c r="D33" s="65"/>
      <c r="E33" s="66"/>
    </row>
    <row r="34" spans="1:5" ht="12.75">
      <c r="A34" s="6">
        <f t="shared" si="1"/>
        <v>27</v>
      </c>
      <c r="B34" s="72"/>
      <c r="C34" s="72"/>
      <c r="D34" s="72"/>
      <c r="E34" s="72"/>
    </row>
    <row r="35" spans="1:7" ht="12.75">
      <c r="A35" s="6">
        <f t="shared" si="1"/>
        <v>28</v>
      </c>
      <c r="B35" s="144" t="s">
        <v>183</v>
      </c>
      <c r="C35" s="184">
        <v>5601005.389181188</v>
      </c>
      <c r="D35" s="145"/>
      <c r="E35" s="72"/>
      <c r="G35" s="75" t="s">
        <v>94</v>
      </c>
    </row>
    <row r="36" spans="1:5" ht="12.75">
      <c r="A36" s="6">
        <f t="shared" si="1"/>
        <v>29</v>
      </c>
      <c r="B36" s="144" t="s">
        <v>184</v>
      </c>
      <c r="C36" s="146">
        <f>+C31+'Primary Voltage Schedule 35'!C29</f>
        <v>97837860.45139481</v>
      </c>
      <c r="E36" s="72"/>
    </row>
    <row r="37" spans="1:5" ht="12.75">
      <c r="A37" s="6">
        <f t="shared" si="1"/>
        <v>30</v>
      </c>
      <c r="B37" s="128" t="s">
        <v>17</v>
      </c>
      <c r="C37" s="147">
        <f>+C35/C36</f>
        <v>0.057247831906174294</v>
      </c>
      <c r="D37" s="72"/>
      <c r="E37" s="72"/>
    </row>
    <row r="38" spans="1:5" ht="12.75">
      <c r="A38" s="6">
        <f t="shared" si="1"/>
        <v>31</v>
      </c>
      <c r="B38" s="72"/>
      <c r="C38" s="72"/>
      <c r="D38" s="72"/>
      <c r="E38" s="72"/>
    </row>
    <row r="39" spans="1:4" ht="12.75">
      <c r="A39" s="6">
        <f t="shared" si="1"/>
        <v>32</v>
      </c>
      <c r="B39" s="9" t="s">
        <v>93</v>
      </c>
      <c r="C39" s="13">
        <f>+C37*C31</f>
        <v>5589425.919338813</v>
      </c>
      <c r="D39" s="14"/>
    </row>
    <row r="40" spans="1:3" ht="12.75">
      <c r="A40" s="6">
        <f t="shared" si="1"/>
        <v>33</v>
      </c>
      <c r="B40" s="9" t="s">
        <v>185</v>
      </c>
      <c r="C40" s="13">
        <f>+C31+C39</f>
        <v>103225017.22870998</v>
      </c>
    </row>
    <row r="41" spans="1:3" ht="12.75">
      <c r="A41" s="6">
        <f t="shared" si="1"/>
        <v>34</v>
      </c>
      <c r="B41" s="9" t="s">
        <v>112</v>
      </c>
      <c r="C41" s="77">
        <f>+C39/C31</f>
        <v>0.0572478319061743</v>
      </c>
    </row>
    <row r="42" ht="12.75">
      <c r="A42" s="6">
        <f t="shared" si="1"/>
        <v>35</v>
      </c>
    </row>
    <row r="43" spans="1:5" ht="12.75">
      <c r="A43" s="6">
        <f t="shared" si="1"/>
        <v>36</v>
      </c>
      <c r="B43" s="153" t="s">
        <v>80</v>
      </c>
      <c r="C43" s="154"/>
      <c r="E43" s="148"/>
    </row>
    <row r="44" spans="1:8" ht="12.75">
      <c r="A44" s="6">
        <f t="shared" si="1"/>
        <v>37</v>
      </c>
      <c r="B44" s="161" t="s">
        <v>138</v>
      </c>
      <c r="C44" s="167">
        <f>C19</f>
        <v>200</v>
      </c>
      <c r="D44" s="73"/>
      <c r="E44" s="73"/>
      <c r="G44" s="74" t="s">
        <v>186</v>
      </c>
      <c r="H44" s="76"/>
    </row>
    <row r="45" ht="12.75">
      <c r="A45" s="6">
        <f t="shared" si="1"/>
        <v>38</v>
      </c>
    </row>
    <row r="46" spans="1:2" ht="12.75">
      <c r="A46" s="6">
        <f t="shared" si="1"/>
        <v>39</v>
      </c>
      <c r="B46" s="9" t="s">
        <v>84</v>
      </c>
    </row>
    <row r="47" spans="1:3" ht="12.75">
      <c r="A47" s="6">
        <f t="shared" si="1"/>
        <v>40</v>
      </c>
      <c r="B47" s="8" t="s">
        <v>85</v>
      </c>
      <c r="C47" s="71">
        <f>+C44*C7</f>
        <v>1215505.7199999997</v>
      </c>
    </row>
    <row r="48" spans="1:3" ht="12.75">
      <c r="A48" s="6">
        <f t="shared" si="1"/>
        <v>41</v>
      </c>
      <c r="B48" s="8"/>
      <c r="C48" s="14"/>
    </row>
    <row r="49" spans="1:5" ht="12.75">
      <c r="A49" s="6">
        <f t="shared" si="1"/>
        <v>42</v>
      </c>
      <c r="B49" s="168" t="s">
        <v>139</v>
      </c>
      <c r="C49" s="169">
        <v>21267812.852931798</v>
      </c>
      <c r="D49" s="170"/>
      <c r="E49" s="171"/>
    </row>
    <row r="50" spans="1:7" ht="12.75">
      <c r="A50" s="6">
        <f t="shared" si="1"/>
        <v>43</v>
      </c>
      <c r="B50" s="157" t="s">
        <v>187</v>
      </c>
      <c r="C50" s="174">
        <f>ROUND(C49/C13,2)</f>
        <v>5.39</v>
      </c>
      <c r="D50" s="175">
        <f>ROUND((D22/E22)*E50,2)</f>
        <v>6.5</v>
      </c>
      <c r="E50" s="176">
        <f>ROUND(C49/(E13+(D22/E22)*D13),2)</f>
        <v>4.33</v>
      </c>
      <c r="G50" s="123" t="s">
        <v>144</v>
      </c>
    </row>
    <row r="51" spans="1:3" ht="12.75">
      <c r="A51" s="6">
        <f t="shared" si="1"/>
        <v>44</v>
      </c>
      <c r="B51" s="8"/>
      <c r="C51" s="14"/>
    </row>
    <row r="52" spans="1:3" ht="12.75">
      <c r="A52" s="6">
        <f t="shared" si="1"/>
        <v>45</v>
      </c>
      <c r="B52" s="5" t="s">
        <v>142</v>
      </c>
      <c r="C52" s="14"/>
    </row>
    <row r="53" spans="1:3" ht="12.75">
      <c r="A53" s="6">
        <f t="shared" si="1"/>
        <v>46</v>
      </c>
      <c r="B53" s="137" t="s">
        <v>175</v>
      </c>
      <c r="C53" s="71">
        <f>D50*D13+E13*E50</f>
        <v>21271794.40651238</v>
      </c>
    </row>
    <row r="54" spans="1:3" ht="12.75">
      <c r="A54" s="6">
        <f t="shared" si="1"/>
        <v>47</v>
      </c>
      <c r="B54" s="8"/>
      <c r="C54" s="14"/>
    </row>
    <row r="55" spans="1:7" ht="12.75">
      <c r="A55" s="6">
        <f t="shared" si="1"/>
        <v>48</v>
      </c>
      <c r="B55" s="168" t="s">
        <v>143</v>
      </c>
      <c r="C55" s="183">
        <v>822884.5655043437</v>
      </c>
      <c r="G55" s="75" t="s">
        <v>144</v>
      </c>
    </row>
    <row r="56" spans="1:3" ht="12.75">
      <c r="A56" s="6">
        <f t="shared" si="1"/>
        <v>49</v>
      </c>
      <c r="B56" s="161" t="s">
        <v>126</v>
      </c>
      <c r="C56" s="177">
        <f>ROUND(C55/C15,5)</f>
        <v>0.0009</v>
      </c>
    </row>
    <row r="57" spans="1:3" ht="12.75">
      <c r="A57" s="6">
        <f t="shared" si="1"/>
        <v>50</v>
      </c>
      <c r="B57" s="8"/>
      <c r="C57" s="14"/>
    </row>
    <row r="58" spans="1:3" ht="12.75">
      <c r="A58" s="6">
        <f t="shared" si="1"/>
        <v>51</v>
      </c>
      <c r="B58" s="5" t="s">
        <v>145</v>
      </c>
      <c r="C58" s="14"/>
    </row>
    <row r="59" spans="1:3" ht="12.75">
      <c r="A59" s="6">
        <f t="shared" si="1"/>
        <v>52</v>
      </c>
      <c r="B59" s="137" t="s">
        <v>126</v>
      </c>
      <c r="C59" s="71">
        <f>+C56*C15</f>
        <v>827479.0612580334</v>
      </c>
    </row>
    <row r="60" spans="1:6" ht="12.75">
      <c r="A60" s="6">
        <f t="shared" si="1"/>
        <v>53</v>
      </c>
      <c r="F60" s="37"/>
    </row>
    <row r="61" spans="1:4" ht="12.75">
      <c r="A61" s="6">
        <f t="shared" si="1"/>
        <v>54</v>
      </c>
      <c r="B61" s="10" t="s">
        <v>97</v>
      </c>
      <c r="C61" s="14">
        <f>+C40-C47-C53-C59</f>
        <v>79910238.04093957</v>
      </c>
      <c r="D61" s="14"/>
    </row>
    <row r="62" spans="1:3" ht="12.75">
      <c r="A62" s="6">
        <f t="shared" si="1"/>
        <v>55</v>
      </c>
      <c r="B62" s="10"/>
      <c r="C62" s="14"/>
    </row>
    <row r="63" spans="1:6" ht="12.75">
      <c r="A63" s="6">
        <f t="shared" si="1"/>
        <v>56</v>
      </c>
      <c r="B63" s="153" t="s">
        <v>81</v>
      </c>
      <c r="C63" s="154"/>
      <c r="D63" s="68"/>
      <c r="F63" s="37"/>
    </row>
    <row r="64" spans="1:7" ht="12.75">
      <c r="A64" s="6">
        <f t="shared" si="1"/>
        <v>57</v>
      </c>
      <c r="B64" s="161" t="s">
        <v>110</v>
      </c>
      <c r="C64" s="158">
        <f>ROUND(+C61/C11,6)</f>
        <v>0.04821</v>
      </c>
      <c r="D64" s="14"/>
      <c r="G64" s="76" t="s">
        <v>176</v>
      </c>
    </row>
    <row r="65" ht="12.75">
      <c r="A65" s="6">
        <f t="shared" si="1"/>
        <v>58</v>
      </c>
    </row>
    <row r="66" spans="1:2" ht="12.75">
      <c r="A66" s="6">
        <f t="shared" si="1"/>
        <v>59</v>
      </c>
      <c r="B66" t="s">
        <v>86</v>
      </c>
    </row>
    <row r="67" spans="1:3" ht="12.75">
      <c r="A67" s="6">
        <f t="shared" si="1"/>
        <v>60</v>
      </c>
      <c r="B67" s="10" t="s">
        <v>110</v>
      </c>
      <c r="C67" s="7">
        <f>+C64*C11</f>
        <v>79909598.00579818</v>
      </c>
    </row>
    <row r="68" spans="1:2" ht="12.75">
      <c r="A68" s="6">
        <f t="shared" si="1"/>
        <v>61</v>
      </c>
      <c r="B68" s="8"/>
    </row>
    <row r="69" spans="1:3" ht="12.75">
      <c r="A69" s="6">
        <f t="shared" si="1"/>
        <v>62</v>
      </c>
      <c r="B69" t="s">
        <v>103</v>
      </c>
      <c r="C69" s="14">
        <f>+C67+C59+C53+C47</f>
        <v>103224377.19356859</v>
      </c>
    </row>
    <row r="70" spans="1:3" ht="12.75">
      <c r="A70" s="6">
        <f t="shared" si="1"/>
        <v>63</v>
      </c>
      <c r="B70" s="163" t="s">
        <v>104</v>
      </c>
      <c r="C70" s="164">
        <f>+C69-C40</f>
        <v>-640.0351413935423</v>
      </c>
    </row>
  </sheetData>
  <printOptions horizontalCentered="1"/>
  <pageMargins left="1.5" right="0.25" top="1" bottom="0.75" header="1" footer="0.5"/>
  <pageSetup cellComments="asDisplayed" fitToHeight="1" fitToWidth="1" horizontalDpi="600" verticalDpi="600" orientation="portrait" scale="66" r:id="rId1"/>
  <headerFooter alignWithMargins="0">
    <oddHeader>&amp;RDocket No. UE-04______
Exhibit No. _______ (JAH-4)
Page &amp;P of &amp;N</oddHeader>
    <oddFooter>&amp;LSchedule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="85" zoomScaleNormal="85" workbookViewId="0" topLeftCell="A1">
      <selection activeCell="B37" sqref="B37:C38"/>
    </sheetView>
  </sheetViews>
  <sheetFormatPr defaultColWidth="9.140625" defaultRowHeight="12.75"/>
  <cols>
    <col min="1" max="1" width="4.57421875" style="0" customWidth="1"/>
    <col min="2" max="2" width="41.140625" style="0" bestFit="1" customWidth="1"/>
    <col min="3" max="3" width="11.00390625" style="0" bestFit="1" customWidth="1"/>
    <col min="4" max="4" width="13.7109375" style="0" bestFit="1" customWidth="1"/>
    <col min="5" max="5" width="14.7109375" style="0" bestFit="1" customWidth="1"/>
    <col min="6" max="6" width="41.00390625" style="0" bestFit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68</v>
      </c>
      <c r="C2" s="1"/>
      <c r="D2" s="1"/>
      <c r="E2" s="1"/>
    </row>
    <row r="3" spans="2:5" ht="12.75">
      <c r="B3" s="1" t="s">
        <v>50</v>
      </c>
      <c r="C3" s="1"/>
      <c r="D3" s="1"/>
      <c r="E3" s="1"/>
    </row>
    <row r="4" spans="2:5" ht="12.75">
      <c r="B4" s="1" t="s">
        <v>188</v>
      </c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 s="3" t="s">
        <v>189</v>
      </c>
      <c r="E6" s="3" t="s">
        <v>190</v>
      </c>
    </row>
    <row r="7" spans="1:3" ht="13.5" thickBot="1">
      <c r="A7" s="6">
        <v>1</v>
      </c>
      <c r="B7" s="9" t="s">
        <v>73</v>
      </c>
      <c r="C7" s="62">
        <v>12</v>
      </c>
    </row>
    <row r="8" spans="1:3" ht="13.5" thickTop="1">
      <c r="A8" s="6">
        <f aca="true" t="shared" si="0" ref="A8:A18">+A7+1</f>
        <v>2</v>
      </c>
      <c r="C8" s="61"/>
    </row>
    <row r="9" spans="1:3" ht="13.5" thickBot="1">
      <c r="A9" s="6">
        <f t="shared" si="0"/>
        <v>3</v>
      </c>
      <c r="B9" s="9" t="s">
        <v>76</v>
      </c>
      <c r="C9" s="62">
        <v>4966200</v>
      </c>
    </row>
    <row r="10" ht="13.5" thickTop="1">
      <c r="A10" s="6">
        <f t="shared" si="0"/>
        <v>4</v>
      </c>
    </row>
    <row r="11" spans="1:5" ht="13.5" thickBot="1">
      <c r="A11" s="6">
        <f t="shared" si="0"/>
        <v>5</v>
      </c>
      <c r="B11" s="9" t="s">
        <v>122</v>
      </c>
      <c r="C11" s="62">
        <f>SUM(D11:E11)</f>
        <v>9073.797297297298</v>
      </c>
      <c r="D11" s="62">
        <v>1064.7927927927929</v>
      </c>
      <c r="E11" s="62">
        <v>8009.004504504505</v>
      </c>
    </row>
    <row r="12" ht="13.5" thickTop="1">
      <c r="A12" s="6">
        <f t="shared" si="0"/>
        <v>6</v>
      </c>
    </row>
    <row r="13" spans="1:3" ht="13.5" thickBot="1">
      <c r="A13" s="6">
        <f t="shared" si="0"/>
        <v>7</v>
      </c>
      <c r="B13" s="5" t="s">
        <v>125</v>
      </c>
      <c r="C13" s="62">
        <v>2344204.8192771086</v>
      </c>
    </row>
    <row r="14" ht="13.5" thickTop="1">
      <c r="A14" s="6">
        <f t="shared" si="0"/>
        <v>8</v>
      </c>
    </row>
    <row r="15" spans="1:5" ht="12.75">
      <c r="A15" s="6">
        <f t="shared" si="0"/>
        <v>9</v>
      </c>
      <c r="B15" s="64" t="str">
        <f>+'Residential Schedule 7'!B16</f>
        <v>Current Base Rates Effective 10-1-03</v>
      </c>
      <c r="C15" s="65"/>
      <c r="D15" s="65"/>
      <c r="E15" s="66"/>
    </row>
    <row r="16" spans="1:2" ht="12.75">
      <c r="A16" s="6">
        <f t="shared" si="0"/>
        <v>10</v>
      </c>
      <c r="B16" t="s">
        <v>127</v>
      </c>
    </row>
    <row r="17" spans="1:5" ht="12.75">
      <c r="A17" s="6">
        <f t="shared" si="0"/>
        <v>11</v>
      </c>
      <c r="B17" s="10" t="s">
        <v>169</v>
      </c>
      <c r="C17" s="67">
        <v>200</v>
      </c>
      <c r="D17" s="67"/>
      <c r="E17" s="67"/>
    </row>
    <row r="18" spans="1:5" ht="12.75">
      <c r="A18" s="6">
        <f t="shared" si="0"/>
        <v>12</v>
      </c>
      <c r="B18" s="10" t="s">
        <v>170</v>
      </c>
      <c r="C18" s="68">
        <v>0.033147</v>
      </c>
      <c r="D18" s="68"/>
      <c r="E18" s="68"/>
    </row>
    <row r="19" spans="1:5" ht="12.75">
      <c r="A19" s="6"/>
      <c r="B19" s="10" t="s">
        <v>82</v>
      </c>
      <c r="C19" s="68">
        <v>0.0024129255011140893</v>
      </c>
      <c r="D19" s="68"/>
      <c r="E19" s="68"/>
    </row>
    <row r="20" spans="1:5" ht="12.75">
      <c r="A20" s="6">
        <f>+A18+1</f>
        <v>13</v>
      </c>
      <c r="B20" s="8" t="s">
        <v>178</v>
      </c>
      <c r="D20" s="67">
        <v>3.33</v>
      </c>
      <c r="E20" s="67">
        <v>2.22</v>
      </c>
    </row>
    <row r="21" spans="1:5" ht="12.75">
      <c r="A21" s="6">
        <f>+A20+1</f>
        <v>14</v>
      </c>
      <c r="B21" s="10" t="s">
        <v>179</v>
      </c>
      <c r="C21" s="131">
        <v>0.00083</v>
      </c>
      <c r="D21" s="131"/>
      <c r="E21" s="131"/>
    </row>
    <row r="22" spans="1:5" ht="12.75">
      <c r="A22" s="6">
        <f>+A21+1</f>
        <v>15</v>
      </c>
      <c r="B22" s="10"/>
      <c r="D22" s="131"/>
      <c r="E22" s="131"/>
    </row>
    <row r="23" spans="1:5" ht="12.75">
      <c r="A23" s="6">
        <f>+A22+1</f>
        <v>16</v>
      </c>
      <c r="B23" t="s">
        <v>131</v>
      </c>
      <c r="C23" s="11"/>
      <c r="D23" s="11"/>
      <c r="E23" s="11"/>
    </row>
    <row r="24" spans="1:5" ht="12.75">
      <c r="A24" s="6">
        <f>+A23+1</f>
        <v>17</v>
      </c>
      <c r="B24" s="8" t="s">
        <v>180</v>
      </c>
      <c r="C24" s="134">
        <f>+C7*C17</f>
        <v>2400</v>
      </c>
      <c r="D24" s="11"/>
      <c r="E24" s="11"/>
    </row>
    <row r="25" spans="1:5" ht="12.75">
      <c r="A25" s="6">
        <f>+A24+1</f>
        <v>18</v>
      </c>
      <c r="B25" s="10" t="s">
        <v>181</v>
      </c>
      <c r="C25" s="134">
        <f>+C9*C18</f>
        <v>164614.6314</v>
      </c>
      <c r="D25" s="11"/>
      <c r="E25" s="11"/>
    </row>
    <row r="26" spans="1:5" ht="12.75">
      <c r="A26" s="6"/>
      <c r="B26" s="10" t="s">
        <v>82</v>
      </c>
      <c r="C26" s="134">
        <f>+C9*C19</f>
        <v>11983.07062363279</v>
      </c>
      <c r="D26" s="11"/>
      <c r="E26" s="11"/>
    </row>
    <row r="27" spans="1:5" ht="12.75">
      <c r="A27" s="6">
        <f>+A25+1</f>
        <v>19</v>
      </c>
      <c r="B27" s="10" t="s">
        <v>171</v>
      </c>
      <c r="C27" s="134">
        <f>SUM(D27:E27)</f>
        <v>21325.750000000007</v>
      </c>
      <c r="D27" s="134">
        <f>+D20*D11</f>
        <v>3545.76</v>
      </c>
      <c r="E27" s="134">
        <f>+E20*E11</f>
        <v>17779.990000000005</v>
      </c>
    </row>
    <row r="28" spans="1:5" ht="12.75">
      <c r="A28" s="6">
        <f aca="true" t="shared" si="1" ref="A28:A67">+A27+1</f>
        <v>20</v>
      </c>
      <c r="B28" s="10" t="s">
        <v>172</v>
      </c>
      <c r="C28" s="134">
        <f>+C13*C21</f>
        <v>1945.6900000000003</v>
      </c>
      <c r="D28" s="134"/>
      <c r="E28" s="134"/>
    </row>
    <row r="29" spans="1:6" ht="13.5" thickBot="1">
      <c r="A29" s="6">
        <f t="shared" si="1"/>
        <v>21</v>
      </c>
      <c r="B29" s="10" t="s">
        <v>182</v>
      </c>
      <c r="C29" s="135">
        <f>SUM(C28,C27,C25,C24,C26)</f>
        <v>202269.1420236328</v>
      </c>
      <c r="D29" s="134"/>
      <c r="E29" s="134"/>
      <c r="F29" s="14"/>
    </row>
    <row r="30" spans="1:3" ht="13.5" thickTop="1">
      <c r="A30" s="6">
        <f t="shared" si="1"/>
        <v>22</v>
      </c>
      <c r="C30" s="14"/>
    </row>
    <row r="31" spans="1:5" ht="12.75">
      <c r="A31" s="6">
        <f t="shared" si="1"/>
        <v>23</v>
      </c>
      <c r="B31" s="90" t="str">
        <f>+'Residential Schedule 7'!B35</f>
        <v>Proposed Rates Effective 2005</v>
      </c>
      <c r="C31" s="65"/>
      <c r="D31" s="65"/>
      <c r="E31" s="66"/>
    </row>
    <row r="32" spans="1:5" ht="12.75">
      <c r="A32" s="6">
        <f t="shared" si="1"/>
        <v>24</v>
      </c>
      <c r="B32" s="72"/>
      <c r="C32" s="72"/>
      <c r="D32" s="72"/>
      <c r="E32" s="72"/>
    </row>
    <row r="33" spans="1:3" ht="12.75">
      <c r="A33" s="6">
        <f t="shared" si="1"/>
        <v>25</v>
      </c>
      <c r="B33" s="9" t="s">
        <v>112</v>
      </c>
      <c r="C33" s="77">
        <f>+'Primary Voltage Schedule 31'!C37</f>
        <v>0.057247831906174294</v>
      </c>
    </row>
    <row r="34" spans="1:4" ht="12.75">
      <c r="A34" s="6">
        <f t="shared" si="1"/>
        <v>26</v>
      </c>
      <c r="B34" s="9" t="s">
        <v>93</v>
      </c>
      <c r="C34" s="13">
        <f>+C29*C33</f>
        <v>11579.469842375025</v>
      </c>
      <c r="D34" s="14"/>
    </row>
    <row r="35" spans="1:3" ht="12.75">
      <c r="A35" s="6">
        <f t="shared" si="1"/>
        <v>27</v>
      </c>
      <c r="B35" s="9" t="s">
        <v>191</v>
      </c>
      <c r="C35" s="13">
        <f>+C34+C29</f>
        <v>213848.61186600782</v>
      </c>
    </row>
    <row r="36" ht="12.75">
      <c r="A36" s="6">
        <f t="shared" si="1"/>
        <v>28</v>
      </c>
    </row>
    <row r="37" spans="1:3" ht="12.75">
      <c r="A37" s="6">
        <f t="shared" si="1"/>
        <v>29</v>
      </c>
      <c r="B37" s="153" t="s">
        <v>80</v>
      </c>
      <c r="C37" s="154"/>
    </row>
    <row r="38" spans="1:6" ht="12.75">
      <c r="A38" s="6">
        <f t="shared" si="1"/>
        <v>30</v>
      </c>
      <c r="B38" s="161" t="s">
        <v>138</v>
      </c>
      <c r="C38" s="167">
        <f>+'Primary Voltage Schedule 31'!C44</f>
        <v>200</v>
      </c>
      <c r="D38" s="73"/>
      <c r="F38" s="75" t="s">
        <v>192</v>
      </c>
    </row>
    <row r="39" ht="12.75">
      <c r="A39" s="6">
        <f t="shared" si="1"/>
        <v>31</v>
      </c>
    </row>
    <row r="40" spans="1:2" ht="12.75">
      <c r="A40" s="6">
        <f t="shared" si="1"/>
        <v>32</v>
      </c>
      <c r="B40" s="9" t="s">
        <v>84</v>
      </c>
    </row>
    <row r="41" spans="1:3" ht="12.75">
      <c r="A41" s="6">
        <f t="shared" si="1"/>
        <v>33</v>
      </c>
      <c r="B41" s="8" t="s">
        <v>85</v>
      </c>
      <c r="C41" s="71">
        <f>+C38*C7</f>
        <v>2400</v>
      </c>
    </row>
    <row r="42" spans="1:3" ht="12.75">
      <c r="A42" s="6">
        <f t="shared" si="1"/>
        <v>34</v>
      </c>
      <c r="B42" s="8"/>
      <c r="C42" s="14"/>
    </row>
    <row r="43" spans="1:6" ht="12.75">
      <c r="A43" s="6">
        <f t="shared" si="1"/>
        <v>35</v>
      </c>
      <c r="B43" s="168" t="s">
        <v>139</v>
      </c>
      <c r="C43" s="183">
        <v>21618.763844863195</v>
      </c>
      <c r="F43" s="75" t="s">
        <v>144</v>
      </c>
    </row>
    <row r="44" spans="1:3" ht="12.75">
      <c r="A44" s="6">
        <f t="shared" si="1"/>
        <v>36</v>
      </c>
      <c r="B44" s="185"/>
      <c r="C44" s="186"/>
    </row>
    <row r="45" spans="1:3" ht="12.75">
      <c r="A45" s="6">
        <f t="shared" si="1"/>
        <v>37</v>
      </c>
      <c r="B45" s="155" t="s">
        <v>193</v>
      </c>
      <c r="C45" s="173">
        <f>ROUND(C43/C11,2)</f>
        <v>2.38</v>
      </c>
    </row>
    <row r="46" spans="1:6" ht="12.75">
      <c r="A46" s="6">
        <f t="shared" si="1"/>
        <v>38</v>
      </c>
      <c r="B46" s="159" t="s">
        <v>194</v>
      </c>
      <c r="C46" s="173">
        <f>ROUND(C45*1.5,2)</f>
        <v>3.57</v>
      </c>
      <c r="F46" s="74" t="s">
        <v>195</v>
      </c>
    </row>
    <row r="47" spans="1:3" ht="12.75">
      <c r="A47" s="6">
        <f t="shared" si="1"/>
        <v>39</v>
      </c>
      <c r="B47" s="161" t="s">
        <v>196</v>
      </c>
      <c r="C47" s="162">
        <f>+C45</f>
        <v>2.38</v>
      </c>
    </row>
    <row r="48" spans="1:3" ht="12.75">
      <c r="A48" s="6">
        <f t="shared" si="1"/>
        <v>40</v>
      </c>
      <c r="B48" s="8"/>
      <c r="C48" s="14"/>
    </row>
    <row r="49" spans="1:3" ht="12.75">
      <c r="A49" s="6">
        <f t="shared" si="1"/>
        <v>41</v>
      </c>
      <c r="B49" s="5" t="s">
        <v>142</v>
      </c>
      <c r="C49" s="14"/>
    </row>
    <row r="50" spans="1:4" ht="12.75">
      <c r="A50" s="6">
        <f t="shared" si="1"/>
        <v>42</v>
      </c>
      <c r="B50" s="137" t="s">
        <v>175</v>
      </c>
      <c r="C50" s="71">
        <f>+C46*D11+E11*C47</f>
        <v>22862.74099099099</v>
      </c>
      <c r="D50" s="14"/>
    </row>
    <row r="51" spans="1:3" ht="12.75">
      <c r="A51" s="6">
        <f t="shared" si="1"/>
        <v>43</v>
      </c>
      <c r="B51" s="8"/>
      <c r="C51" s="14"/>
    </row>
    <row r="52" spans="1:6" ht="12.75">
      <c r="A52" s="6">
        <f t="shared" si="1"/>
        <v>44</v>
      </c>
      <c r="B52" s="168" t="s">
        <v>143</v>
      </c>
      <c r="C52" s="183">
        <v>2047.7820824776823</v>
      </c>
      <c r="F52" s="75" t="s">
        <v>144</v>
      </c>
    </row>
    <row r="53" spans="1:3" ht="12.75">
      <c r="A53" s="6">
        <f t="shared" si="1"/>
        <v>45</v>
      </c>
      <c r="B53" s="161" t="s">
        <v>126</v>
      </c>
      <c r="C53" s="177">
        <f>ROUND(C52/C13,5)</f>
        <v>0.00087</v>
      </c>
    </row>
    <row r="54" spans="1:3" ht="12.75">
      <c r="A54" s="6">
        <f t="shared" si="1"/>
        <v>46</v>
      </c>
      <c r="B54" s="8"/>
      <c r="C54" s="14"/>
    </row>
    <row r="55" spans="1:3" ht="12.75">
      <c r="A55" s="6">
        <f t="shared" si="1"/>
        <v>47</v>
      </c>
      <c r="B55" s="5" t="s">
        <v>145</v>
      </c>
      <c r="C55" s="14"/>
    </row>
    <row r="56" spans="1:3" ht="12.75">
      <c r="A56" s="6">
        <f t="shared" si="1"/>
        <v>48</v>
      </c>
      <c r="B56" s="137" t="s">
        <v>126</v>
      </c>
      <c r="C56" s="71">
        <f>+C53*C13</f>
        <v>2039.4581927710844</v>
      </c>
    </row>
    <row r="57" spans="1:5" ht="12.75">
      <c r="A57" s="6">
        <f t="shared" si="1"/>
        <v>49</v>
      </c>
      <c r="E57" s="37"/>
    </row>
    <row r="58" spans="1:3" ht="12.75">
      <c r="A58" s="6">
        <f t="shared" si="1"/>
        <v>50</v>
      </c>
      <c r="B58" s="10" t="s">
        <v>97</v>
      </c>
      <c r="C58" s="14">
        <f>+C35-C41-C50-C56</f>
        <v>186546.41268224575</v>
      </c>
    </row>
    <row r="59" spans="1:5" ht="12.75">
      <c r="A59" s="6">
        <f t="shared" si="1"/>
        <v>51</v>
      </c>
      <c r="B59" s="137"/>
      <c r="C59" s="138"/>
      <c r="E59" s="37"/>
    </row>
    <row r="60" spans="1:5" ht="12.75">
      <c r="A60" s="6">
        <f t="shared" si="1"/>
        <v>52</v>
      </c>
      <c r="B60" s="153" t="s">
        <v>81</v>
      </c>
      <c r="C60" s="154"/>
      <c r="D60" s="68"/>
      <c r="E60" s="37"/>
    </row>
    <row r="61" spans="1:6" ht="12.75">
      <c r="A61" s="6">
        <f t="shared" si="1"/>
        <v>53</v>
      </c>
      <c r="B61" s="161" t="s">
        <v>110</v>
      </c>
      <c r="C61" s="158">
        <f>ROUND(+C58/C9,6)</f>
        <v>0.037563</v>
      </c>
      <c r="D61" s="14"/>
      <c r="F61" s="76" t="s">
        <v>176</v>
      </c>
    </row>
    <row r="62" ht="12.75">
      <c r="A62" s="6">
        <f t="shared" si="1"/>
        <v>54</v>
      </c>
    </row>
    <row r="63" spans="1:2" ht="12.75">
      <c r="A63" s="6">
        <f t="shared" si="1"/>
        <v>55</v>
      </c>
      <c r="B63" t="s">
        <v>86</v>
      </c>
    </row>
    <row r="64" spans="1:3" ht="12.75">
      <c r="A64" s="6">
        <f t="shared" si="1"/>
        <v>56</v>
      </c>
      <c r="B64" s="10" t="s">
        <v>110</v>
      </c>
      <c r="C64" s="7">
        <f>+C61*C9</f>
        <v>186545.3706</v>
      </c>
    </row>
    <row r="65" spans="1:2" ht="12.75">
      <c r="A65" s="6">
        <f t="shared" si="1"/>
        <v>57</v>
      </c>
      <c r="B65" s="8"/>
    </row>
    <row r="66" spans="1:3" ht="12.75">
      <c r="A66" s="6">
        <f t="shared" si="1"/>
        <v>58</v>
      </c>
      <c r="B66" t="s">
        <v>103</v>
      </c>
      <c r="C66" s="14">
        <f>+C64+C56+C50+C41</f>
        <v>213847.5697837621</v>
      </c>
    </row>
    <row r="67" spans="1:3" ht="12.75">
      <c r="A67" s="6">
        <f t="shared" si="1"/>
        <v>59</v>
      </c>
      <c r="B67" s="163" t="s">
        <v>104</v>
      </c>
      <c r="C67" s="164">
        <f>+C66-C35</f>
        <v>-1.0420822457235772</v>
      </c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</sheetData>
  <printOptions horizontalCentered="1"/>
  <pageMargins left="1.5" right="0.25" top="1" bottom="0.75" header="1" footer="0.5"/>
  <pageSetup cellComments="asDisplayed" fitToHeight="1" fitToWidth="1" horizontalDpi="600" verticalDpi="600" orientation="portrait" scale="69" r:id="rId1"/>
  <headerFooter alignWithMargins="0">
    <oddHeader>&amp;RDocket No. UE-04______
Exhibit No. _______ (JAH-4)
Page &amp;P of &amp;N</oddHeader>
    <oddFooter>&amp;LSchedule 35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zoomScale="85" zoomScaleNormal="85" workbookViewId="0" topLeftCell="A1">
      <selection activeCell="B39" sqref="B39:C40"/>
    </sheetView>
  </sheetViews>
  <sheetFormatPr defaultColWidth="9.140625" defaultRowHeight="12.75"/>
  <cols>
    <col min="1" max="1" width="4.57421875" style="0" customWidth="1"/>
    <col min="2" max="2" width="41.140625" style="0" bestFit="1" customWidth="1"/>
    <col min="3" max="3" width="12.57421875" style="0" bestFit="1" customWidth="1"/>
    <col min="4" max="5" width="8.421875" style="0" customWidth="1"/>
    <col min="6" max="6" width="41.00390625" style="0" bestFit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68</v>
      </c>
      <c r="C2" s="1"/>
      <c r="D2" s="1"/>
      <c r="E2" s="1"/>
    </row>
    <row r="3" spans="2:5" ht="12.75">
      <c r="B3" s="1" t="s">
        <v>50</v>
      </c>
      <c r="C3" s="1"/>
      <c r="D3" s="1"/>
      <c r="E3" s="1"/>
    </row>
    <row r="4" spans="2:5" ht="12.75">
      <c r="B4" s="1" t="s">
        <v>197</v>
      </c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 s="126"/>
      <c r="E6" s="126"/>
    </row>
    <row r="7" spans="1:5" ht="13.5" thickBot="1">
      <c r="A7" s="6">
        <v>1</v>
      </c>
      <c r="B7" s="9" t="s">
        <v>73</v>
      </c>
      <c r="C7" s="62">
        <v>2388.0666</v>
      </c>
      <c r="D7" s="127"/>
      <c r="E7" s="127"/>
    </row>
    <row r="8" spans="1:5" ht="13.5" thickTop="1">
      <c r="A8" s="6">
        <f aca="true" t="shared" si="0" ref="A8:A20">+A7+1</f>
        <v>2</v>
      </c>
      <c r="C8" s="61"/>
      <c r="D8" s="61"/>
      <c r="E8" s="61"/>
    </row>
    <row r="9" spans="1:5" ht="12.75">
      <c r="A9" s="6">
        <f t="shared" si="0"/>
        <v>3</v>
      </c>
      <c r="B9" s="8" t="s">
        <v>166</v>
      </c>
      <c r="C9" s="61">
        <v>175656470.41949996</v>
      </c>
      <c r="D9" s="61"/>
      <c r="E9" s="61"/>
    </row>
    <row r="10" spans="1:5" ht="12.75">
      <c r="A10" s="6">
        <f t="shared" si="0"/>
        <v>4</v>
      </c>
      <c r="B10" s="10" t="s">
        <v>109</v>
      </c>
      <c r="C10" s="61">
        <v>14036294.438764367</v>
      </c>
      <c r="D10" s="61"/>
      <c r="E10" s="61"/>
    </row>
    <row r="11" spans="1:5" ht="13.5" thickBot="1">
      <c r="A11" s="6">
        <f t="shared" si="0"/>
        <v>5</v>
      </c>
      <c r="B11" s="9" t="s">
        <v>76</v>
      </c>
      <c r="C11" s="62">
        <f>SUM(C9:C10)</f>
        <v>189692764.85826433</v>
      </c>
      <c r="D11" s="127"/>
      <c r="E11" s="127"/>
    </row>
    <row r="12" ht="13.5" thickTop="1">
      <c r="A12" s="6">
        <f t="shared" si="0"/>
        <v>6</v>
      </c>
    </row>
    <row r="13" spans="1:5" ht="13.5" thickBot="1">
      <c r="A13" s="6">
        <f t="shared" si="0"/>
        <v>7</v>
      </c>
      <c r="B13" s="9" t="s">
        <v>122</v>
      </c>
      <c r="C13" s="62">
        <v>864944.7382920106</v>
      </c>
      <c r="D13" s="127"/>
      <c r="E13" s="127"/>
    </row>
    <row r="14" ht="13.5" thickTop="1">
      <c r="A14" s="6">
        <f t="shared" si="0"/>
        <v>8</v>
      </c>
    </row>
    <row r="15" spans="1:5" ht="13.5" thickBot="1">
      <c r="A15" s="6">
        <f t="shared" si="0"/>
        <v>9</v>
      </c>
      <c r="B15" s="5" t="s">
        <v>125</v>
      </c>
      <c r="C15" s="62">
        <v>82811957.44680853</v>
      </c>
      <c r="D15" s="127"/>
      <c r="E15" s="127"/>
    </row>
    <row r="16" ht="13.5" thickTop="1">
      <c r="A16" s="6">
        <f t="shared" si="0"/>
        <v>10</v>
      </c>
    </row>
    <row r="17" spans="1:5" ht="12.75">
      <c r="A17" s="6">
        <f t="shared" si="0"/>
        <v>11</v>
      </c>
      <c r="B17" s="64" t="str">
        <f>+'Residential Schedule 7'!B16</f>
        <v>Current Base Rates Effective 10-1-03</v>
      </c>
      <c r="C17" s="65"/>
      <c r="D17" s="65"/>
      <c r="E17" s="66"/>
    </row>
    <row r="18" spans="1:2" ht="12.75">
      <c r="A18" s="6">
        <f t="shared" si="0"/>
        <v>12</v>
      </c>
      <c r="B18" t="s">
        <v>127</v>
      </c>
    </row>
    <row r="19" spans="1:5" ht="12.75">
      <c r="A19" s="6">
        <f t="shared" si="0"/>
        <v>13</v>
      </c>
      <c r="B19" s="10" t="s">
        <v>169</v>
      </c>
      <c r="C19" s="67">
        <v>200</v>
      </c>
      <c r="D19" s="67"/>
      <c r="E19" s="67"/>
    </row>
    <row r="20" spans="1:5" ht="12.75">
      <c r="A20" s="6">
        <f t="shared" si="0"/>
        <v>14</v>
      </c>
      <c r="B20" s="10" t="s">
        <v>170</v>
      </c>
      <c r="C20" s="68">
        <v>0.040898000000000004</v>
      </c>
      <c r="D20" s="68"/>
      <c r="E20" s="68"/>
    </row>
    <row r="21" spans="1:5" ht="12.75">
      <c r="A21" s="6"/>
      <c r="B21" s="10" t="s">
        <v>82</v>
      </c>
      <c r="C21" s="68">
        <v>0.0027450211205909468</v>
      </c>
      <c r="D21" s="68"/>
      <c r="E21" s="68"/>
    </row>
    <row r="22" spans="1:5" ht="12.75">
      <c r="A22" s="6">
        <f>+A20+1</f>
        <v>15</v>
      </c>
      <c r="B22" s="8" t="s">
        <v>178</v>
      </c>
      <c r="C22" s="67">
        <v>3.63</v>
      </c>
      <c r="D22" s="67"/>
      <c r="E22" s="67"/>
    </row>
    <row r="23" spans="1:5" ht="12.75">
      <c r="A23" s="6">
        <f>+A22+1</f>
        <v>16</v>
      </c>
      <c r="B23" s="10" t="s">
        <v>179</v>
      </c>
      <c r="C23" s="131">
        <v>0.0023499999999999997</v>
      </c>
      <c r="D23" s="131"/>
      <c r="E23" s="131"/>
    </row>
    <row r="24" spans="1:2" ht="12.75">
      <c r="A24" s="6">
        <f>+A23+1</f>
        <v>17</v>
      </c>
      <c r="B24" s="10"/>
    </row>
    <row r="25" spans="1:5" ht="12.75">
      <c r="A25" s="6">
        <f>+A24+1</f>
        <v>18</v>
      </c>
      <c r="B25" t="s">
        <v>131</v>
      </c>
      <c r="C25" s="11"/>
      <c r="D25" s="11"/>
      <c r="E25" s="11"/>
    </row>
    <row r="26" spans="1:5" ht="12.75">
      <c r="A26" s="6">
        <f>+A25+1</f>
        <v>19</v>
      </c>
      <c r="B26" s="8" t="s">
        <v>180</v>
      </c>
      <c r="C26" s="134">
        <f>+C7*C19</f>
        <v>477613.32</v>
      </c>
      <c r="D26" s="134"/>
      <c r="E26" s="134"/>
    </row>
    <row r="27" spans="1:5" ht="12.75">
      <c r="A27" s="6">
        <f>+A26+1</f>
        <v>20</v>
      </c>
      <c r="B27" s="10" t="s">
        <v>181</v>
      </c>
      <c r="C27" s="134">
        <f>+C11*C20</f>
        <v>7758054.697173296</v>
      </c>
      <c r="D27" s="134"/>
      <c r="E27" s="134"/>
    </row>
    <row r="28" spans="1:5" ht="12.75">
      <c r="A28" s="6"/>
      <c r="B28" s="10" t="s">
        <v>82</v>
      </c>
      <c r="C28" s="134">
        <f>+C11*C21</f>
        <v>520710.6459592277</v>
      </c>
      <c r="D28" s="134"/>
      <c r="E28" s="134"/>
    </row>
    <row r="29" spans="1:5" ht="12.75">
      <c r="A29" s="6">
        <f>+A27+1</f>
        <v>21</v>
      </c>
      <c r="B29" s="10" t="s">
        <v>171</v>
      </c>
      <c r="C29" s="134">
        <f>+C13*C22</f>
        <v>3139749.3999999985</v>
      </c>
      <c r="D29" s="134"/>
      <c r="E29" s="134"/>
    </row>
    <row r="30" spans="1:5" ht="12.75">
      <c r="A30" s="6">
        <f aca="true" t="shared" si="1" ref="A30:A36">+A29+1</f>
        <v>22</v>
      </c>
      <c r="B30" s="10" t="s">
        <v>172</v>
      </c>
      <c r="C30" s="134">
        <f>+C15*C23</f>
        <v>194608.10000000003</v>
      </c>
      <c r="D30" s="134"/>
      <c r="E30" s="134"/>
    </row>
    <row r="31" spans="1:5" ht="13.5" thickBot="1">
      <c r="A31" s="6">
        <f t="shared" si="1"/>
        <v>23</v>
      </c>
      <c r="B31" s="10" t="s">
        <v>182</v>
      </c>
      <c r="C31" s="135">
        <f>SUM(C26:C30)</f>
        <v>12090736.163132522</v>
      </c>
      <c r="D31" s="134"/>
      <c r="E31" s="134"/>
    </row>
    <row r="32" spans="1:5" ht="13.5" thickTop="1">
      <c r="A32" s="6">
        <f t="shared" si="1"/>
        <v>24</v>
      </c>
      <c r="C32" s="14"/>
      <c r="D32" s="14"/>
      <c r="E32" s="14"/>
    </row>
    <row r="33" spans="1:5" ht="12.75">
      <c r="A33" s="6">
        <f t="shared" si="1"/>
        <v>25</v>
      </c>
      <c r="B33" s="90" t="str">
        <f>+'Residential Schedule 7'!B35</f>
        <v>Proposed Rates Effective 2005</v>
      </c>
      <c r="C33" s="65"/>
      <c r="D33" s="65"/>
      <c r="E33" s="66"/>
    </row>
    <row r="34" spans="1:5" ht="12.75">
      <c r="A34" s="6">
        <f t="shared" si="1"/>
        <v>26</v>
      </c>
      <c r="B34" s="72"/>
      <c r="C34" s="72"/>
      <c r="D34" s="72"/>
      <c r="E34" s="72"/>
    </row>
    <row r="35" spans="1:5" ht="12.75">
      <c r="A35" s="6">
        <f t="shared" si="1"/>
        <v>27</v>
      </c>
      <c r="B35" s="9" t="s">
        <v>112</v>
      </c>
      <c r="C35" s="77">
        <f>C36/C31</f>
        <v>0.08588151780482645</v>
      </c>
      <c r="D35" s="77"/>
      <c r="E35" s="77"/>
    </row>
    <row r="36" spans="1:5" ht="12.75">
      <c r="A36" s="6">
        <f t="shared" si="1"/>
        <v>28</v>
      </c>
      <c r="B36" s="9" t="s">
        <v>93</v>
      </c>
      <c r="C36" s="13">
        <v>1038370.7730675247</v>
      </c>
      <c r="D36" s="13"/>
      <c r="E36" s="13"/>
    </row>
    <row r="37" spans="1:5" ht="12.75">
      <c r="A37" s="6">
        <f>+A34+1</f>
        <v>27</v>
      </c>
      <c r="B37" s="9" t="s">
        <v>198</v>
      </c>
      <c r="C37" s="13">
        <f>C31+C36</f>
        <v>13129106.936200047</v>
      </c>
      <c r="D37" s="13"/>
      <c r="E37" s="13"/>
    </row>
    <row r="38" spans="1:5" ht="12.75">
      <c r="A38" s="6">
        <f>+A35+1</f>
        <v>28</v>
      </c>
      <c r="D38" s="13"/>
      <c r="E38" s="13"/>
    </row>
    <row r="39" spans="1:5" ht="12.75">
      <c r="A39" s="6">
        <f aca="true" t="shared" si="2" ref="A39:A66">+A38+1</f>
        <v>29</v>
      </c>
      <c r="B39" s="153" t="s">
        <v>80</v>
      </c>
      <c r="C39" s="154"/>
      <c r="D39" s="13"/>
      <c r="E39" s="13"/>
    </row>
    <row r="40" spans="1:6" ht="12.75">
      <c r="A40" s="6">
        <f t="shared" si="2"/>
        <v>30</v>
      </c>
      <c r="B40" s="161" t="s">
        <v>138</v>
      </c>
      <c r="C40" s="167">
        <f>+'Primary Voltage Schedule 31'!C44</f>
        <v>200</v>
      </c>
      <c r="D40" s="13"/>
      <c r="E40" s="13"/>
      <c r="F40" s="74" t="s">
        <v>192</v>
      </c>
    </row>
    <row r="41" spans="1:5" ht="12.75">
      <c r="A41" s="6">
        <f t="shared" si="2"/>
        <v>31</v>
      </c>
      <c r="D41" s="13"/>
      <c r="E41" s="13"/>
    </row>
    <row r="42" spans="1:5" ht="12.75">
      <c r="A42" s="6">
        <f t="shared" si="2"/>
        <v>32</v>
      </c>
      <c r="B42" s="9" t="s">
        <v>84</v>
      </c>
      <c r="D42" s="13"/>
      <c r="E42" s="13"/>
    </row>
    <row r="43" spans="1:5" ht="12.75">
      <c r="A43" s="6">
        <f t="shared" si="2"/>
        <v>33</v>
      </c>
      <c r="B43" s="8" t="s">
        <v>85</v>
      </c>
      <c r="C43" s="71">
        <f>+C40*C7</f>
        <v>477613.32</v>
      </c>
      <c r="D43" s="13"/>
      <c r="E43" s="13"/>
    </row>
    <row r="44" spans="1:5" ht="12.75">
      <c r="A44" s="6">
        <f t="shared" si="2"/>
        <v>34</v>
      </c>
      <c r="B44" s="8"/>
      <c r="C44" s="14"/>
      <c r="D44" s="13"/>
      <c r="E44" s="13"/>
    </row>
    <row r="45" spans="1:6" ht="12.75">
      <c r="A45" s="6">
        <f t="shared" si="2"/>
        <v>35</v>
      </c>
      <c r="B45" s="168" t="s">
        <v>139</v>
      </c>
      <c r="C45" s="183">
        <v>3180125.4799208017</v>
      </c>
      <c r="D45" s="13"/>
      <c r="E45" s="13"/>
      <c r="F45" s="75" t="s">
        <v>144</v>
      </c>
    </row>
    <row r="46" spans="1:5" ht="12.75">
      <c r="A46" s="6">
        <f t="shared" si="2"/>
        <v>36</v>
      </c>
      <c r="B46" s="157" t="s">
        <v>175</v>
      </c>
      <c r="C46" s="162">
        <f>ROUND(C45/C13,2)</f>
        <v>3.68</v>
      </c>
      <c r="D46" s="13"/>
      <c r="E46" s="13"/>
    </row>
    <row r="47" spans="1:5" ht="12.75">
      <c r="A47" s="6">
        <f t="shared" si="2"/>
        <v>37</v>
      </c>
      <c r="B47" s="8"/>
      <c r="C47" s="14"/>
      <c r="D47" s="13"/>
      <c r="E47" s="13"/>
    </row>
    <row r="48" spans="1:5" ht="12.75">
      <c r="A48" s="6">
        <f t="shared" si="2"/>
        <v>38</v>
      </c>
      <c r="B48" s="5" t="s">
        <v>142</v>
      </c>
      <c r="C48" s="14"/>
      <c r="D48" s="13"/>
      <c r="E48" s="13"/>
    </row>
    <row r="49" spans="1:5" ht="12.75">
      <c r="A49" s="6">
        <f t="shared" si="2"/>
        <v>39</v>
      </c>
      <c r="B49" s="137" t="s">
        <v>175</v>
      </c>
      <c r="C49" s="71">
        <f>+C46*C13</f>
        <v>3182996.636914599</v>
      </c>
      <c r="D49" s="13"/>
      <c r="E49" s="13"/>
    </row>
    <row r="50" spans="1:5" ht="12.75">
      <c r="A50" s="6">
        <f t="shared" si="2"/>
        <v>40</v>
      </c>
      <c r="B50" s="8"/>
      <c r="C50" s="14"/>
      <c r="D50" s="13"/>
      <c r="E50" s="13"/>
    </row>
    <row r="51" spans="1:6" ht="12.75">
      <c r="A51" s="6">
        <f t="shared" si="2"/>
        <v>41</v>
      </c>
      <c r="B51" s="168" t="s">
        <v>143</v>
      </c>
      <c r="C51" s="183">
        <v>210843.23159526542</v>
      </c>
      <c r="D51" s="13"/>
      <c r="E51" s="13"/>
      <c r="F51" s="75" t="s">
        <v>144</v>
      </c>
    </row>
    <row r="52" spans="1:5" ht="12.75">
      <c r="A52" s="6">
        <f t="shared" si="2"/>
        <v>42</v>
      </c>
      <c r="B52" s="161" t="s">
        <v>126</v>
      </c>
      <c r="C52" s="177">
        <f>ROUND(C51/C15,5)</f>
        <v>0.00255</v>
      </c>
      <c r="D52" s="13"/>
      <c r="E52" s="13"/>
    </row>
    <row r="53" spans="1:5" ht="12.75">
      <c r="A53" s="6">
        <f t="shared" si="2"/>
        <v>43</v>
      </c>
      <c r="B53" s="8"/>
      <c r="C53" s="14"/>
      <c r="D53" s="13"/>
      <c r="E53" s="13"/>
    </row>
    <row r="54" spans="1:5" ht="12.75">
      <c r="A54" s="6">
        <f t="shared" si="2"/>
        <v>44</v>
      </c>
      <c r="B54" s="5" t="s">
        <v>145</v>
      </c>
      <c r="C54" s="14"/>
      <c r="D54" s="13"/>
      <c r="E54" s="13"/>
    </row>
    <row r="55" spans="1:5" ht="12.75">
      <c r="A55" s="6">
        <f t="shared" si="2"/>
        <v>45</v>
      </c>
      <c r="B55" s="137" t="s">
        <v>126</v>
      </c>
      <c r="C55" s="71">
        <f>+C52*C15</f>
        <v>211170.49148936177</v>
      </c>
      <c r="D55" s="13"/>
      <c r="E55" s="13"/>
    </row>
    <row r="56" spans="1:6" ht="12.75">
      <c r="A56" s="6">
        <f t="shared" si="2"/>
        <v>46</v>
      </c>
      <c r="D56" s="13"/>
      <c r="E56" s="13"/>
      <c r="F56" s="37"/>
    </row>
    <row r="57" spans="1:5" ht="12.75">
      <c r="A57" s="6">
        <f t="shared" si="2"/>
        <v>47</v>
      </c>
      <c r="B57" s="10" t="s">
        <v>97</v>
      </c>
      <c r="C57" s="14">
        <f>+C37-C43-C49-C55</f>
        <v>9257326.487796085</v>
      </c>
      <c r="D57" s="13"/>
      <c r="E57" s="13"/>
    </row>
    <row r="58" spans="1:6" ht="12.75">
      <c r="A58" s="6">
        <f t="shared" si="2"/>
        <v>48</v>
      </c>
      <c r="B58" s="137"/>
      <c r="C58" s="138"/>
      <c r="D58" s="13"/>
      <c r="E58" s="13"/>
      <c r="F58" s="37"/>
    </row>
    <row r="59" spans="1:6" ht="12.75">
      <c r="A59" s="6">
        <f t="shared" si="2"/>
        <v>49</v>
      </c>
      <c r="B59" s="153" t="s">
        <v>81</v>
      </c>
      <c r="C59" s="154"/>
      <c r="D59" s="13"/>
      <c r="E59" s="13"/>
      <c r="F59" s="37"/>
    </row>
    <row r="60" spans="1:6" ht="12.75">
      <c r="A60" s="6">
        <f t="shared" si="2"/>
        <v>50</v>
      </c>
      <c r="B60" s="161" t="s">
        <v>110</v>
      </c>
      <c r="C60" s="158">
        <f>ROUND(+C57/C11,6)</f>
        <v>0.048802</v>
      </c>
      <c r="D60" s="13"/>
      <c r="E60" s="13"/>
      <c r="F60" s="76" t="s">
        <v>176</v>
      </c>
    </row>
    <row r="61" spans="1:5" ht="12.75">
      <c r="A61" s="6">
        <f t="shared" si="2"/>
        <v>51</v>
      </c>
      <c r="D61" s="13"/>
      <c r="E61" s="13"/>
    </row>
    <row r="62" spans="1:5" ht="12.75">
      <c r="A62" s="6">
        <f t="shared" si="2"/>
        <v>52</v>
      </c>
      <c r="B62" t="s">
        <v>86</v>
      </c>
      <c r="D62" s="13"/>
      <c r="E62" s="13"/>
    </row>
    <row r="63" spans="1:5" ht="12.75">
      <c r="A63" s="6">
        <f t="shared" si="2"/>
        <v>53</v>
      </c>
      <c r="B63" s="10" t="s">
        <v>110</v>
      </c>
      <c r="C63" s="7">
        <f>+C60*C11</f>
        <v>9257386.310613016</v>
      </c>
      <c r="D63" s="13"/>
      <c r="E63" s="13"/>
    </row>
    <row r="64" spans="1:5" ht="12.75">
      <c r="A64" s="6">
        <f t="shared" si="2"/>
        <v>54</v>
      </c>
      <c r="B64" s="8"/>
      <c r="D64" s="13"/>
      <c r="E64" s="13"/>
    </row>
    <row r="65" spans="1:5" ht="12.75">
      <c r="A65" s="6">
        <f t="shared" si="2"/>
        <v>55</v>
      </c>
      <c r="B65" t="s">
        <v>103</v>
      </c>
      <c r="C65" s="14">
        <f>+C63+C55+C49+C43</f>
        <v>13129166.759016978</v>
      </c>
      <c r="D65" s="13"/>
      <c r="E65" s="13"/>
    </row>
    <row r="66" spans="1:5" ht="12.75">
      <c r="A66" s="6">
        <f t="shared" si="2"/>
        <v>56</v>
      </c>
      <c r="B66" s="163" t="s">
        <v>104</v>
      </c>
      <c r="C66" s="164">
        <f>+C65-C37</f>
        <v>59.82281693071127</v>
      </c>
      <c r="D66" s="13"/>
      <c r="E66" s="13"/>
    </row>
    <row r="67" spans="1:5" ht="12.75">
      <c r="A67" s="6"/>
      <c r="D67" s="13"/>
      <c r="E67" s="13"/>
    </row>
    <row r="68" spans="1:5" ht="12.75">
      <c r="A68" s="6"/>
      <c r="D68" s="13"/>
      <c r="E68" s="13"/>
    </row>
    <row r="69" spans="1:5" ht="12.75">
      <c r="A69" s="6"/>
      <c r="D69" s="13"/>
      <c r="E69" s="13"/>
    </row>
    <row r="70" spans="1:5" ht="12.75">
      <c r="A70" s="6"/>
      <c r="D70" s="13"/>
      <c r="E70" s="13"/>
    </row>
    <row r="71" spans="1:5" ht="12.75">
      <c r="A71" s="6"/>
      <c r="D71" s="13"/>
      <c r="E71" s="13"/>
    </row>
    <row r="72" spans="1:5" ht="12.75">
      <c r="A72" s="6"/>
      <c r="D72" s="13"/>
      <c r="E72" s="13"/>
    </row>
    <row r="73" spans="1:5" ht="12.75">
      <c r="A73" s="6"/>
      <c r="D73" s="13"/>
      <c r="E73" s="13"/>
    </row>
    <row r="74" spans="1:5" ht="12.75">
      <c r="A74" s="6"/>
      <c r="D74" s="13"/>
      <c r="E74" s="13"/>
    </row>
    <row r="75" spans="1:5" ht="12.75">
      <c r="A75" s="6"/>
      <c r="D75" s="13"/>
      <c r="E75" s="13"/>
    </row>
    <row r="76" spans="1:5" ht="12.75">
      <c r="A76" s="6"/>
      <c r="D76" s="13"/>
      <c r="E76" s="13"/>
    </row>
    <row r="77" spans="1:5" ht="12.75">
      <c r="A77" s="6"/>
      <c r="D77" s="13"/>
      <c r="E77" s="13"/>
    </row>
    <row r="78" spans="1:5" ht="12.75">
      <c r="A78" s="6"/>
      <c r="D78" s="13"/>
      <c r="E78" s="13"/>
    </row>
    <row r="79" spans="1:5" ht="12.75">
      <c r="A79" s="6"/>
      <c r="D79" s="13"/>
      <c r="E79" s="13"/>
    </row>
    <row r="80" spans="1:5" ht="12.75">
      <c r="A80" s="6"/>
      <c r="D80" s="13"/>
      <c r="E80" s="13"/>
    </row>
    <row r="81" spans="1:5" ht="12.75">
      <c r="A81" s="6"/>
      <c r="D81" s="13"/>
      <c r="E81" s="13"/>
    </row>
    <row r="82" spans="1:5" ht="12.75">
      <c r="A82" s="6"/>
      <c r="D82" s="13"/>
      <c r="E82" s="13"/>
    </row>
    <row r="83" spans="1:5" ht="12.75">
      <c r="A83" s="6"/>
      <c r="D83" s="13"/>
      <c r="E83" s="13"/>
    </row>
    <row r="84" spans="1:5" ht="12.75">
      <c r="A84" s="6"/>
      <c r="D84" s="13"/>
      <c r="E84" s="13"/>
    </row>
    <row r="85" spans="1:5" ht="12.75">
      <c r="A85" s="6"/>
      <c r="D85" s="13"/>
      <c r="E85" s="13"/>
    </row>
    <row r="86" spans="1:5" ht="12.75">
      <c r="A86" s="6"/>
      <c r="D86" s="13"/>
      <c r="E86" s="13"/>
    </row>
    <row r="87" spans="1:5" ht="12.75">
      <c r="A87" s="6"/>
      <c r="D87" s="13"/>
      <c r="E87" s="13"/>
    </row>
    <row r="88" spans="1:5" ht="12.75">
      <c r="A88" s="6"/>
      <c r="D88" s="13"/>
      <c r="E88" s="13"/>
    </row>
    <row r="89" spans="1:5" ht="12.75">
      <c r="A89" s="6"/>
      <c r="D89" s="13"/>
      <c r="E89" s="13"/>
    </row>
    <row r="90" spans="1:5" ht="12.75">
      <c r="A90" s="6"/>
      <c r="D90" s="13"/>
      <c r="E90" s="13"/>
    </row>
    <row r="91" spans="1:5" ht="12.75">
      <c r="A91" s="6"/>
      <c r="D91" s="13"/>
      <c r="E91" s="13"/>
    </row>
    <row r="92" spans="1:5" ht="12.75">
      <c r="A92" s="6"/>
      <c r="D92" s="13"/>
      <c r="E92" s="13"/>
    </row>
    <row r="93" spans="1:5" ht="12.75">
      <c r="A93" s="6"/>
      <c r="D93" s="13"/>
      <c r="E93" s="13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</sheetData>
  <printOptions horizontalCentered="1"/>
  <pageMargins left="1.5" right="0.25" top="1" bottom="1" header="1" footer="0.5"/>
  <pageSetup cellComments="asDisplayed" fitToHeight="1" fitToWidth="1" horizontalDpi="600" verticalDpi="600" orientation="portrait" scale="75" r:id="rId1"/>
  <headerFooter alignWithMargins="0">
    <oddHeader>&amp;RDocket No. UE-04______
Exhibit No. _______ (JAH-4)
Page &amp;P of &amp;N</oddHeader>
    <oddFooter>&amp;LSchedule 43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="85" zoomScaleNormal="85" workbookViewId="0" topLeftCell="A1">
      <selection activeCell="C25" sqref="C25"/>
    </sheetView>
  </sheetViews>
  <sheetFormatPr defaultColWidth="9.140625" defaultRowHeight="12.75"/>
  <cols>
    <col min="1" max="1" width="4.57421875" style="0" customWidth="1"/>
    <col min="2" max="2" width="39.00390625" style="0" bestFit="1" customWidth="1"/>
    <col min="3" max="3" width="15.8515625" style="0" bestFit="1" customWidth="1"/>
    <col min="4" max="4" width="4.8515625" style="0" customWidth="1"/>
    <col min="5" max="5" width="41.00390625" style="0" bestFit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68</v>
      </c>
      <c r="C2" s="1"/>
      <c r="D2" s="1"/>
      <c r="E2" s="1"/>
    </row>
    <row r="3" spans="2:5" ht="12.75">
      <c r="B3" s="1" t="s">
        <v>199</v>
      </c>
      <c r="C3" s="1"/>
      <c r="D3" s="1"/>
      <c r="E3" s="1"/>
    </row>
    <row r="4" spans="2:5" ht="12.75">
      <c r="B4" s="1" t="s">
        <v>200</v>
      </c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/>
      <c r="E6"/>
    </row>
    <row r="7" spans="1:3" ht="13.5" thickBot="1">
      <c r="A7" s="6">
        <v>1</v>
      </c>
      <c r="B7" s="9" t="s">
        <v>76</v>
      </c>
      <c r="C7" s="62">
        <v>51109000</v>
      </c>
    </row>
    <row r="8" ht="13.5" thickTop="1">
      <c r="A8" s="6">
        <f aca="true" t="shared" si="0" ref="A8:A13">+A7+1</f>
        <v>2</v>
      </c>
    </row>
    <row r="9" spans="1:3" ht="13.5" thickBot="1">
      <c r="A9" s="6">
        <f t="shared" si="0"/>
        <v>3</v>
      </c>
      <c r="B9" s="9" t="s">
        <v>201</v>
      </c>
      <c r="C9" s="62">
        <v>168423</v>
      </c>
    </row>
    <row r="10" ht="13.5" thickTop="1">
      <c r="A10" s="6">
        <f t="shared" si="0"/>
        <v>4</v>
      </c>
    </row>
    <row r="11" spans="1:3" ht="12.75">
      <c r="A11" s="6">
        <f t="shared" si="0"/>
        <v>5</v>
      </c>
      <c r="B11" s="64" t="str">
        <f>+'Residential Schedule 7'!B16</f>
        <v>Current Base Rates Effective 10-1-03</v>
      </c>
      <c r="C11" s="66"/>
    </row>
    <row r="12" spans="1:3" ht="12.75">
      <c r="A12" s="6">
        <f t="shared" si="0"/>
        <v>6</v>
      </c>
      <c r="B12" s="128" t="s">
        <v>127</v>
      </c>
      <c r="C12" s="72"/>
    </row>
    <row r="13" spans="1:3" ht="12.75">
      <c r="A13" s="6">
        <f t="shared" si="0"/>
        <v>7</v>
      </c>
      <c r="B13" s="10" t="s">
        <v>170</v>
      </c>
      <c r="C13" s="68">
        <v>0.037259</v>
      </c>
    </row>
    <row r="14" spans="1:3" ht="12.75">
      <c r="A14" s="6"/>
      <c r="B14" s="10" t="s">
        <v>82</v>
      </c>
      <c r="C14" s="68">
        <v>0.0013454156683413462</v>
      </c>
    </row>
    <row r="15" spans="1:3" ht="12.75">
      <c r="A15" s="6">
        <f>+A13+1</f>
        <v>8</v>
      </c>
      <c r="B15" s="8" t="s">
        <v>178</v>
      </c>
      <c r="C15" s="67">
        <v>1.58</v>
      </c>
    </row>
    <row r="16" spans="1:3" ht="12.75">
      <c r="A16" s="6">
        <f>+A15+1</f>
        <v>9</v>
      </c>
      <c r="B16" s="9"/>
      <c r="C16" s="67"/>
    </row>
    <row r="17" spans="1:2" ht="12.75">
      <c r="A17" s="6">
        <f>+A16+1</f>
        <v>10</v>
      </c>
      <c r="B17" t="s">
        <v>131</v>
      </c>
    </row>
    <row r="18" spans="1:3" ht="12.75">
      <c r="A18" s="6">
        <f>+A17+1</f>
        <v>11</v>
      </c>
      <c r="B18" s="10" t="s">
        <v>181</v>
      </c>
      <c r="C18" s="134">
        <f>+C7*C13</f>
        <v>1904270.231</v>
      </c>
    </row>
    <row r="19" spans="1:3" ht="12.75">
      <c r="A19" s="6"/>
      <c r="B19" s="10" t="s">
        <v>82</v>
      </c>
      <c r="C19" s="134">
        <f>+C7*C14</f>
        <v>68762.84939325787</v>
      </c>
    </row>
    <row r="20" spans="1:3" ht="12.75">
      <c r="A20" s="6">
        <f>+A18+1</f>
        <v>12</v>
      </c>
      <c r="B20" s="10" t="s">
        <v>171</v>
      </c>
      <c r="C20" s="134">
        <f>+C9*C15</f>
        <v>266108.34</v>
      </c>
    </row>
    <row r="21" spans="1:3" ht="13.5" thickBot="1">
      <c r="A21" s="6">
        <f>+A20+1</f>
        <v>13</v>
      </c>
      <c r="B21" s="10" t="s">
        <v>182</v>
      </c>
      <c r="C21" s="149">
        <f>SUM(C20,C18,C19)</f>
        <v>2239141.420393258</v>
      </c>
    </row>
    <row r="22" spans="1:3" ht="13.5" thickTop="1">
      <c r="A22" s="6">
        <f>+A21+1</f>
        <v>14</v>
      </c>
      <c r="C22" s="14"/>
    </row>
    <row r="23" spans="1:3" ht="12.75">
      <c r="A23" s="6">
        <f>+A22+1</f>
        <v>15</v>
      </c>
      <c r="B23" s="90" t="str">
        <f>+'Residential Schedule 7'!B35</f>
        <v>Proposed Rates Effective 2005</v>
      </c>
      <c r="C23" s="66"/>
    </row>
    <row r="24" spans="1:5" ht="12.75">
      <c r="A24" s="6">
        <f>+A23+1</f>
        <v>16</v>
      </c>
      <c r="B24" s="72"/>
      <c r="C24" s="72"/>
      <c r="D24" s="72"/>
      <c r="E24" s="72"/>
    </row>
    <row r="25" spans="1:5" ht="12.75">
      <c r="A25" s="6">
        <f>+A26+1</f>
        <v>18</v>
      </c>
      <c r="B25" s="9" t="s">
        <v>202</v>
      </c>
      <c r="C25" s="43">
        <v>1926475.085547734</v>
      </c>
      <c r="D25" s="14"/>
      <c r="E25" s="75" t="s">
        <v>94</v>
      </c>
    </row>
    <row r="26" spans="1:3" ht="12.75">
      <c r="A26" s="6">
        <f>+A24+1</f>
        <v>17</v>
      </c>
      <c r="B26" s="9" t="s">
        <v>203</v>
      </c>
      <c r="C26" s="13">
        <f>+C21+C25+'High Voltage Schedule 49'!C21</f>
        <v>24358252.431702957</v>
      </c>
    </row>
    <row r="27" spans="1:4" ht="12.75">
      <c r="A27" s="6">
        <f>+A25+1</f>
        <v>19</v>
      </c>
      <c r="B27" s="9" t="s">
        <v>204</v>
      </c>
      <c r="C27" s="77">
        <f>C25/SUM(C21,'High Voltage Schedule 49'!C21)</f>
        <v>0.08588151780482653</v>
      </c>
      <c r="D27" s="12"/>
    </row>
    <row r="28" ht="12.75">
      <c r="A28" s="6">
        <f aca="true" t="shared" si="1" ref="A28:A43">+A27+1</f>
        <v>20</v>
      </c>
    </row>
    <row r="29" spans="1:5" ht="12.75">
      <c r="A29" s="6">
        <f t="shared" si="1"/>
        <v>21</v>
      </c>
      <c r="B29" s="168" t="s">
        <v>139</v>
      </c>
      <c r="C29" s="183">
        <v>248605.2146632437</v>
      </c>
      <c r="E29" s="75" t="s">
        <v>144</v>
      </c>
    </row>
    <row r="30" spans="1:3" ht="12.75">
      <c r="A30" s="6">
        <f t="shared" si="1"/>
        <v>22</v>
      </c>
      <c r="B30" s="155" t="s">
        <v>205</v>
      </c>
      <c r="C30" s="173">
        <f>ROUND(+C29/C9,2)</f>
        <v>1.48</v>
      </c>
    </row>
    <row r="31" spans="1:3" ht="12.75">
      <c r="A31" s="6">
        <f t="shared" si="1"/>
        <v>23</v>
      </c>
      <c r="B31" s="157"/>
      <c r="C31" s="162"/>
    </row>
    <row r="32" spans="1:3" ht="12.75">
      <c r="A32" s="6">
        <f t="shared" si="1"/>
        <v>24</v>
      </c>
      <c r="B32" s="8"/>
      <c r="C32" s="14"/>
    </row>
    <row r="33" spans="1:3" ht="12.75">
      <c r="A33" s="6">
        <f t="shared" si="1"/>
        <v>25</v>
      </c>
      <c r="B33" s="5" t="s">
        <v>142</v>
      </c>
      <c r="C33" s="14"/>
    </row>
    <row r="34" spans="1:3" ht="12.75">
      <c r="A34" s="6">
        <f t="shared" si="1"/>
        <v>26</v>
      </c>
      <c r="B34" s="137" t="s">
        <v>206</v>
      </c>
      <c r="C34" s="71">
        <f>+C30*C9</f>
        <v>249266.04</v>
      </c>
    </row>
    <row r="35" spans="1:3" ht="12.75">
      <c r="A35" s="6">
        <f t="shared" si="1"/>
        <v>27</v>
      </c>
      <c r="B35" s="8"/>
      <c r="C35" s="14"/>
    </row>
    <row r="36" spans="1:5" ht="12.75">
      <c r="A36" s="6">
        <f t="shared" si="1"/>
        <v>28</v>
      </c>
      <c r="B36" s="137"/>
      <c r="C36" s="138"/>
      <c r="E36" s="37"/>
    </row>
    <row r="37" spans="1:5" ht="12.75">
      <c r="A37" s="6">
        <f t="shared" si="1"/>
        <v>29</v>
      </c>
      <c r="B37" s="168" t="s">
        <v>207</v>
      </c>
      <c r="C37" s="154"/>
      <c r="D37" s="68"/>
      <c r="E37" s="37"/>
    </row>
    <row r="38" spans="1:5" ht="12.75">
      <c r="A38" s="6">
        <f t="shared" si="1"/>
        <v>30</v>
      </c>
      <c r="B38" s="161" t="s">
        <v>110</v>
      </c>
      <c r="C38" s="158">
        <f>+'High Voltage Schedule 49'!C41</f>
        <v>0.04381</v>
      </c>
      <c r="D38" s="14"/>
      <c r="E38" s="76" t="s">
        <v>208</v>
      </c>
    </row>
    <row r="39" ht="12.75">
      <c r="A39" s="6">
        <f t="shared" si="1"/>
        <v>31</v>
      </c>
    </row>
    <row r="40" spans="1:2" ht="12.75">
      <c r="A40" s="6">
        <f t="shared" si="1"/>
        <v>32</v>
      </c>
      <c r="B40" t="s">
        <v>86</v>
      </c>
    </row>
    <row r="41" spans="1:3" ht="12.75">
      <c r="A41" s="6">
        <f t="shared" si="1"/>
        <v>33</v>
      </c>
      <c r="B41" s="10" t="s">
        <v>110</v>
      </c>
      <c r="C41" s="7">
        <f>+C38*C7</f>
        <v>2239085.29</v>
      </c>
    </row>
    <row r="42" spans="1:2" ht="12.75">
      <c r="A42" s="6">
        <f t="shared" si="1"/>
        <v>34</v>
      </c>
      <c r="B42" s="8"/>
    </row>
    <row r="43" spans="1:3" ht="13.5" thickBot="1">
      <c r="A43" s="6">
        <f t="shared" si="1"/>
        <v>35</v>
      </c>
      <c r="B43" s="9" t="s">
        <v>209</v>
      </c>
      <c r="C43" s="135">
        <f>+C41+C34</f>
        <v>2488351.33</v>
      </c>
    </row>
    <row r="44" ht="13.5" thickTop="1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</sheetData>
  <printOptions horizontalCentered="1"/>
  <pageMargins left="1.5" right="0.25" top="1" bottom="0.75" header="1" footer="0.5"/>
  <pageSetup cellComments="asDisplayed" fitToHeight="1" fitToWidth="1" horizontalDpi="600" verticalDpi="600" orientation="portrait" scale="83" r:id="rId1"/>
  <headerFooter alignWithMargins="0">
    <oddHeader>&amp;RDocket No. UE-04______
Exhibit No. _______ (JAH-4)
Page &amp;P of &amp;N</oddHeader>
    <oddFooter>&amp;LSchedule 46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="85" zoomScaleNormal="85" workbookViewId="0" topLeftCell="A1">
      <selection activeCell="B29" sqref="B29:C30"/>
    </sheetView>
  </sheetViews>
  <sheetFormatPr defaultColWidth="9.140625" defaultRowHeight="12.75"/>
  <cols>
    <col min="1" max="1" width="4.57421875" style="0" customWidth="1"/>
    <col min="2" max="2" width="39.00390625" style="0" bestFit="1" customWidth="1"/>
    <col min="3" max="3" width="15.8515625" style="0" bestFit="1" customWidth="1"/>
    <col min="4" max="4" width="10.28125" style="0" customWidth="1"/>
    <col min="5" max="5" width="41.00390625" style="0" bestFit="1" customWidth="1"/>
    <col min="6" max="6" width="10.00390625" style="0" bestFit="1" customWidth="1"/>
    <col min="7" max="7" width="10.28125" style="0" bestFit="1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68</v>
      </c>
      <c r="B2" s="1"/>
      <c r="C2" s="1"/>
      <c r="D2" s="1"/>
      <c r="E2" s="1"/>
    </row>
    <row r="3" spans="1:5" ht="12.75">
      <c r="A3" s="1" t="s">
        <v>199</v>
      </c>
      <c r="B3" s="1"/>
      <c r="C3" s="1"/>
      <c r="D3" s="1"/>
      <c r="E3" s="1"/>
    </row>
    <row r="4" spans="1:5" ht="12.75">
      <c r="A4" s="1" t="s">
        <v>210</v>
      </c>
      <c r="B4" s="1"/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/>
      <c r="E6"/>
    </row>
    <row r="7" spans="1:3" ht="13.5" thickBot="1">
      <c r="A7" s="6">
        <v>1</v>
      </c>
      <c r="B7" s="9" t="s">
        <v>76</v>
      </c>
      <c r="C7" s="62">
        <v>424545212.4999</v>
      </c>
    </row>
    <row r="8" ht="13.5" thickTop="1">
      <c r="A8" s="6">
        <f aca="true" t="shared" si="0" ref="A8:A13">+A7+1</f>
        <v>2</v>
      </c>
    </row>
    <row r="9" spans="1:3" ht="13.5" thickBot="1">
      <c r="A9" s="6">
        <f t="shared" si="0"/>
        <v>3</v>
      </c>
      <c r="B9" s="9" t="s">
        <v>201</v>
      </c>
      <c r="C9" s="62">
        <v>1172294.8637992474</v>
      </c>
    </row>
    <row r="10" ht="13.5" thickTop="1">
      <c r="A10" s="6">
        <f t="shared" si="0"/>
        <v>4</v>
      </c>
    </row>
    <row r="11" spans="1:3" ht="12.75">
      <c r="A11" s="6">
        <f t="shared" si="0"/>
        <v>5</v>
      </c>
      <c r="B11" s="64" t="str">
        <f>+'Residential Schedule 7'!B16</f>
        <v>Current Base Rates Effective 10-1-03</v>
      </c>
      <c r="C11" s="66"/>
    </row>
    <row r="12" spans="1:4" ht="12.75">
      <c r="A12" s="6">
        <f t="shared" si="0"/>
        <v>6</v>
      </c>
      <c r="B12" s="128" t="s">
        <v>127</v>
      </c>
      <c r="C12" s="72"/>
      <c r="D12" s="72"/>
    </row>
    <row r="13" spans="1:3" ht="12.75">
      <c r="A13" s="6">
        <f t="shared" si="0"/>
        <v>7</v>
      </c>
      <c r="B13" s="10" t="s">
        <v>170</v>
      </c>
      <c r="C13" s="68">
        <v>0.037259</v>
      </c>
    </row>
    <row r="14" spans="1:3" ht="12.75">
      <c r="A14" s="6"/>
      <c r="B14" s="10" t="s">
        <v>82</v>
      </c>
      <c r="C14" s="68">
        <v>0.0025999661537310396</v>
      </c>
    </row>
    <row r="15" spans="1:3" ht="12.75">
      <c r="A15" s="6">
        <f>+A13+1</f>
        <v>8</v>
      </c>
      <c r="B15" s="8" t="s">
        <v>178</v>
      </c>
      <c r="C15" s="67">
        <v>2.79</v>
      </c>
    </row>
    <row r="16" spans="1:3" ht="12.75">
      <c r="A16" s="6">
        <f>+A15+1</f>
        <v>9</v>
      </c>
      <c r="B16" s="9"/>
      <c r="C16" s="67"/>
    </row>
    <row r="17" spans="1:2" ht="12.75">
      <c r="A17" s="6">
        <f>+A16+1</f>
        <v>10</v>
      </c>
      <c r="B17" t="s">
        <v>131</v>
      </c>
    </row>
    <row r="18" spans="1:3" ht="12.75">
      <c r="A18" s="6">
        <f>+A17+1</f>
        <v>11</v>
      </c>
      <c r="B18" s="10" t="s">
        <v>181</v>
      </c>
      <c r="C18" s="134">
        <f>+C7*C13</f>
        <v>15818130.072533773</v>
      </c>
    </row>
    <row r="19" spans="1:3" ht="12.75">
      <c r="A19" s="6"/>
      <c r="B19" s="10" t="s">
        <v>82</v>
      </c>
      <c r="C19" s="134">
        <f>+C7*C14</f>
        <v>1103803.1832282918</v>
      </c>
    </row>
    <row r="20" spans="1:3" ht="12.75">
      <c r="A20" s="6">
        <f>+A18+1</f>
        <v>12</v>
      </c>
      <c r="B20" s="10" t="s">
        <v>171</v>
      </c>
      <c r="C20" s="134">
        <f>+C9*C15</f>
        <v>3270702.6699999003</v>
      </c>
    </row>
    <row r="21" spans="1:3" ht="13.5" thickBot="1">
      <c r="A21" s="6">
        <f aca="true" t="shared" si="1" ref="A21:A49">+A20+1</f>
        <v>13</v>
      </c>
      <c r="B21" s="10" t="s">
        <v>182</v>
      </c>
      <c r="C21" s="149">
        <f>SUM(C20,C18,C19)</f>
        <v>20192635.925761964</v>
      </c>
    </row>
    <row r="22" spans="1:3" ht="13.5" thickTop="1">
      <c r="A22" s="6">
        <f t="shared" si="1"/>
        <v>14</v>
      </c>
      <c r="C22" s="14"/>
    </row>
    <row r="23" spans="1:3" ht="12.75">
      <c r="A23" s="6">
        <f t="shared" si="1"/>
        <v>15</v>
      </c>
      <c r="B23" s="90" t="str">
        <f>+'Residential Schedule 7'!B35</f>
        <v>Proposed Rates Effective 2005</v>
      </c>
      <c r="C23" s="66"/>
    </row>
    <row r="24" spans="1:3" ht="12.75">
      <c r="A24" s="6">
        <f t="shared" si="1"/>
        <v>16</v>
      </c>
      <c r="B24" s="72"/>
      <c r="C24" s="72"/>
    </row>
    <row r="25" spans="1:5" ht="12.75">
      <c r="A25" s="6">
        <f t="shared" si="1"/>
        <v>17</v>
      </c>
      <c r="B25" s="9" t="s">
        <v>203</v>
      </c>
      <c r="C25" s="13">
        <f>+'High Voltage Schedule 46'!C26</f>
        <v>24358252.431702957</v>
      </c>
      <c r="E25" s="75" t="s">
        <v>94</v>
      </c>
    </row>
    <row r="26" spans="1:4" ht="12.75">
      <c r="A26" s="6">
        <f t="shared" si="1"/>
        <v>18</v>
      </c>
      <c r="B26" s="9" t="s">
        <v>202</v>
      </c>
      <c r="C26" s="13">
        <f>+'High Voltage Schedule 46'!C25</f>
        <v>1926475.085547734</v>
      </c>
      <c r="D26" s="14"/>
    </row>
    <row r="27" spans="1:4" ht="12.75">
      <c r="A27" s="6">
        <f t="shared" si="1"/>
        <v>19</v>
      </c>
      <c r="B27" s="9" t="s">
        <v>204</v>
      </c>
      <c r="C27" s="77">
        <f>+'High Voltage Schedule 46'!C27</f>
        <v>0.08588151780482653</v>
      </c>
      <c r="D27" s="77"/>
    </row>
    <row r="28" ht="12.75">
      <c r="A28" s="6">
        <f t="shared" si="1"/>
        <v>20</v>
      </c>
    </row>
    <row r="29" spans="1:5" ht="12.75">
      <c r="A29" s="6">
        <f t="shared" si="1"/>
        <v>21</v>
      </c>
      <c r="B29" s="168" t="s">
        <v>139</v>
      </c>
      <c r="C29" s="183">
        <v>3055574.054443274</v>
      </c>
      <c r="E29" s="75" t="s">
        <v>144</v>
      </c>
    </row>
    <row r="30" spans="1:3" ht="12.75">
      <c r="A30" s="6">
        <f t="shared" si="1"/>
        <v>22</v>
      </c>
      <c r="B30" s="157" t="s">
        <v>211</v>
      </c>
      <c r="C30" s="162">
        <f>MAX(ROUND(+C29/C9,2),C15)</f>
        <v>2.79</v>
      </c>
    </row>
    <row r="31" spans="1:3" ht="12.75">
      <c r="A31" s="6">
        <f t="shared" si="1"/>
        <v>23</v>
      </c>
      <c r="B31" s="8"/>
      <c r="C31" s="14"/>
    </row>
    <row r="32" spans="1:3" ht="12.75">
      <c r="A32" s="6">
        <f t="shared" si="1"/>
        <v>24</v>
      </c>
      <c r="B32" s="5" t="s">
        <v>142</v>
      </c>
      <c r="C32" s="14"/>
    </row>
    <row r="33" spans="1:3" ht="12.75">
      <c r="A33" s="6">
        <f t="shared" si="1"/>
        <v>25</v>
      </c>
      <c r="B33" s="137" t="s">
        <v>206</v>
      </c>
      <c r="C33" s="71">
        <f>+C30*C9</f>
        <v>3270702.6699999003</v>
      </c>
    </row>
    <row r="34" spans="1:3" ht="12.75">
      <c r="A34" s="6">
        <f t="shared" si="1"/>
        <v>26</v>
      </c>
      <c r="B34" s="8"/>
      <c r="C34" s="14"/>
    </row>
    <row r="35" spans="1:5" ht="12.75">
      <c r="A35" s="6">
        <f t="shared" si="1"/>
        <v>27</v>
      </c>
      <c r="B35" t="s">
        <v>212</v>
      </c>
      <c r="C35" s="13">
        <f>+'High Voltage Schedule 46'!C34</f>
        <v>249266.04</v>
      </c>
      <c r="E35" s="37"/>
    </row>
    <row r="36" spans="1:3" ht="12.75">
      <c r="A36" s="6">
        <f t="shared" si="1"/>
        <v>28</v>
      </c>
      <c r="B36" s="10" t="s">
        <v>97</v>
      </c>
      <c r="C36" s="14">
        <f>+C25-C33-C35</f>
        <v>20838283.721703056</v>
      </c>
    </row>
    <row r="37" spans="1:3" ht="12.75">
      <c r="A37" s="6">
        <f t="shared" si="1"/>
        <v>29</v>
      </c>
      <c r="B37" s="10" t="s">
        <v>213</v>
      </c>
      <c r="C37" s="61">
        <f>+C7+'High Voltage Schedule 46'!C7</f>
        <v>475654212.4999</v>
      </c>
    </row>
    <row r="38" spans="1:3" ht="12.75">
      <c r="A38" s="6">
        <f t="shared" si="1"/>
        <v>30</v>
      </c>
      <c r="B38" s="10"/>
      <c r="C38" s="14"/>
    </row>
    <row r="39" spans="1:3" ht="12.75">
      <c r="A39" s="6">
        <f t="shared" si="1"/>
        <v>31</v>
      </c>
      <c r="B39" s="10"/>
      <c r="C39" s="14"/>
    </row>
    <row r="40" spans="1:5" ht="12.75">
      <c r="A40" s="6">
        <f t="shared" si="1"/>
        <v>32</v>
      </c>
      <c r="B40" s="168" t="s">
        <v>207</v>
      </c>
      <c r="C40" s="154"/>
      <c r="D40" s="68"/>
      <c r="E40" s="37"/>
    </row>
    <row r="41" spans="1:5" ht="12.75">
      <c r="A41" s="6">
        <f t="shared" si="1"/>
        <v>33</v>
      </c>
      <c r="B41" s="161" t="s">
        <v>110</v>
      </c>
      <c r="C41" s="158">
        <f>ROUND(+C36/C37,6)</f>
        <v>0.04381</v>
      </c>
      <c r="D41" s="14"/>
      <c r="E41" s="76" t="s">
        <v>176</v>
      </c>
    </row>
    <row r="42" ht="12.75">
      <c r="A42" s="6">
        <f t="shared" si="1"/>
        <v>34</v>
      </c>
    </row>
    <row r="43" spans="1:2" ht="12.75">
      <c r="A43" s="6">
        <f t="shared" si="1"/>
        <v>35</v>
      </c>
      <c r="B43" t="s">
        <v>86</v>
      </c>
    </row>
    <row r="44" spans="1:3" ht="12.75">
      <c r="A44" s="6">
        <f t="shared" si="1"/>
        <v>36</v>
      </c>
      <c r="B44" s="10" t="s">
        <v>110</v>
      </c>
      <c r="C44" s="7">
        <f>+C41*C7</f>
        <v>18599325.759620618</v>
      </c>
    </row>
    <row r="45" spans="1:2" ht="12.75">
      <c r="A45" s="6">
        <f t="shared" si="1"/>
        <v>37</v>
      </c>
      <c r="B45" s="8"/>
    </row>
    <row r="46" spans="1:3" ht="12.75">
      <c r="A46" s="6">
        <f t="shared" si="1"/>
        <v>38</v>
      </c>
      <c r="B46" s="9" t="s">
        <v>214</v>
      </c>
      <c r="C46" s="14">
        <f>+C44+C33</f>
        <v>21870028.42962052</v>
      </c>
    </row>
    <row r="47" spans="1:3" ht="12.75">
      <c r="A47" s="6">
        <f t="shared" si="1"/>
        <v>39</v>
      </c>
      <c r="B47" s="9" t="s">
        <v>215</v>
      </c>
      <c r="C47" s="14">
        <f>+'High Voltage Schedule 46'!C43</f>
        <v>2488351.33</v>
      </c>
    </row>
    <row r="48" ht="12.75">
      <c r="A48" s="6">
        <f t="shared" si="1"/>
        <v>40</v>
      </c>
    </row>
    <row r="49" spans="1:3" ht="12.75">
      <c r="A49" s="6">
        <f t="shared" si="1"/>
        <v>41</v>
      </c>
      <c r="B49" s="163" t="s">
        <v>104</v>
      </c>
      <c r="C49" s="164">
        <f>+C46+C47-C25</f>
        <v>127.32791756093502</v>
      </c>
    </row>
  </sheetData>
  <printOptions horizontalCentered="1"/>
  <pageMargins left="1.5" right="0.25" top="1" bottom="0.75" header="1" footer="0.5"/>
  <pageSetup cellComments="asDisplayed" fitToHeight="1" fitToWidth="1" horizontalDpi="600" verticalDpi="600" orientation="portrait" scale="79" r:id="rId1"/>
  <headerFooter alignWithMargins="0">
    <oddHeader>&amp;RDocket No. UE-04______
Exhibit No. _______ (JAH-4)
Page &amp;P of &amp;N</oddHeader>
    <oddFooter>&amp;LSchedule 49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="75" zoomScaleNormal="75" workbookViewId="0" topLeftCell="A1">
      <selection activeCell="E14" sqref="E14"/>
    </sheetView>
  </sheetViews>
  <sheetFormatPr defaultColWidth="9.140625" defaultRowHeight="12.75"/>
  <cols>
    <col min="1" max="1" width="4.57421875" style="0" customWidth="1"/>
    <col min="2" max="2" width="40.7109375" style="0" bestFit="1" customWidth="1"/>
    <col min="3" max="3" width="13.140625" style="0" customWidth="1"/>
    <col min="4" max="4" width="15.8515625" style="0" bestFit="1" customWidth="1"/>
    <col min="5" max="5" width="15.8515625" style="0" customWidth="1"/>
    <col min="6" max="6" width="15.140625" style="0" bestFit="1" customWidth="1"/>
    <col min="7" max="7" width="48.7109375" style="0" bestFit="1" customWidth="1"/>
  </cols>
  <sheetData>
    <row r="1" spans="2:6" ht="12.75">
      <c r="B1" s="1" t="s">
        <v>0</v>
      </c>
      <c r="C1" s="1"/>
      <c r="D1" s="1"/>
      <c r="E1" s="1"/>
      <c r="F1" s="1"/>
    </row>
    <row r="2" spans="2:6" ht="12.75">
      <c r="B2" s="1" t="s">
        <v>68</v>
      </c>
      <c r="C2" s="1"/>
      <c r="D2" s="1"/>
      <c r="E2" s="1"/>
      <c r="F2" s="1"/>
    </row>
    <row r="3" spans="2:6" ht="12.75">
      <c r="B3" s="1" t="s">
        <v>199</v>
      </c>
      <c r="C3" s="1"/>
      <c r="D3" s="1"/>
      <c r="E3" s="1"/>
      <c r="F3" s="1"/>
    </row>
    <row r="4" spans="2:6" ht="12.75">
      <c r="B4" s="1" t="s">
        <v>216</v>
      </c>
      <c r="C4" s="1"/>
      <c r="D4" s="1"/>
      <c r="E4" s="1"/>
      <c r="F4" s="1"/>
    </row>
    <row r="6" spans="1:6" s="4" customFormat="1" ht="25.5">
      <c r="A6" s="2" t="s">
        <v>70</v>
      </c>
      <c r="B6" s="2"/>
      <c r="C6" s="2" t="s">
        <v>217</v>
      </c>
      <c r="D6" s="3" t="s">
        <v>218</v>
      </c>
      <c r="E6" s="3" t="s">
        <v>219</v>
      </c>
      <c r="F6" s="3" t="s">
        <v>220</v>
      </c>
    </row>
    <row r="7" spans="1:6" ht="12.75">
      <c r="A7" s="6">
        <v>1</v>
      </c>
      <c r="B7" s="5" t="s">
        <v>165</v>
      </c>
      <c r="C7" s="5"/>
      <c r="D7" s="127">
        <v>24</v>
      </c>
      <c r="E7" s="127">
        <v>168</v>
      </c>
      <c r="F7" s="127">
        <v>60</v>
      </c>
    </row>
    <row r="8" spans="1:6" ht="12.75">
      <c r="A8" s="6">
        <f aca="true" t="shared" si="0" ref="A8:A20">+A7+1</f>
        <v>2</v>
      </c>
      <c r="B8" s="9" t="s">
        <v>221</v>
      </c>
      <c r="C8" s="9"/>
      <c r="D8" s="127">
        <v>216056</v>
      </c>
      <c r="E8" s="127">
        <v>2865370</v>
      </c>
      <c r="F8" s="127">
        <v>622292</v>
      </c>
    </row>
    <row r="9" ht="12.75">
      <c r="A9" s="6">
        <f t="shared" si="0"/>
        <v>3</v>
      </c>
    </row>
    <row r="10" spans="1:6" ht="12.75">
      <c r="A10" s="6">
        <f t="shared" si="0"/>
        <v>4</v>
      </c>
      <c r="B10" s="90" t="str">
        <f>+'Residential Schedule 7'!B16</f>
        <v>Current Base Rates Effective 10-1-03</v>
      </c>
      <c r="C10" s="65"/>
      <c r="D10" s="65"/>
      <c r="E10" s="65"/>
      <c r="F10" s="66"/>
    </row>
    <row r="11" spans="1:6" ht="12.75">
      <c r="A11" s="6">
        <f t="shared" si="0"/>
        <v>5</v>
      </c>
      <c r="B11" t="s">
        <v>222</v>
      </c>
      <c r="D11" s="73">
        <v>709</v>
      </c>
      <c r="E11" s="73">
        <v>709</v>
      </c>
      <c r="F11" s="73">
        <f>+E11</f>
        <v>709</v>
      </c>
    </row>
    <row r="12" spans="1:6" ht="12.75">
      <c r="A12" s="6">
        <f t="shared" si="0"/>
        <v>6</v>
      </c>
      <c r="B12" s="9" t="s">
        <v>129</v>
      </c>
      <c r="C12" s="9"/>
      <c r="D12" s="67">
        <v>4</v>
      </c>
      <c r="E12" s="67">
        <v>1.53</v>
      </c>
      <c r="F12" s="73">
        <f>+E12</f>
        <v>1.53</v>
      </c>
    </row>
    <row r="13" ht="12.75">
      <c r="A13" s="6">
        <f t="shared" si="0"/>
        <v>7</v>
      </c>
    </row>
    <row r="14" spans="1:6" ht="12.75">
      <c r="A14" s="6">
        <f t="shared" si="0"/>
        <v>8</v>
      </c>
      <c r="B14" s="9" t="s">
        <v>223</v>
      </c>
      <c r="C14" s="9"/>
      <c r="D14" s="13">
        <f aca="true" t="shared" si="1" ref="D14:F15">+D11*D7</f>
        <v>17016</v>
      </c>
      <c r="E14" s="13">
        <f t="shared" si="1"/>
        <v>119112</v>
      </c>
      <c r="F14" s="13">
        <f t="shared" si="1"/>
        <v>42540</v>
      </c>
    </row>
    <row r="15" spans="1:6" ht="12.75">
      <c r="A15" s="6">
        <f t="shared" si="0"/>
        <v>9</v>
      </c>
      <c r="B15" s="9" t="s">
        <v>224</v>
      </c>
      <c r="C15" s="9"/>
      <c r="D15" s="13">
        <f t="shared" si="1"/>
        <v>864224</v>
      </c>
      <c r="E15" s="13">
        <f t="shared" si="1"/>
        <v>4384016.1</v>
      </c>
      <c r="F15" s="13">
        <f t="shared" si="1"/>
        <v>952106.76</v>
      </c>
    </row>
    <row r="16" spans="1:6" ht="12.75">
      <c r="A16" s="6">
        <f t="shared" si="0"/>
        <v>10</v>
      </c>
      <c r="B16" s="10"/>
      <c r="C16" s="10"/>
      <c r="D16" s="14"/>
      <c r="E16" s="14"/>
      <c r="F16" s="14"/>
    </row>
    <row r="17" spans="1:7" ht="13.5" thickBot="1">
      <c r="A17" s="6">
        <f t="shared" si="0"/>
        <v>11</v>
      </c>
      <c r="B17" t="s">
        <v>87</v>
      </c>
      <c r="C17" s="135">
        <f>SUM(D17:F17)</f>
        <v>6379014.859999999</v>
      </c>
      <c r="D17" s="135">
        <f>SUM(D14:D16)</f>
        <v>881240</v>
      </c>
      <c r="E17" s="135">
        <f>SUM(E14:E16)</f>
        <v>4503128.1</v>
      </c>
      <c r="F17" s="135">
        <f>SUM(F14:F16)</f>
        <v>994646.76</v>
      </c>
      <c r="G17" s="14"/>
    </row>
    <row r="18" spans="1:5" ht="13.5" thickTop="1">
      <c r="A18" s="6">
        <f t="shared" si="0"/>
        <v>12</v>
      </c>
      <c r="D18" s="14"/>
      <c r="E18" s="14"/>
    </row>
    <row r="19" spans="1:6" ht="12.75">
      <c r="A19" s="6">
        <f t="shared" si="0"/>
        <v>13</v>
      </c>
      <c r="B19" s="90" t="str">
        <f>+'Residential Schedule 7'!B35</f>
        <v>Proposed Rates Effective 2005</v>
      </c>
      <c r="C19" s="65"/>
      <c r="D19" s="65"/>
      <c r="E19" s="65"/>
      <c r="F19" s="66"/>
    </row>
    <row r="20" spans="1:6" ht="12.75">
      <c r="A20" s="6">
        <f t="shared" si="0"/>
        <v>14</v>
      </c>
      <c r="B20" s="72"/>
      <c r="C20" s="72"/>
      <c r="D20" s="72"/>
      <c r="E20" s="72"/>
      <c r="F20" s="72"/>
    </row>
    <row r="21" spans="1:7" ht="12.75">
      <c r="A21" s="6">
        <f>+A22+1</f>
        <v>16</v>
      </c>
      <c r="B21" s="9" t="s">
        <v>93</v>
      </c>
      <c r="C21" s="43">
        <v>182613.1594254477</v>
      </c>
      <c r="D21" s="13"/>
      <c r="E21" s="13"/>
      <c r="F21" s="13"/>
      <c r="G21" s="75" t="s">
        <v>94</v>
      </c>
    </row>
    <row r="22" spans="1:6" ht="12.75">
      <c r="A22" s="6">
        <f>+A20+1</f>
        <v>15</v>
      </c>
      <c r="B22" s="9" t="s">
        <v>225</v>
      </c>
      <c r="C22" s="13">
        <f>+C17+C21</f>
        <v>6561628.019425447</v>
      </c>
      <c r="D22" s="13"/>
      <c r="E22" s="13"/>
      <c r="F22" s="13"/>
    </row>
    <row r="23" spans="1:6" ht="12.75">
      <c r="A23" s="6">
        <f>+A21+1</f>
        <v>17</v>
      </c>
      <c r="B23" s="9" t="s">
        <v>112</v>
      </c>
      <c r="C23" s="77">
        <f>+C21/C17</f>
        <v>0.02862717260160885</v>
      </c>
      <c r="D23" s="77"/>
      <c r="E23" s="77"/>
      <c r="F23" s="77"/>
    </row>
    <row r="24" ht="12.75">
      <c r="A24" s="6">
        <f aca="true" t="shared" si="2" ref="A24:A41">+A23+1</f>
        <v>18</v>
      </c>
    </row>
    <row r="25" spans="1:7" ht="12.75">
      <c r="A25" s="6">
        <f t="shared" si="2"/>
        <v>19</v>
      </c>
      <c r="B25" s="191" t="s">
        <v>222</v>
      </c>
      <c r="C25" s="192"/>
      <c r="D25" s="193">
        <v>709</v>
      </c>
      <c r="E25" s="193">
        <f>+D25</f>
        <v>709</v>
      </c>
      <c r="F25" s="194">
        <f>+E25</f>
        <v>709</v>
      </c>
      <c r="G25" s="74" t="s">
        <v>226</v>
      </c>
    </row>
    <row r="26" spans="1:6" ht="12.75">
      <c r="A26" s="6">
        <f t="shared" si="2"/>
        <v>20</v>
      </c>
      <c r="B26" s="5"/>
      <c r="C26" s="5"/>
      <c r="D26" s="14"/>
      <c r="E26" s="14"/>
      <c r="F26" s="14"/>
    </row>
    <row r="27" spans="1:6" ht="12.75">
      <c r="A27" s="6">
        <f t="shared" si="2"/>
        <v>21</v>
      </c>
      <c r="B27" s="137" t="s">
        <v>222</v>
      </c>
      <c r="C27" s="71">
        <f>SUM(D27:F27)</f>
        <v>178668</v>
      </c>
      <c r="D27" s="71">
        <f>+D25*D7</f>
        <v>17016</v>
      </c>
      <c r="E27" s="71">
        <f>+E25*E7</f>
        <v>119112</v>
      </c>
      <c r="F27" s="71">
        <f>+F25*F7</f>
        <v>42540</v>
      </c>
    </row>
    <row r="28" spans="1:5" ht="12.75">
      <c r="A28" s="6">
        <f t="shared" si="2"/>
        <v>22</v>
      </c>
      <c r="B28" s="137"/>
      <c r="C28" s="137"/>
      <c r="D28" s="150"/>
      <c r="E28" s="150"/>
    </row>
    <row r="29" spans="1:5" ht="12.75">
      <c r="A29" s="6">
        <f t="shared" si="2"/>
        <v>23</v>
      </c>
      <c r="B29" s="137" t="s">
        <v>227</v>
      </c>
      <c r="C29" s="134">
        <f>+C27</f>
        <v>178668</v>
      </c>
      <c r="D29" s="134"/>
      <c r="E29" s="134"/>
    </row>
    <row r="30" spans="1:5" ht="12.75">
      <c r="A30" s="6">
        <f t="shared" si="2"/>
        <v>24</v>
      </c>
      <c r="B30" s="137"/>
      <c r="C30" s="137"/>
      <c r="D30" s="134"/>
      <c r="E30" s="134"/>
    </row>
    <row r="31" spans="1:5" ht="12.75">
      <c r="A31" s="6">
        <f t="shared" si="2"/>
        <v>25</v>
      </c>
      <c r="B31" s="137" t="s">
        <v>228</v>
      </c>
      <c r="C31" s="151">
        <f>+C22-C29</f>
        <v>6382960.019425447</v>
      </c>
      <c r="D31" s="134"/>
      <c r="E31" s="134"/>
    </row>
    <row r="32" spans="1:5" ht="12.75">
      <c r="A32" s="6">
        <f t="shared" si="2"/>
        <v>26</v>
      </c>
      <c r="C32" s="137"/>
      <c r="D32" s="134"/>
      <c r="E32" s="134"/>
    </row>
    <row r="33" spans="1:7" ht="13.5" customHeight="1">
      <c r="A33" s="6">
        <f t="shared" si="2"/>
        <v>27</v>
      </c>
      <c r="B33" s="168" t="s">
        <v>139</v>
      </c>
      <c r="C33" s="187"/>
      <c r="D33" s="188"/>
      <c r="E33" s="188"/>
      <c r="F33" s="189"/>
      <c r="G33" s="76" t="s">
        <v>229</v>
      </c>
    </row>
    <row r="34" spans="1:7" ht="12.75">
      <c r="A34" s="6">
        <f t="shared" si="2"/>
        <v>28</v>
      </c>
      <c r="B34" s="157" t="s">
        <v>206</v>
      </c>
      <c r="C34" s="190"/>
      <c r="D34" s="174">
        <f>ROUND($E$34*($D$12/$E$12),2)-0.09</f>
        <v>4.04</v>
      </c>
      <c r="E34" s="174">
        <f>ROUND(C31/(E8+F8+D8*(D12/E12)),2)</f>
        <v>1.58</v>
      </c>
      <c r="F34" s="162">
        <f>+E34</f>
        <v>1.58</v>
      </c>
      <c r="G34" s="74" t="s">
        <v>230</v>
      </c>
    </row>
    <row r="35" spans="1:5" ht="12.75">
      <c r="A35" s="6">
        <f t="shared" si="2"/>
        <v>29</v>
      </c>
      <c r="B35" s="8"/>
      <c r="C35" s="8"/>
      <c r="D35" s="14"/>
      <c r="E35" s="14"/>
    </row>
    <row r="36" spans="1:5" ht="12.75">
      <c r="A36" s="6">
        <f t="shared" si="2"/>
        <v>30</v>
      </c>
      <c r="B36" s="5" t="s">
        <v>142</v>
      </c>
      <c r="C36" s="5"/>
      <c r="D36" s="14"/>
      <c r="E36" s="14"/>
    </row>
    <row r="37" spans="1:6" ht="12.75">
      <c r="A37" s="6">
        <f t="shared" si="2"/>
        <v>31</v>
      </c>
      <c r="B37" s="137" t="s">
        <v>206</v>
      </c>
      <c r="C37" s="71">
        <f>SUM(D37:F37)</f>
        <v>6383372.200000001</v>
      </c>
      <c r="D37" s="71">
        <f>+D34*D8</f>
        <v>872866.24</v>
      </c>
      <c r="E37" s="71">
        <f>+E34*E8</f>
        <v>4527284.600000001</v>
      </c>
      <c r="F37" s="71">
        <f>+F34*F8</f>
        <v>983221.3600000001</v>
      </c>
    </row>
    <row r="38" spans="1:6" ht="12.75">
      <c r="A38" s="6">
        <f t="shared" si="2"/>
        <v>32</v>
      </c>
      <c r="B38" s="8"/>
      <c r="C38" s="8"/>
      <c r="D38" s="14"/>
      <c r="E38" s="14"/>
      <c r="F38" s="14"/>
    </row>
    <row r="39" spans="1:6" ht="13.5" thickBot="1">
      <c r="A39" s="6">
        <f t="shared" si="2"/>
        <v>33</v>
      </c>
      <c r="B39" s="9" t="s">
        <v>231</v>
      </c>
      <c r="C39" s="135">
        <f>SUM(D39:F39)</f>
        <v>6562040.200000001</v>
      </c>
      <c r="D39" s="135">
        <f>+D37+D27</f>
        <v>889882.24</v>
      </c>
      <c r="E39" s="135">
        <f>+E37+E27</f>
        <v>4646396.600000001</v>
      </c>
      <c r="F39" s="135">
        <f>+F37+F27</f>
        <v>1025761.3600000001</v>
      </c>
    </row>
    <row r="40" ht="13.5" thickTop="1">
      <c r="A40" s="6">
        <f t="shared" si="2"/>
        <v>34</v>
      </c>
    </row>
    <row r="41" spans="1:3" ht="12.75">
      <c r="A41" s="6">
        <f t="shared" si="2"/>
        <v>35</v>
      </c>
      <c r="B41" s="163" t="s">
        <v>104</v>
      </c>
      <c r="C41" s="164">
        <f>+C39-C22</f>
        <v>412.1805745540187</v>
      </c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</sheetData>
  <printOptions horizontalCentered="1"/>
  <pageMargins left="1.5" right="0.25" top="1" bottom="0.75" header="1" footer="0.5"/>
  <pageSetup cellComments="asDisplayed" fitToHeight="1" fitToWidth="1" horizontalDpi="600" verticalDpi="600" orientation="portrait" scale="57" r:id="rId1"/>
  <headerFooter alignWithMargins="0">
    <oddHeader>&amp;RDocket No. UE-04______
Exhibit No. _______ (JAH-4)
Page &amp;P of &amp;N</oddHeader>
    <oddFooter>&amp;LSchedule 459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5" width="0" style="0" hidden="1" customWidth="1"/>
    <col min="6" max="6" width="0" style="195" hidden="1" customWidth="1"/>
    <col min="7" max="7" width="10.8515625" style="195" hidden="1" customWidth="1"/>
    <col min="8" max="8" width="10.57421875" style="195" hidden="1" customWidth="1"/>
    <col min="9" max="10" width="0" style="0" hidden="1" customWidth="1"/>
    <col min="13" max="13" width="8.57421875" style="0" customWidth="1"/>
    <col min="18" max="18" width="11.421875" style="0" customWidth="1"/>
    <col min="19" max="19" width="12.140625" style="0" customWidth="1"/>
    <col min="20" max="20" width="12.28125" style="0" customWidth="1"/>
    <col min="21" max="21" width="12.00390625" style="0" customWidth="1"/>
    <col min="24" max="16384" width="9.140625" style="11" customWidth="1"/>
  </cols>
  <sheetData>
    <row r="1" ht="13.5" thickBot="1"/>
    <row r="2" spans="1:23" s="199" customFormat="1" ht="21.75">
      <c r="A2" s="196"/>
      <c r="B2" s="197" t="s">
        <v>232</v>
      </c>
      <c r="C2" s="197" t="s">
        <v>232</v>
      </c>
      <c r="D2" s="197" t="s">
        <v>232</v>
      </c>
      <c r="E2" s="197" t="s">
        <v>232</v>
      </c>
      <c r="F2" s="198" t="s">
        <v>232</v>
      </c>
      <c r="G2" s="198" t="s">
        <v>232</v>
      </c>
      <c r="H2" s="198" t="s">
        <v>232</v>
      </c>
      <c r="I2" s="197" t="s">
        <v>232</v>
      </c>
      <c r="J2" s="197" t="s">
        <v>232</v>
      </c>
      <c r="K2" s="197" t="s">
        <v>233</v>
      </c>
      <c r="L2" s="197" t="s">
        <v>257</v>
      </c>
      <c r="M2" s="197" t="s">
        <v>257</v>
      </c>
      <c r="N2" s="197" t="s">
        <v>257</v>
      </c>
      <c r="O2" s="197" t="s">
        <v>258</v>
      </c>
      <c r="P2" s="197" t="s">
        <v>258</v>
      </c>
      <c r="Q2" s="197" t="s">
        <v>258</v>
      </c>
      <c r="R2" s="197" t="s">
        <v>234</v>
      </c>
      <c r="S2" s="197" t="s">
        <v>199</v>
      </c>
      <c r="T2" s="197" t="s">
        <v>234</v>
      </c>
      <c r="U2" s="197" t="s">
        <v>58</v>
      </c>
      <c r="V2" s="197" t="s">
        <v>60</v>
      </c>
      <c r="W2" s="207" t="s">
        <v>60</v>
      </c>
    </row>
    <row r="3" spans="1:23" s="199" customFormat="1" ht="21.75">
      <c r="A3" s="200"/>
      <c r="B3" s="201" t="s">
        <v>235</v>
      </c>
      <c r="C3" s="201" t="s">
        <v>236</v>
      </c>
      <c r="D3" s="201" t="s">
        <v>237</v>
      </c>
      <c r="E3" s="201" t="s">
        <v>238</v>
      </c>
      <c r="F3" s="202" t="s">
        <v>239</v>
      </c>
      <c r="G3" s="202" t="s">
        <v>234</v>
      </c>
      <c r="H3" s="202" t="s">
        <v>199</v>
      </c>
      <c r="I3" s="201" t="s">
        <v>240</v>
      </c>
      <c r="J3" s="201" t="s">
        <v>60</v>
      </c>
      <c r="K3" s="201" t="s">
        <v>241</v>
      </c>
      <c r="L3" s="201" t="s">
        <v>242</v>
      </c>
      <c r="M3" s="201" t="s">
        <v>243</v>
      </c>
      <c r="N3" s="201" t="s">
        <v>244</v>
      </c>
      <c r="O3" s="201" t="s">
        <v>51</v>
      </c>
      <c r="P3" s="201" t="s">
        <v>245</v>
      </c>
      <c r="Q3" s="201" t="s">
        <v>246</v>
      </c>
      <c r="R3" s="201" t="s">
        <v>258</v>
      </c>
      <c r="S3" s="206"/>
      <c r="T3" s="201" t="s">
        <v>199</v>
      </c>
      <c r="U3" s="201" t="s">
        <v>247</v>
      </c>
      <c r="V3" s="201" t="s">
        <v>248</v>
      </c>
      <c r="W3" s="208" t="s">
        <v>249</v>
      </c>
    </row>
    <row r="4" spans="1:23" s="199" customFormat="1" ht="13.5" thickBot="1">
      <c r="A4" s="203" t="s">
        <v>250</v>
      </c>
      <c r="B4" s="204"/>
      <c r="C4" s="204"/>
      <c r="D4" s="204"/>
      <c r="E4" s="204"/>
      <c r="F4" s="205"/>
      <c r="G4" s="205"/>
      <c r="H4" s="205"/>
      <c r="I4" s="204"/>
      <c r="J4" s="204"/>
      <c r="K4" s="204">
        <v>7</v>
      </c>
      <c r="L4" s="204">
        <v>24</v>
      </c>
      <c r="M4" s="204" t="s">
        <v>47</v>
      </c>
      <c r="N4" s="204">
        <v>26</v>
      </c>
      <c r="O4" s="204">
        <v>31</v>
      </c>
      <c r="P4" s="204">
        <v>35</v>
      </c>
      <c r="Q4" s="204">
        <v>43</v>
      </c>
      <c r="R4" s="204">
        <v>449</v>
      </c>
      <c r="S4" s="204" t="s">
        <v>56</v>
      </c>
      <c r="T4" s="204" t="s">
        <v>259</v>
      </c>
      <c r="U4" s="204" t="s">
        <v>251</v>
      </c>
      <c r="V4" s="204" t="s">
        <v>61</v>
      </c>
      <c r="W4" s="209" t="s">
        <v>61</v>
      </c>
    </row>
    <row r="6" spans="1:23" ht="12.75">
      <c r="A6" t="s">
        <v>252</v>
      </c>
      <c r="B6" s="67">
        <v>8.29269922224406</v>
      </c>
      <c r="C6" s="67">
        <v>11.44830501387516</v>
      </c>
      <c r="D6" s="67">
        <v>56.52024406391631</v>
      </c>
      <c r="E6" s="67">
        <v>139.2629556793174</v>
      </c>
      <c r="F6" s="195">
        <v>314.0720558199663</v>
      </c>
      <c r="G6" s="195">
        <v>1719.0143422349108</v>
      </c>
      <c r="H6" s="195">
        <v>1967.0846197594456</v>
      </c>
      <c r="I6" s="67">
        <v>1.858344371129163</v>
      </c>
      <c r="J6" s="67">
        <v>563.9738469743232</v>
      </c>
      <c r="K6" s="67">
        <v>8.29269922224406</v>
      </c>
      <c r="L6" s="67">
        <v>11.44830501387516</v>
      </c>
      <c r="M6" s="67">
        <v>56.52024406391631</v>
      </c>
      <c r="N6" s="67">
        <v>139.2629556793174</v>
      </c>
      <c r="O6" s="67">
        <v>313.16422063706625</v>
      </c>
      <c r="P6" s="67">
        <v>247.57726818534428</v>
      </c>
      <c r="Q6" s="67">
        <v>320.45532265324914</v>
      </c>
      <c r="R6" s="67">
        <v>2075.511379678752</v>
      </c>
      <c r="S6" s="67">
        <v>1967.0846197594456</v>
      </c>
      <c r="T6" s="67">
        <v>1675.8845741200485</v>
      </c>
      <c r="U6" s="67">
        <v>1.858344371129163</v>
      </c>
      <c r="V6" s="67">
        <v>496.96433402847066</v>
      </c>
      <c r="W6" s="67">
        <v>531.0407888952118</v>
      </c>
    </row>
    <row r="7" spans="1:23" ht="12.75">
      <c r="A7" t="s">
        <v>253</v>
      </c>
      <c r="B7" s="67">
        <v>5.535904237772966</v>
      </c>
      <c r="C7" s="67">
        <v>6.903121753009246</v>
      </c>
      <c r="D7" s="67">
        <v>21.158045806630366</v>
      </c>
      <c r="E7" s="67">
        <v>46.590531163101474</v>
      </c>
      <c r="F7" s="195">
        <v>301.8990084119201</v>
      </c>
      <c r="G7" s="195">
        <v>1723.330829456964</v>
      </c>
      <c r="H7" s="195">
        <v>1971.8619429342891</v>
      </c>
      <c r="I7" s="67">
        <v>1.858344371129163</v>
      </c>
      <c r="J7" s="67">
        <v>529.2642703779902</v>
      </c>
      <c r="K7" s="67">
        <v>5.535904237772966</v>
      </c>
      <c r="L7" s="67">
        <v>6.903121753009246</v>
      </c>
      <c r="M7" s="67">
        <v>21.158045806630366</v>
      </c>
      <c r="N7" s="67">
        <v>46.590531163101474</v>
      </c>
      <c r="O7" s="67">
        <v>295.8117464372805</v>
      </c>
      <c r="P7" s="67">
        <v>253.3291874488039</v>
      </c>
      <c r="Q7" s="67">
        <v>322.87467054860133</v>
      </c>
      <c r="R7" s="67">
        <v>2081.989212286693</v>
      </c>
      <c r="S7" s="67">
        <v>1971.8619429342891</v>
      </c>
      <c r="T7" s="67">
        <v>1679.992769176394</v>
      </c>
      <c r="U7" s="67">
        <v>1.858344371129163</v>
      </c>
      <c r="V7" s="67">
        <v>482.36633132516164</v>
      </c>
      <c r="W7" s="67">
        <v>491.24729381607057</v>
      </c>
    </row>
    <row r="9" spans="1:23" ht="12.75">
      <c r="A9" t="s">
        <v>254</v>
      </c>
      <c r="B9" s="67">
        <f aca="true" t="shared" si="0" ref="B9:W9">0.35*(B6-B7)+B7</f>
        <v>6.500782482337849</v>
      </c>
      <c r="C9" s="67">
        <f t="shared" si="0"/>
        <v>8.493935894312315</v>
      </c>
      <c r="D9" s="67">
        <f t="shared" si="0"/>
        <v>33.53481519668044</v>
      </c>
      <c r="E9" s="67">
        <f t="shared" si="0"/>
        <v>79.02587974377704</v>
      </c>
      <c r="F9" s="61">
        <f t="shared" si="0"/>
        <v>306.15957500473627</v>
      </c>
      <c r="G9" s="61">
        <f t="shared" si="0"/>
        <v>1721.8200589292453</v>
      </c>
      <c r="H9" s="61">
        <f t="shared" si="0"/>
        <v>1970.1898798230939</v>
      </c>
      <c r="I9" s="67">
        <f t="shared" si="0"/>
        <v>1.858344371129163</v>
      </c>
      <c r="J9" s="67">
        <f t="shared" si="0"/>
        <v>541.4126221867068</v>
      </c>
      <c r="K9" s="67">
        <f t="shared" si="0"/>
        <v>6.500782482337849</v>
      </c>
      <c r="L9" s="67">
        <f t="shared" si="0"/>
        <v>8.493935894312315</v>
      </c>
      <c r="M9" s="67">
        <f t="shared" si="0"/>
        <v>33.53481519668044</v>
      </c>
      <c r="N9" s="67">
        <f t="shared" si="0"/>
        <v>79.02587974377704</v>
      </c>
      <c r="O9" s="67">
        <f t="shared" si="0"/>
        <v>301.8851124072055</v>
      </c>
      <c r="P9" s="67">
        <f t="shared" si="0"/>
        <v>251.31601570659305</v>
      </c>
      <c r="Q9" s="67">
        <f t="shared" si="0"/>
        <v>322.02789878522805</v>
      </c>
      <c r="R9" s="67">
        <f t="shared" si="0"/>
        <v>2079.7219708739135</v>
      </c>
      <c r="S9" s="67">
        <f t="shared" si="0"/>
        <v>1970.1898798230939</v>
      </c>
      <c r="T9" s="67">
        <f t="shared" si="0"/>
        <v>1678.554900906673</v>
      </c>
      <c r="U9" s="67">
        <f t="shared" si="0"/>
        <v>1.858344371129163</v>
      </c>
      <c r="V9" s="67">
        <f t="shared" si="0"/>
        <v>487.4756322713198</v>
      </c>
      <c r="W9" s="67">
        <f t="shared" si="0"/>
        <v>505.17501709377</v>
      </c>
    </row>
    <row r="10" spans="1:23" ht="12.75">
      <c r="A10" t="s">
        <v>255</v>
      </c>
      <c r="B10" s="67">
        <v>5.5</v>
      </c>
      <c r="C10" s="67">
        <v>5.5</v>
      </c>
      <c r="D10" s="67">
        <v>24.9</v>
      </c>
      <c r="E10" s="67">
        <v>29.1</v>
      </c>
      <c r="F10" s="195">
        <v>200</v>
      </c>
      <c r="G10" s="195">
        <v>709</v>
      </c>
      <c r="H10" s="195">
        <v>0</v>
      </c>
      <c r="I10" s="67">
        <v>0</v>
      </c>
      <c r="J10" s="67">
        <v>0</v>
      </c>
      <c r="K10" s="67">
        <v>5.5</v>
      </c>
      <c r="L10" s="67">
        <v>5.5</v>
      </c>
      <c r="M10" s="67">
        <v>24.9</v>
      </c>
      <c r="N10" s="67">
        <v>29.1</v>
      </c>
      <c r="O10" s="67">
        <v>200</v>
      </c>
      <c r="P10" s="67">
        <v>200</v>
      </c>
      <c r="Q10" s="67">
        <v>200</v>
      </c>
      <c r="R10" s="67">
        <v>709</v>
      </c>
      <c r="S10" s="67">
        <v>0</v>
      </c>
      <c r="T10" s="67">
        <v>709</v>
      </c>
      <c r="U10" s="67">
        <v>0</v>
      </c>
      <c r="V10" s="67">
        <v>0</v>
      </c>
      <c r="W10" s="67">
        <v>0</v>
      </c>
    </row>
    <row r="11" spans="1:12" ht="12.75">
      <c r="A11" t="s">
        <v>256</v>
      </c>
      <c r="K11" s="67">
        <v>13.6</v>
      </c>
      <c r="L11" s="67">
        <v>13.6</v>
      </c>
    </row>
  </sheetData>
  <printOptions horizontalCentered="1"/>
  <pageMargins left="0.25" right="0.25" top="2" bottom="1" header="1.5" footer="0.5"/>
  <pageSetup fitToHeight="1" fitToWidth="1" horizontalDpi="600" verticalDpi="600" orientation="landscape" paperSize="121" scale="82" r:id="rId1"/>
  <headerFooter alignWithMargins="0">
    <oddHeader>&amp;CPuget Sound Energy
Derivation of Basic Charge&amp;RDocket No. UE-04_________
Exhibit No. _________(JAH-4)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T1" sqref="J1:T16384"/>
    </sheetView>
  </sheetViews>
  <sheetFormatPr defaultColWidth="9.140625" defaultRowHeight="12.75"/>
  <cols>
    <col min="1" max="1" width="23.8515625" style="0" bestFit="1" customWidth="1"/>
    <col min="2" max="2" width="14.00390625" style="0" bestFit="1" customWidth="1"/>
    <col min="3" max="3" width="11.85156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281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343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105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64" t="s">
        <v>324</v>
      </c>
      <c r="C7" s="65"/>
      <c r="D7" s="66"/>
      <c r="E7" s="244" t="str">
        <f>+'Residential Sch 7'!E7</f>
        <v>Proforma</v>
      </c>
      <c r="F7" s="259"/>
      <c r="G7" s="260" t="str">
        <f>+'Residential Sch 7'!G7</f>
        <v>Proposed</v>
      </c>
      <c r="H7" s="259"/>
      <c r="I7" s="11"/>
      <c r="J7" s="11"/>
    </row>
    <row r="8" spans="3:10" ht="12.75">
      <c r="C8" s="240" t="s">
        <v>327</v>
      </c>
      <c r="D8" s="247"/>
      <c r="E8" s="261" t="str">
        <f>+'Residential Sch 7'!E8</f>
        <v>Rates Effective 10-1-03</v>
      </c>
      <c r="F8" s="262"/>
      <c r="G8" s="263" t="str">
        <f>+'Residential Sch 7'!G8</f>
        <v>Rates Effective 2005</v>
      </c>
      <c r="H8" s="264"/>
      <c r="I8" s="265" t="str">
        <f>+'Residential Sch 7'!I8</f>
        <v>Differences</v>
      </c>
      <c r="J8" s="266"/>
    </row>
    <row r="9" spans="1:10" ht="12.75">
      <c r="A9" s="251"/>
      <c r="B9" s="251"/>
      <c r="C9" s="251" t="s">
        <v>331</v>
      </c>
      <c r="D9" s="251" t="s">
        <v>71</v>
      </c>
      <c r="E9" s="265" t="str">
        <f>+'Residential Sch 7'!E9</f>
        <v>Charge</v>
      </c>
      <c r="F9" s="266" t="str">
        <f>+'Residential Sch 7'!F9</f>
        <v>Revenue</v>
      </c>
      <c r="G9" s="267" t="str">
        <f>+'Residential Sch 7'!G9</f>
        <v>Charge</v>
      </c>
      <c r="H9" s="266" t="str">
        <f>+'Residential Sch 7'!H9</f>
        <v>Revenue</v>
      </c>
      <c r="I9" s="267" t="str">
        <f>+'Residential Sch 7'!I9</f>
        <v>$</v>
      </c>
      <c r="J9" s="266" t="str">
        <f>+'Residential Sch 7'!J9</f>
        <v>%</v>
      </c>
    </row>
    <row r="10" spans="1:10" ht="12.75">
      <c r="A10" s="9" t="s">
        <v>336</v>
      </c>
      <c r="B10" s="228">
        <v>954004.2297902098</v>
      </c>
      <c r="C10" s="228"/>
      <c r="D10" s="228">
        <f>+B10</f>
        <v>954004.2297902098</v>
      </c>
      <c r="E10" s="73">
        <v>5.5</v>
      </c>
      <c r="F10" s="13">
        <f>+E10*D10</f>
        <v>5247023.263846153</v>
      </c>
      <c r="G10" s="268">
        <v>6.5</v>
      </c>
      <c r="H10" s="13">
        <f>+G10*D10</f>
        <v>6201027.493636364</v>
      </c>
      <c r="I10" s="14">
        <f>+H10-F10</f>
        <v>954004.2297902107</v>
      </c>
      <c r="J10" s="255">
        <f>+I10/F10</f>
        <v>0.18181818181818202</v>
      </c>
    </row>
    <row r="11" spans="1:10" ht="12.75">
      <c r="A11" t="s">
        <v>337</v>
      </c>
      <c r="B11" s="228">
        <v>351858.924304996</v>
      </c>
      <c r="C11" s="228"/>
      <c r="D11" s="228">
        <f>+B11</f>
        <v>351858.924304996</v>
      </c>
      <c r="E11" s="73">
        <v>13.6</v>
      </c>
      <c r="F11" s="13">
        <f>+E11*D11</f>
        <v>4785281.370547946</v>
      </c>
      <c r="G11" s="268">
        <v>16.1</v>
      </c>
      <c r="H11" s="13">
        <f>+G11*D11</f>
        <v>5664928.681310436</v>
      </c>
      <c r="I11" s="14">
        <f>+H11-F11</f>
        <v>879647.3107624901</v>
      </c>
      <c r="J11" s="255">
        <f>+I11/F11</f>
        <v>0.18382352941176475</v>
      </c>
    </row>
    <row r="12" spans="1:10" ht="12.75">
      <c r="A12" t="s">
        <v>338</v>
      </c>
      <c r="B12" s="231">
        <f>SUM(B10:B11)</f>
        <v>1305863.1540952057</v>
      </c>
      <c r="C12" s="231"/>
      <c r="D12" s="231">
        <f>SUM(D10:D11)</f>
        <v>1305863.1540952057</v>
      </c>
      <c r="F12" s="7">
        <f>SUM(F10:F11)</f>
        <v>10032304.634394098</v>
      </c>
      <c r="H12" s="7">
        <f>SUM(H10:H11)</f>
        <v>11865956.1749468</v>
      </c>
      <c r="I12" s="7">
        <f>SUM(I10:I11)</f>
        <v>1833651.5405527009</v>
      </c>
      <c r="J12" s="256">
        <f>+I12/F12</f>
        <v>0.1827747070465075</v>
      </c>
    </row>
    <row r="13" spans="6:8" ht="12.75">
      <c r="F13" s="13"/>
      <c r="H13" s="13"/>
    </row>
    <row r="14" spans="1:10" ht="12.75">
      <c r="A14" t="s">
        <v>344</v>
      </c>
      <c r="B14" s="61">
        <v>1257189864.3315</v>
      </c>
      <c r="C14" s="61">
        <v>8390946.054473223</v>
      </c>
      <c r="D14" s="61">
        <f>SUM(B14:C14)</f>
        <v>1265580810.3859732</v>
      </c>
      <c r="E14" s="68">
        <v>0.06754500000000001</v>
      </c>
      <c r="F14" s="13">
        <f>+E14*D14</f>
        <v>85483655.83752057</v>
      </c>
      <c r="G14" s="68">
        <v>0.072561</v>
      </c>
      <c r="H14" s="13">
        <f>+G14*D14</f>
        <v>91831809.1824166</v>
      </c>
      <c r="I14" s="14">
        <f>+H14-F14</f>
        <v>6348153.344896033</v>
      </c>
      <c r="J14" s="255">
        <f>+I14/F14</f>
        <v>0.07426160337552733</v>
      </c>
    </row>
    <row r="15" spans="1:10" ht="12.75">
      <c r="A15" t="s">
        <v>345</v>
      </c>
      <c r="B15" s="61">
        <v>1125586300.3614001</v>
      </c>
      <c r="C15" s="61">
        <v>-7829004.55270258</v>
      </c>
      <c r="D15" s="61">
        <f>SUM(B15:C15)</f>
        <v>1117757295.8086975</v>
      </c>
      <c r="E15" s="68">
        <v>0.064967</v>
      </c>
      <c r="F15" s="13">
        <f>+E15*D15</f>
        <v>72617338.23680365</v>
      </c>
      <c r="G15" s="68">
        <v>0.069792</v>
      </c>
      <c r="H15" s="13">
        <f>+G15*D15</f>
        <v>78010517.18908063</v>
      </c>
      <c r="I15" s="14">
        <f>+H15-F15</f>
        <v>5393178.952276975</v>
      </c>
      <c r="J15" s="255">
        <f>+I15/F15</f>
        <v>0.07426847476411114</v>
      </c>
    </row>
    <row r="16" spans="1:10" ht="12.75">
      <c r="A16" t="s">
        <v>167</v>
      </c>
      <c r="B16" s="231">
        <f>SUM(B14:B15)</f>
        <v>2382776164.6929</v>
      </c>
      <c r="C16" s="231">
        <f>SUM(C14:C15)</f>
        <v>561941.5017706435</v>
      </c>
      <c r="D16" s="231">
        <f>SUM(D14:D15)</f>
        <v>2383338106.1946707</v>
      </c>
      <c r="F16" s="7">
        <f>SUM(F14:F15)</f>
        <v>158100994.07432422</v>
      </c>
      <c r="H16" s="7">
        <f>SUM(H14:H15)</f>
        <v>169842326.3714972</v>
      </c>
      <c r="I16" s="7">
        <f>SUM(I14:I15)</f>
        <v>11741332.297173008</v>
      </c>
      <c r="J16" s="256">
        <f>+I16/F16</f>
        <v>0.07426475947174208</v>
      </c>
    </row>
    <row r="17" spans="2:10" ht="12.75">
      <c r="B17" s="127"/>
      <c r="C17" s="127"/>
      <c r="D17" s="127"/>
      <c r="F17" s="233"/>
      <c r="H17" s="233"/>
      <c r="I17" s="233"/>
      <c r="J17" s="257"/>
    </row>
    <row r="18" spans="1:10" ht="12.75">
      <c r="A18" t="s">
        <v>82</v>
      </c>
      <c r="D18" s="231">
        <f>+D16</f>
        <v>2383338106.1946707</v>
      </c>
      <c r="E18" s="68">
        <v>0.0029115101888329818</v>
      </c>
      <c r="F18" s="7">
        <f>+E18*D18</f>
        <v>6939113.179619687</v>
      </c>
      <c r="G18" s="68">
        <v>0</v>
      </c>
      <c r="H18" s="7">
        <f>+G18*D18</f>
        <v>0</v>
      </c>
      <c r="I18" s="71">
        <f>+H18-F18</f>
        <v>-6939113.179619687</v>
      </c>
      <c r="J18" s="256">
        <f>+I18/F18</f>
        <v>-1</v>
      </c>
    </row>
    <row r="19" ht="12.75">
      <c r="D19" s="63"/>
    </row>
    <row r="20" spans="1:10" ht="13.5" thickBot="1">
      <c r="A20" s="9" t="s">
        <v>346</v>
      </c>
      <c r="B20" s="9"/>
      <c r="C20" s="9"/>
      <c r="F20" s="135">
        <f>SUM(F16,F12,F18)</f>
        <v>175072411.88833803</v>
      </c>
      <c r="H20" s="135">
        <f>SUM(H16,H12,H18)</f>
        <v>181708282.546444</v>
      </c>
      <c r="I20" s="135">
        <f>SUM(I16,I12,I18)</f>
        <v>6635870.658106023</v>
      </c>
      <c r="J20" s="258">
        <f>+I20/F20</f>
        <v>0.03790357707722911</v>
      </c>
    </row>
    <row r="21" ht="13.5" thickTop="1">
      <c r="D21" s="63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24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pane xSplit="1" ySplit="5" topLeftCell="J6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N10" sqref="N10"/>
    </sheetView>
  </sheetViews>
  <sheetFormatPr defaultColWidth="9.140625" defaultRowHeight="12.75"/>
  <cols>
    <col min="1" max="1" width="30.421875" style="0" bestFit="1" customWidth="1"/>
    <col min="2" max="2" width="14.00390625" style="0" hidden="1" customWidth="1"/>
    <col min="3" max="3" width="18.421875" style="0" hidden="1" customWidth="1"/>
    <col min="4" max="4" width="18.421875" style="0" customWidth="1"/>
    <col min="5" max="5" width="14.8515625" style="0" bestFit="1" customWidth="1"/>
    <col min="6" max="7" width="12.28125" style="0" bestFit="1" customWidth="1"/>
    <col min="8" max="8" width="9.28125" style="0" bestFit="1" customWidth="1"/>
    <col min="9" max="9" width="13.28125" style="0" bestFit="1" customWidth="1"/>
    <col min="10" max="10" width="14.8515625" style="0" bestFit="1" customWidth="1"/>
    <col min="12" max="12" width="13.8515625" style="0" bestFit="1" customWidth="1"/>
    <col min="13" max="13" width="13.28125" style="0" bestFit="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260</v>
      </c>
      <c r="B2" s="1"/>
      <c r="C2" s="1"/>
      <c r="D2" s="1"/>
      <c r="E2" s="1"/>
      <c r="F2" s="1"/>
      <c r="G2" s="1"/>
    </row>
    <row r="3" spans="1:7" ht="12.75">
      <c r="A3" s="1" t="s">
        <v>1</v>
      </c>
      <c r="B3" s="1"/>
      <c r="C3" s="1"/>
      <c r="D3" s="1"/>
      <c r="E3" s="1"/>
      <c r="F3" s="1"/>
      <c r="G3" s="1"/>
    </row>
    <row r="5" spans="1:13" s="4" customFormat="1" ht="51">
      <c r="A5" s="2"/>
      <c r="B5" s="3" t="s">
        <v>261</v>
      </c>
      <c r="C5" s="3" t="s">
        <v>262</v>
      </c>
      <c r="D5" s="2" t="s">
        <v>263</v>
      </c>
      <c r="E5" s="3" t="s">
        <v>260</v>
      </c>
      <c r="F5" s="3" t="s">
        <v>264</v>
      </c>
      <c r="G5" s="2" t="s">
        <v>265</v>
      </c>
      <c r="H5" s="2" t="s">
        <v>266</v>
      </c>
      <c r="I5" s="2" t="s">
        <v>267</v>
      </c>
      <c r="J5" s="2" t="s">
        <v>268</v>
      </c>
      <c r="K5" s="2" t="s">
        <v>269</v>
      </c>
      <c r="L5" s="2" t="s">
        <v>270</v>
      </c>
      <c r="M5" s="2" t="s">
        <v>271</v>
      </c>
    </row>
    <row r="6" spans="1:13" ht="12.75">
      <c r="A6" t="s">
        <v>116</v>
      </c>
      <c r="B6" s="61">
        <v>4082201.201703973</v>
      </c>
      <c r="C6" s="61">
        <v>4287493.58933934</v>
      </c>
      <c r="D6" s="61">
        <f>SUM(B6:C6)</f>
        <v>8369694.791043313</v>
      </c>
      <c r="E6" s="13">
        <v>23754883.78000001</v>
      </c>
      <c r="F6" s="13">
        <v>1737014.32</v>
      </c>
      <c r="G6" s="14">
        <f>+E6+F6</f>
        <v>25491898.10000001</v>
      </c>
      <c r="H6" s="210">
        <f>+G6/G8</f>
        <v>0.9983789929279198</v>
      </c>
      <c r="J6" s="13">
        <f>+I8*H6</f>
        <v>40672691.90877984</v>
      </c>
      <c r="L6" s="13">
        <f>(F6)*(1+$K$8)</f>
        <v>1786740.1287501082</v>
      </c>
      <c r="M6" s="14">
        <f>+J6-L6</f>
        <v>38885951.78002973</v>
      </c>
    </row>
    <row r="7" spans="1:13" ht="12.75">
      <c r="A7" s="9" t="s">
        <v>151</v>
      </c>
      <c r="B7" s="61">
        <v>17056.937680184776</v>
      </c>
      <c r="C7" s="61">
        <v>10243.781613931036</v>
      </c>
      <c r="D7" s="61">
        <f>SUM(B7:C7)</f>
        <v>27300.719294115814</v>
      </c>
      <c r="E7" s="13">
        <v>40444.5300000001</v>
      </c>
      <c r="F7" s="13">
        <v>945.11</v>
      </c>
      <c r="G7" s="14">
        <f>+E7+F7</f>
        <v>41389.6400000001</v>
      </c>
      <c r="H7" s="210">
        <f>+G7/G8</f>
        <v>0.0016210070720802557</v>
      </c>
      <c r="J7" s="13">
        <f>+I8*H7</f>
        <v>66037.7689151093</v>
      </c>
      <c r="L7" s="13">
        <f>F7*(1+$K$8)</f>
        <v>972.1658270975065</v>
      </c>
      <c r="M7" s="14">
        <f>+J7-L7</f>
        <v>65065.6030880118</v>
      </c>
    </row>
    <row r="8" spans="1:13" ht="12.75">
      <c r="A8" s="9" t="s">
        <v>272</v>
      </c>
      <c r="B8" s="211">
        <f aca="true" t="shared" si="0" ref="B8:G8">SUM(B6:B7)</f>
        <v>4099258.139384158</v>
      </c>
      <c r="C8" s="211">
        <f t="shared" si="0"/>
        <v>4297737.370953271</v>
      </c>
      <c r="D8" s="211">
        <f t="shared" si="0"/>
        <v>8396995.51033743</v>
      </c>
      <c r="E8" s="7">
        <f t="shared" si="0"/>
        <v>23795328.31000001</v>
      </c>
      <c r="F8" s="7">
        <f t="shared" si="0"/>
        <v>1737959.4300000023</v>
      </c>
      <c r="G8" s="7">
        <f t="shared" si="0"/>
        <v>25533287.74000001</v>
      </c>
      <c r="I8" s="7">
        <f>+'Allocation of Demand Revenue'!D26</f>
        <v>40738729.67769495</v>
      </c>
      <c r="J8" s="71">
        <f>SUM(J6:J7)</f>
        <v>40738729.67769495</v>
      </c>
      <c r="K8" s="212">
        <v>0.028627172601608807</v>
      </c>
      <c r="L8" s="71">
        <f>SUM(L6:L7)</f>
        <v>1787712.2945772058</v>
      </c>
      <c r="M8" s="71">
        <f>SUM(M6:M7)</f>
        <v>38951017.38311774</v>
      </c>
    </row>
    <row r="9" spans="4:11" ht="12.75">
      <c r="D9" s="63"/>
      <c r="K9" s="212"/>
    </row>
    <row r="10" spans="1:13" ht="14.25">
      <c r="A10" s="5" t="s">
        <v>304</v>
      </c>
      <c r="B10" s="61"/>
      <c r="C10" s="61"/>
      <c r="D10" s="211">
        <v>4387268.884314232</v>
      </c>
      <c r="E10" s="7">
        <v>25132641.30015957</v>
      </c>
      <c r="F10" s="7">
        <v>1027477.0529314164</v>
      </c>
      <c r="G10" s="7">
        <f>+F10+E10</f>
        <v>26160118.353090987</v>
      </c>
      <c r="H10" s="210">
        <f>+G10/G10</f>
        <v>1</v>
      </c>
      <c r="I10" s="7">
        <f>+'Allocation of Demand Revenue'!E26</f>
        <v>26446324.167912744</v>
      </c>
      <c r="J10" s="71">
        <f>+I10</f>
        <v>26446324.167912744</v>
      </c>
      <c r="K10" s="212">
        <v>0.028627172601608807</v>
      </c>
      <c r="L10" s="7">
        <f>F10*(1+$K$10)</f>
        <v>1056890.8158698764</v>
      </c>
      <c r="M10" s="71">
        <f>+J10-L10</f>
        <v>25389433.35204287</v>
      </c>
    </row>
    <row r="11" ht="12.75">
      <c r="K11" s="212"/>
    </row>
    <row r="12" spans="1:14" ht="14.25">
      <c r="A12" s="9" t="s">
        <v>305</v>
      </c>
      <c r="B12" s="61"/>
      <c r="C12" s="61"/>
      <c r="D12" s="61">
        <v>3946814.654071696</v>
      </c>
      <c r="E12" s="13">
        <v>20977168.656930998</v>
      </c>
      <c r="F12" s="13">
        <v>744731.1551322301</v>
      </c>
      <c r="G12" s="14">
        <f>+E12+F12</f>
        <v>21721899.81206323</v>
      </c>
      <c r="H12" s="210">
        <f>+G12/G15</f>
        <v>0.8661207324430378</v>
      </c>
      <c r="J12" s="13">
        <f>+$I$15*H12</f>
        <v>22126752.7912132</v>
      </c>
      <c r="K12" s="212">
        <v>0.10820770904235692</v>
      </c>
      <c r="L12" s="13">
        <f>(+F12)*(1+K12)</f>
        <v>825316.8072815569</v>
      </c>
      <c r="M12" s="14">
        <f>+J12-L12</f>
        <v>21301435.983931642</v>
      </c>
      <c r="N12">
        <f>M12/D12</f>
        <v>5.397120931928284</v>
      </c>
    </row>
    <row r="13" spans="1:13" ht="12.75">
      <c r="A13" t="s">
        <v>188</v>
      </c>
      <c r="B13" s="61"/>
      <c r="C13" s="61"/>
      <c r="D13" s="61">
        <v>9073.797297297298</v>
      </c>
      <c r="E13" s="13">
        <v>21325.75</v>
      </c>
      <c r="F13" s="13">
        <v>1945.69</v>
      </c>
      <c r="G13" s="14">
        <f>+E13+F13</f>
        <v>23271.440000000006</v>
      </c>
      <c r="H13" s="210">
        <f>+G13/G15</f>
        <v>0.0009279057924118898</v>
      </c>
      <c r="J13" s="13">
        <f>+$I$15*H13</f>
        <v>23705.173324185467</v>
      </c>
      <c r="K13" s="212">
        <v>0.05410385452117846</v>
      </c>
      <c r="L13" s="13">
        <f>+F13*(1+K13)</f>
        <v>2050.959328703312</v>
      </c>
      <c r="M13" s="14">
        <f>+J13-L13</f>
        <v>21654.213995482154</v>
      </c>
    </row>
    <row r="14" spans="1:13" ht="12.75">
      <c r="A14" t="s">
        <v>197</v>
      </c>
      <c r="B14" s="61"/>
      <c r="C14" s="61"/>
      <c r="D14" s="61">
        <v>864944.7382920106</v>
      </c>
      <c r="E14" s="13">
        <v>3139749.4</v>
      </c>
      <c r="F14" s="13">
        <v>194608.1</v>
      </c>
      <c r="G14" s="14">
        <f>+E14+F14</f>
        <v>3334357.4999999986</v>
      </c>
      <c r="H14" s="210">
        <f>+G14/G15</f>
        <v>0.13295136176455027</v>
      </c>
      <c r="J14" s="13">
        <f>+$I$15*H14</f>
        <v>3396503.287389938</v>
      </c>
      <c r="K14" s="212">
        <v>0.08588151780482645</v>
      </c>
      <c r="L14" s="13">
        <f>+F14*(1+K14)</f>
        <v>211321.3390051135</v>
      </c>
      <c r="M14" s="14">
        <f>+J14-L14</f>
        <v>3185181.948384824</v>
      </c>
    </row>
    <row r="15" spans="1:13" ht="12.75">
      <c r="A15" s="9" t="s">
        <v>273</v>
      </c>
      <c r="B15" s="61"/>
      <c r="C15" s="61"/>
      <c r="D15" s="211">
        <f>SUM(D12:D14)</f>
        <v>4820833.189661005</v>
      </c>
      <c r="E15" s="7">
        <f>SUM(E12:E14)</f>
        <v>24138243.806930996</v>
      </c>
      <c r="F15" s="7">
        <f>SUM(F12:F14)</f>
        <v>941284.9451322302</v>
      </c>
      <c r="G15" s="7">
        <f>SUM(G12:G14)</f>
        <v>25079528.75206323</v>
      </c>
      <c r="H15" s="213"/>
      <c r="I15" s="7">
        <f>+'Allocation of Demand Revenue'!F26</f>
        <v>25546961.251927324</v>
      </c>
      <c r="J15" s="7">
        <f>SUM(J12:J14)</f>
        <v>25546961.251927324</v>
      </c>
      <c r="K15" s="212"/>
      <c r="L15" s="7">
        <f>SUM(L12:L14)</f>
        <v>1038689.1056153737</v>
      </c>
      <c r="M15" s="7">
        <f>SUM(M12:M14)</f>
        <v>24508272.14631195</v>
      </c>
    </row>
    <row r="16" spans="2:11" ht="12.75">
      <c r="B16" s="61"/>
      <c r="C16" s="61"/>
      <c r="K16" s="214"/>
    </row>
    <row r="17" spans="1:13" ht="12.75">
      <c r="A17" t="s">
        <v>200</v>
      </c>
      <c r="B17" s="61"/>
      <c r="C17" s="61"/>
      <c r="D17" s="61">
        <v>168423</v>
      </c>
      <c r="E17" s="13">
        <v>266108.34</v>
      </c>
      <c r="F17" s="13">
        <v>0</v>
      </c>
      <c r="G17" s="14">
        <f>+E17+F17</f>
        <v>266108.34</v>
      </c>
      <c r="H17" s="210">
        <f>+G17/G19</f>
        <v>0.07523962667148776</v>
      </c>
      <c r="J17" s="13">
        <f>+$I$19*H17</f>
        <v>249168.95102014765</v>
      </c>
      <c r="K17" s="214"/>
      <c r="L17" s="13">
        <f>+F17*(1+$K$19)</f>
        <v>0</v>
      </c>
      <c r="M17" s="14">
        <f>+J17-L17</f>
        <v>249168.95102014765</v>
      </c>
    </row>
    <row r="18" spans="1:13" ht="12.75">
      <c r="A18" s="9" t="s">
        <v>210</v>
      </c>
      <c r="B18" s="61"/>
      <c r="C18" s="61"/>
      <c r="D18" s="61">
        <v>1172294.8637992474</v>
      </c>
      <c r="E18" s="13">
        <v>3270702.6699999003</v>
      </c>
      <c r="F18" s="13">
        <v>0</v>
      </c>
      <c r="G18" s="14">
        <f>+E18+F18</f>
        <v>3270702.6699999003</v>
      </c>
      <c r="H18" s="210">
        <f>+G18/G19</f>
        <v>0.9247603733285122</v>
      </c>
      <c r="J18" s="13">
        <f>+$I$19*H18</f>
        <v>3062502.8639939325</v>
      </c>
      <c r="K18" s="214"/>
      <c r="L18" s="13">
        <f>+F18*(1+$K$19)</f>
        <v>0</v>
      </c>
      <c r="M18" s="14">
        <f>+J18-L18</f>
        <v>3062502.8639939325</v>
      </c>
    </row>
    <row r="19" spans="1:13" ht="12.75">
      <c r="A19" s="9" t="s">
        <v>274</v>
      </c>
      <c r="B19" s="61"/>
      <c r="C19" s="61"/>
      <c r="D19" s="211">
        <f>SUM(D16:D18)</f>
        <v>1340717.8637992474</v>
      </c>
      <c r="E19" s="7">
        <f>SUM(E16:E18)</f>
        <v>3536811.0099999</v>
      </c>
      <c r="F19" s="7">
        <f>SUM(F16:F18)</f>
        <v>0</v>
      </c>
      <c r="G19" s="7">
        <f>SUM(G17:G18)</f>
        <v>3536811.0099999</v>
      </c>
      <c r="I19" s="7">
        <f>+'Allocation of Demand Revenue'!G26</f>
        <v>3311671.81501408</v>
      </c>
      <c r="J19" s="7">
        <f>SUM(J17:J18)</f>
        <v>3311671.81501408</v>
      </c>
      <c r="K19" s="214">
        <v>0.08588151780482653</v>
      </c>
      <c r="L19" s="7">
        <f>SUM(L17:L18)</f>
        <v>0</v>
      </c>
      <c r="M19" s="71">
        <f>+J19-L19</f>
        <v>3311671.81501408</v>
      </c>
    </row>
    <row r="20" spans="2:11" ht="12.75">
      <c r="B20" s="61"/>
      <c r="C20" s="61"/>
      <c r="K20" s="214"/>
    </row>
    <row r="21" spans="1:13" ht="12.75">
      <c r="A21" s="9" t="s">
        <v>275</v>
      </c>
      <c r="B21" s="61"/>
      <c r="C21" s="61"/>
      <c r="D21" s="61">
        <v>216056</v>
      </c>
      <c r="E21" s="13">
        <v>864224</v>
      </c>
      <c r="F21" s="13">
        <v>0</v>
      </c>
      <c r="G21" s="14">
        <f>+E21+F21</f>
        <v>864224</v>
      </c>
      <c r="H21" s="210">
        <f>+G21/G24</f>
        <v>0.13938316992801272</v>
      </c>
      <c r="J21" s="13">
        <f>+$I$24*H21</f>
        <v>641723.8450946086</v>
      </c>
      <c r="K21" s="214"/>
      <c r="L21" s="13">
        <f>+F21*(1+$K$24)</f>
        <v>0</v>
      </c>
      <c r="M21" s="14">
        <f>+J21-L21</f>
        <v>641723.8450946086</v>
      </c>
    </row>
    <row r="22" spans="1:13" ht="12.75">
      <c r="A22" s="9" t="s">
        <v>276</v>
      </c>
      <c r="B22" s="61"/>
      <c r="C22" s="61"/>
      <c r="D22" s="61">
        <v>2865370</v>
      </c>
      <c r="E22" s="13">
        <v>4384016.1</v>
      </c>
      <c r="F22" s="13">
        <v>0</v>
      </c>
      <c r="G22" s="14">
        <f>+E22+F22</f>
        <v>4384016.1</v>
      </c>
      <c r="H22" s="210">
        <f>+G22/G24</f>
        <v>0.7070598143923839</v>
      </c>
      <c r="J22" s="13">
        <f>+$I$24*H22</f>
        <v>3255322.3107072585</v>
      </c>
      <c r="K22" s="214"/>
      <c r="L22" s="13">
        <f>+F22*(1+$K$24)</f>
        <v>0</v>
      </c>
      <c r="M22" s="14">
        <f>+J22-L22</f>
        <v>3255322.3107072585</v>
      </c>
    </row>
    <row r="23" spans="1:13" ht="12.75">
      <c r="A23" s="9" t="s">
        <v>277</v>
      </c>
      <c r="B23" s="61"/>
      <c r="C23" s="61"/>
      <c r="D23" s="61">
        <v>622292</v>
      </c>
      <c r="E23" s="13">
        <v>952106.76</v>
      </c>
      <c r="F23" s="13">
        <v>0</v>
      </c>
      <c r="G23" s="14">
        <f>+E23+F23</f>
        <v>952106.76</v>
      </c>
      <c r="H23" s="210">
        <f>+G23/G24</f>
        <v>0.15355701567960348</v>
      </c>
      <c r="J23" s="13">
        <f>+$I$24*H23</f>
        <v>706980.6103137261</v>
      </c>
      <c r="K23" s="214"/>
      <c r="L23" s="13">
        <f>+F23*(1+$K$24)</f>
        <v>0</v>
      </c>
      <c r="M23" s="14">
        <f>+J23-L23</f>
        <v>706980.6103137261</v>
      </c>
    </row>
    <row r="24" spans="1:13" ht="12.75">
      <c r="A24" t="s">
        <v>278</v>
      </c>
      <c r="B24" s="61"/>
      <c r="C24" s="61"/>
      <c r="D24" s="211">
        <f>SUM(D21:D23)</f>
        <v>3703718</v>
      </c>
      <c r="E24" s="7">
        <f>SUM(E21:E23)</f>
        <v>6200346.859999999</v>
      </c>
      <c r="F24" s="7">
        <f>SUM(F21:F23)</f>
        <v>0</v>
      </c>
      <c r="G24" s="7">
        <f>SUM(G21:G23)</f>
        <v>6200346.859999999</v>
      </c>
      <c r="I24" s="7">
        <f>+'Allocation of Demand Revenue'!H26</f>
        <v>4604026.766115593</v>
      </c>
      <c r="J24" s="7">
        <f>SUM(J21:J22)</f>
        <v>3897046.155801867</v>
      </c>
      <c r="K24" s="214">
        <v>0.02862717260160885</v>
      </c>
      <c r="L24" s="7">
        <f>SUM(L21:L22)</f>
        <v>0</v>
      </c>
      <c r="M24" s="71">
        <f>+J24-L24</f>
        <v>3897046.155801867</v>
      </c>
    </row>
    <row r="25" ht="12.75">
      <c r="K25" s="215"/>
    </row>
    <row r="26" spans="1:13" ht="13.5" thickBot="1">
      <c r="A26" t="s">
        <v>279</v>
      </c>
      <c r="D26" s="216">
        <f>SUM(D8,D10,D15,D19,D24)</f>
        <v>22649533.448111914</v>
      </c>
      <c r="E26" s="217">
        <f>SUM(E8,E10,E15,E19,E24)</f>
        <v>82803371.28709047</v>
      </c>
      <c r="F26" s="217">
        <f>SUM(F8,F10,F15,F19,F24)</f>
        <v>3706721.4280636488</v>
      </c>
      <c r="G26" s="217">
        <f>SUM(G8,G10,G15,G19,G24)</f>
        <v>86510092.71515413</v>
      </c>
      <c r="I26" s="217">
        <f>SUM(I8,I10,I15,I19,I24)</f>
        <v>100647713.67866468</v>
      </c>
      <c r="J26" s="217">
        <f>SUM(J8,J10,J15,J19,J24)</f>
        <v>99940733.06835096</v>
      </c>
      <c r="L26" s="217">
        <f>SUM(L8,L10,L15,L19,L24)</f>
        <v>3883292.216062456</v>
      </c>
      <c r="M26" s="217">
        <f>SUM(M8,M10,M15,M19,M24)</f>
        <v>96057440.8522885</v>
      </c>
    </row>
    <row r="27" ht="13.5" thickTop="1"/>
    <row r="29" spans="1:9" ht="12.75">
      <c r="A29" s="283" t="s">
        <v>306</v>
      </c>
      <c r="B29" s="283"/>
      <c r="C29" s="283"/>
      <c r="D29" s="283"/>
      <c r="E29" s="283"/>
      <c r="F29" s="284"/>
      <c r="G29" s="284"/>
      <c r="H29" s="284"/>
      <c r="I29" s="284"/>
    </row>
    <row r="30" ht="12.75">
      <c r="A30" t="s">
        <v>280</v>
      </c>
    </row>
  </sheetData>
  <mergeCells count="1">
    <mergeCell ref="A29:I29"/>
  </mergeCells>
  <printOptions horizontalCentered="1"/>
  <pageMargins left="0.25" right="0.25" top="2.25" bottom="1" header="1.5" footer="0.5"/>
  <pageSetup fitToHeight="1" fitToWidth="1" horizontalDpi="600" verticalDpi="600" orientation="landscape" scale="79" r:id="rId1"/>
  <headerFooter alignWithMargins="0">
    <oddHeader>&amp;CPuget Sound Energy
Proforma / Proposed Demand Revenue
Twelve Months ended September 30, 2003&amp;RDocket No. UE-04_________
Exhibit No. _________(JAH-4)
Page &amp;P of 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42.57421875" style="0" bestFit="1" customWidth="1"/>
    <col min="3" max="3" width="40.140625" style="0" bestFit="1" customWidth="1"/>
    <col min="4" max="4" width="16.8515625" style="0" bestFit="1" customWidth="1"/>
    <col min="5" max="7" width="14.8515625" style="0" bestFit="1" customWidth="1"/>
    <col min="8" max="8" width="14.140625" style="0" bestFit="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281</v>
      </c>
      <c r="B2" s="1"/>
      <c r="C2" s="1"/>
      <c r="D2" s="1"/>
      <c r="E2" s="1"/>
      <c r="F2" s="1"/>
      <c r="G2" s="1"/>
    </row>
    <row r="3" spans="1:7" ht="12.75">
      <c r="A3" s="1" t="s">
        <v>282</v>
      </c>
      <c r="B3" s="1"/>
      <c r="C3" s="1"/>
      <c r="D3" s="1"/>
      <c r="E3" s="1"/>
      <c r="F3" s="1"/>
      <c r="G3" s="1"/>
    </row>
    <row r="4" spans="1:7" ht="12.75">
      <c r="A4" s="1" t="s">
        <v>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8" spans="1:8" s="4" customFormat="1" ht="51">
      <c r="A8" s="2" t="s">
        <v>70</v>
      </c>
      <c r="B8" s="2"/>
      <c r="C8" s="3" t="s">
        <v>283</v>
      </c>
      <c r="D8" s="3" t="s">
        <v>284</v>
      </c>
      <c r="E8" s="3" t="s">
        <v>285</v>
      </c>
      <c r="F8" s="3" t="s">
        <v>286</v>
      </c>
      <c r="G8" s="3" t="s">
        <v>287</v>
      </c>
      <c r="H8" s="3" t="s">
        <v>288</v>
      </c>
    </row>
    <row r="10" spans="1:8" s="218" customFormat="1" ht="12.75">
      <c r="A10" s="4">
        <v>1</v>
      </c>
      <c r="B10" s="219" t="s">
        <v>289</v>
      </c>
      <c r="C10" s="219" t="s">
        <v>290</v>
      </c>
      <c r="D10" s="220">
        <v>52713330.30861468</v>
      </c>
      <c r="E10" s="220">
        <v>26108420.254509456</v>
      </c>
      <c r="F10" s="220">
        <v>24926616.480178744</v>
      </c>
      <c r="G10" s="220">
        <v>3000429.2303569755</v>
      </c>
      <c r="H10" s="220">
        <v>3880712.6957783187</v>
      </c>
    </row>
    <row r="11" spans="1:8" s="218" customFormat="1" ht="12.75">
      <c r="A11" s="4"/>
      <c r="B11" s="221"/>
      <c r="C11" s="221"/>
      <c r="D11" s="220"/>
      <c r="E11" s="220"/>
      <c r="F11" s="220"/>
      <c r="G11" s="220"/>
      <c r="H11" s="220"/>
    </row>
    <row r="12" spans="1:8" s="218" customFormat="1" ht="12.75">
      <c r="A12" s="4">
        <v>2</v>
      </c>
      <c r="B12" s="219" t="s">
        <v>291</v>
      </c>
      <c r="C12" s="219" t="s">
        <v>292</v>
      </c>
      <c r="D12" s="220">
        <v>202085272.9817464</v>
      </c>
      <c r="E12" s="220">
        <v>122842207.75486474</v>
      </c>
      <c r="F12" s="220">
        <v>118599401.41148517</v>
      </c>
      <c r="G12" s="220">
        <v>26263325.54394726</v>
      </c>
      <c r="H12" s="220">
        <v>8997144.62979965</v>
      </c>
    </row>
    <row r="13" spans="1:3" s="218" customFormat="1" ht="12.75">
      <c r="A13" s="4"/>
      <c r="B13" s="221"/>
      <c r="C13" s="221"/>
    </row>
    <row r="14" spans="1:8" s="218" customFormat="1" ht="12.75">
      <c r="A14" s="4">
        <v>3</v>
      </c>
      <c r="B14" s="221" t="s">
        <v>293</v>
      </c>
      <c r="C14" s="221" t="s">
        <v>294</v>
      </c>
      <c r="D14" s="222">
        <f>+D10/D12</f>
        <v>0.26084696589135453</v>
      </c>
      <c r="E14" s="222">
        <f>+E10/E12</f>
        <v>0.21253623434226762</v>
      </c>
      <c r="F14" s="222">
        <f>+F10/F12</f>
        <v>0.21017489282003113</v>
      </c>
      <c r="G14" s="222">
        <f>+G10/G12</f>
        <v>0.11424407108445811</v>
      </c>
      <c r="H14" s="222">
        <f>+H10/H12</f>
        <v>0.43132714382793413</v>
      </c>
    </row>
    <row r="15" spans="1:3" s="218" customFormat="1" ht="12.75">
      <c r="A15" s="4"/>
      <c r="B15" s="221"/>
      <c r="C15" s="221"/>
    </row>
    <row r="16" spans="1:8" s="218" customFormat="1" ht="12.75">
      <c r="A16" s="4">
        <v>4</v>
      </c>
      <c r="B16" s="219" t="s">
        <v>260</v>
      </c>
      <c r="C16" s="219" t="s">
        <v>295</v>
      </c>
      <c r="D16" s="220">
        <f>+'Proforma Demand Revenue'!G8</f>
        <v>25533287.74000001</v>
      </c>
      <c r="E16" s="220">
        <f>+'Proforma Demand Revenue'!G10</f>
        <v>26160118.353090987</v>
      </c>
      <c r="F16" s="220">
        <f>+'Proforma Demand Revenue'!G15</f>
        <v>25079528.75206323</v>
      </c>
      <c r="G16" s="220">
        <f>+'Proforma Demand Revenue'!G19</f>
        <v>3536811.0099999</v>
      </c>
      <c r="H16" s="220">
        <f>+'Proforma Demand Revenue'!G24</f>
        <v>6200346.859999999</v>
      </c>
    </row>
    <row r="17" spans="1:8" s="218" customFormat="1" ht="12.75">
      <c r="A17" s="4"/>
      <c r="B17" s="221"/>
      <c r="C17" s="221"/>
      <c r="D17" s="220"/>
      <c r="E17" s="220"/>
      <c r="F17" s="220"/>
      <c r="G17" s="220"/>
      <c r="H17" s="220"/>
    </row>
    <row r="18" spans="1:8" s="218" customFormat="1" ht="12.75">
      <c r="A18" s="4">
        <v>5</v>
      </c>
      <c r="B18" s="219" t="s">
        <v>87</v>
      </c>
      <c r="C18" s="219" t="s">
        <v>296</v>
      </c>
      <c r="D18" s="220">
        <v>205778188.16113973</v>
      </c>
      <c r="E18" s="220">
        <v>120803752.78982204</v>
      </c>
      <c r="F18" s="220">
        <v>109928596.61452733</v>
      </c>
      <c r="G18" s="220">
        <v>22431777.346155223</v>
      </c>
      <c r="H18" s="220">
        <v>6379014.859999999</v>
      </c>
    </row>
    <row r="19" spans="1:3" s="218" customFormat="1" ht="12.75">
      <c r="A19" s="4"/>
      <c r="B19" s="221"/>
      <c r="C19" s="221"/>
    </row>
    <row r="20" spans="1:8" s="218" customFormat="1" ht="25.5">
      <c r="A20" s="4">
        <v>6</v>
      </c>
      <c r="B20" s="221" t="s">
        <v>297</v>
      </c>
      <c r="C20" s="219" t="s">
        <v>298</v>
      </c>
      <c r="D20" s="222">
        <f>+D16/D18</f>
        <v>0.12408160441186086</v>
      </c>
      <c r="E20" s="222">
        <f>+E16/E18</f>
        <v>0.21655054374515284</v>
      </c>
      <c r="F20" s="222">
        <f>+F16/F18</f>
        <v>0.22814380902183654</v>
      </c>
      <c r="G20" s="222">
        <f>+G16/G18</f>
        <v>0.1576696734913921</v>
      </c>
      <c r="H20" s="222">
        <f>+H16/H18</f>
        <v>0.9719912864413676</v>
      </c>
    </row>
    <row r="21" spans="1:3" s="218" customFormat="1" ht="12.75">
      <c r="A21" s="4"/>
      <c r="B21" s="221"/>
      <c r="C21" s="221"/>
    </row>
    <row r="22" spans="1:8" s="218" customFormat="1" ht="12.75">
      <c r="A22" s="223">
        <v>7</v>
      </c>
      <c r="B22" s="219" t="s">
        <v>299</v>
      </c>
      <c r="C22" s="219" t="s">
        <v>300</v>
      </c>
      <c r="D22" s="222">
        <f>+D20+(D14-D20)/2</f>
        <v>0.19246428515160768</v>
      </c>
      <c r="E22" s="222">
        <f>+E20+(E14-E20)/2</f>
        <v>0.21454338904371023</v>
      </c>
      <c r="F22" s="222">
        <f>+F20+(F14-F20)/2</f>
        <v>0.21915935092093383</v>
      </c>
      <c r="G22" s="222">
        <f>+G20+(G14-G20)/2</f>
        <v>0.1359568722879251</v>
      </c>
      <c r="H22" s="222">
        <f>+H20+(H14-H20)/2</f>
        <v>0.7016592151346508</v>
      </c>
    </row>
    <row r="23" spans="1:3" s="218" customFormat="1" ht="12.75">
      <c r="A23" s="4"/>
      <c r="B23" s="221"/>
      <c r="C23" s="221"/>
    </row>
    <row r="24" spans="1:8" s="218" customFormat="1" ht="12.75">
      <c r="A24" s="4">
        <v>8</v>
      </c>
      <c r="B24" s="219" t="s">
        <v>103</v>
      </c>
      <c r="C24" s="219" t="s">
        <v>301</v>
      </c>
      <c r="D24" s="220">
        <v>211669035.871275</v>
      </c>
      <c r="E24" s="220">
        <v>123267951.93174036</v>
      </c>
      <c r="F24" s="220">
        <v>116567972.77677605</v>
      </c>
      <c r="G24" s="220">
        <v>24358252.431702957</v>
      </c>
      <c r="H24" s="220">
        <v>6561628.019425447</v>
      </c>
    </row>
    <row r="25" spans="1:3" s="218" customFormat="1" ht="12.75">
      <c r="A25" s="4"/>
      <c r="B25" s="221"/>
      <c r="C25" s="221"/>
    </row>
    <row r="26" spans="1:8" s="218" customFormat="1" ht="12.75">
      <c r="A26" s="4">
        <v>9</v>
      </c>
      <c r="B26" s="219" t="s">
        <v>302</v>
      </c>
      <c r="C26" s="224" t="s">
        <v>303</v>
      </c>
      <c r="D26" s="220">
        <f>+D24*D22</f>
        <v>40738729.67769495</v>
      </c>
      <c r="E26" s="220">
        <f>+E24*E22</f>
        <v>26446324.167912744</v>
      </c>
      <c r="F26" s="220">
        <f>+F24*F22</f>
        <v>25546961.251927324</v>
      </c>
      <c r="G26" s="220">
        <f>+G24*G22</f>
        <v>3311671.81501408</v>
      </c>
      <c r="H26" s="220">
        <f>+H24*H22</f>
        <v>4604026.766115593</v>
      </c>
    </row>
    <row r="27" ht="12.75">
      <c r="A27" s="6"/>
    </row>
    <row r="28" ht="12.75">
      <c r="A28" s="6"/>
    </row>
    <row r="29" ht="12.75">
      <c r="A29" s="6"/>
    </row>
  </sheetData>
  <printOptions horizontalCentered="1"/>
  <pageMargins left="0.25" right="0.25" top="2.25" bottom="1" header="1.5" footer="0.5"/>
  <pageSetup fitToHeight="1" fitToWidth="1" horizontalDpi="600" verticalDpi="600" orientation="landscape" scale="83" r:id="rId1"/>
  <headerFooter alignWithMargins="0">
    <oddHeader>&amp;CPuget Sound Energy
Allocation of Demand Revenue to Class
Based on Ratios from Electric Cost of Service
Twelve Months ended September 30, 2003&amp;RDocket No. UE-04_________
Exhibit No. _________(JAH-4)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T1" sqref="J1:T16384"/>
    </sheetView>
  </sheetViews>
  <sheetFormatPr defaultColWidth="9.140625" defaultRowHeight="12.75"/>
  <cols>
    <col min="1" max="1" width="24.42187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347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116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64" t="s">
        <v>324</v>
      </c>
      <c r="C7" s="65"/>
      <c r="D7" s="66"/>
      <c r="E7" s="244" t="str">
        <f>+'Residential Sch 7'!E7</f>
        <v>Proforma</v>
      </c>
      <c r="F7" s="259"/>
      <c r="G7" s="260" t="str">
        <f>+'Residential Sch 7'!G7</f>
        <v>Proposed</v>
      </c>
      <c r="H7" s="259"/>
      <c r="I7" s="11"/>
      <c r="J7" s="11"/>
    </row>
    <row r="8" spans="3:10" ht="12.75">
      <c r="C8" s="240" t="s">
        <v>327</v>
      </c>
      <c r="D8" s="247"/>
      <c r="E8" s="269" t="str">
        <f>+'Residential Sch 7'!E8</f>
        <v>Rates Effective 10-1-03</v>
      </c>
      <c r="F8" s="264"/>
      <c r="G8" s="263" t="str">
        <f>+'Residential Sch 7'!G8</f>
        <v>Rates Effective 2005</v>
      </c>
      <c r="H8" s="264"/>
      <c r="I8" s="265" t="str">
        <f>+'Residential Sch 7'!I8</f>
        <v>Differences</v>
      </c>
      <c r="J8" s="266"/>
    </row>
    <row r="9" spans="1:10" ht="12.75">
      <c r="A9" s="251"/>
      <c r="B9" s="251"/>
      <c r="C9" s="251" t="s">
        <v>331</v>
      </c>
      <c r="D9" s="251" t="s">
        <v>71</v>
      </c>
      <c r="E9" s="265" t="str">
        <f>+'Residential Sch 7'!E9</f>
        <v>Charge</v>
      </c>
      <c r="F9" s="266" t="str">
        <f>+'Residential Sch 7'!F9</f>
        <v>Revenue</v>
      </c>
      <c r="G9" s="267" t="str">
        <f>+'Residential Sch 7'!G9</f>
        <v>Charge</v>
      </c>
      <c r="H9" s="266" t="str">
        <f>+'Residential Sch 7'!H9</f>
        <v>Revenue</v>
      </c>
      <c r="I9" s="267" t="str">
        <f>+'Residential Sch 7'!I9</f>
        <v>$</v>
      </c>
      <c r="J9" s="266" t="str">
        <f>+'Residential Sch 7'!J9</f>
        <v>%</v>
      </c>
    </row>
    <row r="10" spans="1:10" ht="12.75">
      <c r="A10" t="s">
        <v>338</v>
      </c>
      <c r="B10" s="270">
        <v>87939.87429718864</v>
      </c>
      <c r="C10" s="270"/>
      <c r="D10" s="270">
        <f>+B10</f>
        <v>87939.87429718864</v>
      </c>
      <c r="E10" s="73">
        <v>24.9</v>
      </c>
      <c r="F10" s="7">
        <f>+E10*D10</f>
        <v>2189702.869999997</v>
      </c>
      <c r="G10" s="268">
        <v>33.5</v>
      </c>
      <c r="H10" s="7">
        <f>+G10*D10</f>
        <v>2945985.7889558193</v>
      </c>
      <c r="I10" s="71">
        <f>+H10-F10</f>
        <v>756282.9189558225</v>
      </c>
      <c r="J10" s="256">
        <f>+I10/F10</f>
        <v>0.3453815261044178</v>
      </c>
    </row>
    <row r="11" spans="6:8" ht="12.75">
      <c r="F11" s="13"/>
      <c r="H11" s="13"/>
    </row>
    <row r="12" spans="1:10" ht="12.75">
      <c r="A12" t="s">
        <v>348</v>
      </c>
      <c r="B12" s="61">
        <v>725287982.5006</v>
      </c>
      <c r="C12" s="61"/>
      <c r="D12" s="61">
        <f>SUM(B12:C12)</f>
        <v>725287982.5006</v>
      </c>
      <c r="E12" s="68">
        <v>0.069616</v>
      </c>
      <c r="F12" s="13">
        <f>+E12*D12</f>
        <v>50491648.189761765</v>
      </c>
      <c r="G12" s="68">
        <v>0.074298</v>
      </c>
      <c r="H12" s="13">
        <f>+G12*D12</f>
        <v>53887446.52382958</v>
      </c>
      <c r="I12" s="14">
        <f>+H12-F12</f>
        <v>3395798.334067814</v>
      </c>
      <c r="J12" s="255">
        <f>+I12/F12</f>
        <v>0.06725465410250528</v>
      </c>
    </row>
    <row r="13" spans="1:10" ht="12.75">
      <c r="A13" t="s">
        <v>349</v>
      </c>
      <c r="B13" s="61">
        <v>718403627.8185</v>
      </c>
      <c r="C13" s="61"/>
      <c r="D13" s="61">
        <f>SUM(B13:C13)</f>
        <v>718403627.8185</v>
      </c>
      <c r="E13" s="68">
        <v>0.062652</v>
      </c>
      <c r="F13" s="13">
        <f>+E13*D13</f>
        <v>45009424.090084665</v>
      </c>
      <c r="G13" s="68">
        <v>0.067162</v>
      </c>
      <c r="H13" s="13">
        <f>+G13*D13</f>
        <v>48249424.4515461</v>
      </c>
      <c r="I13" s="14">
        <f>+H13-F13</f>
        <v>3240000.3614614382</v>
      </c>
      <c r="J13" s="255">
        <f>+I13/F13</f>
        <v>0.07198493264381033</v>
      </c>
    </row>
    <row r="14" spans="1:10" ht="12.75">
      <c r="A14" s="9" t="s">
        <v>148</v>
      </c>
      <c r="B14" s="61">
        <v>1408084335.5730999</v>
      </c>
      <c r="C14" s="61">
        <v>-2777652.650990819</v>
      </c>
      <c r="D14" s="61">
        <f>SUM(B14:C14)</f>
        <v>1405306682.9221091</v>
      </c>
      <c r="E14" s="68">
        <v>0.05226</v>
      </c>
      <c r="F14" s="13">
        <f>+E14*D14</f>
        <v>73441327.24950942</v>
      </c>
      <c r="G14" s="68">
        <v>0.056513</v>
      </c>
      <c r="H14" s="13">
        <f>+G14*D14</f>
        <v>79418096.57197715</v>
      </c>
      <c r="I14" s="14">
        <f>+H14-F14</f>
        <v>5976769.322467729</v>
      </c>
      <c r="J14" s="255">
        <f>+I14/F14</f>
        <v>0.08138155376961347</v>
      </c>
    </row>
    <row r="15" spans="1:10" ht="12.75">
      <c r="A15" s="9" t="s">
        <v>350</v>
      </c>
      <c r="B15" s="270">
        <f>SUM(B12:B14)</f>
        <v>2851775945.8921995</v>
      </c>
      <c r="C15" s="270">
        <f>SUM(C12:C14)</f>
        <v>-2777652.650990819</v>
      </c>
      <c r="D15" s="270">
        <f>SUM(D12:D14)</f>
        <v>2848998293.241209</v>
      </c>
      <c r="E15" s="73"/>
      <c r="F15" s="7">
        <f>SUM(F12:F14)</f>
        <v>168942399.52935585</v>
      </c>
      <c r="G15" s="268"/>
      <c r="H15" s="7">
        <f>SUM(H12:H14)</f>
        <v>181554967.54735285</v>
      </c>
      <c r="I15" s="71">
        <f>SUM(I12:I14)</f>
        <v>12612568.017996982</v>
      </c>
      <c r="J15" s="256">
        <f>+I15/F15</f>
        <v>0.07465602508981406</v>
      </c>
    </row>
    <row r="16" spans="2:6" ht="12.75">
      <c r="B16" s="63"/>
      <c r="C16" s="63"/>
      <c r="D16" s="63"/>
      <c r="F16" s="14"/>
    </row>
    <row r="17" spans="1:10" ht="12.75">
      <c r="A17" s="9" t="s">
        <v>351</v>
      </c>
      <c r="B17" s="61">
        <v>2125410.9204204204</v>
      </c>
      <c r="C17" s="61"/>
      <c r="D17" s="61">
        <f>+B17</f>
        <v>2125410.9204204204</v>
      </c>
      <c r="E17" s="73">
        <v>6.66</v>
      </c>
      <c r="F17" s="13">
        <f>+E17*D17</f>
        <v>14155236.73</v>
      </c>
      <c r="G17" s="73">
        <v>6.85</v>
      </c>
      <c r="H17" s="13">
        <f>+G17*D17</f>
        <v>14559064.80487988</v>
      </c>
      <c r="I17" s="14">
        <f>+H17-F17</f>
        <v>403828.07487987913</v>
      </c>
      <c r="J17" s="255">
        <f>+I17/F17</f>
        <v>0.028528528528528475</v>
      </c>
    </row>
    <row r="18" spans="1:10" ht="12.75">
      <c r="A18" s="9" t="s">
        <v>352</v>
      </c>
      <c r="B18" s="61">
        <v>2162082.66891892</v>
      </c>
      <c r="C18" s="61"/>
      <c r="D18" s="61">
        <f>+B18</f>
        <v>2162082.66891892</v>
      </c>
      <c r="E18" s="73">
        <v>4.44</v>
      </c>
      <c r="F18" s="13">
        <f>+E18*D18</f>
        <v>9599647.050000006</v>
      </c>
      <c r="G18" s="73">
        <v>4.57</v>
      </c>
      <c r="H18" s="13">
        <f>+G18*D18</f>
        <v>9880717.796959465</v>
      </c>
      <c r="I18" s="14">
        <f>+H18-F18</f>
        <v>281070.74695945904</v>
      </c>
      <c r="J18" s="255">
        <f>+I18/F18</f>
        <v>0.029279279279279216</v>
      </c>
    </row>
    <row r="19" spans="1:10" ht="12.75">
      <c r="A19" s="9" t="s">
        <v>353</v>
      </c>
      <c r="B19" s="270">
        <f>SUM(B17:B18)</f>
        <v>4287493.58933934</v>
      </c>
      <c r="C19" s="270"/>
      <c r="D19" s="270">
        <f>SUM(D17:D18)</f>
        <v>4287493.58933934</v>
      </c>
      <c r="E19" s="73"/>
      <c r="F19" s="7">
        <f>SUM(F17:F18)</f>
        <v>23754883.78000001</v>
      </c>
      <c r="G19" s="268"/>
      <c r="H19" s="7">
        <f>SUM(H17:H18)</f>
        <v>24439782.601839345</v>
      </c>
      <c r="I19" s="71">
        <f>SUM(I17:I18)</f>
        <v>684898.8218393382</v>
      </c>
      <c r="J19" s="256">
        <f>+I19/F19</f>
        <v>0.028831916341176808</v>
      </c>
    </row>
    <row r="20" spans="2:10" ht="12.75">
      <c r="B20" s="127"/>
      <c r="C20" s="127"/>
      <c r="D20" s="127"/>
      <c r="F20" s="233"/>
      <c r="H20" s="233"/>
      <c r="I20" s="233"/>
      <c r="J20" s="257"/>
    </row>
    <row r="21" spans="1:10" ht="12.75">
      <c r="A21" s="9" t="s">
        <v>354</v>
      </c>
      <c r="B21" s="270">
        <v>745499708.1545074</v>
      </c>
      <c r="C21" s="270"/>
      <c r="D21" s="270">
        <f>+B21</f>
        <v>745499708.1545074</v>
      </c>
      <c r="E21" s="131">
        <v>0.00233</v>
      </c>
      <c r="F21" s="7">
        <f>+E21*D21</f>
        <v>1737014.3200000022</v>
      </c>
      <c r="G21" s="131">
        <v>0.00239</v>
      </c>
      <c r="H21" s="7">
        <f>+G21*D21</f>
        <v>1781744.3024892728</v>
      </c>
      <c r="I21" s="71">
        <f>+H21-F21</f>
        <v>44729.982489270624</v>
      </c>
      <c r="J21" s="256">
        <f>+I21/F21</f>
        <v>0.025751072961373495</v>
      </c>
    </row>
    <row r="22" ht="12.75">
      <c r="D22" s="63"/>
    </row>
    <row r="23" spans="1:10" ht="12.75">
      <c r="A23" s="5" t="s">
        <v>82</v>
      </c>
      <c r="D23" s="270">
        <f>+D15</f>
        <v>2848998293.241209</v>
      </c>
      <c r="E23" s="68">
        <v>0.0028901678755322664</v>
      </c>
      <c r="F23" s="7">
        <f>+E23*D23</f>
        <v>8234083.344571998</v>
      </c>
      <c r="G23" s="131">
        <v>0</v>
      </c>
      <c r="H23" s="7">
        <f>+G23*D23</f>
        <v>0</v>
      </c>
      <c r="I23" s="71">
        <f>+H23-F23</f>
        <v>-8234083.344571998</v>
      </c>
      <c r="J23" s="256">
        <f>+I23/F23</f>
        <v>-1</v>
      </c>
    </row>
    <row r="24" ht="12.75">
      <c r="D24" s="63"/>
    </row>
    <row r="25" spans="1:10" ht="13.5" thickBot="1">
      <c r="A25" t="s">
        <v>342</v>
      </c>
      <c r="D25" s="63"/>
      <c r="F25" s="135">
        <f>SUM(F21,F19,F15,F10,F23)</f>
        <v>204858083.84392786</v>
      </c>
      <c r="H25" s="135">
        <f>SUM(H21,H19,H15,H10,H23)</f>
        <v>210722480.24063727</v>
      </c>
      <c r="I25" s="135">
        <f>SUM(I21,I19,I15,I10,I23)</f>
        <v>5864396.396709414</v>
      </c>
      <c r="J25" s="258">
        <f>+I25/F25</f>
        <v>0.028626629160395902</v>
      </c>
    </row>
    <row r="26" ht="13.5" thickTop="1"/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25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T1" sqref="J1:T16384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355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164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64" t="s">
        <v>324</v>
      </c>
      <c r="C7" s="65"/>
      <c r="D7" s="66"/>
      <c r="E7" s="244" t="str">
        <f>+'Residential Sch 7'!E7</f>
        <v>Proforma</v>
      </c>
      <c r="F7" s="259"/>
      <c r="G7" s="260" t="str">
        <f>+'Residential Sch 7'!G7</f>
        <v>Proposed</v>
      </c>
      <c r="H7" s="259"/>
      <c r="I7" s="11"/>
      <c r="J7" s="11"/>
    </row>
    <row r="8" spans="3:10" ht="12.75">
      <c r="C8" s="240" t="s">
        <v>327</v>
      </c>
      <c r="D8" s="247"/>
      <c r="E8" s="269" t="str">
        <f>+'Residential Sch 7'!E8</f>
        <v>Rates Effective 10-1-03</v>
      </c>
      <c r="F8" s="264"/>
      <c r="G8" s="263" t="str">
        <f>+'Residential Sch 7'!G8</f>
        <v>Rates Effective 2005</v>
      </c>
      <c r="H8" s="264"/>
      <c r="I8" s="265" t="str">
        <f>+'Residential Sch 7'!I8</f>
        <v>Differences</v>
      </c>
      <c r="J8" s="266"/>
    </row>
    <row r="9" spans="1:10" ht="12.75">
      <c r="A9" s="251"/>
      <c r="B9" s="251"/>
      <c r="C9" s="251" t="s">
        <v>331</v>
      </c>
      <c r="D9" s="251" t="s">
        <v>71</v>
      </c>
      <c r="E9" s="265" t="str">
        <f>+'Residential Sch 7'!E9</f>
        <v>Charge</v>
      </c>
      <c r="F9" s="266" t="str">
        <f>+'Residential Sch 7'!F9</f>
        <v>Revenue</v>
      </c>
      <c r="G9" s="267" t="str">
        <f>+'Residential Sch 7'!G9</f>
        <v>Charge</v>
      </c>
      <c r="H9" s="266" t="str">
        <f>+'Residential Sch 7'!H9</f>
        <v>Revenue</v>
      </c>
      <c r="I9" s="267" t="str">
        <f>+'Residential Sch 7'!I9</f>
        <v>$</v>
      </c>
      <c r="J9" s="266" t="str">
        <f>+'Residential Sch 7'!J9</f>
        <v>%</v>
      </c>
    </row>
    <row r="10" spans="1:10" ht="12.75">
      <c r="A10" t="s">
        <v>338</v>
      </c>
      <c r="B10" s="270">
        <v>8698.775601374571</v>
      </c>
      <c r="C10" s="270"/>
      <c r="D10" s="270">
        <f>+B10</f>
        <v>8698.775601374571</v>
      </c>
      <c r="E10" s="73">
        <v>29.1</v>
      </c>
      <c r="F10" s="7">
        <f>+E10*D10</f>
        <v>253134.37000000002</v>
      </c>
      <c r="G10" s="268">
        <v>79</v>
      </c>
      <c r="H10" s="7">
        <f>+G10*D10</f>
        <v>687203.2725085911</v>
      </c>
      <c r="I10" s="71">
        <f>+H10-F10</f>
        <v>434068.90250859107</v>
      </c>
      <c r="J10" s="256">
        <f>+I10/F10</f>
        <v>1.7147766323024054</v>
      </c>
    </row>
    <row r="11" spans="6:8" ht="12.75">
      <c r="F11" s="13"/>
      <c r="H11" s="13"/>
    </row>
    <row r="12" spans="1:10" ht="12.75">
      <c r="A12" s="9" t="s">
        <v>350</v>
      </c>
      <c r="B12" s="231">
        <v>1890378961.9696</v>
      </c>
      <c r="C12" s="231">
        <v>-3556768.427363172</v>
      </c>
      <c r="D12" s="231">
        <f>+C12+B12</f>
        <v>1886822193.5422368</v>
      </c>
      <c r="E12" s="68">
        <v>0.04732</v>
      </c>
      <c r="F12" s="7">
        <f>+E12*D12</f>
        <v>89284426.19841865</v>
      </c>
      <c r="G12" s="68">
        <v>0.050972</v>
      </c>
      <c r="H12" s="7">
        <f>+G12*D12</f>
        <v>96175100.8492349</v>
      </c>
      <c r="I12" s="71">
        <f>+H12-F12</f>
        <v>6890674.650816247</v>
      </c>
      <c r="J12" s="256">
        <f>+I12/F12</f>
        <v>0.07717666948436176</v>
      </c>
    </row>
    <row r="13" spans="2:4" ht="12.75">
      <c r="B13" s="63"/>
      <c r="C13" s="63"/>
      <c r="D13" s="63"/>
    </row>
    <row r="14" spans="1:10" ht="12.75">
      <c r="A14" s="9" t="s">
        <v>356</v>
      </c>
      <c r="B14" s="61">
        <v>2134139.841514701</v>
      </c>
      <c r="C14" s="61"/>
      <c r="D14" s="61">
        <f>+B14</f>
        <v>2134139.841514701</v>
      </c>
      <c r="E14" s="73">
        <v>6.92</v>
      </c>
      <c r="F14" s="13">
        <f>+E14*D14</f>
        <v>14768247.70328173</v>
      </c>
      <c r="G14" s="73">
        <v>6.98</v>
      </c>
      <c r="H14" s="13">
        <f>+G14*D14</f>
        <v>14896296.093772614</v>
      </c>
      <c r="I14" s="14">
        <f>+H14-F14</f>
        <v>128048.39049088396</v>
      </c>
      <c r="J14" s="255">
        <f>+I14/F14</f>
        <v>0.008670520231214002</v>
      </c>
    </row>
    <row r="15" spans="1:10" ht="12.75">
      <c r="A15" s="9" t="s">
        <v>357</v>
      </c>
      <c r="B15" s="61">
        <v>2253129.0427995306</v>
      </c>
      <c r="C15" s="61"/>
      <c r="D15" s="61">
        <f>SUM(B15:C15)</f>
        <v>2253129.0427995306</v>
      </c>
      <c r="E15" s="73">
        <v>4.6</v>
      </c>
      <c r="F15" s="13">
        <f>+E15*D15</f>
        <v>10364393.59687784</v>
      </c>
      <c r="G15" s="73">
        <v>4.64</v>
      </c>
      <c r="H15" s="13">
        <f>+G15*D15</f>
        <v>10454518.758589821</v>
      </c>
      <c r="I15" s="14">
        <f>+H15-F15</f>
        <v>90125.16171198152</v>
      </c>
      <c r="J15" s="255">
        <f>+I15/F15</f>
        <v>0.008695652173913073</v>
      </c>
    </row>
    <row r="16" spans="1:10" ht="12.75">
      <c r="A16" s="9" t="s">
        <v>353</v>
      </c>
      <c r="B16" s="231">
        <f>SUM(B14:B15)</f>
        <v>4387268.884314232</v>
      </c>
      <c r="C16" s="231"/>
      <c r="D16" s="231">
        <f>SUM(D14:D15)</f>
        <v>4387268.884314232</v>
      </c>
      <c r="F16" s="7">
        <f>SUM(F14:F15)</f>
        <v>25132641.30015957</v>
      </c>
      <c r="H16" s="7">
        <f>SUM(H14:H15)</f>
        <v>25350814.852362435</v>
      </c>
      <c r="I16" s="7">
        <f>SUM(I14:I15)</f>
        <v>218173.55220286548</v>
      </c>
      <c r="J16" s="256">
        <f>+I16/F16</f>
        <v>0.008680884336716344</v>
      </c>
    </row>
    <row r="17" spans="2:10" ht="12.75">
      <c r="B17" s="127"/>
      <c r="C17" s="127"/>
      <c r="D17" s="127"/>
      <c r="F17" s="233"/>
      <c r="H17" s="233"/>
      <c r="I17" s="233"/>
      <c r="J17" s="257"/>
    </row>
    <row r="18" spans="1:10" ht="12.75">
      <c r="A18" s="9" t="s">
        <v>354</v>
      </c>
      <c r="B18" s="270">
        <v>934070048.1194694</v>
      </c>
      <c r="C18" s="270"/>
      <c r="D18" s="231">
        <f>+C18+B18</f>
        <v>934070048.1194694</v>
      </c>
      <c r="E18" s="131">
        <v>0.0011</v>
      </c>
      <c r="F18" s="7">
        <f>+E18*D18</f>
        <v>1027477.0529314164</v>
      </c>
      <c r="G18" s="131">
        <v>0.00113</v>
      </c>
      <c r="H18" s="7">
        <f>+G18*D18</f>
        <v>1055499.1543750004</v>
      </c>
      <c r="I18" s="71">
        <f>+H18-F18</f>
        <v>28022.10144358396</v>
      </c>
      <c r="J18" s="256">
        <f>+I18/F18</f>
        <v>0.027272727272727153</v>
      </c>
    </row>
    <row r="19" spans="1:10" ht="12.75">
      <c r="A19" s="9"/>
      <c r="B19" s="271"/>
      <c r="C19" s="271"/>
      <c r="D19" s="127"/>
      <c r="E19" s="131"/>
      <c r="F19" s="233"/>
      <c r="G19" s="131"/>
      <c r="H19" s="233"/>
      <c r="I19" s="134"/>
      <c r="J19" s="257"/>
    </row>
    <row r="20" spans="1:10" ht="12.75">
      <c r="A20" s="5" t="s">
        <v>82</v>
      </c>
      <c r="B20" s="63"/>
      <c r="C20" s="63"/>
      <c r="D20" s="231">
        <f>+D12</f>
        <v>1886822193.5422368</v>
      </c>
      <c r="E20" s="68">
        <v>0.0027061764938891703</v>
      </c>
      <c r="F20" s="7">
        <f>+E20*D20</f>
        <v>5106073.868312404</v>
      </c>
      <c r="G20" s="68">
        <v>0</v>
      </c>
      <c r="H20" s="7">
        <f>+G20*D20</f>
        <v>0</v>
      </c>
      <c r="I20" s="71">
        <f>+H20-F20</f>
        <v>-5106073.868312404</v>
      </c>
      <c r="J20" s="256">
        <f>+I20/F20</f>
        <v>-1</v>
      </c>
    </row>
    <row r="21" ht="12.75">
      <c r="D21" s="63"/>
    </row>
    <row r="22" spans="1:10" ht="13.5" thickBot="1">
      <c r="A22" t="s">
        <v>342</v>
      </c>
      <c r="F22" s="135">
        <f>SUM(F18,F16,F12,F10,F20)</f>
        <v>120803752.78982204</v>
      </c>
      <c r="H22" s="135">
        <f>SUM(H18,H16,H12,H10,H20)</f>
        <v>123268618.12848093</v>
      </c>
      <c r="I22" s="135">
        <f>SUM(I18,I16,I12,I10,I20)</f>
        <v>2464865.338658884</v>
      </c>
      <c r="J22" s="258">
        <f>+I22/F22</f>
        <v>0.0204038805230441</v>
      </c>
    </row>
    <row r="23" ht="13.5" thickTop="1"/>
    <row r="24" ht="12.75">
      <c r="F24" s="14"/>
    </row>
    <row r="25" spans="4:9" ht="12.75">
      <c r="D25" s="63"/>
      <c r="H25" s="14"/>
      <c r="I25" s="68"/>
    </row>
    <row r="26" spans="4:9" ht="12.75">
      <c r="D26" s="63"/>
      <c r="H26" s="14"/>
      <c r="I26" s="68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26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T1" sqref="J1:T16384"/>
    </sheetView>
  </sheetViews>
  <sheetFormatPr defaultColWidth="9.140625" defaultRowHeight="12.75"/>
  <cols>
    <col min="1" max="1" width="26.7109375" style="0" bestFit="1" customWidth="1"/>
    <col min="2" max="4" width="11.28125" style="0" bestFit="1" customWidth="1"/>
    <col min="5" max="5" width="11.7109375" style="0" bestFit="1" customWidth="1"/>
    <col min="6" max="6" width="9.7109375" style="0" bestFit="1" customWidth="1"/>
    <col min="7" max="7" width="10.7109375" style="0" bestFit="1" customWidth="1"/>
    <col min="8" max="8" width="9.7109375" style="0" bestFit="1" customWidth="1"/>
    <col min="9" max="9" width="9.281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358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151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64" t="s">
        <v>324</v>
      </c>
      <c r="C7" s="65"/>
      <c r="D7" s="66"/>
      <c r="E7" s="244" t="str">
        <f>+'Residential Sch 7'!E7</f>
        <v>Proforma</v>
      </c>
      <c r="F7" s="259"/>
      <c r="G7" s="260" t="str">
        <f>+'Residential Sch 7'!G7</f>
        <v>Proposed</v>
      </c>
      <c r="H7" s="259"/>
      <c r="I7" s="11"/>
      <c r="J7" s="11"/>
    </row>
    <row r="8" spans="3:10" ht="12.75">
      <c r="C8" s="240" t="s">
        <v>327</v>
      </c>
      <c r="D8" s="247"/>
      <c r="E8" s="269" t="str">
        <f>+'Residential Sch 7'!E8</f>
        <v>Rates Effective 10-1-03</v>
      </c>
      <c r="F8" s="264"/>
      <c r="G8" s="263" t="str">
        <f>+'Residential Sch 7'!G8</f>
        <v>Rates Effective 2005</v>
      </c>
      <c r="H8" s="264"/>
      <c r="I8" s="265" t="str">
        <f>+'Residential Sch 7'!I8</f>
        <v>Differences</v>
      </c>
      <c r="J8" s="266"/>
    </row>
    <row r="9" spans="1:10" ht="12.75">
      <c r="A9" s="251"/>
      <c r="B9" s="251"/>
      <c r="C9" s="251" t="s">
        <v>331</v>
      </c>
      <c r="D9" s="251" t="s">
        <v>71</v>
      </c>
      <c r="E9" s="265" t="str">
        <f>+'Residential Sch 7'!E9</f>
        <v>Charge</v>
      </c>
      <c r="F9" s="266" t="str">
        <f>+'Residential Sch 7'!F9</f>
        <v>Revenue</v>
      </c>
      <c r="G9" s="267" t="str">
        <f>+'Residential Sch 7'!G9</f>
        <v>Charge</v>
      </c>
      <c r="H9" s="266" t="str">
        <f>+'Residential Sch 7'!H9</f>
        <v>Revenue</v>
      </c>
      <c r="I9" s="267" t="str">
        <f>+'Residential Sch 7'!I9</f>
        <v>$</v>
      </c>
      <c r="J9" s="266" t="str">
        <f>+'Residential Sch 7'!J9</f>
        <v>%</v>
      </c>
    </row>
    <row r="10" spans="1:10" ht="12.75">
      <c r="A10" s="9" t="s">
        <v>336</v>
      </c>
      <c r="B10" s="228">
        <v>2191.9527272727273</v>
      </c>
      <c r="C10" s="228"/>
      <c r="D10" s="228">
        <f>SUM(B10:C10)</f>
        <v>2191.9527272727273</v>
      </c>
      <c r="E10" s="73">
        <v>5.5</v>
      </c>
      <c r="F10" s="13">
        <f>+E10*D10</f>
        <v>12055.74</v>
      </c>
      <c r="G10" s="268">
        <v>6.5</v>
      </c>
      <c r="H10" s="13">
        <f>+G10*D10</f>
        <v>14247.692727272728</v>
      </c>
      <c r="I10" s="14">
        <f>+H10-F10</f>
        <v>2191.952727272728</v>
      </c>
      <c r="J10" s="255">
        <f>+I10/F10</f>
        <v>0.1818181818181819</v>
      </c>
    </row>
    <row r="11" spans="1:10" ht="12.75">
      <c r="A11" t="s">
        <v>337</v>
      </c>
      <c r="B11" s="228">
        <v>5087.546961325864</v>
      </c>
      <c r="C11" s="228"/>
      <c r="D11" s="228">
        <f>SUM(B11:C11)</f>
        <v>5087.546961325864</v>
      </c>
      <c r="E11" s="73">
        <v>18.1</v>
      </c>
      <c r="F11" s="13">
        <f>+E11*D11</f>
        <v>92084.59999999814</v>
      </c>
      <c r="G11" s="268">
        <v>21.4</v>
      </c>
      <c r="H11" s="13">
        <f>+G11*D11</f>
        <v>108873.50497237348</v>
      </c>
      <c r="I11" s="14">
        <f>+H11-F11</f>
        <v>16788.90497237534</v>
      </c>
      <c r="J11" s="255">
        <f>+I11/F11</f>
        <v>0.18232044198895017</v>
      </c>
    </row>
    <row r="12" spans="1:10" ht="12.75">
      <c r="A12" t="s">
        <v>338</v>
      </c>
      <c r="B12" s="270">
        <f>SUM(B10:B11)</f>
        <v>7279.499688598591</v>
      </c>
      <c r="C12" s="270"/>
      <c r="D12" s="270">
        <f>SUM(D10:D11)</f>
        <v>7279.499688598591</v>
      </c>
      <c r="E12" s="73"/>
      <c r="F12" s="7">
        <f>SUM(F10:F11)</f>
        <v>104140.33999999815</v>
      </c>
      <c r="G12" s="73"/>
      <c r="H12" s="7">
        <f>SUM(H10:H11)</f>
        <v>123121.19769964622</v>
      </c>
      <c r="I12" s="7">
        <f>SUM(I10:I11)</f>
        <v>18980.85769964807</v>
      </c>
      <c r="J12" s="256">
        <f>+I12/F12</f>
        <v>0.18226229816081269</v>
      </c>
    </row>
    <row r="13" spans="6:8" ht="12.75">
      <c r="F13" s="13"/>
      <c r="H13" s="13"/>
    </row>
    <row r="14" spans="1:10" ht="12.75">
      <c r="A14" t="s">
        <v>348</v>
      </c>
      <c r="B14" s="61">
        <v>1692450.5580999998</v>
      </c>
      <c r="C14" s="61"/>
      <c r="D14" s="228">
        <f>SUM(B14:C14)</f>
        <v>1692450.5580999998</v>
      </c>
      <c r="E14" s="68">
        <v>0.069616</v>
      </c>
      <c r="F14" s="13">
        <f>+E14*D14</f>
        <v>117821.63805268958</v>
      </c>
      <c r="G14" s="68">
        <v>0.074298</v>
      </c>
      <c r="H14" s="13">
        <f>+G14*D14</f>
        <v>125745.69156571379</v>
      </c>
      <c r="I14" s="14">
        <f>+H14-F14</f>
        <v>7924.053513024206</v>
      </c>
      <c r="J14" s="255">
        <f>+I14/F14</f>
        <v>0.06725465410250524</v>
      </c>
    </row>
    <row r="15" spans="1:10" ht="12.75">
      <c r="A15" s="9" t="s">
        <v>359</v>
      </c>
      <c r="B15" s="61">
        <v>66057.1333</v>
      </c>
      <c r="C15" s="61">
        <v>151247.37039957766</v>
      </c>
      <c r="D15" s="228">
        <f>SUM(B15:C15)</f>
        <v>217304.50369957765</v>
      </c>
      <c r="E15" s="68">
        <v>0.054356999999999996</v>
      </c>
      <c r="F15" s="13">
        <f>+E15*D15</f>
        <v>11812.020907597942</v>
      </c>
      <c r="G15" s="68">
        <v>0.056513</v>
      </c>
      <c r="H15" s="13">
        <f>+G15*D15</f>
        <v>12280.529417574231</v>
      </c>
      <c r="I15" s="14">
        <f>+H15-F15</f>
        <v>468.50850997628913</v>
      </c>
      <c r="J15" s="255">
        <f>+I15/F15</f>
        <v>0.03966370476663537</v>
      </c>
    </row>
    <row r="16" spans="1:10" ht="12.75">
      <c r="A16" t="s">
        <v>349</v>
      </c>
      <c r="B16" s="61">
        <v>12111556.740400001</v>
      </c>
      <c r="C16" s="61"/>
      <c r="D16" s="228">
        <f>SUM(B16:C16)</f>
        <v>12111556.740400001</v>
      </c>
      <c r="E16" s="68">
        <v>0.047359</v>
      </c>
      <c r="F16" s="13">
        <f>+E16*D16</f>
        <v>573591.2156686037</v>
      </c>
      <c r="G16" s="68">
        <v>0.049413</v>
      </c>
      <c r="H16" s="13">
        <f>+G16*D16</f>
        <v>598468.3532133852</v>
      </c>
      <c r="I16" s="14">
        <f>+H16-F16</f>
        <v>24877.13754478155</v>
      </c>
      <c r="J16" s="255">
        <f>+I16/F16</f>
        <v>0.0433708482020312</v>
      </c>
    </row>
    <row r="17" spans="1:10" ht="12.75">
      <c r="A17" s="9" t="s">
        <v>360</v>
      </c>
      <c r="B17" s="61">
        <v>853168.4782</v>
      </c>
      <c r="C17" s="61">
        <v>190586.8207330787</v>
      </c>
      <c r="D17" s="228">
        <f>SUM(B17:C17)</f>
        <v>1043755.2989330788</v>
      </c>
      <c r="E17" s="68">
        <v>0.041171</v>
      </c>
      <c r="F17" s="13">
        <f>+E17*D17</f>
        <v>42972.44941237378</v>
      </c>
      <c r="G17" s="68">
        <v>0.04235</v>
      </c>
      <c r="H17" s="13">
        <f>+G17*D17</f>
        <v>44203.036909815884</v>
      </c>
      <c r="I17" s="14">
        <f>+H17-F17</f>
        <v>1230.5874974421022</v>
      </c>
      <c r="J17" s="255">
        <f>+I17/F17</f>
        <v>0.028636661727915336</v>
      </c>
    </row>
    <row r="18" spans="1:10" ht="12.75">
      <c r="A18" s="9" t="s">
        <v>350</v>
      </c>
      <c r="B18" s="231">
        <f>SUM(B14:B17)</f>
        <v>14723232.91</v>
      </c>
      <c r="C18" s="231">
        <f>SUM(C14:C17)</f>
        <v>341834.19113265636</v>
      </c>
      <c r="D18" s="231">
        <f>SUM(D14:D17)</f>
        <v>15065067.10113266</v>
      </c>
      <c r="F18" s="7">
        <f>SUM(F14:F17)</f>
        <v>746197.3240412651</v>
      </c>
      <c r="H18" s="7">
        <f>SUM(H14:H17)</f>
        <v>780697.6111064891</v>
      </c>
      <c r="I18" s="7">
        <f>SUM(I14:I17)</f>
        <v>34500.28706522415</v>
      </c>
      <c r="J18" s="256">
        <f>+I18/F18</f>
        <v>0.04623480405742686</v>
      </c>
    </row>
    <row r="19" spans="2:8" ht="12.75">
      <c r="B19" s="63"/>
      <c r="C19" s="63"/>
      <c r="D19" s="63"/>
      <c r="H19" s="29"/>
    </row>
    <row r="20" spans="1:10" ht="12.75">
      <c r="A20" s="9" t="s">
        <v>351</v>
      </c>
      <c r="B20" s="61">
        <v>2025.126126126126</v>
      </c>
      <c r="C20" s="61"/>
      <c r="D20" s="228">
        <f>SUM(B20:C20)</f>
        <v>2025.126126126126</v>
      </c>
      <c r="E20" s="73">
        <v>6.66</v>
      </c>
      <c r="F20" s="13">
        <f>+E20*D20</f>
        <v>13487.34</v>
      </c>
      <c r="G20" s="73">
        <v>6.85</v>
      </c>
      <c r="H20" s="13">
        <f>+G20*D20</f>
        <v>13872.113963963962</v>
      </c>
      <c r="I20" s="14">
        <f>+H20-F20</f>
        <v>384.77396396396216</v>
      </c>
      <c r="J20" s="255">
        <f>+I20/F20</f>
        <v>0.028528528528528396</v>
      </c>
    </row>
    <row r="21" spans="1:10" ht="12.75">
      <c r="A21" s="9" t="s">
        <v>352</v>
      </c>
      <c r="B21" s="61">
        <v>8218.65548780491</v>
      </c>
      <c r="C21" s="61"/>
      <c r="D21" s="228">
        <f>SUM(B21:C21)</f>
        <v>8218.65548780491</v>
      </c>
      <c r="E21" s="73">
        <v>3.28</v>
      </c>
      <c r="F21" s="13">
        <f>+E21*D21</f>
        <v>26957.190000000104</v>
      </c>
      <c r="G21" s="73">
        <v>3.38</v>
      </c>
      <c r="H21" s="13">
        <f>+G21*D21</f>
        <v>27779.055548780594</v>
      </c>
      <c r="I21" s="14">
        <f>+H21-F21</f>
        <v>821.8655487804899</v>
      </c>
      <c r="J21" s="255">
        <f>+I21/F21</f>
        <v>0.03048780487804874</v>
      </c>
    </row>
    <row r="22" spans="1:10" ht="12.75">
      <c r="A22" s="9" t="s">
        <v>353</v>
      </c>
      <c r="B22" s="231">
        <f>SUM(B20:B21)</f>
        <v>10243.781613931036</v>
      </c>
      <c r="C22" s="231"/>
      <c r="D22" s="231">
        <f>SUM(D20:D21)</f>
        <v>10243.781613931036</v>
      </c>
      <c r="F22" s="7">
        <f>SUM(F20:F21)</f>
        <v>40444.5300000001</v>
      </c>
      <c r="H22" s="7">
        <f>SUM(H20:H21)</f>
        <v>41651.16951274456</v>
      </c>
      <c r="I22" s="7">
        <f>SUM(I20:I21)</f>
        <v>1206.639512744452</v>
      </c>
      <c r="J22" s="256">
        <f>+I22/F22</f>
        <v>0.029834430335683195</v>
      </c>
    </row>
    <row r="23" spans="2:10" ht="12.75">
      <c r="B23" s="127"/>
      <c r="C23" s="127"/>
      <c r="D23" s="127"/>
      <c r="F23" s="233"/>
      <c r="H23" s="233"/>
      <c r="I23" s="233"/>
      <c r="J23" s="257"/>
    </row>
    <row r="24" spans="1:10" ht="12.75">
      <c r="A24" s="9" t="s">
        <v>354</v>
      </c>
      <c r="B24" s="270">
        <v>393795.8333333334</v>
      </c>
      <c r="C24" s="270"/>
      <c r="D24" s="270">
        <f>SUM(B24:C24)</f>
        <v>393795.8333333334</v>
      </c>
      <c r="E24" s="131">
        <v>0.0024</v>
      </c>
      <c r="F24" s="7">
        <f>+E24*D24</f>
        <v>945.11</v>
      </c>
      <c r="G24" s="131">
        <v>0.00247</v>
      </c>
      <c r="H24" s="7">
        <f>+G24*D24</f>
        <v>972.6757083333334</v>
      </c>
      <c r="I24" s="71">
        <f>+H24-F24</f>
        <v>27.56570833333342</v>
      </c>
      <c r="J24" s="256">
        <f>+I24/F24</f>
        <v>0.029166666666666757</v>
      </c>
    </row>
    <row r="25" spans="1:10" ht="12.75">
      <c r="A25" s="9"/>
      <c r="B25" s="271"/>
      <c r="C25" s="271"/>
      <c r="D25" s="271"/>
      <c r="E25" s="131"/>
      <c r="F25" s="233"/>
      <c r="G25" s="131"/>
      <c r="H25" s="233"/>
      <c r="I25" s="134"/>
      <c r="J25" s="257"/>
    </row>
    <row r="26" spans="1:10" ht="12.75">
      <c r="A26" s="5" t="s">
        <v>82</v>
      </c>
      <c r="D26" s="270">
        <f>+D18</f>
        <v>15065067.10113266</v>
      </c>
      <c r="E26" s="94">
        <v>0.0018836300548875124</v>
      </c>
      <c r="F26" s="7">
        <f>+E26*D26</f>
        <v>28377.013170590566</v>
      </c>
      <c r="G26" s="94">
        <v>0</v>
      </c>
      <c r="H26" s="7">
        <f>+G26*D26</f>
        <v>0</v>
      </c>
      <c r="I26" s="71">
        <f>+H26-F26</f>
        <v>-28377.013170590566</v>
      </c>
      <c r="J26" s="256">
        <f>+I26/F26</f>
        <v>-1</v>
      </c>
    </row>
    <row r="27" ht="12.75">
      <c r="D27" s="63"/>
    </row>
    <row r="28" spans="1:10" ht="13.5" thickBot="1">
      <c r="A28" t="s">
        <v>342</v>
      </c>
      <c r="F28" s="135">
        <f>SUM(F24,F22,F18,F12,F26)</f>
        <v>920104.3172118538</v>
      </c>
      <c r="H28" s="135">
        <f>SUM(H24,H22,H18,H12,H26)</f>
        <v>946442.6540272132</v>
      </c>
      <c r="I28" s="135">
        <f>SUM(I24,I22,I18,I12,I26)</f>
        <v>26338.336815359435</v>
      </c>
      <c r="J28" s="258">
        <f>+I28/F28</f>
        <v>0.028625381190658016</v>
      </c>
    </row>
    <row r="29" ht="13.5" thickTop="1"/>
    <row r="32" spans="4:9" ht="12.75">
      <c r="D32" s="63"/>
      <c r="H32" s="14"/>
      <c r="I32" s="272"/>
    </row>
    <row r="33" spans="4:9" ht="12.75">
      <c r="D33" s="63"/>
      <c r="H33" s="14"/>
      <c r="I33" s="272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29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T1" sqref="J1:T16384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  <col min="8" max="8" width="13.00390625" style="0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361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177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64" t="s">
        <v>324</v>
      </c>
      <c r="C7" s="65"/>
      <c r="D7" s="66"/>
      <c r="E7" s="244" t="str">
        <f>+'Residential Sch 7'!E7</f>
        <v>Proforma</v>
      </c>
      <c r="F7" s="259"/>
      <c r="G7" s="260" t="str">
        <f>+'Residential Sch 7'!G7</f>
        <v>Proposed</v>
      </c>
      <c r="H7" s="259"/>
      <c r="I7" s="11"/>
      <c r="J7" s="11"/>
    </row>
    <row r="8" spans="3:10" ht="12.75">
      <c r="C8" s="240" t="s">
        <v>327</v>
      </c>
      <c r="D8" s="247"/>
      <c r="E8" s="269" t="str">
        <f>+'Residential Sch 7'!E8</f>
        <v>Rates Effective 10-1-03</v>
      </c>
      <c r="F8" s="264"/>
      <c r="G8" s="263" t="str">
        <f>+'Residential Sch 7'!G8</f>
        <v>Rates Effective 2005</v>
      </c>
      <c r="H8" s="264"/>
      <c r="I8" s="265" t="str">
        <f>+'Residential Sch 7'!I8</f>
        <v>Differences</v>
      </c>
      <c r="J8" s="266"/>
    </row>
    <row r="9" spans="1:10" ht="12.75">
      <c r="A9" s="251"/>
      <c r="B9" s="251"/>
      <c r="C9" s="251" t="s">
        <v>331</v>
      </c>
      <c r="D9" s="251" t="s">
        <v>71</v>
      </c>
      <c r="E9" s="265" t="str">
        <f>+'Residential Sch 7'!E9</f>
        <v>Charge</v>
      </c>
      <c r="F9" s="266" t="str">
        <f>+'Residential Sch 7'!F9</f>
        <v>Revenue</v>
      </c>
      <c r="G9" s="267" t="str">
        <f>+'Residential Sch 7'!G9</f>
        <v>Charge</v>
      </c>
      <c r="H9" s="266" t="str">
        <f>+'Residential Sch 7'!H9</f>
        <v>Revenue</v>
      </c>
      <c r="I9" s="267" t="str">
        <f>+'Residential Sch 7'!I9</f>
        <v>$</v>
      </c>
      <c r="J9" s="266" t="str">
        <f>+'Residential Sch 7'!J9</f>
        <v>%</v>
      </c>
    </row>
    <row r="10" spans="1:10" ht="12.75">
      <c r="A10" t="s">
        <v>338</v>
      </c>
      <c r="B10" s="270">
        <v>6077.528599999999</v>
      </c>
      <c r="C10" s="270"/>
      <c r="D10" s="270">
        <f>SUM(B10)</f>
        <v>6077.528599999999</v>
      </c>
      <c r="E10" s="73">
        <v>200</v>
      </c>
      <c r="F10" s="7">
        <f>+E10*D10</f>
        <v>1215505.7199999997</v>
      </c>
      <c r="G10" s="73">
        <v>200</v>
      </c>
      <c r="H10" s="7">
        <f>+G10*D10</f>
        <v>1215505.7199999997</v>
      </c>
      <c r="I10" s="71">
        <f>+H10-F10</f>
        <v>0</v>
      </c>
      <c r="J10" s="256">
        <f>+I10/F10</f>
        <v>0</v>
      </c>
    </row>
    <row r="11" spans="6:8" ht="12.75">
      <c r="F11" s="13"/>
      <c r="H11" s="13"/>
    </row>
    <row r="12" spans="1:10" ht="12.75">
      <c r="A12" s="9" t="s">
        <v>350</v>
      </c>
      <c r="B12" s="231">
        <v>1661414453.1427002</v>
      </c>
      <c r="C12" s="231">
        <v>-3882862.066197941</v>
      </c>
      <c r="D12" s="231">
        <f>SUM(B12:C12)</f>
        <v>1657531591.0765023</v>
      </c>
      <c r="E12" s="68">
        <v>0.042539999999999994</v>
      </c>
      <c r="F12" s="7">
        <f>+D12*E12</f>
        <v>70511393.88439439</v>
      </c>
      <c r="G12" s="68">
        <v>0.04821</v>
      </c>
      <c r="H12" s="7">
        <f>+G12*D12</f>
        <v>79909598.00579818</v>
      </c>
      <c r="I12" s="71">
        <f>+H12-F12</f>
        <v>9398204.121403784</v>
      </c>
      <c r="J12" s="256">
        <f>+I12/F12</f>
        <v>0.13328631875881547</v>
      </c>
    </row>
    <row r="13" spans="2:4" ht="12.75">
      <c r="B13" s="63"/>
      <c r="C13" s="63"/>
      <c r="D13" s="63"/>
    </row>
    <row r="14" spans="1:10" ht="12.75">
      <c r="A14" s="9" t="s">
        <v>356</v>
      </c>
      <c r="B14" s="61">
        <v>1927229.011235914</v>
      </c>
      <c r="C14" s="61"/>
      <c r="D14" s="61">
        <f>SUM(B14:C14)</f>
        <v>1927229.011235914</v>
      </c>
      <c r="E14" s="73">
        <v>6.41</v>
      </c>
      <c r="F14" s="13">
        <f>+E14*D14</f>
        <v>12353537.96202221</v>
      </c>
      <c r="G14" s="73">
        <v>6.5</v>
      </c>
      <c r="H14" s="13">
        <f>+G14*D14</f>
        <v>12526988.57303344</v>
      </c>
      <c r="I14" s="14">
        <f>+H14-F14</f>
        <v>173450.61101123132</v>
      </c>
      <c r="J14" s="255">
        <f>+I14/F14</f>
        <v>0.014040561622464821</v>
      </c>
    </row>
    <row r="15" spans="1:10" ht="12.75">
      <c r="A15" s="9" t="s">
        <v>357</v>
      </c>
      <c r="B15" s="61">
        <v>2019585.6428357824</v>
      </c>
      <c r="C15" s="61"/>
      <c r="D15" s="61">
        <f>SUM(B15:C15)</f>
        <v>2019585.6428357824</v>
      </c>
      <c r="E15" s="73">
        <v>4.27</v>
      </c>
      <c r="F15" s="13">
        <f>+E15*D15</f>
        <v>8623630.69490879</v>
      </c>
      <c r="G15" s="73">
        <v>4.33</v>
      </c>
      <c r="H15" s="13">
        <f>+G15*D15</f>
        <v>8744805.833478937</v>
      </c>
      <c r="I15" s="14">
        <f>+H15-F15</f>
        <v>121175.13857014664</v>
      </c>
      <c r="J15" s="255">
        <f>+I15/F15</f>
        <v>0.014051522248243525</v>
      </c>
    </row>
    <row r="16" spans="1:10" ht="12.75">
      <c r="A16" s="9" t="s">
        <v>353</v>
      </c>
      <c r="B16" s="231">
        <f>SUM(B14:B15)</f>
        <v>3946814.654071696</v>
      </c>
      <c r="C16" s="231"/>
      <c r="D16" s="231">
        <f>SUM(D14:D15)</f>
        <v>3946814.654071696</v>
      </c>
      <c r="F16" s="7">
        <f>SUM(F14:F15)</f>
        <v>20977168.656930998</v>
      </c>
      <c r="H16" s="7">
        <f>SUM(H14:H15)</f>
        <v>21271794.40651238</v>
      </c>
      <c r="I16" s="7">
        <f>SUM(I14:I15)</f>
        <v>294625.74958137795</v>
      </c>
      <c r="J16" s="256">
        <f>+I16/F16</f>
        <v>0.014045067492177103</v>
      </c>
    </row>
    <row r="17" spans="2:10" ht="12.75">
      <c r="B17" s="127"/>
      <c r="C17" s="127"/>
      <c r="D17" s="127"/>
      <c r="F17" s="233"/>
      <c r="H17" s="233"/>
      <c r="I17" s="233"/>
      <c r="J17" s="257"/>
    </row>
    <row r="18" spans="1:10" ht="12.75">
      <c r="A18" s="9" t="s">
        <v>354</v>
      </c>
      <c r="B18" s="270">
        <v>919421179.1755927</v>
      </c>
      <c r="C18" s="270"/>
      <c r="D18" s="270">
        <f>SUM(B18)</f>
        <v>919421179.1755927</v>
      </c>
      <c r="E18" s="131">
        <v>0.0008100000000000001</v>
      </c>
      <c r="F18" s="7">
        <f>+E18*D18</f>
        <v>744731.1551322301</v>
      </c>
      <c r="G18" s="131">
        <v>0.0009</v>
      </c>
      <c r="H18" s="7">
        <f>+G18*D18</f>
        <v>827479.0612580334</v>
      </c>
      <c r="I18" s="71">
        <f>+H18-F18</f>
        <v>82747.90612580325</v>
      </c>
      <c r="J18" s="256">
        <f>+I18/F18</f>
        <v>0.11111111111111097</v>
      </c>
    </row>
    <row r="19" spans="1:10" ht="12.75">
      <c r="A19" s="9"/>
      <c r="B19" s="271"/>
      <c r="C19" s="271"/>
      <c r="D19" s="271"/>
      <c r="E19" s="131"/>
      <c r="F19" s="233"/>
      <c r="G19" s="131"/>
      <c r="H19" s="233"/>
      <c r="I19" s="134"/>
      <c r="J19" s="257"/>
    </row>
    <row r="20" spans="1:10" ht="12.75">
      <c r="A20" s="5" t="s">
        <v>82</v>
      </c>
      <c r="D20" s="270">
        <f>+D12</f>
        <v>1657531591.0765023</v>
      </c>
      <c r="E20" s="68">
        <v>0.0025259198168249607</v>
      </c>
      <c r="F20" s="7">
        <f>+E20*D20</f>
        <v>4186791.8929135446</v>
      </c>
      <c r="G20" s="131">
        <v>0</v>
      </c>
      <c r="H20" s="7">
        <f>+G20*D20</f>
        <v>0</v>
      </c>
      <c r="I20" s="71">
        <f>+H20-F20</f>
        <v>-4186791.8929135446</v>
      </c>
      <c r="J20" s="256">
        <f>+I20/F20</f>
        <v>-1</v>
      </c>
    </row>
    <row r="21" ht="12.75">
      <c r="D21" s="63"/>
    </row>
    <row r="22" spans="1:10" ht="13.5" thickBot="1">
      <c r="A22" t="s">
        <v>342</v>
      </c>
      <c r="F22" s="135">
        <f>SUM(F18,F16,F12,F10,F20)</f>
        <v>97635591.30937117</v>
      </c>
      <c r="H22" s="135">
        <f>SUM(H18,H16,H12,H10,H20)</f>
        <v>103224377.19356859</v>
      </c>
      <c r="I22" s="135">
        <f>SUM(I18,I16,I12,I10,I20)</f>
        <v>5588785.8841974195</v>
      </c>
      <c r="J22" s="258">
        <f>+I22/F22</f>
        <v>0.057241276559575685</v>
      </c>
    </row>
    <row r="23" ht="13.5" thickTop="1"/>
    <row r="25" spans="4:9" ht="12.75">
      <c r="D25" s="63"/>
      <c r="H25" s="14"/>
      <c r="I25" s="68"/>
    </row>
    <row r="26" spans="4:9" ht="12.75">
      <c r="D26" s="63"/>
      <c r="H26" s="14"/>
      <c r="I26" s="68"/>
    </row>
    <row r="28" ht="12.75">
      <c r="D28" s="63"/>
    </row>
    <row r="29" ht="12.75">
      <c r="D29" s="63"/>
    </row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T1" sqref="J1:T16384"/>
    </sheetView>
  </sheetViews>
  <sheetFormatPr defaultColWidth="9.140625" defaultRowHeight="12.75"/>
  <cols>
    <col min="1" max="1" width="27.8515625" style="0" bestFit="1" customWidth="1"/>
    <col min="2" max="2" width="13.8515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9.710937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362</v>
      </c>
      <c r="B4" s="1"/>
      <c r="C4" s="1"/>
      <c r="D4" s="1"/>
      <c r="E4" s="1"/>
      <c r="F4" s="1"/>
      <c r="G4" s="1"/>
      <c r="H4" s="1"/>
    </row>
    <row r="5" spans="1:8" ht="12.75">
      <c r="A5" s="1" t="s">
        <v>188</v>
      </c>
      <c r="B5" s="1"/>
      <c r="C5" s="1"/>
      <c r="D5" s="1"/>
      <c r="E5" s="1"/>
      <c r="F5" s="1"/>
      <c r="G5" s="1"/>
      <c r="H5" s="1"/>
    </row>
    <row r="7" spans="3:8" ht="12.75">
      <c r="C7" s="244" t="str">
        <f>+'Residential Sch 7'!E7</f>
        <v>Proforma</v>
      </c>
      <c r="D7" s="259"/>
      <c r="E7" s="260" t="str">
        <f>+'Residential Sch 7'!G7</f>
        <v>Proposed</v>
      </c>
      <c r="F7" s="259"/>
      <c r="G7" s="11"/>
      <c r="H7" s="11"/>
    </row>
    <row r="8" spans="2:8" ht="12.75">
      <c r="B8" s="6" t="s">
        <v>363</v>
      </c>
      <c r="C8" s="269" t="str">
        <f>+'Residential Sch 7'!E8</f>
        <v>Rates Effective 10-1-03</v>
      </c>
      <c r="D8" s="264"/>
      <c r="E8" s="263" t="str">
        <f>+'Residential Sch 7'!G8</f>
        <v>Rates Effective 2005</v>
      </c>
      <c r="F8" s="264"/>
      <c r="G8" s="265" t="str">
        <f>+'Residential Sch 7'!I8</f>
        <v>Differences</v>
      </c>
      <c r="H8" s="266"/>
    </row>
    <row r="9" spans="1:8" ht="12.75">
      <c r="A9" s="251"/>
      <c r="B9" s="247" t="s">
        <v>364</v>
      </c>
      <c r="C9" s="265" t="str">
        <f>+'Residential Sch 7'!E9</f>
        <v>Charge</v>
      </c>
      <c r="D9" s="259" t="str">
        <f>+'Residential Sch 7'!F9</f>
        <v>Revenue</v>
      </c>
      <c r="E9" s="267" t="str">
        <f>+'Residential Sch 7'!G9</f>
        <v>Charge</v>
      </c>
      <c r="F9" s="259" t="str">
        <f>+'Residential Sch 7'!H9</f>
        <v>Revenue</v>
      </c>
      <c r="G9" s="260" t="str">
        <f>+'Residential Sch 7'!I9</f>
        <v>$</v>
      </c>
      <c r="H9" s="259" t="str">
        <f>+'Residential Sch 7'!J9</f>
        <v>%</v>
      </c>
    </row>
    <row r="10" spans="1:8" ht="12.75">
      <c r="A10" t="s">
        <v>338</v>
      </c>
      <c r="B10" s="270">
        <v>12</v>
      </c>
      <c r="C10" s="73">
        <v>200</v>
      </c>
      <c r="D10" s="7">
        <f>+C10*B10</f>
        <v>2400</v>
      </c>
      <c r="E10" s="254">
        <v>200</v>
      </c>
      <c r="F10" s="7">
        <f>+E10*B10</f>
        <v>2400</v>
      </c>
      <c r="G10" s="71">
        <f>+F10-D10</f>
        <v>0</v>
      </c>
      <c r="H10" s="256">
        <f>+G10/D10</f>
        <v>0</v>
      </c>
    </row>
    <row r="11" spans="4:6" ht="12.75">
      <c r="D11" s="13"/>
      <c r="F11" s="13"/>
    </row>
    <row r="12" spans="1:8" ht="12.75">
      <c r="A12" s="9" t="s">
        <v>350</v>
      </c>
      <c r="B12" s="231">
        <v>4966200</v>
      </c>
      <c r="C12" s="272">
        <v>0.033147</v>
      </c>
      <c r="D12" s="7">
        <f>+C12*B12</f>
        <v>164614.6314</v>
      </c>
      <c r="E12" s="272">
        <v>0.037563</v>
      </c>
      <c r="F12" s="7">
        <f>+E12*B12</f>
        <v>186545.3706</v>
      </c>
      <c r="G12" s="71">
        <f>+F12-D12</f>
        <v>21930.73919999998</v>
      </c>
      <c r="H12" s="256">
        <f>+G12/D12</f>
        <v>0.13322472621956727</v>
      </c>
    </row>
    <row r="13" ht="12.75">
      <c r="B13" s="63"/>
    </row>
    <row r="14" spans="1:8" ht="12.75">
      <c r="A14" s="9" t="s">
        <v>356</v>
      </c>
      <c r="B14" s="61">
        <v>1064.7927927927929</v>
      </c>
      <c r="C14" s="73">
        <v>3.33</v>
      </c>
      <c r="D14" s="13">
        <f>+C14*B14</f>
        <v>3545.76</v>
      </c>
      <c r="E14" s="254">
        <v>3.57</v>
      </c>
      <c r="F14" s="13">
        <f>+E14*B14</f>
        <v>3801.3102702702704</v>
      </c>
      <c r="G14" s="14">
        <f>+F14-D14</f>
        <v>255.55027027027018</v>
      </c>
      <c r="H14" s="255">
        <f>+G14/D14</f>
        <v>0.07207207207207204</v>
      </c>
    </row>
    <row r="15" spans="1:8" ht="12.75">
      <c r="A15" s="9" t="s">
        <v>357</v>
      </c>
      <c r="B15" s="61">
        <v>8009.004504504505</v>
      </c>
      <c r="C15" s="73">
        <v>2.22</v>
      </c>
      <c r="D15" s="13">
        <f>+C15*B15</f>
        <v>17779.990000000005</v>
      </c>
      <c r="E15" s="254">
        <v>2.38</v>
      </c>
      <c r="F15" s="13">
        <f>+E15*B15</f>
        <v>19061.43072072072</v>
      </c>
      <c r="G15" s="14">
        <f>+F15-D15</f>
        <v>1281.440720720715</v>
      </c>
      <c r="H15" s="255">
        <f>+G15/D15</f>
        <v>0.07207207207207172</v>
      </c>
    </row>
    <row r="16" spans="1:8" ht="12.75">
      <c r="A16" s="9" t="s">
        <v>353</v>
      </c>
      <c r="B16" s="231">
        <f>SUM(B14:B15)</f>
        <v>9073.797297297298</v>
      </c>
      <c r="D16" s="7">
        <f>SUM(D14:D15)</f>
        <v>21325.750000000007</v>
      </c>
      <c r="F16" s="7">
        <f>SUM(F14:F15)</f>
        <v>22862.74099099099</v>
      </c>
      <c r="G16" s="7">
        <f>SUM(G14:G15)</f>
        <v>1536.9909909909852</v>
      </c>
      <c r="H16" s="256">
        <f>+G16/D16</f>
        <v>0.07207207207207178</v>
      </c>
    </row>
    <row r="17" spans="2:8" ht="12.75">
      <c r="B17" s="127"/>
      <c r="D17" s="233"/>
      <c r="F17" s="233"/>
      <c r="G17" s="233"/>
      <c r="H17" s="257"/>
    </row>
    <row r="18" spans="1:8" ht="12.75">
      <c r="A18" s="9" t="s">
        <v>354</v>
      </c>
      <c r="B18" s="270">
        <v>2344204.8192771086</v>
      </c>
      <c r="C18" s="131">
        <v>0.00083</v>
      </c>
      <c r="D18" s="7">
        <f>+C18*B18</f>
        <v>1945.6900000000003</v>
      </c>
      <c r="E18" s="131">
        <v>0.00087</v>
      </c>
      <c r="F18" s="7">
        <f>+E18*B18</f>
        <v>2039.4581927710844</v>
      </c>
      <c r="G18" s="71">
        <f>+F18-D18</f>
        <v>93.76819277108416</v>
      </c>
      <c r="H18" s="256">
        <f>+G18/D18</f>
        <v>0.04819277108433725</v>
      </c>
    </row>
    <row r="19" spans="1:8" ht="12.75">
      <c r="A19" s="9"/>
      <c r="B19" s="271"/>
      <c r="C19" s="131"/>
      <c r="D19" s="233"/>
      <c r="E19" s="131"/>
      <c r="F19" s="233"/>
      <c r="G19" s="134"/>
      <c r="H19" s="257"/>
    </row>
    <row r="20" spans="1:8" ht="12.75">
      <c r="A20" s="5" t="s">
        <v>82</v>
      </c>
      <c r="B20" s="270">
        <f>+B12</f>
        <v>4966200</v>
      </c>
      <c r="C20" s="131">
        <v>0.0024129255011140893</v>
      </c>
      <c r="D20" s="7">
        <f>+C20*B20</f>
        <v>11983.07062363279</v>
      </c>
      <c r="E20" s="131">
        <v>0</v>
      </c>
      <c r="F20" s="7">
        <f>+E20*B20</f>
        <v>0</v>
      </c>
      <c r="G20" s="71">
        <f>+F20-D20</f>
        <v>-11983.07062363279</v>
      </c>
      <c r="H20" s="256">
        <f>+G20/D20</f>
        <v>-1</v>
      </c>
    </row>
    <row r="21" ht="12.75">
      <c r="B21" s="63"/>
    </row>
    <row r="22" spans="1:8" ht="13.5" thickBot="1">
      <c r="A22" t="s">
        <v>342</v>
      </c>
      <c r="D22" s="135">
        <f>SUM(D18,D16,D12,D10,D20)</f>
        <v>202269.1420236328</v>
      </c>
      <c r="F22" s="135">
        <f>SUM(F18,F16,F12,F10,F20)</f>
        <v>213847.56978376207</v>
      </c>
      <c r="G22" s="135">
        <f>SUM(G18,G16,G12,G10,G20)</f>
        <v>11578.427760129263</v>
      </c>
      <c r="H22" s="258">
        <f>+G22/D22</f>
        <v>0.0572426799475743</v>
      </c>
    </row>
    <row r="23" ht="13.5" thickTop="1"/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35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T1" sqref="J1:T16384"/>
    </sheetView>
  </sheetViews>
  <sheetFormatPr defaultColWidth="9.140625" defaultRowHeight="12.75"/>
  <cols>
    <col min="1" max="1" width="24.140625" style="0" bestFit="1" customWidth="1"/>
    <col min="2" max="2" width="12.28125" style="0" bestFit="1" customWidth="1"/>
    <col min="3" max="3" width="11.28125" style="0" bestFit="1" customWidth="1"/>
    <col min="4" max="4" width="12.2812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  <col min="8" max="8" width="12.28125" style="0" bestFit="1" customWidth="1"/>
    <col min="9" max="9" width="11.7109375" style="0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365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197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64" t="s">
        <v>324</v>
      </c>
      <c r="C7" s="65"/>
      <c r="D7" s="66"/>
      <c r="E7" s="244" t="str">
        <f>+'Residential Sch 7'!E7</f>
        <v>Proforma</v>
      </c>
      <c r="F7" s="259"/>
      <c r="G7" s="260" t="str">
        <f>+'Residential Sch 7'!G7</f>
        <v>Proposed</v>
      </c>
      <c r="H7" s="259"/>
      <c r="I7" s="11"/>
      <c r="J7" s="11"/>
    </row>
    <row r="8" spans="3:10" ht="12.75">
      <c r="C8" s="240" t="s">
        <v>327</v>
      </c>
      <c r="D8" s="247"/>
      <c r="E8" s="269" t="str">
        <f>+'Residential Sch 7'!E8</f>
        <v>Rates Effective 10-1-03</v>
      </c>
      <c r="F8" s="264"/>
      <c r="G8" s="263" t="str">
        <f>+'Residential Sch 7'!G8</f>
        <v>Rates Effective 2005</v>
      </c>
      <c r="H8" s="264"/>
      <c r="I8" s="265" t="str">
        <f>+'Residential Sch 7'!I8</f>
        <v>Differences</v>
      </c>
      <c r="J8" s="266"/>
    </row>
    <row r="9" spans="1:10" ht="12.75">
      <c r="A9" s="251"/>
      <c r="B9" s="251"/>
      <c r="C9" s="251" t="s">
        <v>331</v>
      </c>
      <c r="D9" s="251" t="s">
        <v>71</v>
      </c>
      <c r="E9" s="265" t="str">
        <f>+'Residential Sch 7'!E9</f>
        <v>Charge</v>
      </c>
      <c r="F9" s="266" t="str">
        <f>+'Residential Sch 7'!F9</f>
        <v>Revenue</v>
      </c>
      <c r="G9" s="267" t="str">
        <f>+'Residential Sch 7'!G9</f>
        <v>Charge</v>
      </c>
      <c r="H9" s="266" t="str">
        <f>+'Residential Sch 7'!H9</f>
        <v>Revenue</v>
      </c>
      <c r="I9" s="267" t="str">
        <f>+'Residential Sch 7'!I9</f>
        <v>$</v>
      </c>
      <c r="J9" s="266" t="str">
        <f>+'Residential Sch 7'!J9</f>
        <v>%</v>
      </c>
    </row>
    <row r="10" spans="1:10" ht="12.75">
      <c r="A10" t="s">
        <v>338</v>
      </c>
      <c r="B10" s="270">
        <v>2388.0666</v>
      </c>
      <c r="C10" s="270"/>
      <c r="D10" s="270">
        <f>SUM(B10:C10)</f>
        <v>2388.0666</v>
      </c>
      <c r="E10" s="73">
        <v>200</v>
      </c>
      <c r="F10" s="7">
        <f>+E10*D10</f>
        <v>477613.32</v>
      </c>
      <c r="G10" s="73">
        <v>200</v>
      </c>
      <c r="H10" s="7">
        <f>+G10*D10</f>
        <v>477613.32</v>
      </c>
      <c r="I10" s="71">
        <f>+H10-F10</f>
        <v>0</v>
      </c>
      <c r="J10" s="256">
        <f>+I10/F10</f>
        <v>0</v>
      </c>
    </row>
    <row r="11" spans="6:8" ht="12.75">
      <c r="F11" s="13"/>
      <c r="H11" s="13"/>
    </row>
    <row r="12" spans="1:10" ht="12.75">
      <c r="A12" s="9" t="s">
        <v>350</v>
      </c>
      <c r="B12" s="231">
        <v>175656470.41949996</v>
      </c>
      <c r="C12" s="231">
        <v>14036294.438764367</v>
      </c>
      <c r="D12" s="270">
        <f>SUM(B12:C12)</f>
        <v>189692764.85826433</v>
      </c>
      <c r="E12" s="68">
        <v>0.040898000000000004</v>
      </c>
      <c r="F12" s="7">
        <f>+E12*D12</f>
        <v>7758054.697173296</v>
      </c>
      <c r="G12" s="68">
        <v>0.048802</v>
      </c>
      <c r="H12" s="7">
        <f>+G12*D12</f>
        <v>9257386.310613016</v>
      </c>
      <c r="I12" s="71">
        <f>+H12-F12</f>
        <v>1499331.6134397201</v>
      </c>
      <c r="J12" s="256">
        <f>+I12/F12</f>
        <v>0.19326128417037491</v>
      </c>
    </row>
    <row r="13" spans="2:4" ht="12.75">
      <c r="B13" s="63"/>
      <c r="C13" s="63"/>
      <c r="D13" s="63"/>
    </row>
    <row r="14" spans="1:10" ht="12.75">
      <c r="A14" s="9" t="s">
        <v>353</v>
      </c>
      <c r="B14" s="231">
        <v>864944.7382920106</v>
      </c>
      <c r="C14" s="231"/>
      <c r="D14" s="270">
        <f>SUM(B14:C14)</f>
        <v>864944.7382920106</v>
      </c>
      <c r="E14" s="73">
        <v>3.63</v>
      </c>
      <c r="F14" s="7">
        <f>+E14*D14</f>
        <v>3139749.3999999985</v>
      </c>
      <c r="G14" s="73">
        <v>3.68</v>
      </c>
      <c r="H14" s="7">
        <f>+G14*D14</f>
        <v>3182996.636914599</v>
      </c>
      <c r="I14" s="71">
        <f>+H14-F14</f>
        <v>43247.23691460071</v>
      </c>
      <c r="J14" s="256">
        <f>+I14/F14</f>
        <v>0.01377410468319565</v>
      </c>
    </row>
    <row r="15" spans="2:10" ht="12.75">
      <c r="B15" s="127"/>
      <c r="C15" s="127"/>
      <c r="D15" s="127"/>
      <c r="F15" s="233"/>
      <c r="H15" s="233"/>
      <c r="I15" s="233"/>
      <c r="J15" s="257"/>
    </row>
    <row r="16" spans="1:10" ht="12.75">
      <c r="A16" s="9" t="s">
        <v>354</v>
      </c>
      <c r="B16" s="270">
        <v>82811957.44680853</v>
      </c>
      <c r="C16" s="270"/>
      <c r="D16" s="270">
        <f>SUM(B16:C16)</f>
        <v>82811957.44680853</v>
      </c>
      <c r="E16" s="131">
        <v>0.0023499999999999997</v>
      </c>
      <c r="F16" s="7">
        <f>+E16*D16</f>
        <v>194608.10000000003</v>
      </c>
      <c r="G16" s="131">
        <v>0.00255</v>
      </c>
      <c r="H16" s="7">
        <f>+G16*D16</f>
        <v>211170.49148936177</v>
      </c>
      <c r="I16" s="71">
        <f>+H16-F16</f>
        <v>16562.391489361733</v>
      </c>
      <c r="J16" s="256">
        <f>+I16/F16</f>
        <v>0.08510638297872354</v>
      </c>
    </row>
    <row r="17" ht="12.75">
      <c r="D17" s="63"/>
    </row>
    <row r="18" spans="1:10" ht="12.75">
      <c r="A18" s="5" t="s">
        <v>82</v>
      </c>
      <c r="D18" s="270">
        <f>+D12</f>
        <v>189692764.85826433</v>
      </c>
      <c r="E18" s="68">
        <v>0.0027450211205909468</v>
      </c>
      <c r="F18" s="7">
        <f>+E18*D18</f>
        <v>520710.6459592277</v>
      </c>
      <c r="G18" s="68">
        <v>0</v>
      </c>
      <c r="H18" s="7">
        <f>+G18*D18</f>
        <v>0</v>
      </c>
      <c r="I18" s="71">
        <f>+H18-F18</f>
        <v>-520710.6459592277</v>
      </c>
      <c r="J18" s="256">
        <f>+I18/F18</f>
        <v>-1</v>
      </c>
    </row>
    <row r="19" ht="12.75">
      <c r="D19" s="63"/>
    </row>
    <row r="20" spans="1:10" ht="13.5" thickBot="1">
      <c r="A20" t="s">
        <v>342</v>
      </c>
      <c r="F20" s="135">
        <f>SUM(F16,F14,F12,F10,F18)</f>
        <v>12090736.163132522</v>
      </c>
      <c r="H20" s="135">
        <f>SUM(H16,H14,H12,H10,H18)</f>
        <v>13129166.759016978</v>
      </c>
      <c r="I20" s="135">
        <f>SUM(I16,I14,I12,I10,I18)</f>
        <v>1038430.5958844548</v>
      </c>
      <c r="J20" s="258">
        <f>+I20/F20</f>
        <v>0.08588646562736785</v>
      </c>
    </row>
    <row r="21" ht="13.5" thickTop="1"/>
  </sheetData>
  <printOptions horizontalCentered="1"/>
  <pageMargins left="0.25" right="0.25" top="1.5" bottom="1" header="1.5" footer="0.5"/>
  <pageSetup horizontalDpi="600" verticalDpi="600" orientation="landscape" r:id="rId1"/>
  <headerFooter alignWithMargins="0">
    <oddHeader>&amp;RDocket No. UE-04_________
Exhibit No. _________(JAH-4)
Page &amp;P of &amp;N</oddHeader>
    <oddFooter>&amp;LSchedule 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2004-04-03T05:10:59Z</cp:lastPrinted>
  <dcterms:created xsi:type="dcterms:W3CDTF">2004-04-02T06:01:25Z</dcterms:created>
  <dcterms:modified xsi:type="dcterms:W3CDTF">2004-04-03T05:11:07Z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040641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