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8"/>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Balances'!$A$1:$H$197</definedName>
    <definedName name="_xlnm.Print_Area" localSheetId="0">'Electric Deferral'!$A$1:$T$46</definedName>
    <definedName name="_xlnm.Print_Area" localSheetId="4">'Interest Reconciliation'!$A$1:$R$121</definedName>
    <definedName name="_xlnm.Print_Area" localSheetId="5">Notes!$A$1:$K$31</definedName>
    <definedName name="_xlnm.Print_Titles" localSheetId="4">'Interest Reconciliation'!$1:$2</definedName>
  </definedNames>
  <calcPr calcId="152511"/>
</workbook>
</file>

<file path=xl/calcChain.xml><?xml version="1.0" encoding="utf-8"?>
<calcChain xmlns="http://schemas.openxmlformats.org/spreadsheetml/2006/main">
  <c r="Q4" i="7" l="1"/>
  <c r="P37" i="1" l="1"/>
  <c r="N10" i="7" l="1"/>
  <c r="E10" i="7"/>
  <c r="O10" i="7" l="1"/>
  <c r="K86" i="3" l="1"/>
  <c r="J86" i="3" l="1"/>
  <c r="J90" i="3" l="1"/>
  <c r="K90" i="3" s="1"/>
  <c r="J87" i="3"/>
  <c r="H102" i="7" l="1"/>
  <c r="J92" i="3" l="1"/>
  <c r="J91" i="3"/>
  <c r="J88" i="3"/>
  <c r="K88" i="3" l="1"/>
  <c r="H103" i="7"/>
  <c r="H104" i="7" s="1"/>
  <c r="O15" i="7"/>
  <c r="F15" i="7"/>
  <c r="F14" i="7"/>
  <c r="F13" i="7"/>
  <c r="K87" i="3"/>
  <c r="F12" i="7" l="1"/>
  <c r="H144" i="7" l="1"/>
  <c r="Q144" i="7" s="1"/>
  <c r="H141" i="7"/>
  <c r="A140" i="7"/>
  <c r="J140" i="7" s="1"/>
  <c r="H128" i="7"/>
  <c r="Q128" i="7" s="1"/>
  <c r="H125" i="7"/>
  <c r="Q125" i="7" s="1"/>
  <c r="M125" i="7" s="1"/>
  <c r="O125" i="7" s="1"/>
  <c r="D125" i="7"/>
  <c r="F125" i="7" s="1"/>
  <c r="A124" i="7"/>
  <c r="J124" i="7" s="1"/>
  <c r="H112" i="7"/>
  <c r="Q112" i="7" s="1"/>
  <c r="H109" i="7"/>
  <c r="Q109" i="7" s="1"/>
  <c r="M109" i="7" s="1"/>
  <c r="O109" i="7" s="1"/>
  <c r="D109" i="7"/>
  <c r="F109" i="7" s="1"/>
  <c r="A108" i="7"/>
  <c r="J108" i="7" s="1"/>
  <c r="H96" i="7"/>
  <c r="Q96" i="7" s="1"/>
  <c r="H93" i="7"/>
  <c r="D93" i="7" s="1"/>
  <c r="F93" i="7" s="1"/>
  <c r="A92" i="7"/>
  <c r="J92" i="7" s="1"/>
  <c r="H79" i="7"/>
  <c r="Q79" i="7" s="1"/>
  <c r="H76" i="7"/>
  <c r="D76" i="7" s="1"/>
  <c r="F76" i="7" s="1"/>
  <c r="A75" i="7"/>
  <c r="J75" i="7" s="1"/>
  <c r="A74" i="7"/>
  <c r="H61" i="7"/>
  <c r="Q61" i="7" s="1"/>
  <c r="H58" i="7"/>
  <c r="D58" i="7" s="1"/>
  <c r="F58" i="7" s="1"/>
  <c r="J57" i="7"/>
  <c r="A56" i="7"/>
  <c r="J56" i="7" s="1"/>
  <c r="H44" i="7"/>
  <c r="Q44" i="7" s="1"/>
  <c r="H41" i="7"/>
  <c r="A40" i="7"/>
  <c r="A41" i="7" s="1"/>
  <c r="A42" i="7" s="1"/>
  <c r="A36" i="7"/>
  <c r="J36" i="7" s="1"/>
  <c r="A35" i="7"/>
  <c r="J35" i="7" s="1"/>
  <c r="A34" i="7"/>
  <c r="J34" i="7" s="1"/>
  <c r="A33" i="7"/>
  <c r="J33" i="7" s="1"/>
  <c r="A32" i="7"/>
  <c r="J32" i="7" s="1"/>
  <c r="A31" i="7"/>
  <c r="J31" i="7" s="1"/>
  <c r="A30" i="7"/>
  <c r="J30" i="7" s="1"/>
  <c r="H29" i="7"/>
  <c r="H97" i="7" s="1"/>
  <c r="Q97" i="7" s="1"/>
  <c r="A29" i="7"/>
  <c r="J29" i="7" s="1"/>
  <c r="Q28" i="7"/>
  <c r="A28" i="7"/>
  <c r="J28" i="7" s="1"/>
  <c r="A27" i="7"/>
  <c r="J27" i="7" s="1"/>
  <c r="H26" i="7"/>
  <c r="H27" i="7" s="1"/>
  <c r="A26" i="7"/>
  <c r="J26" i="7" s="1"/>
  <c r="Q25" i="7"/>
  <c r="M25" i="7" s="1"/>
  <c r="D25" i="7"/>
  <c r="F25" i="7" s="1"/>
  <c r="A25" i="7"/>
  <c r="J25" i="7" s="1"/>
  <c r="J24" i="7"/>
  <c r="N20" i="7"/>
  <c r="M20" i="7"/>
  <c r="E20" i="7"/>
  <c r="D20" i="7"/>
  <c r="N19" i="7"/>
  <c r="M19" i="7"/>
  <c r="E19" i="7"/>
  <c r="D19" i="7"/>
  <c r="N18" i="7"/>
  <c r="M18" i="7"/>
  <c r="E18" i="7"/>
  <c r="D18" i="7"/>
  <c r="N17" i="7"/>
  <c r="M17" i="7"/>
  <c r="E17" i="7"/>
  <c r="D17" i="7"/>
  <c r="O16" i="7"/>
  <c r="J16" i="7"/>
  <c r="F16" i="7"/>
  <c r="J15" i="7"/>
  <c r="O14" i="7"/>
  <c r="J14" i="7"/>
  <c r="O13" i="7"/>
  <c r="J13" i="7"/>
  <c r="O12" i="7"/>
  <c r="J12" i="7"/>
  <c r="O11" i="7"/>
  <c r="J11" i="7"/>
  <c r="F11" i="7"/>
  <c r="J10" i="7"/>
  <c r="F10" i="7"/>
  <c r="O9" i="7"/>
  <c r="J9" i="7"/>
  <c r="F9" i="7"/>
  <c r="O8" i="7"/>
  <c r="J8" i="7"/>
  <c r="F8" i="7"/>
  <c r="O7" i="7"/>
  <c r="J7" i="7"/>
  <c r="F7" i="7"/>
  <c r="O6" i="7"/>
  <c r="J6" i="7"/>
  <c r="F6" i="7"/>
  <c r="O5" i="7"/>
  <c r="J5" i="7"/>
  <c r="F5" i="7"/>
  <c r="D26" i="7" l="1"/>
  <c r="F17" i="7"/>
  <c r="Q93" i="7"/>
  <c r="M93" i="7" s="1"/>
  <c r="O93" i="7" s="1"/>
  <c r="H77" i="7"/>
  <c r="Q77" i="7" s="1"/>
  <c r="O17" i="7"/>
  <c r="Q58" i="7"/>
  <c r="M58" i="7" s="1"/>
  <c r="H94" i="7"/>
  <c r="Q94" i="7" s="1"/>
  <c r="H142" i="7"/>
  <c r="Q142" i="7" s="1"/>
  <c r="F18" i="7"/>
  <c r="Q26" i="7"/>
  <c r="H59" i="7"/>
  <c r="Q59" i="7" s="1"/>
  <c r="J41" i="7"/>
  <c r="H62" i="7"/>
  <c r="Q62" i="7" s="1"/>
  <c r="A93" i="7"/>
  <c r="F19" i="7"/>
  <c r="O18" i="7"/>
  <c r="F20" i="7"/>
  <c r="H42" i="7"/>
  <c r="Q42" i="7" s="1"/>
  <c r="A58" i="7"/>
  <c r="J58" i="7" s="1"/>
  <c r="H43" i="7"/>
  <c r="Q43" i="7" s="1"/>
  <c r="H78" i="7"/>
  <c r="Q78" i="7" s="1"/>
  <c r="Q27" i="7"/>
  <c r="H80" i="7"/>
  <c r="Q80" i="7" s="1"/>
  <c r="H145" i="7"/>
  <c r="Q145" i="7" s="1"/>
  <c r="J40" i="7"/>
  <c r="H45" i="7"/>
  <c r="Q45" i="7" s="1"/>
  <c r="A141" i="7"/>
  <c r="J42" i="7"/>
  <c r="A43" i="7"/>
  <c r="D41" i="7"/>
  <c r="Q41" i="7"/>
  <c r="M41" i="7" s="1"/>
  <c r="O41" i="7" s="1"/>
  <c r="A59" i="7"/>
  <c r="O25" i="7"/>
  <c r="H127" i="7"/>
  <c r="Q127" i="7" s="1"/>
  <c r="H111" i="7"/>
  <c r="Q111" i="7" s="1"/>
  <c r="H143" i="7"/>
  <c r="Q143" i="7" s="1"/>
  <c r="H95" i="7"/>
  <c r="Q95" i="7" s="1"/>
  <c r="H60" i="7"/>
  <c r="Q60" i="7" s="1"/>
  <c r="A76" i="7"/>
  <c r="J74" i="7"/>
  <c r="O19" i="7"/>
  <c r="Q76" i="7"/>
  <c r="M76" i="7" s="1"/>
  <c r="O76" i="7" s="1"/>
  <c r="J93" i="7"/>
  <c r="A94" i="7"/>
  <c r="D141" i="7"/>
  <c r="F141" i="7" s="1"/>
  <c r="Q141" i="7"/>
  <c r="M141" i="7" s="1"/>
  <c r="O141" i="7" s="1"/>
  <c r="A125" i="7"/>
  <c r="O20" i="7"/>
  <c r="H126" i="7"/>
  <c r="Q126" i="7" s="1"/>
  <c r="M126" i="7" s="1"/>
  <c r="O126" i="7" s="1"/>
  <c r="H110" i="7"/>
  <c r="Q110" i="7" s="1"/>
  <c r="M110" i="7" s="1"/>
  <c r="O110" i="7" s="1"/>
  <c r="D94" i="7"/>
  <c r="F94" i="7" s="1"/>
  <c r="A109" i="7"/>
  <c r="H129" i="7"/>
  <c r="Q129" i="7" s="1"/>
  <c r="H113" i="7"/>
  <c r="Q113" i="7" s="1"/>
  <c r="Q29" i="7"/>
  <c r="H30" i="7"/>
  <c r="D77" i="7" l="1"/>
  <c r="M94" i="7"/>
  <c r="O94" i="7" s="1"/>
  <c r="M95" i="7" s="1"/>
  <c r="O95" i="7" s="1"/>
  <c r="O58" i="7"/>
  <c r="M59" i="7" s="1"/>
  <c r="O59" i="7" s="1"/>
  <c r="M60" i="7" s="1"/>
  <c r="O60" i="7" s="1"/>
  <c r="D59" i="7"/>
  <c r="C5" i="7"/>
  <c r="J141" i="7"/>
  <c r="A142" i="7"/>
  <c r="M77" i="7"/>
  <c r="O77" i="7" s="1"/>
  <c r="D95" i="7"/>
  <c r="F95" i="7" s="1"/>
  <c r="M111" i="7"/>
  <c r="O111" i="7" s="1"/>
  <c r="J125" i="7"/>
  <c r="A126" i="7"/>
  <c r="M127" i="7"/>
  <c r="O127" i="7" s="1"/>
  <c r="F77" i="7"/>
  <c r="M42" i="7"/>
  <c r="O42" i="7" s="1"/>
  <c r="A44" i="7"/>
  <c r="J43" i="7"/>
  <c r="M142" i="7"/>
  <c r="O142" i="7" s="1"/>
  <c r="A77" i="7"/>
  <c r="J76" i="7"/>
  <c r="L5" i="7"/>
  <c r="Q5" i="7" s="1"/>
  <c r="F41" i="7"/>
  <c r="D142" i="7"/>
  <c r="F142" i="7" s="1"/>
  <c r="J94" i="7"/>
  <c r="A95" i="7"/>
  <c r="M26" i="7"/>
  <c r="O26" i="7" s="1"/>
  <c r="J59" i="7"/>
  <c r="A60" i="7"/>
  <c r="D110" i="7"/>
  <c r="F110" i="7" s="1"/>
  <c r="H130" i="7"/>
  <c r="Q130" i="7" s="1"/>
  <c r="H114" i="7"/>
  <c r="Q114" i="7" s="1"/>
  <c r="H98" i="7"/>
  <c r="Q98" i="7" s="1"/>
  <c r="Q30" i="7"/>
  <c r="H81" i="7"/>
  <c r="Q81" i="7" s="1"/>
  <c r="H46" i="7"/>
  <c r="Q46" i="7" s="1"/>
  <c r="H63" i="7"/>
  <c r="Q63" i="7" s="1"/>
  <c r="H146" i="7"/>
  <c r="Q146" i="7" s="1"/>
  <c r="J109" i="7"/>
  <c r="A110" i="7"/>
  <c r="D126" i="7"/>
  <c r="F126" i="7" s="1"/>
  <c r="F26" i="7"/>
  <c r="F59" i="7" l="1"/>
  <c r="D60" i="7" s="1"/>
  <c r="F60" i="7" s="1"/>
  <c r="D61" i="7" s="1"/>
  <c r="F61" i="7" s="1"/>
  <c r="J142" i="7"/>
  <c r="A143" i="7"/>
  <c r="M96" i="7"/>
  <c r="O96" i="7" s="1"/>
  <c r="M112" i="7"/>
  <c r="O112" i="7" s="1"/>
  <c r="D143" i="7"/>
  <c r="F143" i="7" s="1"/>
  <c r="D78" i="7"/>
  <c r="F78" i="7" s="1"/>
  <c r="M61" i="7"/>
  <c r="O61" i="7" s="1"/>
  <c r="D96" i="7"/>
  <c r="F96" i="7" s="1"/>
  <c r="D27" i="7"/>
  <c r="J110" i="7"/>
  <c r="A111" i="7"/>
  <c r="D111" i="7"/>
  <c r="F111" i="7" s="1"/>
  <c r="M27" i="7"/>
  <c r="A127" i="7"/>
  <c r="J126" i="7"/>
  <c r="M78" i="7"/>
  <c r="O78" i="7" s="1"/>
  <c r="J60" i="7"/>
  <c r="A61" i="7"/>
  <c r="J95" i="7"/>
  <c r="A96" i="7"/>
  <c r="H5" i="7"/>
  <c r="A78" i="7"/>
  <c r="J77" i="7"/>
  <c r="J44" i="7"/>
  <c r="A45" i="7"/>
  <c r="D42" i="7"/>
  <c r="C6" i="7" s="1"/>
  <c r="H6" i="7" s="1"/>
  <c r="M143" i="7"/>
  <c r="O143" i="7" s="1"/>
  <c r="M43" i="7"/>
  <c r="O43" i="7" s="1"/>
  <c r="M128" i="7"/>
  <c r="O128" i="7" s="1"/>
  <c r="D127" i="7"/>
  <c r="F127" i="7" s="1"/>
  <c r="H131" i="7"/>
  <c r="Q131" i="7" s="1"/>
  <c r="H115" i="7"/>
  <c r="Q115" i="7" s="1"/>
  <c r="H99" i="7"/>
  <c r="Q99" i="7" s="1"/>
  <c r="H32" i="7"/>
  <c r="Q31" i="7"/>
  <c r="H64" i="7"/>
  <c r="Q64" i="7" s="1"/>
  <c r="H147" i="7"/>
  <c r="Q147" i="7" s="1"/>
  <c r="H47" i="7"/>
  <c r="Q47" i="7" s="1"/>
  <c r="H82" i="7"/>
  <c r="Q82" i="7" s="1"/>
  <c r="L6" i="7"/>
  <c r="Q6" i="7" s="1"/>
  <c r="F42" i="7" l="1"/>
  <c r="D43" i="7" s="1"/>
  <c r="F43" i="7" s="1"/>
  <c r="D44" i="7" s="1"/>
  <c r="D97" i="7"/>
  <c r="F97" i="7" s="1"/>
  <c r="D98" i="7" s="1"/>
  <c r="J143" i="7"/>
  <c r="A144" i="7"/>
  <c r="D62" i="7"/>
  <c r="F62" i="7" s="1"/>
  <c r="M113" i="7"/>
  <c r="O113" i="7" s="1"/>
  <c r="M79" i="7"/>
  <c r="O79" i="7" s="1"/>
  <c r="D79" i="7"/>
  <c r="F79" i="7" s="1"/>
  <c r="M97" i="7"/>
  <c r="O97" i="7" s="1"/>
  <c r="M98" i="7" s="1"/>
  <c r="D128" i="7"/>
  <c r="F128" i="7" s="1"/>
  <c r="M129" i="7"/>
  <c r="O129" i="7" s="1"/>
  <c r="M62" i="7"/>
  <c r="O62" i="7" s="1"/>
  <c r="M144" i="7"/>
  <c r="O144" i="7" s="1"/>
  <c r="A46" i="7"/>
  <c r="J45" i="7"/>
  <c r="A62" i="7"/>
  <c r="J61" i="7"/>
  <c r="L7" i="7"/>
  <c r="Q7" i="7" s="1"/>
  <c r="J111" i="7"/>
  <c r="A112" i="7"/>
  <c r="D144" i="7"/>
  <c r="F144" i="7" s="1"/>
  <c r="O27" i="7"/>
  <c r="H132" i="7"/>
  <c r="Q132" i="7" s="1"/>
  <c r="H116" i="7"/>
  <c r="Q116" i="7" s="1"/>
  <c r="H100" i="7"/>
  <c r="Q100" i="7" s="1"/>
  <c r="H33" i="7"/>
  <c r="Q32" i="7"/>
  <c r="H83" i="7"/>
  <c r="Q83" i="7" s="1"/>
  <c r="H48" i="7"/>
  <c r="Q48" i="7" s="1"/>
  <c r="H148" i="7"/>
  <c r="Q148" i="7" s="1"/>
  <c r="H65" i="7"/>
  <c r="Q65" i="7" s="1"/>
  <c r="M44" i="7"/>
  <c r="O44" i="7" s="1"/>
  <c r="J96" i="7"/>
  <c r="A97" i="7"/>
  <c r="D112" i="7"/>
  <c r="F112" i="7" s="1"/>
  <c r="A79" i="7"/>
  <c r="J78" i="7"/>
  <c r="J127" i="7"/>
  <c r="A128" i="7"/>
  <c r="F27" i="7"/>
  <c r="C7" i="7" l="1"/>
  <c r="C17" i="7" s="1"/>
  <c r="H17" i="7" s="1"/>
  <c r="A145" i="7"/>
  <c r="J144" i="7"/>
  <c r="M130" i="7"/>
  <c r="O130" i="7" s="1"/>
  <c r="D80" i="7"/>
  <c r="F80" i="7" s="1"/>
  <c r="F98" i="7"/>
  <c r="D63" i="7"/>
  <c r="F63" i="7" s="1"/>
  <c r="D113" i="7"/>
  <c r="F113" i="7" s="1"/>
  <c r="D129" i="7"/>
  <c r="F129" i="7" s="1"/>
  <c r="F44" i="7"/>
  <c r="D45" i="7" s="1"/>
  <c r="M63" i="7"/>
  <c r="O63" i="7" s="1"/>
  <c r="O98" i="7"/>
  <c r="H133" i="7"/>
  <c r="Q133" i="7" s="1"/>
  <c r="H117" i="7"/>
  <c r="Q117" i="7" s="1"/>
  <c r="H101" i="7"/>
  <c r="Q101" i="7" s="1"/>
  <c r="Q33" i="7"/>
  <c r="H66" i="7"/>
  <c r="Q66" i="7" s="1"/>
  <c r="H149" i="7"/>
  <c r="Q149" i="7" s="1"/>
  <c r="H84" i="7"/>
  <c r="Q84" i="7" s="1"/>
  <c r="H49" i="7"/>
  <c r="Q49" i="7" s="1"/>
  <c r="M28" i="7"/>
  <c r="L8" i="7" s="1"/>
  <c r="M80" i="7"/>
  <c r="O80" i="7" s="1"/>
  <c r="J97" i="7"/>
  <c r="A98" i="7"/>
  <c r="M45" i="7"/>
  <c r="O45" i="7" s="1"/>
  <c r="M46" i="7" s="1"/>
  <c r="D145" i="7"/>
  <c r="F145" i="7" s="1"/>
  <c r="J46" i="7"/>
  <c r="A47" i="7"/>
  <c r="D28" i="7"/>
  <c r="C8" i="7" s="1"/>
  <c r="A80" i="7"/>
  <c r="J79" i="7"/>
  <c r="M145" i="7"/>
  <c r="O145" i="7" s="1"/>
  <c r="M114" i="7"/>
  <c r="O114" i="7" s="1"/>
  <c r="A129" i="7"/>
  <c r="J128" i="7"/>
  <c r="L17" i="7"/>
  <c r="Q17" i="7" s="1"/>
  <c r="A113" i="7"/>
  <c r="J112" i="7"/>
  <c r="J62" i="7"/>
  <c r="A63" i="7"/>
  <c r="H7" i="7" l="1"/>
  <c r="D99" i="7"/>
  <c r="F99" i="7" s="1"/>
  <c r="H8" i="7"/>
  <c r="J145" i="7"/>
  <c r="A146" i="7"/>
  <c r="O46" i="7"/>
  <c r="M64" i="7"/>
  <c r="O64" i="7" s="1"/>
  <c r="D81" i="7"/>
  <c r="F81" i="7" s="1"/>
  <c r="D114" i="7"/>
  <c r="F114" i="7" s="1"/>
  <c r="M131" i="7"/>
  <c r="O131" i="7" s="1"/>
  <c r="M115" i="7"/>
  <c r="O115" i="7" s="1"/>
  <c r="M116" i="7" s="1"/>
  <c r="D64" i="7"/>
  <c r="F64" i="7" s="1"/>
  <c r="M99" i="7"/>
  <c r="A64" i="7"/>
  <c r="J63" i="7"/>
  <c r="A81" i="7"/>
  <c r="J80" i="7"/>
  <c r="M81" i="7"/>
  <c r="O81" i="7" s="1"/>
  <c r="H134" i="7"/>
  <c r="Q134" i="7" s="1"/>
  <c r="Q102" i="7"/>
  <c r="H35" i="7"/>
  <c r="Q34" i="7"/>
  <c r="H150" i="7"/>
  <c r="Q150" i="7" s="1"/>
  <c r="H85" i="7"/>
  <c r="Q85" i="7" s="1"/>
  <c r="H50" i="7"/>
  <c r="Q50" i="7" s="1"/>
  <c r="H67" i="7"/>
  <c r="Q67" i="7" s="1"/>
  <c r="H118" i="7"/>
  <c r="Q118" i="7" s="1"/>
  <c r="F45" i="7"/>
  <c r="M146" i="7"/>
  <c r="O146" i="7" s="1"/>
  <c r="D146" i="7"/>
  <c r="F146" i="7" s="1"/>
  <c r="J98" i="7"/>
  <c r="A99" i="7"/>
  <c r="Q8" i="7"/>
  <c r="J129" i="7"/>
  <c r="A130" i="7"/>
  <c r="F28" i="7"/>
  <c r="O28" i="7"/>
  <c r="D130" i="7"/>
  <c r="F130" i="7" s="1"/>
  <c r="J113" i="7"/>
  <c r="A114" i="7"/>
  <c r="A48" i="7"/>
  <c r="J47" i="7"/>
  <c r="D100" i="7" l="1"/>
  <c r="F100" i="7" s="1"/>
  <c r="O99" i="7"/>
  <c r="M100" i="7" s="1"/>
  <c r="O100" i="7" s="1"/>
  <c r="M101" i="7" s="1"/>
  <c r="A147" i="7"/>
  <c r="J146" i="7"/>
  <c r="D147" i="7"/>
  <c r="M132" i="7"/>
  <c r="O132" i="7" s="1"/>
  <c r="D65" i="7"/>
  <c r="F65" i="7" s="1"/>
  <c r="D66" i="7" s="1"/>
  <c r="D115" i="7"/>
  <c r="F115" i="7" s="1"/>
  <c r="M147" i="7"/>
  <c r="O147" i="7" s="1"/>
  <c r="D82" i="7"/>
  <c r="F82" i="7" s="1"/>
  <c r="M65" i="7"/>
  <c r="O65" i="7" s="1"/>
  <c r="M66" i="7" s="1"/>
  <c r="D29" i="7"/>
  <c r="C9" i="7" s="1"/>
  <c r="M47" i="7"/>
  <c r="O47" i="7" s="1"/>
  <c r="D131" i="7"/>
  <c r="F131" i="7" s="1"/>
  <c r="A131" i="7"/>
  <c r="J130" i="7"/>
  <c r="A100" i="7"/>
  <c r="J99" i="7"/>
  <c r="D46" i="7"/>
  <c r="F46" i="7" s="1"/>
  <c r="A82" i="7"/>
  <c r="J81" i="7"/>
  <c r="J48" i="7"/>
  <c r="A49" i="7"/>
  <c r="M82" i="7"/>
  <c r="O82" i="7" s="1"/>
  <c r="O116" i="7"/>
  <c r="A115" i="7"/>
  <c r="J114" i="7"/>
  <c r="M29" i="7"/>
  <c r="L9" i="7" s="1"/>
  <c r="H135" i="7"/>
  <c r="Q135" i="7" s="1"/>
  <c r="H119" i="7"/>
  <c r="Q119" i="7" s="1"/>
  <c r="H36" i="7"/>
  <c r="Q35" i="7"/>
  <c r="Q103" i="7"/>
  <c r="H151" i="7"/>
  <c r="Q151" i="7" s="1"/>
  <c r="H68" i="7"/>
  <c r="Q68" i="7" s="1"/>
  <c r="H86" i="7"/>
  <c r="Q86" i="7" s="1"/>
  <c r="H51" i="7"/>
  <c r="Q51" i="7" s="1"/>
  <c r="J64" i="7"/>
  <c r="A65" i="7"/>
  <c r="D101" i="7" l="1"/>
  <c r="F101" i="7" s="1"/>
  <c r="O66" i="7"/>
  <c r="M67" i="7" s="1"/>
  <c r="F147" i="7"/>
  <c r="D148" i="7" s="1"/>
  <c r="A148" i="7"/>
  <c r="J147" i="7"/>
  <c r="D132" i="7"/>
  <c r="F132" i="7" s="1"/>
  <c r="D116" i="7"/>
  <c r="F116" i="7" s="1"/>
  <c r="D83" i="7"/>
  <c r="F83" i="7" s="1"/>
  <c r="D84" i="7" s="1"/>
  <c r="F66" i="7"/>
  <c r="D67" i="7" s="1"/>
  <c r="M133" i="7"/>
  <c r="O133" i="7" s="1"/>
  <c r="M117" i="7"/>
  <c r="O117" i="7" s="1"/>
  <c r="M118" i="7" s="1"/>
  <c r="O101" i="7"/>
  <c r="M102" i="7" s="1"/>
  <c r="J115" i="7"/>
  <c r="A116" i="7"/>
  <c r="M83" i="7"/>
  <c r="O83" i="7" s="1"/>
  <c r="M84" i="7" s="1"/>
  <c r="H9" i="7"/>
  <c r="Q9" i="7"/>
  <c r="A83" i="7"/>
  <c r="J82" i="7"/>
  <c r="J100" i="7"/>
  <c r="A101" i="7"/>
  <c r="F29" i="7"/>
  <c r="A66" i="7"/>
  <c r="J65" i="7"/>
  <c r="H136" i="7"/>
  <c r="Q136" i="7" s="1"/>
  <c r="Q36" i="7"/>
  <c r="H152" i="7"/>
  <c r="Q152" i="7" s="1"/>
  <c r="Q104" i="7"/>
  <c r="H120" i="7"/>
  <c r="Q120" i="7" s="1"/>
  <c r="H87" i="7"/>
  <c r="Q87" i="7" s="1"/>
  <c r="H52" i="7"/>
  <c r="Q52" i="7" s="1"/>
  <c r="H69" i="7"/>
  <c r="Q69" i="7" s="1"/>
  <c r="O29" i="7"/>
  <c r="A50" i="7"/>
  <c r="J49" i="7"/>
  <c r="D47" i="7"/>
  <c r="F47" i="7" s="1"/>
  <c r="D48" i="7" s="1"/>
  <c r="M48" i="7"/>
  <c r="O48" i="7" s="1"/>
  <c r="M148" i="7"/>
  <c r="O148" i="7" s="1"/>
  <c r="J131" i="7"/>
  <c r="A132" i="7"/>
  <c r="D102" i="7" l="1"/>
  <c r="F102" i="7" s="1"/>
  <c r="F148" i="7"/>
  <c r="D149" i="7" s="1"/>
  <c r="F149" i="7" s="1"/>
  <c r="J148" i="7"/>
  <c r="A149" i="7"/>
  <c r="F84" i="7"/>
  <c r="D85" i="7" s="1"/>
  <c r="D117" i="7"/>
  <c r="F117" i="7" s="1"/>
  <c r="M149" i="7"/>
  <c r="O149" i="7" s="1"/>
  <c r="M49" i="7"/>
  <c r="O49" i="7" s="1"/>
  <c r="J66" i="7"/>
  <c r="A67" i="7"/>
  <c r="A117" i="7"/>
  <c r="J116" i="7"/>
  <c r="D133" i="7"/>
  <c r="F133" i="7" s="1"/>
  <c r="J50" i="7"/>
  <c r="A51" i="7"/>
  <c r="D30" i="7"/>
  <c r="C10" i="7" s="1"/>
  <c r="H10" i="7" s="1"/>
  <c r="A84" i="7"/>
  <c r="J83" i="7"/>
  <c r="J132" i="7"/>
  <c r="A133" i="7"/>
  <c r="F48" i="7"/>
  <c r="M30" i="7"/>
  <c r="L10" i="7" s="1"/>
  <c r="A102" i="7"/>
  <c r="J101" i="7"/>
  <c r="O84" i="7"/>
  <c r="M85" i="7" s="1"/>
  <c r="M134" i="7"/>
  <c r="O134" i="7" s="1"/>
  <c r="D103" i="7" l="1"/>
  <c r="F103" i="7" s="1"/>
  <c r="O102" i="7"/>
  <c r="M103" i="7" s="1"/>
  <c r="J149" i="7"/>
  <c r="A150" i="7"/>
  <c r="F30" i="7"/>
  <c r="D31" i="7" s="1"/>
  <c r="M135" i="7"/>
  <c r="O135" i="7" s="1"/>
  <c r="D134" i="7"/>
  <c r="F134" i="7" s="1"/>
  <c r="D49" i="7"/>
  <c r="F49" i="7" s="1"/>
  <c r="J133" i="7"/>
  <c r="A134" i="7"/>
  <c r="D150" i="7"/>
  <c r="M50" i="7"/>
  <c r="O50" i="7" s="1"/>
  <c r="J102" i="7"/>
  <c r="A103" i="7"/>
  <c r="H18" i="7"/>
  <c r="C18" i="7"/>
  <c r="A118" i="7"/>
  <c r="J117" i="7"/>
  <c r="O67" i="7"/>
  <c r="M68" i="7" s="1"/>
  <c r="F67" i="7"/>
  <c r="Q10" i="7"/>
  <c r="L18" i="7"/>
  <c r="Q18" i="7" s="1"/>
  <c r="A52" i="7"/>
  <c r="J52" i="7" s="1"/>
  <c r="J51" i="7"/>
  <c r="A68" i="7"/>
  <c r="J67" i="7"/>
  <c r="M150" i="7"/>
  <c r="O150" i="7" s="1"/>
  <c r="O30" i="7"/>
  <c r="A85" i="7"/>
  <c r="J84" i="7"/>
  <c r="D104" i="7" l="1"/>
  <c r="F104" i="7" s="1"/>
  <c r="C11" i="7"/>
  <c r="H11" i="7" s="1"/>
  <c r="F150" i="7"/>
  <c r="D151" i="7" s="1"/>
  <c r="D118" i="7"/>
  <c r="F118" i="7" s="1"/>
  <c r="D119" i="7" s="1"/>
  <c r="J150" i="7"/>
  <c r="A151" i="7"/>
  <c r="M136" i="7"/>
  <c r="O136" i="7" s="1"/>
  <c r="M31" i="7"/>
  <c r="L11" i="7" s="1"/>
  <c r="J118" i="7"/>
  <c r="A119" i="7"/>
  <c r="J68" i="7"/>
  <c r="A69" i="7"/>
  <c r="J69" i="7" s="1"/>
  <c r="D68" i="7"/>
  <c r="M51" i="7"/>
  <c r="O51" i="7" s="1"/>
  <c r="D50" i="7"/>
  <c r="F50" i="7" s="1"/>
  <c r="D135" i="7"/>
  <c r="F135" i="7" s="1"/>
  <c r="F85" i="7"/>
  <c r="D86" i="7" s="1"/>
  <c r="M151" i="7"/>
  <c r="O151" i="7" s="1"/>
  <c r="F31" i="7"/>
  <c r="A86" i="7"/>
  <c r="J85" i="7"/>
  <c r="J103" i="7"/>
  <c r="A104" i="7"/>
  <c r="J104" i="7" s="1"/>
  <c r="J134" i="7"/>
  <c r="A135" i="7"/>
  <c r="O85" i="7"/>
  <c r="M86" i="7" s="1"/>
  <c r="O68" i="7" l="1"/>
  <c r="M69" i="7" s="1"/>
  <c r="O69" i="7" s="1"/>
  <c r="F68" i="7"/>
  <c r="D69" i="7" s="1"/>
  <c r="F69" i="7" s="1"/>
  <c r="F151" i="7"/>
  <c r="D152" i="7" s="1"/>
  <c r="O118" i="7"/>
  <c r="M119" i="7" s="1"/>
  <c r="F119" i="7"/>
  <c r="D120" i="7" s="1"/>
  <c r="O103" i="7"/>
  <c r="M104" i="7" s="1"/>
  <c r="J151" i="7"/>
  <c r="A152" i="7"/>
  <c r="J152" i="7" s="1"/>
  <c r="M152" i="7"/>
  <c r="O152" i="7" s="1"/>
  <c r="D136" i="7"/>
  <c r="F136" i="7" s="1"/>
  <c r="D32" i="7"/>
  <c r="C12" i="7" s="1"/>
  <c r="H12" i="7" s="1"/>
  <c r="D51" i="7"/>
  <c r="F51" i="7" s="1"/>
  <c r="M52" i="7"/>
  <c r="O52" i="7" s="1"/>
  <c r="Q11" i="7"/>
  <c r="O31" i="7"/>
  <c r="J135" i="7"/>
  <c r="A136" i="7"/>
  <c r="J136" i="7" s="1"/>
  <c r="A120" i="7"/>
  <c r="J120" i="7" s="1"/>
  <c r="J119" i="7"/>
  <c r="A87" i="7"/>
  <c r="J87" i="7" s="1"/>
  <c r="J86" i="7"/>
  <c r="F86" i="7" l="1"/>
  <c r="D87" i="7" s="1"/>
  <c r="O86" i="7"/>
  <c r="M87" i="7" s="1"/>
  <c r="F152" i="7"/>
  <c r="O119" i="7"/>
  <c r="M120" i="7" s="1"/>
  <c r="F120" i="7"/>
  <c r="O104" i="7"/>
  <c r="F32" i="7"/>
  <c r="D33" i="7" s="1"/>
  <c r="C13" i="7" s="1"/>
  <c r="H13" i="7" s="1"/>
  <c r="M32" i="7"/>
  <c r="L12" i="7" s="1"/>
  <c r="Q12" i="7" s="1"/>
  <c r="D52" i="7"/>
  <c r="F52" i="7" s="1"/>
  <c r="O87" i="7" l="1"/>
  <c r="F87" i="7"/>
  <c r="O120" i="7"/>
  <c r="C19" i="7"/>
  <c r="H19" i="7" s="1"/>
  <c r="F33" i="7"/>
  <c r="O32" i="7"/>
  <c r="D34" i="7" l="1"/>
  <c r="C14" i="7" s="1"/>
  <c r="M33" i="7"/>
  <c r="L13" i="7" s="1"/>
  <c r="O33" i="7" l="1"/>
  <c r="M34" i="7" s="1"/>
  <c r="L14" i="7" s="1"/>
  <c r="Q14" i="7" s="1"/>
  <c r="F34" i="7"/>
  <c r="D35" i="7" s="1"/>
  <c r="C15" i="7" s="1"/>
  <c r="H15" i="7" s="1"/>
  <c r="H14" i="7"/>
  <c r="Q13" i="7"/>
  <c r="L19" i="7"/>
  <c r="Q19" i="7" s="1"/>
  <c r="O34" i="7" l="1"/>
  <c r="F35" i="7"/>
  <c r="D36" i="7" l="1"/>
  <c r="C16" i="7" s="1"/>
  <c r="M35" i="7"/>
  <c r="L15" i="7" l="1"/>
  <c r="Q15" i="7" s="1"/>
  <c r="F36" i="7"/>
  <c r="H16" i="7"/>
  <c r="C20" i="7"/>
  <c r="H20" i="7" s="1"/>
  <c r="O35" i="7"/>
  <c r="M36" i="7" l="1"/>
  <c r="L16" i="7" s="1"/>
  <c r="Q16" i="7" l="1"/>
  <c r="L20" i="7"/>
  <c r="Q20" i="7" s="1"/>
  <c r="O36" i="7"/>
  <c r="F197" i="3" l="1"/>
  <c r="F193" i="3"/>
  <c r="F188" i="3"/>
  <c r="F189" i="3" s="1"/>
  <c r="F183" i="3"/>
  <c r="F179" i="3"/>
  <c r="F166" i="3"/>
  <c r="F162" i="3"/>
  <c r="F157" i="3"/>
  <c r="F153" i="3"/>
  <c r="F142" i="3"/>
  <c r="F138" i="3"/>
  <c r="F134" i="3"/>
  <c r="F130" i="3"/>
  <c r="F119" i="3"/>
  <c r="F115" i="3"/>
  <c r="F111" i="3"/>
  <c r="F107" i="3"/>
  <c r="F93" i="3"/>
  <c r="F89" i="3"/>
  <c r="F78" i="3"/>
  <c r="F79" i="3" s="1"/>
  <c r="F71" i="3"/>
  <c r="F72" i="3" s="1"/>
  <c r="F62" i="3"/>
  <c r="F58" i="3"/>
  <c r="F47" i="3"/>
  <c r="F43" i="3"/>
  <c r="F38" i="3"/>
  <c r="F34" i="3"/>
  <c r="F23" i="3"/>
  <c r="F19" i="3"/>
  <c r="F14" i="3"/>
  <c r="F10" i="3"/>
  <c r="F24" i="3" l="1"/>
  <c r="F94" i="3"/>
  <c r="F48" i="3"/>
  <c r="F184" i="3"/>
  <c r="F167" i="3"/>
  <c r="F158" i="3"/>
  <c r="F63" i="3"/>
  <c r="F39" i="3"/>
  <c r="F15" i="3"/>
  <c r="F168" i="3" l="1"/>
  <c r="E11" i="1"/>
  <c r="C23" i="2" l="1"/>
  <c r="C40" i="2"/>
  <c r="K92" i="3" l="1"/>
  <c r="K91"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7" i="1"/>
  <c r="G18" i="1" s="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18" i="2" l="1"/>
  <c r="I18" i="2"/>
  <c r="I19" i="2" s="1"/>
  <c r="E18" i="2"/>
  <c r="E19" i="2" s="1"/>
  <c r="P16" i="2"/>
  <c r="P17" i="2"/>
  <c r="E35" i="2"/>
  <c r="E36" i="2" s="1"/>
  <c r="S28" i="2"/>
  <c r="S27" i="2" s="1"/>
  <c r="G18" i="2"/>
  <c r="G19" i="2" s="1"/>
  <c r="K18" i="2"/>
  <c r="K19" i="2" s="1"/>
  <c r="S11" i="2"/>
  <c r="S10" i="2" s="1"/>
  <c r="C11" i="2"/>
  <c r="N35" i="2"/>
  <c r="N36" i="2" s="1"/>
  <c r="D17" i="2"/>
  <c r="L35" i="2"/>
  <c r="L36" i="2" s="1"/>
  <c r="K35" i="2"/>
  <c r="K36" i="2" s="1"/>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0" i="1"/>
  <c r="Q29" i="1" s="1"/>
  <c r="C30" i="1"/>
  <c r="E19" i="1"/>
  <c r="E20" i="1"/>
  <c r="E21" i="1" s="1"/>
  <c r="M20" i="1"/>
  <c r="M21" i="1" s="1"/>
  <c r="F20" i="1"/>
  <c r="F21" i="1" s="1"/>
  <c r="M39" i="1"/>
  <c r="M40" i="1" s="1"/>
  <c r="C11" i="1"/>
  <c r="Q11" i="1"/>
  <c r="Q10" i="1" s="1"/>
  <c r="F39" i="1"/>
  <c r="F40" i="1" s="1"/>
  <c r="N39" i="1"/>
  <c r="N40" i="1" s="1"/>
  <c r="O35" i="2"/>
  <c r="O36" i="2" s="1"/>
  <c r="S33" i="2"/>
  <c r="S34" i="2" s="1"/>
  <c r="O17" i="2"/>
  <c r="N18" i="2"/>
  <c r="N19" i="2" s="1"/>
  <c r="S16" i="2"/>
  <c r="S17" i="2" s="1"/>
  <c r="M19" i="2"/>
  <c r="N20" i="1"/>
  <c r="N21" i="1" s="1"/>
  <c r="T33" i="2"/>
  <c r="T34" i="2" s="1"/>
  <c r="R28" i="2"/>
  <c r="R27" i="2" s="1"/>
  <c r="L17" i="2"/>
  <c r="R16" i="2"/>
  <c r="R17" i="2" s="1"/>
  <c r="J18" i="2"/>
  <c r="J19" i="2" s="1"/>
  <c r="T11" i="2"/>
  <c r="T10" i="2" s="1"/>
  <c r="L39" i="1"/>
  <c r="L40" i="1" s="1"/>
  <c r="L20" i="1"/>
  <c r="L21" i="1" s="1"/>
  <c r="R11" i="1"/>
  <c r="R10" i="1" s="1"/>
  <c r="Q33" i="2"/>
  <c r="Q34" i="2" s="1"/>
  <c r="I35" i="2"/>
  <c r="I36" i="2" s="1"/>
  <c r="H35" i="2"/>
  <c r="I20" i="2"/>
  <c r="K20" i="2" s="1"/>
  <c r="L20" i="2" s="1"/>
  <c r="T16" i="2"/>
  <c r="T17" i="2" s="1"/>
  <c r="Q16" i="2"/>
  <c r="Q17" i="2" s="1"/>
  <c r="Q11" i="2"/>
  <c r="Q10" i="2" s="1"/>
  <c r="I20" i="1"/>
  <c r="I21" i="1" s="1"/>
  <c r="P18" i="1"/>
  <c r="P19" i="1" s="1"/>
  <c r="D19" i="1"/>
  <c r="T18" i="1"/>
  <c r="T19" i="1" s="1"/>
  <c r="Q37" i="1"/>
  <c r="Q38" i="1" s="1"/>
  <c r="G38" i="1"/>
  <c r="J20" i="1"/>
  <c r="I22" i="1"/>
  <c r="K22" i="1" s="1"/>
  <c r="L22" i="1" s="1"/>
  <c r="H41" i="1"/>
  <c r="J39" i="1"/>
  <c r="R30" i="1"/>
  <c r="R29" i="1" s="1"/>
  <c r="A35" i="1"/>
  <c r="A36" i="1" s="1"/>
  <c r="A37" i="1" s="1"/>
  <c r="C39" i="1" s="1"/>
  <c r="S11" i="1"/>
  <c r="S10" i="1" s="1"/>
  <c r="Q18" i="1"/>
  <c r="Q19" i="1" s="1"/>
  <c r="I19" i="1"/>
  <c r="H20" i="1"/>
  <c r="E41" i="1"/>
  <c r="F22" i="1"/>
  <c r="F41" i="1" s="1"/>
  <c r="I39" i="1"/>
  <c r="S30" i="1"/>
  <c r="S29" i="1" s="1"/>
  <c r="K38" i="1"/>
  <c r="K39" i="1"/>
  <c r="R37" i="1"/>
  <c r="R38" i="1" s="1"/>
  <c r="H39" i="1"/>
  <c r="R18" i="1"/>
  <c r="R19" i="1" s="1"/>
  <c r="J19" i="1"/>
  <c r="S18" i="1"/>
  <c r="S19" i="1" s="1"/>
  <c r="G39" i="1"/>
  <c r="O39" i="1"/>
  <c r="S39" i="1" s="1"/>
  <c r="E38" i="1"/>
  <c r="E39" i="1"/>
  <c r="M38" i="1"/>
  <c r="S37" i="1"/>
  <c r="S38" i="1" s="1"/>
  <c r="D30" i="1"/>
  <c r="G20" i="1"/>
  <c r="G21" i="1" s="1"/>
  <c r="K20" i="1"/>
  <c r="O20" i="1"/>
  <c r="D36" i="1"/>
  <c r="D37" i="1" s="1"/>
  <c r="P35" i="2" l="1"/>
  <c r="N20" i="2"/>
  <c r="O20" i="2" s="1"/>
  <c r="Q18" i="2"/>
  <c r="N22" i="1"/>
  <c r="O22" i="1" s="1"/>
  <c r="M41" i="1"/>
  <c r="R35" i="2"/>
  <c r="R19" i="2"/>
  <c r="Q19" i="2"/>
  <c r="S36" i="2"/>
  <c r="R36" i="2"/>
  <c r="F36" i="2"/>
  <c r="P36" i="2" s="1"/>
  <c r="R18" i="2"/>
  <c r="S35" i="2"/>
  <c r="F19" i="2"/>
  <c r="P19" i="2" s="1"/>
  <c r="D38" i="2"/>
  <c r="D40" i="2" s="1"/>
  <c r="P18" i="2"/>
  <c r="C37" i="1"/>
  <c r="S20" i="1"/>
  <c r="S18" i="2"/>
  <c r="S19" i="2"/>
  <c r="T18" i="2"/>
  <c r="Q36" i="2"/>
  <c r="T35" i="2"/>
  <c r="Q35" i="2"/>
  <c r="I37" i="2"/>
  <c r="T11" i="1"/>
  <c r="T10" i="1" s="1"/>
  <c r="P11" i="1"/>
  <c r="P10" i="1" s="1"/>
  <c r="D20" i="1"/>
  <c r="D21" i="1" s="1"/>
  <c r="P38" i="1"/>
  <c r="D38" i="1"/>
  <c r="T37" i="1"/>
  <c r="T38" i="1" s="1"/>
  <c r="O40" i="1"/>
  <c r="S40" i="1" s="1"/>
  <c r="I40" i="1"/>
  <c r="C36" i="1"/>
  <c r="J21" i="1"/>
  <c r="R20" i="1"/>
  <c r="O21" i="1"/>
  <c r="S21" i="1" s="1"/>
  <c r="T30" i="1"/>
  <c r="T29" i="1" s="1"/>
  <c r="P30" i="1"/>
  <c r="P29" i="1" s="1"/>
  <c r="D39" i="1"/>
  <c r="D40" i="1" s="1"/>
  <c r="E40" i="1"/>
  <c r="G40" i="1"/>
  <c r="Q39" i="1"/>
  <c r="K40" i="1"/>
  <c r="K21" i="1"/>
  <c r="R39" i="1"/>
  <c r="J40"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H23" i="2"/>
  <c r="I43" i="1"/>
  <c r="Q42" i="1"/>
  <c r="H24" i="1"/>
  <c r="I23" i="1"/>
  <c r="I24" i="1" s="1"/>
  <c r="I44" i="1"/>
  <c r="J40" i="2" l="1"/>
  <c r="K38" i="2" s="1"/>
  <c r="I21" i="2"/>
  <c r="I23" i="2" s="1"/>
  <c r="H42" i="2"/>
  <c r="I25" i="1"/>
  <c r="J42" i="1"/>
  <c r="J44" i="1" s="1"/>
  <c r="Q23" i="1"/>
  <c r="Q24" i="1" s="1"/>
  <c r="Q45" i="1"/>
  <c r="Q43" i="1"/>
  <c r="K39" i="2" l="1"/>
  <c r="I22" i="2"/>
  <c r="Q21" i="2"/>
  <c r="Q22" i="2" s="1"/>
  <c r="J21" i="2"/>
  <c r="J23" i="2" s="1"/>
  <c r="I42" i="2"/>
  <c r="K40" i="2"/>
  <c r="L38" i="2" s="1"/>
  <c r="R38" i="2" s="1"/>
  <c r="R39" i="2" s="1"/>
  <c r="I46" i="1"/>
  <c r="J23" i="1"/>
  <c r="K42" i="1"/>
  <c r="K43" i="1" s="1"/>
  <c r="J43" i="1"/>
  <c r="L40" i="2" l="1"/>
  <c r="L39" i="2"/>
  <c r="K21" i="2"/>
  <c r="K22" i="2" s="1"/>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E10" authorId="0" shapeId="0">
      <text>
        <r>
          <rPr>
            <b/>
            <sz val="9"/>
            <color indexed="81"/>
            <rFont val="Tahoma"/>
            <charset val="1"/>
          </rPr>
          <t>Author:</t>
        </r>
        <r>
          <rPr>
            <sz val="9"/>
            <color indexed="81"/>
            <rFont val="Tahoma"/>
            <charset val="1"/>
          </rPr>
          <t xml:space="preserve">
less sch 74 interst entry</t>
        </r>
      </text>
    </comment>
    <comment ref="N10" authorId="0" shapeId="0">
      <text>
        <r>
          <rPr>
            <b/>
            <sz val="9"/>
            <color indexed="81"/>
            <rFont val="Tahoma"/>
            <charset val="1"/>
          </rPr>
          <t>Author:</t>
        </r>
        <r>
          <rPr>
            <sz val="9"/>
            <color indexed="81"/>
            <rFont val="Tahoma"/>
            <charset val="1"/>
          </rPr>
          <t xml:space="preserve">
less sch 174 interest entry</t>
        </r>
      </text>
    </comment>
    <comment ref="F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F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List>
</comments>
</file>

<file path=xl/sharedStrings.xml><?xml version="1.0" encoding="utf-8"?>
<sst xmlns="http://schemas.openxmlformats.org/spreadsheetml/2006/main" count="725" uniqueCount="174">
  <si>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</si>
  <si>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</si>
  <si>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</si>
  <si>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</si>
  <si>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</si>
  <si>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</si>
  <si>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</si>
  <si>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</si>
  <si>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</si>
  <si>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</si>
  <si>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</si>
  <si>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</si>
  <si>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</si>
  <si>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</si>
  <si>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</si>
  <si>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</si>
  <si>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</si>
  <si>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</si>
  <si>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</si>
  <si>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</si>
  <si>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</si>
  <si>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</si>
  <si>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</si>
  <si>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</si>
  <si>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</si>
  <si>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</si>
  <si>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</si>
  <si>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</si>
  <si>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</si>
  <si>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</si>
  <si>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</si>
  <si>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</si>
  <si>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</si>
  <si>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</si>
  <si>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</si>
  <si>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</si>
  <si>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</si>
  <si>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</si>
  <si>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</si>
  <si>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</si>
  <si>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</si>
  <si>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</si>
  <si>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</si>
  <si>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</si>
  <si>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</si>
  <si>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</si>
  <si>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</si>
  <si>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</si>
  <si>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</si>
  <si>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</si>
  <si>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</si>
  <si>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</si>
  <si>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</si>
  <si>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</si>
  <si>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</si>
  <si>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</si>
  <si>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</si>
  <si>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</si>
  <si>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</si>
  <si>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</si>
  <si>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</si>
  <si>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</si>
  <si>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</si>
  <si>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</si>
  <si>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</si>
  <si>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</si>
  <si>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</si>
  <si>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</si>
  <si>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</si>
  <si>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</si>
  <si>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</si>
  <si>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419605</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</si>
  <si>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</si>
  <si>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</si>
  <si>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</si>
  <si>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</si>
  <si>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</si>
  <si>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</si>
  <si>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</si>
  <si>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</si>
  <si>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</si>
  <si>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</si>
  <si>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</si>
  <si>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</si>
  <si>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</si>
  <si>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</si>
  <si>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</si>
  <si>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</si>
  <si>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</si>
  <si>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</si>
  <si>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</si>
  <si>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</si>
  <si>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</si>
  <si>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</si>
  <si>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</si>
  <si>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</si>
  <si>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</si>
  <si>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</si>
  <si>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</si>
  <si>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</si>
  <si>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</si>
  <si>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</si>
  <si>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</si>
  <si>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</si>
  <si>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</si>
  <si>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</si>
  <si>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</si>
  <si>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</si>
  <si>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</si>
  <si>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</si>
  <si>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</si>
  <si>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</si>
  <si>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</si>
  <si>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</si>
  <si>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</si>
  <si>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</si>
  <si>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</si>
  <si>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</si>
  <si>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</si>
  <si>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</si>
  <si>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</si>
  <si>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</si>
  <si>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</si>
  <si>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</si>
  <si>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</si>
  <si>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</si>
  <si>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</si>
  <si>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</si>
  <si>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</si>
  <si>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</si>
  <si>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</si>
  <si>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</si>
  <si>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</si>
  <si>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</si>
  <si>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</si>
  <si>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</si>
  <si>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</si>
  <si>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</si>
  <si>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</si>
  <si>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</si>
  <si>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</si>
  <si>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</si>
  <si>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</si>
  <si>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</si>
  <si>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</si>
  <si>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</si>
  <si>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</si>
  <si>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</si>
  <si>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</si>
  <si>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</si>
  <si>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Provision for Rate Refund</t>
  </si>
  <si>
    <t>YTD Weighted</t>
  </si>
  <si>
    <t>TRANSFER PRIOR UNAMORTIZED BALANCES APPROVED FOR REBATE TO CURRENT SURCHARGE APPROVED FOR RECOVERY ACCOUNT.</t>
  </si>
  <si>
    <t>Development of WA Electric Deferrals (Calendar Year 2018)</t>
  </si>
  <si>
    <t>1st Quarter 2018</t>
  </si>
  <si>
    <t>2nd Quarter 2018</t>
  </si>
  <si>
    <t>3rd Quarter 2018</t>
  </si>
  <si>
    <t>4th Quarter 2018</t>
  </si>
  <si>
    <t>2018 YTD</t>
  </si>
  <si>
    <t>Development of WA Natural Gas Deferrals (Calendar Year 2018)</t>
  </si>
  <si>
    <t>2017 Deferred Revenue Pending Recovery</t>
  </si>
  <si>
    <t>TRANSFER PRIOR YEAR BALANCES APPROVED FOR RECOVERY TO SURCHARGE/REBATE ACCOUNTS.</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</si>
  <si>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2018.  The year-to-date impact is lower usage and revenue from residential electric and natural gas customers resulting in surcharge deferrals and also lower usage and revenues from non-residential electric and natural gas customers resulting in surcharge deferrals.</t>
    </r>
  </si>
  <si>
    <t>201804</t>
  </si>
  <si>
    <t>201805</t>
  </si>
  <si>
    <t>201806</t>
  </si>
  <si>
    <t>GL Account Balance  Accounting Period : '201804, 201805, 201806'</t>
  </si>
  <si>
    <t xml:space="preserve">                             UG-170486 Base effective 5/1/2018</t>
  </si>
  <si>
    <t xml:space="preserve">                            UE-170486 Base effective 5/1/2018</t>
  </si>
  <si>
    <t>Financial Reporting Contra Asset Accounts (3)</t>
  </si>
  <si>
    <r>
      <rPr>
        <b/>
        <sz val="11"/>
        <color theme="1"/>
        <rFont val="Calibri"/>
        <family val="2"/>
        <scheme val="minor"/>
      </rPr>
      <t>3)</t>
    </r>
    <r>
      <rPr>
        <sz val="11"/>
        <color theme="1"/>
        <rFont val="Calibri"/>
        <family val="2"/>
        <scheme val="minor"/>
      </rPr>
      <t xml:space="preserve">  The contra asset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2018 surcharge may not be fully recovered by 12/31/2020 and therefore would not be recognizable as income for financial reporting purposes in 2018.  The income statement impact of any contra deferral entries will be eliminated for normalized Idaho results reporting.</t>
    </r>
  </si>
  <si>
    <t>(2)</t>
  </si>
  <si>
    <r>
      <rPr>
        <b/>
        <sz val="11"/>
        <color theme="1"/>
        <rFont val="Calibri"/>
        <family val="2"/>
        <scheme val="minor"/>
      </rPr>
      <t>2)</t>
    </r>
    <r>
      <rPr>
        <sz val="11"/>
        <color theme="1"/>
        <rFont val="Calibri"/>
        <family val="2"/>
        <scheme val="minor"/>
      </rPr>
      <t xml:space="preserve">  Interest Expense recorded in June in this account included amounts associated with the tax reform regulatory liability associated with Schedule 74 and 174 rebates effective June 1.  New accounts have been set up to differentiate the source of the interest income or expense and beginning July 2018 interest associated with the Decoupling Mechanism will be recorded in Account 419328 or 431328.</t>
    </r>
  </si>
  <si>
    <t>Recon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</si>
</sst>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60">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C00000"/>
      </left>
      <right/>
      <top/>
      <bottom/>
      <diagonal/>
    </border>
    <border>
      <left style="thick">
        <color rgb="FFC00000"/>
      </left>
      <right/>
      <top/>
      <bottom style="thin">
        <color auto="1"/>
      </bottom>
      <diagonal/>
    </border>
    <border>
      <left style="thick">
        <color rgb="FFC00000"/>
      </left>
      <right/>
      <top style="thin">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46">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73" fontId="13" fillId="0" borderId="46" xfId="0" applyNumberFormat="1" applyFont="1" applyFill="1" applyBorder="1" applyAlignment="1">
      <alignment horizontal="righ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164" fontId="6" fillId="2" borderId="58" xfId="3" applyNumberFormat="1" applyFont="1" applyFill="1" applyBorder="1" applyAlignment="1">
      <alignment horizontal="center" vertical="center"/>
    </xf>
    <xf numFmtId="0" fontId="5" fillId="2" borderId="57" xfId="3" applyFont="1" applyFill="1" applyBorder="1" applyAlignment="1">
      <alignment horizontal="center"/>
    </xf>
    <xf numFmtId="165" fontId="174" fillId="2" borderId="57" xfId="4" applyNumberFormat="1" applyFont="1" applyFill="1" applyBorder="1"/>
    <xf numFmtId="166" fontId="7" fillId="0" borderId="57" xfId="3" applyNumberFormat="1" applyFont="1" applyFill="1" applyBorder="1" applyAlignment="1">
      <alignment vertical="center"/>
    </xf>
    <xf numFmtId="167" fontId="7" fillId="2" borderId="57" xfId="3" applyNumberFormat="1" applyFont="1" applyFill="1" applyBorder="1"/>
    <xf numFmtId="167" fontId="174" fillId="2" borderId="57" xfId="1" applyNumberFormat="1" applyFont="1" applyFill="1" applyBorder="1"/>
    <xf numFmtId="166" fontId="7" fillId="2" borderId="57" xfId="3" applyNumberFormat="1" applyFont="1" applyFill="1" applyBorder="1" applyAlignment="1">
      <alignment vertical="center"/>
    </xf>
    <xf numFmtId="167" fontId="7" fillId="0" borderId="57" xfId="1" applyNumberFormat="1" applyFont="1" applyFill="1" applyBorder="1"/>
    <xf numFmtId="167" fontId="7" fillId="0" borderId="57" xfId="3" applyNumberFormat="1" applyFont="1" applyFill="1" applyBorder="1"/>
    <xf numFmtId="10" fontId="7" fillId="0" borderId="57" xfId="2" applyNumberFormat="1" applyFont="1" applyFill="1" applyBorder="1"/>
    <xf numFmtId="167" fontId="7" fillId="2" borderId="57" xfId="5" applyNumberFormat="1" applyFont="1" applyFill="1" applyBorder="1"/>
    <xf numFmtId="167" fontId="8" fillId="2" borderId="59" xfId="3" applyNumberFormat="1" applyFont="1" applyFill="1" applyBorder="1"/>
    <xf numFmtId="0" fontId="7" fillId="2" borderId="57" xfId="3" applyFont="1" applyFill="1" applyBorder="1"/>
    <xf numFmtId="166" fontId="5" fillId="2" borderId="57" xfId="3" applyNumberFormat="1" applyFont="1" applyFill="1" applyBorder="1"/>
    <xf numFmtId="0" fontId="5" fillId="2" borderId="57" xfId="3" applyFont="1" applyFill="1" applyBorder="1"/>
    <xf numFmtId="165" fontId="122" fillId="2" borderId="57" xfId="4" applyNumberFormat="1" applyFont="1" applyFill="1" applyBorder="1"/>
    <xf numFmtId="166" fontId="7" fillId="0" borderId="57" xfId="3" applyNumberFormat="1" applyFont="1" applyFill="1" applyBorder="1" applyAlignment="1">
      <alignment vertical="center" wrapText="1"/>
    </xf>
    <xf numFmtId="167" fontId="122" fillId="2" borderId="57" xfId="3" applyNumberFormat="1" applyFont="1" applyFill="1" applyBorder="1"/>
    <xf numFmtId="165" fontId="122" fillId="2" borderId="57" xfId="6" applyNumberFormat="1" applyFont="1" applyFill="1" applyBorder="1"/>
    <xf numFmtId="169" fontId="7" fillId="0" borderId="57" xfId="5" applyNumberFormat="1" applyFont="1" applyFill="1" applyBorder="1"/>
    <xf numFmtId="166" fontId="7" fillId="2" borderId="57" xfId="3" applyNumberFormat="1" applyFont="1" applyFill="1" applyBorder="1" applyAlignment="1">
      <alignment vertical="center" wrapText="1"/>
    </xf>
    <xf numFmtId="0" fontId="5" fillId="0" borderId="57" xfId="3" applyFont="1" applyBorder="1"/>
    <xf numFmtId="167" fontId="5" fillId="2" borderId="57" xfId="3" applyNumberFormat="1" applyFont="1" applyFill="1" applyBorder="1"/>
    <xf numFmtId="0" fontId="30" fillId="0" borderId="0" xfId="0" quotePrefix="1" applyFont="1"/>
    <xf numFmtId="0" fontId="14" fillId="0" borderId="0" xfId="0" applyFont="1" applyAlignment="1">
      <alignment horizontal="center"/>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topLeftCell="A14" zoomScaleNormal="100" workbookViewId="0">
      <selection activeCell="G17" sqref="G17"/>
    </sheetView>
  </sheetViews>
  <sheetFormatPr defaultRowHeight="14.4"/>
  <cols>
    <col min="1" max="1" width="7.44140625" customWidth="1"/>
    <col min="2" max="2" width="32.109375" customWidth="1"/>
    <col min="3" max="3" width="17.33203125" customWidth="1"/>
    <col min="4" max="6" width="12.44140625" customWidth="1"/>
    <col min="7" max="9" width="12.33203125" customWidth="1"/>
    <col min="10" max="10" width="12.6640625" hidden="1" customWidth="1"/>
    <col min="11" max="11" width="13" hidden="1" customWidth="1"/>
    <col min="12" max="12" width="12.44140625" hidden="1" customWidth="1"/>
    <col min="13" max="14" width="12.6640625" hidden="1" customWidth="1"/>
    <col min="15" max="15" width="12.5546875" hidden="1" customWidth="1"/>
    <col min="16" max="16" width="13.5546875" style="38" customWidth="1"/>
    <col min="17" max="17" width="12.88671875" style="38" customWidth="1"/>
    <col min="18" max="19" width="12" style="38" hidden="1" customWidth="1"/>
    <col min="20" max="20" width="13.33203125" style="38" customWidth="1"/>
  </cols>
  <sheetData>
    <row r="1" spans="1:20" ht="15.6">
      <c r="A1" s="138" t="s">
        <v>0</v>
      </c>
      <c r="B1" s="138"/>
      <c r="C1" s="138"/>
      <c r="D1" s="138"/>
      <c r="E1" s="138"/>
      <c r="F1" s="138"/>
      <c r="G1" s="138"/>
      <c r="H1" s="138"/>
      <c r="I1" s="138"/>
      <c r="J1" s="138"/>
      <c r="K1" s="138"/>
      <c r="L1" s="138"/>
      <c r="M1" s="138"/>
      <c r="N1" s="138"/>
      <c r="O1" s="138"/>
      <c r="P1" s="122"/>
      <c r="Q1" s="122"/>
      <c r="R1" s="122"/>
      <c r="S1" s="122"/>
      <c r="T1" s="122"/>
    </row>
    <row r="2" spans="1:20" ht="17.399999999999999">
      <c r="A2" s="138" t="s">
        <v>93</v>
      </c>
      <c r="B2" s="138"/>
      <c r="C2" s="138"/>
      <c r="D2" s="138"/>
      <c r="E2" s="138"/>
      <c r="F2" s="138"/>
      <c r="G2" s="138"/>
      <c r="H2" s="138"/>
      <c r="I2" s="138"/>
      <c r="J2" s="138"/>
      <c r="K2" s="138"/>
      <c r="L2" s="138"/>
      <c r="M2" s="138"/>
      <c r="N2" s="138"/>
      <c r="O2" s="138"/>
      <c r="P2" s="123"/>
      <c r="Q2" s="123"/>
      <c r="R2" s="123"/>
      <c r="S2" s="123"/>
      <c r="T2" s="123"/>
    </row>
    <row r="3" spans="1:20" ht="15.6">
      <c r="A3" s="138"/>
      <c r="B3" s="138" t="s">
        <v>168</v>
      </c>
      <c r="C3" s="138"/>
      <c r="D3" s="138"/>
      <c r="E3" s="138"/>
      <c r="F3" s="138"/>
      <c r="G3" s="138"/>
      <c r="H3" s="138"/>
      <c r="I3" s="138"/>
      <c r="J3" s="138"/>
      <c r="K3" s="138"/>
      <c r="L3" s="138"/>
      <c r="M3" s="138"/>
      <c r="N3" s="138"/>
      <c r="O3" s="138"/>
      <c r="P3" s="124"/>
      <c r="Q3" s="124"/>
      <c r="R3" s="124"/>
      <c r="S3" s="124"/>
      <c r="T3" s="124"/>
    </row>
    <row r="4" spans="1:20" ht="14.4" customHeight="1">
      <c r="A4" s="139" t="s">
        <v>153</v>
      </c>
      <c r="B4" s="104"/>
      <c r="C4" s="105"/>
      <c r="D4" s="105"/>
      <c r="E4" s="105"/>
      <c r="F4" s="105"/>
      <c r="G4" s="105"/>
      <c r="H4" s="105"/>
      <c r="I4" s="105"/>
      <c r="J4" s="105"/>
      <c r="K4" s="105"/>
      <c r="L4" s="105"/>
      <c r="M4" s="105"/>
      <c r="N4" s="105"/>
      <c r="O4" s="105"/>
      <c r="P4" s="125"/>
      <c r="Q4" s="125"/>
      <c r="R4" s="125"/>
      <c r="S4" s="125"/>
      <c r="T4" s="125"/>
    </row>
    <row r="5" spans="1:20" ht="27">
      <c r="A5" s="35"/>
      <c r="B5" s="35"/>
      <c r="C5" s="35"/>
      <c r="D5" s="106"/>
      <c r="E5" s="35"/>
      <c r="F5" s="35"/>
      <c r="G5" s="35"/>
      <c r="H5" s="35"/>
      <c r="I5" s="35"/>
      <c r="J5" s="35"/>
      <c r="K5" s="35"/>
      <c r="L5" s="35"/>
      <c r="M5" s="35"/>
      <c r="N5" s="35"/>
      <c r="O5" s="35"/>
      <c r="P5" s="125" t="s">
        <v>154</v>
      </c>
      <c r="Q5" s="125" t="s">
        <v>155</v>
      </c>
      <c r="R5" s="125" t="s">
        <v>156</v>
      </c>
      <c r="S5" s="125" t="s">
        <v>157</v>
      </c>
      <c r="T5" s="125" t="s">
        <v>158</v>
      </c>
    </row>
    <row r="6" spans="1:20" ht="26.4">
      <c r="A6" s="107" t="s">
        <v>1</v>
      </c>
      <c r="B6" s="108"/>
      <c r="C6" s="103" t="s">
        <v>2</v>
      </c>
      <c r="D6" s="192">
        <v>43101</v>
      </c>
      <c r="E6" s="109">
        <f>EDATE(D6,1)</f>
        <v>43132</v>
      </c>
      <c r="F6" s="109">
        <f t="shared" ref="F6:O6" si="0">EDATE(E6,1)</f>
        <v>43160</v>
      </c>
      <c r="G6" s="109">
        <f t="shared" si="0"/>
        <v>43191</v>
      </c>
      <c r="H6" s="216">
        <f t="shared" si="0"/>
        <v>43221</v>
      </c>
      <c r="I6" s="109">
        <f t="shared" si="0"/>
        <v>43252</v>
      </c>
      <c r="J6" s="109">
        <f t="shared" si="0"/>
        <v>43282</v>
      </c>
      <c r="K6" s="109">
        <f t="shared" si="0"/>
        <v>43313</v>
      </c>
      <c r="L6" s="109">
        <f t="shared" si="0"/>
        <v>43344</v>
      </c>
      <c r="M6" s="109">
        <f t="shared" si="0"/>
        <v>43374</v>
      </c>
      <c r="N6" s="109">
        <f t="shared" si="0"/>
        <v>43405</v>
      </c>
      <c r="O6" s="109">
        <f t="shared" si="0"/>
        <v>43435</v>
      </c>
      <c r="P6" s="126" t="s">
        <v>3</v>
      </c>
      <c r="Q6" s="126" t="s">
        <v>3</v>
      </c>
      <c r="R6" s="126" t="s">
        <v>3</v>
      </c>
      <c r="S6" s="126" t="s">
        <v>3</v>
      </c>
      <c r="T6" s="126" t="s">
        <v>3</v>
      </c>
    </row>
    <row r="7" spans="1:20">
      <c r="A7" s="64"/>
      <c r="B7" s="64" t="s">
        <v>4</v>
      </c>
      <c r="C7" s="64" t="s">
        <v>5</v>
      </c>
      <c r="D7" s="64" t="s">
        <v>6</v>
      </c>
      <c r="E7" s="64" t="s">
        <v>7</v>
      </c>
      <c r="F7" s="64" t="s">
        <v>8</v>
      </c>
      <c r="G7" s="64" t="s">
        <v>9</v>
      </c>
      <c r="H7" s="217" t="s">
        <v>10</v>
      </c>
      <c r="I7" s="64" t="s">
        <v>11</v>
      </c>
      <c r="J7" s="64" t="s">
        <v>12</v>
      </c>
      <c r="K7" s="64" t="s">
        <v>13</v>
      </c>
      <c r="L7" s="64" t="s">
        <v>14</v>
      </c>
      <c r="M7" s="64" t="s">
        <v>15</v>
      </c>
      <c r="N7" s="64" t="s">
        <v>16</v>
      </c>
      <c r="O7" s="64" t="s">
        <v>17</v>
      </c>
      <c r="P7" s="8"/>
      <c r="Q7" s="8"/>
      <c r="R7" s="8"/>
      <c r="S7" s="8"/>
      <c r="T7" s="16"/>
    </row>
    <row r="8" spans="1:20">
      <c r="A8" s="64"/>
      <c r="B8" s="2" t="s">
        <v>19</v>
      </c>
      <c r="C8" s="64"/>
      <c r="D8" s="64"/>
      <c r="E8" s="64"/>
      <c r="F8" s="64"/>
      <c r="G8" s="64"/>
      <c r="H8" s="217"/>
      <c r="I8" s="64"/>
      <c r="J8" s="64"/>
      <c r="K8" s="64"/>
      <c r="L8" s="64"/>
      <c r="M8" s="64"/>
      <c r="N8" s="64"/>
      <c r="O8" s="64"/>
      <c r="P8" s="130"/>
      <c r="Q8" s="130"/>
      <c r="R8" s="130"/>
      <c r="S8" s="130"/>
      <c r="T8" s="16"/>
    </row>
    <row r="9" spans="1:20" ht="21" customHeight="1">
      <c r="A9" s="64">
        <v>1</v>
      </c>
      <c r="B9" s="35" t="s">
        <v>20</v>
      </c>
      <c r="C9" s="64" t="s">
        <v>21</v>
      </c>
      <c r="D9" s="33">
        <v>215198</v>
      </c>
      <c r="E9" s="33">
        <v>214197</v>
      </c>
      <c r="F9" s="33">
        <v>216045</v>
      </c>
      <c r="G9" s="33">
        <v>214971</v>
      </c>
      <c r="H9" s="231">
        <v>215099</v>
      </c>
      <c r="I9" s="33">
        <v>214829</v>
      </c>
      <c r="J9" s="33"/>
      <c r="K9" s="33"/>
      <c r="L9" s="33"/>
      <c r="M9" s="33"/>
      <c r="N9" s="33"/>
      <c r="O9" s="33"/>
      <c r="P9" s="127">
        <f>SUM(D9:F9)</f>
        <v>645440</v>
      </c>
      <c r="Q9" s="127">
        <f>SUM(G9:I9)</f>
        <v>644899</v>
      </c>
      <c r="R9" s="127">
        <f>SUM(J9:L9)</f>
        <v>0</v>
      </c>
      <c r="S9" s="127">
        <f>SUM(M9:O9)</f>
        <v>0</v>
      </c>
      <c r="T9" s="128">
        <f>SUM(D9:O9)</f>
        <v>1290339</v>
      </c>
    </row>
    <row r="10" spans="1:20" ht="26.4">
      <c r="A10" s="102">
        <f>A9+1</f>
        <v>2</v>
      </c>
      <c r="B10" s="110" t="s">
        <v>22</v>
      </c>
      <c r="C10" s="110" t="s">
        <v>94</v>
      </c>
      <c r="D10" s="111">
        <v>88.322763278236906</v>
      </c>
      <c r="E10" s="111">
        <v>72.165165657020907</v>
      </c>
      <c r="F10" s="111">
        <v>70.972141606104245</v>
      </c>
      <c r="G10" s="111">
        <v>53.464415602104843</v>
      </c>
      <c r="H10" s="232">
        <v>45.892124419392054</v>
      </c>
      <c r="I10" s="111">
        <v>42.548958852653399</v>
      </c>
      <c r="J10" s="111">
        <v>56.439626965764539</v>
      </c>
      <c r="K10" s="111">
        <v>50.945678742657662</v>
      </c>
      <c r="L10" s="111">
        <v>48.236457551145826</v>
      </c>
      <c r="M10" s="111">
        <v>47.127141167587858</v>
      </c>
      <c r="N10" s="111">
        <v>63.977202165489828</v>
      </c>
      <c r="O10" s="111">
        <v>78.404457665319498</v>
      </c>
      <c r="P10" s="111">
        <f>P11/P9</f>
        <v>77.152981428913193</v>
      </c>
      <c r="Q10" s="111">
        <f>Q11/Q9</f>
        <v>47.302599691181982</v>
      </c>
      <c r="R10" s="111" t="e">
        <f>R11/R9</f>
        <v>#DIV/0!</v>
      </c>
      <c r="S10" s="111" t="e">
        <f>S11/S9</f>
        <v>#DIV/0!</v>
      </c>
      <c r="T10" s="111">
        <f>T11/T9</f>
        <v>62.234048239820154</v>
      </c>
    </row>
    <row r="11" spans="1:20">
      <c r="A11" s="64">
        <f>A10+1</f>
        <v>3</v>
      </c>
      <c r="B11" s="35" t="s">
        <v>23</v>
      </c>
      <c r="C11" s="64" t="str">
        <f>"("&amp;A9&amp;") x ("&amp;A10&amp;")"</f>
        <v>(1) x (2)</v>
      </c>
      <c r="D11" s="68">
        <f>D9*D10</f>
        <v>19006882.011950027</v>
      </c>
      <c r="E11" s="68">
        <f>E9*E10</f>
        <v>15457561.988236908</v>
      </c>
      <c r="F11" s="68">
        <f t="shared" ref="F11:O11" si="1">F9*F10</f>
        <v>15333176.333290791</v>
      </c>
      <c r="G11" s="68">
        <f t="shared" si="1"/>
        <v>11493298.886400079</v>
      </c>
      <c r="H11" s="220">
        <f t="shared" si="1"/>
        <v>9871350.0704868119</v>
      </c>
      <c r="I11" s="68">
        <f t="shared" si="1"/>
        <v>9140750.2813566774</v>
      </c>
      <c r="J11" s="68">
        <f t="shared" si="1"/>
        <v>0</v>
      </c>
      <c r="K11" s="68">
        <f t="shared" si="1"/>
        <v>0</v>
      </c>
      <c r="L11" s="68">
        <f t="shared" si="1"/>
        <v>0</v>
      </c>
      <c r="M11" s="68">
        <f t="shared" si="1"/>
        <v>0</v>
      </c>
      <c r="N11" s="68">
        <f t="shared" si="1"/>
        <v>0</v>
      </c>
      <c r="O11" s="68">
        <f t="shared" si="1"/>
        <v>0</v>
      </c>
      <c r="P11" s="117">
        <f>SUM(D11:F11)</f>
        <v>49797620.333477728</v>
      </c>
      <c r="Q11" s="117">
        <f>SUM(G11:I11)</f>
        <v>30505399.238243569</v>
      </c>
      <c r="R11" s="117">
        <f>SUM(J11:L11)</f>
        <v>0</v>
      </c>
      <c r="S11" s="117">
        <f>SUM(M11:O11)</f>
        <v>0</v>
      </c>
      <c r="T11" s="129">
        <f>SUM(D11:O11)</f>
        <v>80303019.5717213</v>
      </c>
    </row>
    <row r="12" spans="1:20" ht="9" customHeight="1">
      <c r="A12" s="64"/>
      <c r="B12" s="35"/>
      <c r="C12" s="64"/>
      <c r="D12" s="65"/>
      <c r="E12" s="65"/>
      <c r="F12" s="65"/>
      <c r="G12" s="65"/>
      <c r="H12" s="228"/>
      <c r="I12" s="65"/>
      <c r="J12" s="65"/>
      <c r="K12" s="65"/>
      <c r="L12" s="65"/>
      <c r="M12" s="65"/>
      <c r="N12" s="65"/>
      <c r="O12" s="65"/>
      <c r="P12" s="127"/>
      <c r="Q12" s="127"/>
      <c r="R12" s="127"/>
      <c r="S12" s="127"/>
      <c r="T12" s="127"/>
    </row>
    <row r="13" spans="1:20">
      <c r="A13" s="64">
        <v>4</v>
      </c>
      <c r="B13" s="35" t="s">
        <v>37</v>
      </c>
      <c r="C13" s="64" t="s">
        <v>21</v>
      </c>
      <c r="D13" s="112">
        <v>25009939.587409999</v>
      </c>
      <c r="E13" s="112">
        <v>19040388.028110001</v>
      </c>
      <c r="F13" s="112">
        <v>20324942.72913</v>
      </c>
      <c r="G13" s="112">
        <v>15377362.623589998</v>
      </c>
      <c r="H13" s="233">
        <v>13472661.706909999</v>
      </c>
      <c r="I13" s="112">
        <v>13244401.199929999</v>
      </c>
      <c r="J13" s="112"/>
      <c r="K13" s="112"/>
      <c r="L13" s="112"/>
      <c r="M13" s="112"/>
      <c r="N13" s="112"/>
      <c r="O13" s="112"/>
      <c r="P13" s="160"/>
      <c r="Q13" s="160"/>
      <c r="R13" s="160"/>
      <c r="S13" s="131"/>
      <c r="T13" s="132"/>
    </row>
    <row r="14" spans="1:20">
      <c r="A14" s="64">
        <v>5</v>
      </c>
      <c r="B14" s="35" t="s">
        <v>38</v>
      </c>
      <c r="C14" s="64" t="s">
        <v>21</v>
      </c>
      <c r="D14" s="112">
        <v>1864092.5</v>
      </c>
      <c r="E14" s="112">
        <v>1853017</v>
      </c>
      <c r="F14" s="112">
        <v>1875006.5</v>
      </c>
      <c r="G14" s="112">
        <v>1866672</v>
      </c>
      <c r="H14" s="233">
        <v>1989944</v>
      </c>
      <c r="I14" s="112">
        <v>1999769.5</v>
      </c>
      <c r="J14" s="112"/>
      <c r="K14" s="112"/>
      <c r="L14" s="112"/>
      <c r="M14" s="112"/>
      <c r="N14" s="112"/>
      <c r="O14" s="112"/>
      <c r="P14" s="117"/>
      <c r="Q14" s="117"/>
      <c r="R14" s="117"/>
      <c r="S14" s="117"/>
      <c r="T14" s="129"/>
    </row>
    <row r="15" spans="1:20">
      <c r="A15" s="64">
        <v>6</v>
      </c>
      <c r="B15" s="6" t="s">
        <v>41</v>
      </c>
      <c r="C15" s="64" t="s">
        <v>21</v>
      </c>
      <c r="D15" s="113">
        <v>273974209.06200004</v>
      </c>
      <c r="E15" s="113">
        <v>216157402.58499998</v>
      </c>
      <c r="F15" s="113">
        <v>230597488.20699999</v>
      </c>
      <c r="G15" s="113">
        <v>174488139.29800999</v>
      </c>
      <c r="H15" s="234">
        <v>147804376.68922001</v>
      </c>
      <c r="I15" s="113">
        <v>143108257.59101999</v>
      </c>
      <c r="J15" s="113"/>
      <c r="K15" s="113"/>
      <c r="L15" s="113"/>
      <c r="M15" s="113"/>
      <c r="N15" s="113"/>
      <c r="O15" s="113"/>
      <c r="P15" s="117"/>
      <c r="Q15" s="117"/>
      <c r="R15" s="117"/>
      <c r="S15" s="117"/>
      <c r="T15" s="129"/>
    </row>
    <row r="16" spans="1:20">
      <c r="A16" s="64">
        <v>7</v>
      </c>
      <c r="B16" s="16" t="s">
        <v>39</v>
      </c>
      <c r="C16" s="114" t="s">
        <v>95</v>
      </c>
      <c r="D16" s="115">
        <v>1.6410000000000001E-2</v>
      </c>
      <c r="E16" s="115">
        <v>1.6410000000000001E-2</v>
      </c>
      <c r="F16" s="115">
        <v>1.6410000000000001E-2</v>
      </c>
      <c r="G16" s="115">
        <v>1.6410000000000001E-2</v>
      </c>
      <c r="H16" s="235">
        <v>1.9E-2</v>
      </c>
      <c r="I16" s="115">
        <v>1.9E-2</v>
      </c>
      <c r="J16" s="115">
        <v>1.9E-2</v>
      </c>
      <c r="K16" s="115">
        <v>1.9E-2</v>
      </c>
      <c r="L16" s="115">
        <v>1.9E-2</v>
      </c>
      <c r="M16" s="115">
        <v>1.9E-2</v>
      </c>
      <c r="N16" s="115">
        <v>1.9E-2</v>
      </c>
      <c r="O16" s="115">
        <v>1.9E-2</v>
      </c>
      <c r="P16" s="133"/>
      <c r="Q16" s="133"/>
      <c r="R16" s="133"/>
      <c r="S16" s="133"/>
      <c r="T16" s="133"/>
    </row>
    <row r="17" spans="1:20">
      <c r="A17" s="64">
        <v>8</v>
      </c>
      <c r="B17" s="35" t="s">
        <v>40</v>
      </c>
      <c r="C17" s="64" t="str">
        <f>"("&amp;A15&amp;") x ("&amp;A16&amp;")"</f>
        <v>(6) x (7)</v>
      </c>
      <c r="D17" s="68">
        <f t="shared" ref="D17:O17" si="2">D15*D16</f>
        <v>4495916.770707421</v>
      </c>
      <c r="E17" s="68">
        <f t="shared" si="2"/>
        <v>3547142.9764198498</v>
      </c>
      <c r="F17" s="68">
        <f t="shared" si="2"/>
        <v>3784104.7814768702</v>
      </c>
      <c r="G17" s="68">
        <f t="shared" si="2"/>
        <v>2863350.3658803441</v>
      </c>
      <c r="H17" s="220">
        <f t="shared" si="2"/>
        <v>2808283.1570951804</v>
      </c>
      <c r="I17" s="68">
        <f t="shared" si="2"/>
        <v>2719056.8942293795</v>
      </c>
      <c r="J17" s="68">
        <f t="shared" si="2"/>
        <v>0</v>
      </c>
      <c r="K17" s="68">
        <f t="shared" si="2"/>
        <v>0</v>
      </c>
      <c r="L17" s="68">
        <f t="shared" si="2"/>
        <v>0</v>
      </c>
      <c r="M17" s="68">
        <f t="shared" si="2"/>
        <v>0</v>
      </c>
      <c r="N17" s="68">
        <f t="shared" si="2"/>
        <v>0</v>
      </c>
      <c r="O17" s="68">
        <f t="shared" si="2"/>
        <v>0</v>
      </c>
      <c r="P17" s="117"/>
      <c r="Q17" s="117"/>
      <c r="R17" s="117"/>
      <c r="S17" s="117"/>
      <c r="T17" s="129"/>
    </row>
    <row r="18" spans="1:20">
      <c r="A18" s="64">
        <v>9</v>
      </c>
      <c r="B18" s="35" t="s">
        <v>25</v>
      </c>
      <c r="C18" s="64" t="str">
        <f>"("&amp;A13&amp;") - ("&amp;A14&amp;") -("&amp;A17&amp;")"</f>
        <v>(4) - (5) -(8)</v>
      </c>
      <c r="D18" s="68">
        <f>D13-D14-D17</f>
        <v>18649930.316702578</v>
      </c>
      <c r="E18" s="68">
        <f t="shared" ref="E18:O18" si="3">E13-E14-E17</f>
        <v>13640228.051690152</v>
      </c>
      <c r="F18" s="68">
        <f t="shared" si="3"/>
        <v>14665831.44765313</v>
      </c>
      <c r="G18" s="68">
        <f t="shared" si="3"/>
        <v>10647340.257709654</v>
      </c>
      <c r="H18" s="220">
        <f t="shared" si="3"/>
        <v>8674434.5498148184</v>
      </c>
      <c r="I18" s="68">
        <f t="shared" si="3"/>
        <v>8525574.8057006188</v>
      </c>
      <c r="J18" s="68">
        <f t="shared" si="3"/>
        <v>0</v>
      </c>
      <c r="K18" s="68">
        <f t="shared" si="3"/>
        <v>0</v>
      </c>
      <c r="L18" s="68">
        <f t="shared" si="3"/>
        <v>0</v>
      </c>
      <c r="M18" s="68">
        <f t="shared" si="3"/>
        <v>0</v>
      </c>
      <c r="N18" s="68">
        <f t="shared" si="3"/>
        <v>0</v>
      </c>
      <c r="O18" s="68">
        <f t="shared" si="3"/>
        <v>0</v>
      </c>
      <c r="P18" s="117">
        <f>SUM(D18:F18)</f>
        <v>46955989.816045858</v>
      </c>
      <c r="Q18" s="117">
        <f>SUM(G18:I18)</f>
        <v>27847349.613225091</v>
      </c>
      <c r="R18" s="117">
        <f>SUM(J18:L18)</f>
        <v>0</v>
      </c>
      <c r="S18" s="117">
        <f>SUM(M18:O18)</f>
        <v>0</v>
      </c>
      <c r="T18" s="129">
        <f>SUM(D18:O18)</f>
        <v>74803339.429270953</v>
      </c>
    </row>
    <row r="19" spans="1:20">
      <c r="A19" s="64"/>
      <c r="B19" s="116" t="s">
        <v>26</v>
      </c>
      <c r="C19" s="64"/>
      <c r="D19" s="32">
        <f t="shared" ref="D19:O19" si="4">D18/D9</f>
        <v>86.664050394067687</v>
      </c>
      <c r="E19" s="32">
        <f t="shared" si="4"/>
        <v>63.680761409777688</v>
      </c>
      <c r="F19" s="32">
        <f t="shared" si="4"/>
        <v>67.883225474568405</v>
      </c>
      <c r="G19" s="32">
        <f t="shared" si="4"/>
        <v>49.529193508471629</v>
      </c>
      <c r="H19" s="236">
        <f t="shared" si="4"/>
        <v>40.327637738040707</v>
      </c>
      <c r="I19" s="32">
        <f t="shared" si="4"/>
        <v>39.685400042362154</v>
      </c>
      <c r="J19" s="32" t="e">
        <f t="shared" si="4"/>
        <v>#DIV/0!</v>
      </c>
      <c r="K19" s="32" t="e">
        <f t="shared" si="4"/>
        <v>#DIV/0!</v>
      </c>
      <c r="L19" s="32" t="e">
        <f t="shared" si="4"/>
        <v>#DIV/0!</v>
      </c>
      <c r="M19" s="32" t="e">
        <f t="shared" si="4"/>
        <v>#DIV/0!</v>
      </c>
      <c r="N19" s="32" t="e">
        <f t="shared" si="4"/>
        <v>#DIV/0!</v>
      </c>
      <c r="O19" s="32" t="e">
        <f t="shared" si="4"/>
        <v>#DIV/0!</v>
      </c>
      <c r="P19" s="133">
        <f>P18/P9</f>
        <v>72.750356061052699</v>
      </c>
      <c r="Q19" s="133">
        <f>Q18/Q9</f>
        <v>43.18094711454831</v>
      </c>
      <c r="R19" s="133" t="e">
        <f>R18/R9</f>
        <v>#DIV/0!</v>
      </c>
      <c r="S19" s="133" t="e">
        <f>S18/S9</f>
        <v>#DIV/0!</v>
      </c>
      <c r="T19" s="133">
        <f>T18/T9</f>
        <v>57.971850365889082</v>
      </c>
    </row>
    <row r="20" spans="1:20">
      <c r="A20" s="64">
        <v>10</v>
      </c>
      <c r="B20" s="35" t="s">
        <v>27</v>
      </c>
      <c r="C20" s="64" t="str">
        <f>"("&amp;A$11&amp;") - ("&amp;A18&amp;")"</f>
        <v>(3) - (9)</v>
      </c>
      <c r="D20" s="117">
        <f t="shared" ref="D20:O20" si="5">D11-D18</f>
        <v>356951.69524744898</v>
      </c>
      <c r="E20" s="117">
        <f t="shared" si="5"/>
        <v>1817333.936546756</v>
      </c>
      <c r="F20" s="117">
        <f t="shared" si="5"/>
        <v>667344.88563766144</v>
      </c>
      <c r="G20" s="117">
        <f t="shared" si="5"/>
        <v>845958.62869042531</v>
      </c>
      <c r="H20" s="224">
        <f t="shared" si="5"/>
        <v>1196915.5206719935</v>
      </c>
      <c r="I20" s="117">
        <f t="shared" si="5"/>
        <v>615175.47565605864</v>
      </c>
      <c r="J20" s="117">
        <f t="shared" si="5"/>
        <v>0</v>
      </c>
      <c r="K20" s="117">
        <f t="shared" si="5"/>
        <v>0</v>
      </c>
      <c r="L20" s="117">
        <f t="shared" si="5"/>
        <v>0</v>
      </c>
      <c r="M20" s="117">
        <f>M11-M18</f>
        <v>0</v>
      </c>
      <c r="N20" s="117">
        <f t="shared" si="5"/>
        <v>0</v>
      </c>
      <c r="O20" s="117">
        <f t="shared" si="5"/>
        <v>0</v>
      </c>
      <c r="P20" s="117">
        <f>SUM(D20:F20)</f>
        <v>2841630.5174318664</v>
      </c>
      <c r="Q20" s="117">
        <f>SUM(G20:I20)</f>
        <v>2658049.6250184774</v>
      </c>
      <c r="R20" s="117">
        <f>SUM(J20:L20)</f>
        <v>0</v>
      </c>
      <c r="S20" s="117">
        <f>SUM(M20:O20)</f>
        <v>0</v>
      </c>
      <c r="T20" s="129">
        <f>SUM(D20:O20)</f>
        <v>5499680.1424503438</v>
      </c>
    </row>
    <row r="21" spans="1:20">
      <c r="A21" s="64">
        <v>11</v>
      </c>
      <c r="B21" s="35" t="s">
        <v>28</v>
      </c>
      <c r="C21" s="15" t="s">
        <v>29</v>
      </c>
      <c r="D21" s="117">
        <f>D20*-0.04588</f>
        <v>-16376.943777952958</v>
      </c>
      <c r="E21" s="117">
        <f>E20*-0.04588</f>
        <v>-83379.28100876516</v>
      </c>
      <c r="F21" s="117">
        <f t="shared" ref="F21:O21" si="6">F20*-0.04588</f>
        <v>-30617.783353055904</v>
      </c>
      <c r="G21" s="117">
        <f>G20*-0.04588</f>
        <v>-38812.581884316707</v>
      </c>
      <c r="H21" s="224">
        <v>-55868.43</v>
      </c>
      <c r="I21" s="117">
        <f t="shared" si="6"/>
        <v>-28224.25082309997</v>
      </c>
      <c r="J21" s="117">
        <f t="shared" si="6"/>
        <v>0</v>
      </c>
      <c r="K21" s="117">
        <f t="shared" si="6"/>
        <v>0</v>
      </c>
      <c r="L21" s="117">
        <f t="shared" si="6"/>
        <v>0</v>
      </c>
      <c r="M21" s="117">
        <f t="shared" si="6"/>
        <v>0</v>
      </c>
      <c r="N21" s="117">
        <f t="shared" si="6"/>
        <v>0</v>
      </c>
      <c r="O21" s="117">
        <f t="shared" si="6"/>
        <v>0</v>
      </c>
      <c r="P21" s="117">
        <f>SUM(D21:F21)</f>
        <v>-130374.00813977401</v>
      </c>
      <c r="Q21" s="117">
        <f>SUM(G21:I21)</f>
        <v>-122905.26270741668</v>
      </c>
      <c r="R21" s="117">
        <f>SUM(J21:L21)</f>
        <v>0</v>
      </c>
      <c r="S21" s="117">
        <f>SUM(M21:O21)</f>
        <v>0</v>
      </c>
      <c r="T21" s="129">
        <f>SUM(D21:O21)</f>
        <v>-253279.2708471907</v>
      </c>
    </row>
    <row r="22" spans="1:20" ht="14.4" customHeight="1">
      <c r="A22" s="64"/>
      <c r="B22" s="35"/>
      <c r="C22" s="64" t="s">
        <v>30</v>
      </c>
      <c r="D22" s="118">
        <v>4.2500000000000003E-2</v>
      </c>
      <c r="E22" s="118">
        <f t="shared" ref="E22:I22" si="7">D22</f>
        <v>4.2500000000000003E-2</v>
      </c>
      <c r="F22" s="118">
        <f t="shared" si="7"/>
        <v>4.2500000000000003E-2</v>
      </c>
      <c r="G22" s="118">
        <v>4.4699999999999997E-2</v>
      </c>
      <c r="H22" s="225">
        <f t="shared" si="7"/>
        <v>4.4699999999999997E-2</v>
      </c>
      <c r="I22" s="118">
        <f t="shared" si="7"/>
        <v>4.4699999999999997E-2</v>
      </c>
      <c r="J22" s="118">
        <v>0</v>
      </c>
      <c r="K22" s="118">
        <f t="shared" ref="K22" si="8">J22</f>
        <v>0</v>
      </c>
      <c r="L22" s="118">
        <f t="shared" ref="L22" si="9">K22</f>
        <v>0</v>
      </c>
      <c r="M22" s="118">
        <v>0</v>
      </c>
      <c r="N22" s="118">
        <f t="shared" ref="N22" si="10">M22</f>
        <v>0</v>
      </c>
      <c r="O22" s="118">
        <f t="shared" ref="O22" si="11">N22</f>
        <v>0</v>
      </c>
      <c r="P22" s="118"/>
      <c r="Q22" s="118"/>
      <c r="R22" s="118"/>
      <c r="S22" s="118"/>
      <c r="T22" s="129"/>
    </row>
    <row r="23" spans="1:20">
      <c r="A23" s="64">
        <v>12</v>
      </c>
      <c r="B23" s="35" t="s">
        <v>31</v>
      </c>
      <c r="C23" s="64" t="s">
        <v>35</v>
      </c>
      <c r="D23" s="9">
        <f>(D20+D21)/2*D22/12</f>
        <v>603.10112239389923</v>
      </c>
      <c r="E23" s="9">
        <f>(D25+(E20+E21)/2)*E22/12</f>
        <v>4278.8829304448027</v>
      </c>
      <c r="F23" s="9">
        <f t="shared" ref="F23:O23" si="12">(E25+(F20+F21)/2)*F22/12</f>
        <v>8492.119586967643</v>
      </c>
      <c r="G23" s="9">
        <f t="shared" si="12"/>
        <v>11652.558545347698</v>
      </c>
      <c r="H23" s="226">
        <f t="shared" si="12"/>
        <v>15324.474044482085</v>
      </c>
      <c r="I23" s="9">
        <f t="shared" si="12"/>
        <v>18599.954572925755</v>
      </c>
      <c r="J23" s="9">
        <f t="shared" si="12"/>
        <v>0</v>
      </c>
      <c r="K23" s="9">
        <f t="shared" si="12"/>
        <v>0</v>
      </c>
      <c r="L23" s="9">
        <f t="shared" si="12"/>
        <v>0</v>
      </c>
      <c r="M23" s="9">
        <f t="shared" si="12"/>
        <v>0</v>
      </c>
      <c r="N23" s="9">
        <f t="shared" si="12"/>
        <v>0</v>
      </c>
      <c r="O23" s="9">
        <f t="shared" si="12"/>
        <v>0</v>
      </c>
      <c r="P23" s="117">
        <f>SUM(D23:F23)</f>
        <v>13374.103639806344</v>
      </c>
      <c r="Q23" s="117">
        <f>SUM(G23:I23)</f>
        <v>45576.98716275554</v>
      </c>
      <c r="R23" s="117">
        <f>SUM(J23:L23)</f>
        <v>0</v>
      </c>
      <c r="S23" s="117">
        <f>SUM(M23:O23)</f>
        <v>0</v>
      </c>
      <c r="T23" s="129">
        <f>SUM(D23:O23)</f>
        <v>58951.090802561885</v>
      </c>
    </row>
    <row r="24" spans="1:20" ht="14.4" customHeight="1" thickBot="1">
      <c r="A24" s="64"/>
      <c r="B24" s="10" t="s">
        <v>32</v>
      </c>
      <c r="C24" s="64"/>
      <c r="D24" s="12">
        <f>D20+D21+D23</f>
        <v>341177.85259188991</v>
      </c>
      <c r="E24" s="12">
        <f t="shared" ref="E24:O24" si="13">E20+E21+E23</f>
        <v>1738233.5384684356</v>
      </c>
      <c r="F24" s="12">
        <f t="shared" si="13"/>
        <v>645219.22187157313</v>
      </c>
      <c r="G24" s="12">
        <f t="shared" si="13"/>
        <v>818798.60535145621</v>
      </c>
      <c r="H24" s="227">
        <f t="shared" si="13"/>
        <v>1156371.5647164756</v>
      </c>
      <c r="I24" s="12">
        <f t="shared" si="13"/>
        <v>605551.17940588447</v>
      </c>
      <c r="J24" s="12">
        <f t="shared" si="13"/>
        <v>0</v>
      </c>
      <c r="K24" s="12">
        <f t="shared" si="13"/>
        <v>0</v>
      </c>
      <c r="L24" s="12">
        <f t="shared" si="13"/>
        <v>0</v>
      </c>
      <c r="M24" s="12">
        <f t="shared" si="13"/>
        <v>0</v>
      </c>
      <c r="N24" s="12">
        <f t="shared" si="13"/>
        <v>0</v>
      </c>
      <c r="O24" s="12">
        <f t="shared" si="13"/>
        <v>0</v>
      </c>
      <c r="P24" s="134">
        <f>P20+P21+P23</f>
        <v>2724630.6129318983</v>
      </c>
      <c r="Q24" s="134">
        <f>Q20+Q21+Q23</f>
        <v>2580721.3494738159</v>
      </c>
      <c r="R24" s="134">
        <f>R20+R21+R23</f>
        <v>0</v>
      </c>
      <c r="S24" s="134">
        <f>S20+S21+S23</f>
        <v>0</v>
      </c>
      <c r="T24" s="134">
        <f>T20+T21+T23</f>
        <v>5305351.9624057142</v>
      </c>
    </row>
    <row r="25" spans="1:20" ht="27.6" thickBot="1">
      <c r="A25" s="64">
        <v>13</v>
      </c>
      <c r="B25" s="137" t="s">
        <v>101</v>
      </c>
      <c r="C25" s="64" t="str">
        <f>"Σ(("&amp;A$20&amp;") ~ ("&amp;A23&amp;"))"</f>
        <v>Σ((10) ~ (12))</v>
      </c>
      <c r="D25" s="68">
        <f>D20+D21+D23</f>
        <v>341177.85259188991</v>
      </c>
      <c r="E25" s="68">
        <f>D25+E20+E21+E23</f>
        <v>2079411.3910603255</v>
      </c>
      <c r="F25" s="68">
        <f t="shared" ref="F25:O25" si="14">E25+F20+F21+F23</f>
        <v>2724630.6129318988</v>
      </c>
      <c r="G25" s="68">
        <f t="shared" si="14"/>
        <v>3543429.2182833552</v>
      </c>
      <c r="H25" s="220">
        <f t="shared" si="14"/>
        <v>4699800.7829998313</v>
      </c>
      <c r="I25" s="68">
        <f t="shared" si="14"/>
        <v>5305351.9624057151</v>
      </c>
      <c r="J25" s="68">
        <f t="shared" si="14"/>
        <v>5305351.9624057151</v>
      </c>
      <c r="K25" s="68">
        <f t="shared" si="14"/>
        <v>5305351.9624057151</v>
      </c>
      <c r="L25" s="68">
        <f t="shared" si="14"/>
        <v>5305351.9624057151</v>
      </c>
      <c r="M25" s="68">
        <f t="shared" si="14"/>
        <v>5305351.9624057151</v>
      </c>
      <c r="N25" s="68">
        <f t="shared" si="14"/>
        <v>5305351.9624057151</v>
      </c>
      <c r="O25" s="119">
        <f t="shared" si="14"/>
        <v>5305351.9624057151</v>
      </c>
      <c r="P25" s="117"/>
      <c r="Q25" s="117"/>
      <c r="R25" s="117"/>
      <c r="S25" s="117"/>
      <c r="T25" s="129"/>
    </row>
    <row r="26" spans="1:20" ht="9" customHeight="1">
      <c r="A26" s="64"/>
      <c r="B26" s="149"/>
      <c r="C26" s="64"/>
      <c r="D26" s="68"/>
      <c r="E26" s="68"/>
      <c r="F26" s="68"/>
      <c r="G26" s="68"/>
      <c r="H26" s="237"/>
      <c r="I26" s="68"/>
      <c r="J26" s="68"/>
      <c r="K26" s="68"/>
      <c r="L26" s="68"/>
      <c r="M26" s="68"/>
      <c r="N26" s="68"/>
      <c r="O26" s="68"/>
      <c r="P26" s="111"/>
      <c r="Q26" s="135"/>
      <c r="R26" s="135"/>
      <c r="S26" s="135"/>
      <c r="T26" s="135"/>
    </row>
    <row r="27" spans="1:20">
      <c r="A27" s="64"/>
      <c r="B27" s="2" t="s">
        <v>33</v>
      </c>
      <c r="C27" s="64"/>
      <c r="D27" s="68"/>
      <c r="E27" s="68"/>
      <c r="F27" s="68"/>
      <c r="G27" s="68"/>
      <c r="H27" s="220"/>
      <c r="I27" s="68"/>
      <c r="J27" s="68"/>
      <c r="K27" s="68"/>
      <c r="L27" s="68"/>
      <c r="M27" s="68"/>
      <c r="N27" s="68"/>
      <c r="O27" s="68"/>
      <c r="P27" s="117"/>
      <c r="Q27" s="117"/>
      <c r="R27" s="117"/>
      <c r="S27" s="117"/>
      <c r="T27" s="129"/>
    </row>
    <row r="28" spans="1:20">
      <c r="A28" s="64">
        <v>14</v>
      </c>
      <c r="B28" s="35" t="s">
        <v>20</v>
      </c>
      <c r="C28" s="64" t="s">
        <v>21</v>
      </c>
      <c r="D28" s="33">
        <v>36869</v>
      </c>
      <c r="E28" s="33">
        <v>36446</v>
      </c>
      <c r="F28" s="33">
        <v>36553</v>
      </c>
      <c r="G28" s="33">
        <v>36256</v>
      </c>
      <c r="H28" s="231">
        <v>36545</v>
      </c>
      <c r="I28" s="33">
        <v>36487</v>
      </c>
      <c r="J28" s="33"/>
      <c r="K28" s="33"/>
      <c r="L28" s="33"/>
      <c r="M28" s="33"/>
      <c r="N28" s="33"/>
      <c r="O28" s="33"/>
      <c r="P28" s="127">
        <f>SUM(D28:F28)</f>
        <v>109868</v>
      </c>
      <c r="Q28" s="127">
        <f>SUM(G28:I28)</f>
        <v>109288</v>
      </c>
      <c r="R28" s="127">
        <f>SUM(J28:L28)</f>
        <v>0</v>
      </c>
      <c r="S28" s="127">
        <f>SUM(M28:O28)</f>
        <v>0</v>
      </c>
      <c r="T28" s="128">
        <f>SUM(D28:O28)</f>
        <v>219156</v>
      </c>
    </row>
    <row r="29" spans="1:20" ht="29.4" customHeight="1">
      <c r="A29" s="102">
        <f>A28+1</f>
        <v>15</v>
      </c>
      <c r="B29" s="110" t="s">
        <v>22</v>
      </c>
      <c r="C29" s="110" t="s">
        <v>96</v>
      </c>
      <c r="D29" s="111">
        <v>362.51153702538215</v>
      </c>
      <c r="E29" s="111">
        <v>368.64634553355734</v>
      </c>
      <c r="F29" s="111">
        <v>345.3608332677303</v>
      </c>
      <c r="G29" s="111">
        <v>343.55068665310012</v>
      </c>
      <c r="H29" s="232">
        <v>363.90367865128621</v>
      </c>
      <c r="I29" s="111">
        <v>372.7602018515484</v>
      </c>
      <c r="J29" s="111">
        <v>410.55493937029155</v>
      </c>
      <c r="K29" s="111">
        <v>386.60243468113521</v>
      </c>
      <c r="L29" s="111">
        <v>363.2493677121696</v>
      </c>
      <c r="M29" s="111">
        <v>367.48144990181908</v>
      </c>
      <c r="N29" s="111">
        <v>326.95588874638707</v>
      </c>
      <c r="O29" s="111">
        <v>388.87614359251808</v>
      </c>
      <c r="P29" s="111">
        <f>P30/P28</f>
        <v>358.84058239287322</v>
      </c>
      <c r="Q29" s="111">
        <f>Q30/Q28</f>
        <v>360.10847592199968</v>
      </c>
      <c r="R29" s="111" t="e">
        <f>R30/R28</f>
        <v>#DIV/0!</v>
      </c>
      <c r="S29" s="111" t="e">
        <f>S30/S28</f>
        <v>#DIV/0!</v>
      </c>
      <c r="T29" s="111">
        <f>T30/T28</f>
        <v>359.47285140677729</v>
      </c>
    </row>
    <row r="30" spans="1:20">
      <c r="A30" s="64">
        <f>A29+1</f>
        <v>16</v>
      </c>
      <c r="B30" s="35" t="s">
        <v>23</v>
      </c>
      <c r="C30" s="64" t="str">
        <f>"("&amp;A28&amp;") x ("&amp;A29&amp;")"</f>
        <v>(14) x (15)</v>
      </c>
      <c r="D30" s="68">
        <f t="shared" ref="D30:O30" si="15">D28*D29</f>
        <v>13365437.858588815</v>
      </c>
      <c r="E30" s="68">
        <f t="shared" si="15"/>
        <v>13435684.70931603</v>
      </c>
      <c r="F30" s="68">
        <f t="shared" si="15"/>
        <v>12623974.538435346</v>
      </c>
      <c r="G30" s="68">
        <f t="shared" si="15"/>
        <v>12455773.695294797</v>
      </c>
      <c r="H30" s="220">
        <f t="shared" si="15"/>
        <v>13298859.936311254</v>
      </c>
      <c r="I30" s="68">
        <f t="shared" si="15"/>
        <v>13600901.484957447</v>
      </c>
      <c r="J30" s="68">
        <f t="shared" si="15"/>
        <v>0</v>
      </c>
      <c r="K30" s="68">
        <f t="shared" si="15"/>
        <v>0</v>
      </c>
      <c r="L30" s="68">
        <f t="shared" si="15"/>
        <v>0</v>
      </c>
      <c r="M30" s="68">
        <f t="shared" si="15"/>
        <v>0</v>
      </c>
      <c r="N30" s="68">
        <f t="shared" si="15"/>
        <v>0</v>
      </c>
      <c r="O30" s="68">
        <f t="shared" si="15"/>
        <v>0</v>
      </c>
      <c r="P30" s="117">
        <f>SUM(D30:F30)</f>
        <v>39425097.106340192</v>
      </c>
      <c r="Q30" s="117">
        <f>SUM(G30:I30)</f>
        <v>39355535.116563499</v>
      </c>
      <c r="R30" s="117">
        <f>SUM(J30:L30)</f>
        <v>0</v>
      </c>
      <c r="S30" s="117">
        <f>SUM(M30:O30)</f>
        <v>0</v>
      </c>
      <c r="T30" s="129">
        <f>SUM(D30:O30)</f>
        <v>78780632.222903684</v>
      </c>
    </row>
    <row r="31" spans="1:20" ht="9" customHeight="1">
      <c r="A31" s="64"/>
      <c r="B31" s="35"/>
      <c r="C31" s="64"/>
      <c r="D31" s="65"/>
      <c r="E31" s="65"/>
      <c r="F31" s="65"/>
      <c r="G31" s="65"/>
      <c r="H31" s="228"/>
      <c r="I31" s="68"/>
      <c r="J31" s="65"/>
      <c r="K31" s="65"/>
      <c r="L31" s="65"/>
      <c r="M31" s="65"/>
      <c r="N31" s="65"/>
      <c r="O31" s="65"/>
      <c r="P31" s="130"/>
      <c r="Q31" s="130"/>
      <c r="R31" s="130"/>
      <c r="S31" s="130"/>
      <c r="T31" s="16"/>
    </row>
    <row r="32" spans="1:20">
      <c r="A32" s="64">
        <v>17</v>
      </c>
      <c r="B32" s="35" t="s">
        <v>37</v>
      </c>
      <c r="C32" s="64" t="s">
        <v>21</v>
      </c>
      <c r="D32" s="112">
        <v>17231332.135527994</v>
      </c>
      <c r="E32" s="112">
        <v>17495590.564329997</v>
      </c>
      <c r="F32" s="112">
        <v>16790327.355908003</v>
      </c>
      <c r="G32" s="112">
        <v>16164293.03472</v>
      </c>
      <c r="H32" s="233">
        <v>17424968.895579997</v>
      </c>
      <c r="I32" s="112">
        <v>17807498.183899999</v>
      </c>
      <c r="J32" s="112"/>
      <c r="K32" s="112"/>
      <c r="L32" s="112"/>
      <c r="M32" s="112"/>
      <c r="N32" s="112"/>
      <c r="O32" s="112"/>
      <c r="P32" s="117"/>
      <c r="Q32" s="117"/>
      <c r="R32" s="117"/>
      <c r="S32" s="117"/>
      <c r="T32" s="16"/>
    </row>
    <row r="33" spans="1:20">
      <c r="A33" s="64">
        <f>A32+1</f>
        <v>18</v>
      </c>
      <c r="B33" s="35" t="s">
        <v>38</v>
      </c>
      <c r="C33" s="64" t="s">
        <v>21</v>
      </c>
      <c r="D33" s="112">
        <v>1599353.29</v>
      </c>
      <c r="E33" s="112">
        <v>1583614.6400000001</v>
      </c>
      <c r="F33" s="112">
        <v>1592066.47</v>
      </c>
      <c r="G33" s="112">
        <v>1579037.1199999999</v>
      </c>
      <c r="H33" s="233">
        <v>1651131.66</v>
      </c>
      <c r="I33" s="112">
        <v>1653528.8900000001</v>
      </c>
      <c r="J33" s="112"/>
      <c r="K33" s="112"/>
      <c r="L33" s="112"/>
      <c r="M33" s="112"/>
      <c r="N33" s="112"/>
      <c r="O33" s="112"/>
      <c r="P33" s="117"/>
      <c r="Q33" s="117"/>
      <c r="R33" s="117"/>
      <c r="S33" s="117"/>
      <c r="T33" s="16"/>
    </row>
    <row r="34" spans="1:20">
      <c r="A34" s="64">
        <f>A33+1</f>
        <v>19</v>
      </c>
      <c r="B34" s="6" t="s">
        <v>41</v>
      </c>
      <c r="C34" s="64" t="s">
        <v>21</v>
      </c>
      <c r="D34" s="113">
        <v>175021622.33399999</v>
      </c>
      <c r="E34" s="113">
        <v>177591618.72100002</v>
      </c>
      <c r="F34" s="113">
        <v>168228412.38800001</v>
      </c>
      <c r="G34" s="113">
        <v>162967105.72499999</v>
      </c>
      <c r="H34" s="234">
        <v>175847456.97705001</v>
      </c>
      <c r="I34" s="113">
        <v>180663410.56000003</v>
      </c>
      <c r="J34" s="113"/>
      <c r="K34" s="113"/>
      <c r="L34" s="113"/>
      <c r="M34" s="113"/>
      <c r="N34" s="113"/>
      <c r="O34" s="113"/>
      <c r="P34" s="127"/>
      <c r="Q34" s="127"/>
      <c r="R34" s="127"/>
      <c r="S34" s="127"/>
      <c r="T34" s="16"/>
    </row>
    <row r="35" spans="1:20">
      <c r="A35" s="64">
        <f>A34+1</f>
        <v>20</v>
      </c>
      <c r="B35" s="16" t="s">
        <v>39</v>
      </c>
      <c r="C35" s="114" t="s">
        <v>95</v>
      </c>
      <c r="D35" s="115">
        <v>1.6410000000000001E-2</v>
      </c>
      <c r="E35" s="115">
        <v>1.6410000000000001E-2</v>
      </c>
      <c r="F35" s="115">
        <v>1.6410000000000001E-2</v>
      </c>
      <c r="G35" s="115">
        <v>1.6410000000000001E-2</v>
      </c>
      <c r="H35" s="235">
        <v>1.9E-2</v>
      </c>
      <c r="I35" s="115">
        <v>1.9E-2</v>
      </c>
      <c r="J35" s="115">
        <v>1.9E-2</v>
      </c>
      <c r="K35" s="115">
        <v>1.9E-2</v>
      </c>
      <c r="L35" s="115">
        <v>1.9E-2</v>
      </c>
      <c r="M35" s="115">
        <v>1.9E-2</v>
      </c>
      <c r="N35" s="115">
        <v>1.9E-2</v>
      </c>
      <c r="O35" s="115">
        <v>1.9E-2</v>
      </c>
      <c r="P35" s="131"/>
      <c r="Q35" s="131"/>
      <c r="R35" s="131"/>
      <c r="S35" s="131"/>
      <c r="T35" s="132"/>
    </row>
    <row r="36" spans="1:20">
      <c r="A36" s="64">
        <f>A35+1</f>
        <v>21</v>
      </c>
      <c r="B36" s="35" t="s">
        <v>40</v>
      </c>
      <c r="C36" s="64" t="str">
        <f>"("&amp;A34&amp;") x ("&amp;A35&amp;")"</f>
        <v>(19) x (20)</v>
      </c>
      <c r="D36" s="68">
        <f t="shared" ref="D36:O36" si="16">D34*D35</f>
        <v>2872104.8225009399</v>
      </c>
      <c r="E36" s="68">
        <f t="shared" si="16"/>
        <v>2914278.4632116104</v>
      </c>
      <c r="F36" s="68">
        <f t="shared" si="16"/>
        <v>2760628.2472870802</v>
      </c>
      <c r="G36" s="68">
        <f t="shared" si="16"/>
        <v>2674290.20494725</v>
      </c>
      <c r="H36" s="220">
        <f t="shared" si="16"/>
        <v>3341101.6825639498</v>
      </c>
      <c r="I36" s="68">
        <f t="shared" si="16"/>
        <v>3432604.8006400005</v>
      </c>
      <c r="J36" s="68">
        <f t="shared" si="16"/>
        <v>0</v>
      </c>
      <c r="K36" s="68">
        <f t="shared" si="16"/>
        <v>0</v>
      </c>
      <c r="L36" s="68">
        <f t="shared" si="16"/>
        <v>0</v>
      </c>
      <c r="M36" s="68">
        <f t="shared" si="16"/>
        <v>0</v>
      </c>
      <c r="N36" s="68">
        <f t="shared" si="16"/>
        <v>0</v>
      </c>
      <c r="O36" s="68">
        <f t="shared" si="16"/>
        <v>0</v>
      </c>
      <c r="P36" s="117"/>
      <c r="Q36" s="117"/>
      <c r="R36" s="117"/>
      <c r="S36" s="117"/>
      <c r="T36" s="129"/>
    </row>
    <row r="37" spans="1:20">
      <c r="A37" s="64">
        <f>A36+1</f>
        <v>22</v>
      </c>
      <c r="B37" s="35" t="s">
        <v>25</v>
      </c>
      <c r="C37" s="64" t="str">
        <f>"("&amp;A32&amp;") - ("&amp;A33&amp;") -("&amp;A36&amp;")"</f>
        <v>(17) - (18) -(21)</v>
      </c>
      <c r="D37" s="68">
        <f>D32-D33-D36</f>
        <v>12759874.023027055</v>
      </c>
      <c r="E37" s="68">
        <f t="shared" ref="E37:O37" si="17">E32-E33-E36</f>
        <v>12997697.461118385</v>
      </c>
      <c r="F37" s="68">
        <f t="shared" si="17"/>
        <v>12437632.638620922</v>
      </c>
      <c r="G37" s="68">
        <f t="shared" si="17"/>
        <v>11910965.709772751</v>
      </c>
      <c r="H37" s="220">
        <f t="shared" si="17"/>
        <v>12432735.553016048</v>
      </c>
      <c r="I37" s="68">
        <f t="shared" si="17"/>
        <v>12721364.493259998</v>
      </c>
      <c r="J37" s="68">
        <f t="shared" si="17"/>
        <v>0</v>
      </c>
      <c r="K37" s="68">
        <f t="shared" si="17"/>
        <v>0</v>
      </c>
      <c r="L37" s="68">
        <f t="shared" si="17"/>
        <v>0</v>
      </c>
      <c r="M37" s="68">
        <f t="shared" si="17"/>
        <v>0</v>
      </c>
      <c r="N37" s="68">
        <f t="shared" si="17"/>
        <v>0</v>
      </c>
      <c r="O37" s="68">
        <f t="shared" si="17"/>
        <v>0</v>
      </c>
      <c r="P37" s="117">
        <f>SUM(D37:F37)</f>
        <v>38195204.122766361</v>
      </c>
      <c r="Q37" s="117">
        <f>SUM(G37:I37)</f>
        <v>37065065.756048799</v>
      </c>
      <c r="R37" s="117">
        <f>SUM(J37:L37)</f>
        <v>0</v>
      </c>
      <c r="S37" s="117">
        <f>SUM(M37:O37)</f>
        <v>0</v>
      </c>
      <c r="T37" s="129">
        <f>SUM(D37:O37)</f>
        <v>75260269.878815159</v>
      </c>
    </row>
    <row r="38" spans="1:20">
      <c r="A38" s="64"/>
      <c r="B38" s="64" t="s">
        <v>34</v>
      </c>
      <c r="C38" s="64"/>
      <c r="D38" s="32">
        <f t="shared" ref="D38:O38" si="18">D37/D28</f>
        <v>346.08679440795942</v>
      </c>
      <c r="E38" s="32">
        <f t="shared" si="18"/>
        <v>356.62891568672518</v>
      </c>
      <c r="F38" s="32">
        <f t="shared" si="18"/>
        <v>340.26297810360086</v>
      </c>
      <c r="G38" s="32">
        <f t="shared" si="18"/>
        <v>328.52398802329964</v>
      </c>
      <c r="H38" s="236">
        <f t="shared" si="18"/>
        <v>340.20346293654529</v>
      </c>
      <c r="I38" s="32">
        <f t="shared" si="18"/>
        <v>348.65471245265434</v>
      </c>
      <c r="J38" s="32" t="e">
        <f t="shared" si="18"/>
        <v>#DIV/0!</v>
      </c>
      <c r="K38" s="32" t="e">
        <f t="shared" si="18"/>
        <v>#DIV/0!</v>
      </c>
      <c r="L38" s="32" t="e">
        <f t="shared" si="18"/>
        <v>#DIV/0!</v>
      </c>
      <c r="M38" s="32" t="e">
        <f t="shared" si="18"/>
        <v>#DIV/0!</v>
      </c>
      <c r="N38" s="32" t="e">
        <f t="shared" si="18"/>
        <v>#DIV/0!</v>
      </c>
      <c r="O38" s="32" t="e">
        <f t="shared" si="18"/>
        <v>#DIV/0!</v>
      </c>
      <c r="P38" s="133">
        <f>P37/P28</f>
        <v>347.64630395352935</v>
      </c>
      <c r="Q38" s="133">
        <f>Q37/Q28</f>
        <v>339.15037109333866</v>
      </c>
      <c r="R38" s="133" t="e">
        <f>R37/R28</f>
        <v>#DIV/0!</v>
      </c>
      <c r="S38" s="133" t="e">
        <f>S37/S28</f>
        <v>#DIV/0!</v>
      </c>
      <c r="T38" s="133">
        <f>T37/T28</f>
        <v>343.40957983726275</v>
      </c>
    </row>
    <row r="39" spans="1:20">
      <c r="A39" s="64">
        <v>23</v>
      </c>
      <c r="B39" s="35" t="s">
        <v>27</v>
      </c>
      <c r="C39" s="64" t="str">
        <f>"("&amp;A$30&amp;") - ("&amp;A37&amp;")"</f>
        <v>(16) - (22)</v>
      </c>
      <c r="D39" s="117">
        <f t="shared" ref="D39:O39" si="19">D30-D37</f>
        <v>605563.83556175977</v>
      </c>
      <c r="E39" s="117">
        <f t="shared" si="19"/>
        <v>437987.24819764495</v>
      </c>
      <c r="F39" s="117">
        <f t="shared" si="19"/>
        <v>186341.89981442317</v>
      </c>
      <c r="G39" s="117">
        <f t="shared" si="19"/>
        <v>544807.98552204669</v>
      </c>
      <c r="H39" s="224">
        <f t="shared" si="19"/>
        <v>866124.38329520635</v>
      </c>
      <c r="I39" s="117">
        <f t="shared" si="19"/>
        <v>879536.99169744924</v>
      </c>
      <c r="J39" s="117">
        <f t="shared" si="19"/>
        <v>0</v>
      </c>
      <c r="K39" s="117">
        <f t="shared" si="19"/>
        <v>0</v>
      </c>
      <c r="L39" s="117">
        <f t="shared" si="19"/>
        <v>0</v>
      </c>
      <c r="M39" s="117">
        <f t="shared" si="19"/>
        <v>0</v>
      </c>
      <c r="N39" s="117">
        <f t="shared" si="19"/>
        <v>0</v>
      </c>
      <c r="O39" s="117">
        <f t="shared" si="19"/>
        <v>0</v>
      </c>
      <c r="P39" s="117">
        <f>SUM(D39:F39)</f>
        <v>1229892.9835738279</v>
      </c>
      <c r="Q39" s="117">
        <f>SUM(G39:I39)</f>
        <v>2290469.3605147023</v>
      </c>
      <c r="R39" s="117">
        <f>SUM(J39:L39)</f>
        <v>0</v>
      </c>
      <c r="S39" s="117">
        <f>SUM(M39:O39)</f>
        <v>0</v>
      </c>
      <c r="T39" s="129">
        <f>SUM(D39:O39)</f>
        <v>3520362.3440885302</v>
      </c>
    </row>
    <row r="40" spans="1:20">
      <c r="A40" s="64">
        <v>24</v>
      </c>
      <c r="B40" s="35" t="s">
        <v>28</v>
      </c>
      <c r="C40" s="15" t="s">
        <v>29</v>
      </c>
      <c r="D40" s="117">
        <f>D39*-0.04588</f>
        <v>-27783.268775573535</v>
      </c>
      <c r="E40" s="117">
        <f>E39*-0.04588</f>
        <v>-20094.854947307947</v>
      </c>
      <c r="F40" s="117">
        <f t="shared" ref="F40:O40" si="20">F39*-0.04588</f>
        <v>-8549.3663634857348</v>
      </c>
      <c r="G40" s="117">
        <f t="shared" si="20"/>
        <v>-24995.790375751501</v>
      </c>
      <c r="H40" s="224">
        <v>-40428.089999999997</v>
      </c>
      <c r="I40" s="117">
        <f t="shared" si="20"/>
        <v>-40353.157179078968</v>
      </c>
      <c r="J40" s="117">
        <f t="shared" si="20"/>
        <v>0</v>
      </c>
      <c r="K40" s="117">
        <f t="shared" si="20"/>
        <v>0</v>
      </c>
      <c r="L40" s="117">
        <f t="shared" si="20"/>
        <v>0</v>
      </c>
      <c r="M40" s="117">
        <f t="shared" si="20"/>
        <v>0</v>
      </c>
      <c r="N40" s="117">
        <f t="shared" si="20"/>
        <v>0</v>
      </c>
      <c r="O40" s="117">
        <f t="shared" si="20"/>
        <v>0</v>
      </c>
      <c r="P40" s="117">
        <f>SUM(D40:F40)</f>
        <v>-56427.490086367223</v>
      </c>
      <c r="Q40" s="117">
        <f>SUM(G40:I40)</f>
        <v>-105777.03755483046</v>
      </c>
      <c r="R40" s="117">
        <f>SUM(J40:L40)</f>
        <v>0</v>
      </c>
      <c r="S40" s="117">
        <f>SUM(M40:O40)</f>
        <v>0</v>
      </c>
      <c r="T40" s="129">
        <f>SUM(D40:O40)</f>
        <v>-162204.5276411977</v>
      </c>
    </row>
    <row r="41" spans="1:20">
      <c r="A41" s="64"/>
      <c r="B41" s="35"/>
      <c r="C41" s="64" t="s">
        <v>30</v>
      </c>
      <c r="D41" s="118">
        <f t="shared" ref="D41:O41" si="21">D22</f>
        <v>4.2500000000000003E-2</v>
      </c>
      <c r="E41" s="118">
        <f t="shared" si="21"/>
        <v>4.2500000000000003E-2</v>
      </c>
      <c r="F41" s="118">
        <f t="shared" si="21"/>
        <v>4.2500000000000003E-2</v>
      </c>
      <c r="G41" s="118">
        <f t="shared" si="21"/>
        <v>4.4699999999999997E-2</v>
      </c>
      <c r="H41" s="225">
        <f t="shared" si="21"/>
        <v>4.4699999999999997E-2</v>
      </c>
      <c r="I41" s="118">
        <f t="shared" si="21"/>
        <v>4.4699999999999997E-2</v>
      </c>
      <c r="J41" s="118">
        <f t="shared" si="21"/>
        <v>0</v>
      </c>
      <c r="K41" s="118">
        <f t="shared" si="21"/>
        <v>0</v>
      </c>
      <c r="L41" s="118">
        <f t="shared" si="21"/>
        <v>0</v>
      </c>
      <c r="M41" s="118">
        <f t="shared" si="21"/>
        <v>0</v>
      </c>
      <c r="N41" s="118">
        <f t="shared" si="21"/>
        <v>0</v>
      </c>
      <c r="O41" s="118">
        <f t="shared" si="21"/>
        <v>0</v>
      </c>
      <c r="P41" s="118"/>
      <c r="Q41" s="118"/>
      <c r="R41" s="118"/>
      <c r="S41" s="118"/>
      <c r="T41" s="129"/>
    </row>
    <row r="42" spans="1:20" ht="14.4" customHeight="1">
      <c r="A42" s="64">
        <v>25</v>
      </c>
      <c r="B42" s="35" t="s">
        <v>31</v>
      </c>
      <c r="C42" s="64" t="s">
        <v>35</v>
      </c>
      <c r="D42" s="9">
        <f>(D39+D40)/2*D41/12</f>
        <v>1023.1530870172047</v>
      </c>
      <c r="E42" s="9">
        <f t="shared" ref="E42:O42" si="22">(D44+(E39+E40)/2)*E41/12</f>
        <v>2789.947620931734</v>
      </c>
      <c r="F42" s="9">
        <f t="shared" si="22"/>
        <v>3854.6874097893747</v>
      </c>
      <c r="G42" s="9">
        <f t="shared" si="22"/>
        <v>5367.8716874393403</v>
      </c>
      <c r="H42" s="226">
        <f t="shared" si="22"/>
        <v>7893.8765691973485</v>
      </c>
      <c r="I42" s="9">
        <f t="shared" si="22"/>
        <v>11024.120497470396</v>
      </c>
      <c r="J42" s="9">
        <f t="shared" si="22"/>
        <v>0</v>
      </c>
      <c r="K42" s="9">
        <f t="shared" si="22"/>
        <v>0</v>
      </c>
      <c r="L42" s="9">
        <f t="shared" si="22"/>
        <v>0</v>
      </c>
      <c r="M42" s="9">
        <f t="shared" si="22"/>
        <v>0</v>
      </c>
      <c r="N42" s="9">
        <f t="shared" si="22"/>
        <v>0</v>
      </c>
      <c r="O42" s="9">
        <f t="shared" si="22"/>
        <v>0</v>
      </c>
      <c r="P42" s="117">
        <f>SUM(D42:F42)</f>
        <v>7667.7881177383133</v>
      </c>
      <c r="Q42" s="117">
        <f>SUM(G42:I42)</f>
        <v>24285.868754107083</v>
      </c>
      <c r="R42" s="117">
        <f>SUM(J42:L42)</f>
        <v>0</v>
      </c>
      <c r="S42" s="117">
        <f>SUM(M42:O42)</f>
        <v>0</v>
      </c>
      <c r="T42" s="129">
        <f>SUM(D42:O42)</f>
        <v>31953.6568718454</v>
      </c>
    </row>
    <row r="43" spans="1:20" ht="15" thickBot="1">
      <c r="A43" s="64"/>
      <c r="B43" s="10" t="s">
        <v>36</v>
      </c>
      <c r="C43" s="64"/>
      <c r="D43" s="12">
        <f>D39+D40+D42</f>
        <v>578803.71987320343</v>
      </c>
      <c r="E43" s="12">
        <f t="shared" ref="E43:T43" si="23">E39+E40+E42</f>
        <v>420682.34087126871</v>
      </c>
      <c r="F43" s="12">
        <f t="shared" si="23"/>
        <v>181647.22086072684</v>
      </c>
      <c r="G43" s="12">
        <f t="shared" si="23"/>
        <v>525180.06683373451</v>
      </c>
      <c r="H43" s="227">
        <f t="shared" si="23"/>
        <v>833590.16986440378</v>
      </c>
      <c r="I43" s="12">
        <f t="shared" si="23"/>
        <v>850207.95501584059</v>
      </c>
      <c r="J43" s="12">
        <f t="shared" si="23"/>
        <v>0</v>
      </c>
      <c r="K43" s="12">
        <f t="shared" si="23"/>
        <v>0</v>
      </c>
      <c r="L43" s="12">
        <f t="shared" si="23"/>
        <v>0</v>
      </c>
      <c r="M43" s="12">
        <f t="shared" si="23"/>
        <v>0</v>
      </c>
      <c r="N43" s="12">
        <f t="shared" si="23"/>
        <v>0</v>
      </c>
      <c r="O43" s="12">
        <f t="shared" si="23"/>
        <v>0</v>
      </c>
      <c r="P43" s="134">
        <f t="shared" si="23"/>
        <v>1181133.281605199</v>
      </c>
      <c r="Q43" s="134">
        <f t="shared" si="23"/>
        <v>2208978.191713979</v>
      </c>
      <c r="R43" s="134">
        <f t="shared" si="23"/>
        <v>0</v>
      </c>
      <c r="S43" s="134">
        <f t="shared" si="23"/>
        <v>0</v>
      </c>
      <c r="T43" s="134">
        <f t="shared" si="23"/>
        <v>3390111.473319178</v>
      </c>
    </row>
    <row r="44" spans="1:20" ht="27.6" thickBot="1">
      <c r="A44" s="64">
        <v>26</v>
      </c>
      <c r="B44" s="137" t="s">
        <v>102</v>
      </c>
      <c r="C44" s="64" t="str">
        <f>"Σ(("&amp;A$39&amp;") ~ ("&amp;A42&amp;"))"</f>
        <v>Σ((23) ~ (25))</v>
      </c>
      <c r="D44" s="68">
        <f>D39+D40+D42</f>
        <v>578803.71987320343</v>
      </c>
      <c r="E44" s="68">
        <f t="shared" ref="E44:O44" si="24">D44+E39+E40+E42</f>
        <v>999486.0607444722</v>
      </c>
      <c r="F44" s="68">
        <f t="shared" si="24"/>
        <v>1181133.281605199</v>
      </c>
      <c r="G44" s="68">
        <f t="shared" si="24"/>
        <v>1706313.3484389335</v>
      </c>
      <c r="H44" s="220">
        <f t="shared" si="24"/>
        <v>2539903.5183033375</v>
      </c>
      <c r="I44" s="68">
        <f t="shared" si="24"/>
        <v>3390111.473319178</v>
      </c>
      <c r="J44" s="68">
        <f t="shared" si="24"/>
        <v>3390111.473319178</v>
      </c>
      <c r="K44" s="68">
        <f t="shared" si="24"/>
        <v>3390111.473319178</v>
      </c>
      <c r="L44" s="68">
        <f t="shared" si="24"/>
        <v>3390111.473319178</v>
      </c>
      <c r="M44" s="68">
        <f t="shared" si="24"/>
        <v>3390111.473319178</v>
      </c>
      <c r="N44" s="68">
        <f t="shared" si="24"/>
        <v>3390111.473319178</v>
      </c>
      <c r="O44" s="119">
        <f t="shared" si="24"/>
        <v>3390111.473319178</v>
      </c>
      <c r="P44" s="117"/>
      <c r="Q44" s="117"/>
      <c r="R44" s="117"/>
      <c r="S44" s="117"/>
      <c r="T44" s="129"/>
    </row>
    <row r="45" spans="1:20" ht="14.4" hidden="1" customHeight="1" thickBot="1">
      <c r="A45" s="64"/>
      <c r="B45" s="149"/>
      <c r="C45" s="64"/>
      <c r="D45" s="68"/>
      <c r="E45" s="68"/>
      <c r="F45" s="68"/>
      <c r="G45" s="68"/>
      <c r="H45" s="220"/>
      <c r="I45" s="68"/>
      <c r="J45" s="68"/>
      <c r="K45" s="68"/>
      <c r="L45" s="68"/>
      <c r="M45" s="68"/>
      <c r="N45" s="68"/>
      <c r="O45" s="29"/>
      <c r="P45" s="134">
        <f>P41+P42+P44</f>
        <v>7667.7881177383133</v>
      </c>
      <c r="Q45" s="134">
        <f>Q41+Q42+Q44</f>
        <v>24285.868754107083</v>
      </c>
      <c r="R45" s="134">
        <f>R41+R42+R44</f>
        <v>0</v>
      </c>
      <c r="S45" s="134">
        <f>S41+S42+S44</f>
        <v>0</v>
      </c>
      <c r="T45" s="134">
        <f>T41+T42+T44</f>
        <v>31953.6568718454</v>
      </c>
    </row>
    <row r="46" spans="1:20" ht="21.75" customHeight="1" thickBot="1">
      <c r="A46" s="2">
        <v>27</v>
      </c>
      <c r="B46" s="120" t="s">
        <v>103</v>
      </c>
      <c r="C46" s="2" t="str">
        <f>"("&amp;A$25&amp;") + ("&amp;A44&amp;")"</f>
        <v>(13) + (26)</v>
      </c>
      <c r="D46" s="14">
        <f t="shared" ref="D46:O46" si="25">D25+D44</f>
        <v>919981.57246509334</v>
      </c>
      <c r="E46" s="14">
        <f t="shared" si="25"/>
        <v>3078897.4518047976</v>
      </c>
      <c r="F46" s="14">
        <f t="shared" si="25"/>
        <v>3905763.8945370978</v>
      </c>
      <c r="G46" s="14">
        <f t="shared" si="25"/>
        <v>5249742.5667222887</v>
      </c>
      <c r="H46" s="238">
        <f t="shared" si="25"/>
        <v>7239704.3013031688</v>
      </c>
      <c r="I46" s="14">
        <f t="shared" si="25"/>
        <v>8695463.4357248936</v>
      </c>
      <c r="J46" s="14">
        <f t="shared" si="25"/>
        <v>8695463.4357248936</v>
      </c>
      <c r="K46" s="14">
        <f t="shared" si="25"/>
        <v>8695463.4357248936</v>
      </c>
      <c r="L46" s="14">
        <f t="shared" si="25"/>
        <v>8695463.4357248936</v>
      </c>
      <c r="M46" s="14">
        <f t="shared" si="25"/>
        <v>8695463.4357248936</v>
      </c>
      <c r="N46" s="14">
        <f t="shared" si="25"/>
        <v>8695463.4357248936</v>
      </c>
      <c r="O46" s="121">
        <f t="shared" si="25"/>
        <v>8695463.4357248936</v>
      </c>
      <c r="P46" s="136"/>
      <c r="Q46" s="136"/>
      <c r="R46" s="136"/>
      <c r="S46" s="136"/>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2nd Quarter 2018</oddHeader>
    <oddFooter>&amp;Cfile: &amp;F / &amp;A&amp;R1 of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54"/>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election activeCell="G17" sqref="G17"/>
    </sheetView>
  </sheetViews>
  <sheetFormatPr defaultRowHeight="14.4"/>
  <cols>
    <col min="1" max="1" width="7.33203125" customWidth="1"/>
    <col min="2" max="2" width="35" customWidth="1"/>
    <col min="3" max="3" width="18.6640625" customWidth="1"/>
    <col min="4" max="4" width="13.33203125" customWidth="1"/>
    <col min="5" max="5" width="12.109375" customWidth="1"/>
    <col min="6" max="6" width="12.44140625" customWidth="1"/>
    <col min="7" max="7" width="12.109375" customWidth="1"/>
    <col min="8" max="8" width="11.6640625" customWidth="1"/>
    <col min="9" max="9" width="12" customWidth="1"/>
    <col min="10" max="10" width="11.33203125" hidden="1" customWidth="1"/>
    <col min="11" max="11" width="11.88671875" hidden="1" customWidth="1"/>
    <col min="12" max="12" width="11.33203125" hidden="1" customWidth="1"/>
    <col min="13" max="13" width="12.33203125" hidden="1" customWidth="1"/>
    <col min="14" max="14" width="11.5546875" hidden="1" customWidth="1"/>
    <col min="15" max="15" width="12.33203125" hidden="1" customWidth="1"/>
    <col min="16" max="16" width="12.6640625" style="63" customWidth="1"/>
    <col min="17" max="17" width="12.88671875" style="25" customWidth="1"/>
    <col min="18" max="18" width="12.33203125" style="63" hidden="1" customWidth="1"/>
    <col min="19" max="19" width="12.33203125" style="73" hidden="1" customWidth="1"/>
    <col min="20" max="20" width="12.44140625" customWidth="1"/>
  </cols>
  <sheetData>
    <row r="1" spans="1:20" ht="15.6">
      <c r="A1" s="138" t="s">
        <v>0</v>
      </c>
      <c r="B1" s="138"/>
      <c r="C1" s="138"/>
      <c r="D1" s="138"/>
      <c r="E1" s="138"/>
      <c r="F1" s="138"/>
      <c r="G1" s="138"/>
      <c r="H1" s="138"/>
      <c r="I1" s="138"/>
      <c r="J1" s="138"/>
      <c r="K1" s="138"/>
      <c r="L1" s="138"/>
      <c r="M1" s="138"/>
      <c r="N1" s="138"/>
      <c r="O1" s="138"/>
      <c r="P1" s="138"/>
      <c r="Q1" s="138"/>
      <c r="R1" s="138"/>
      <c r="S1" s="138"/>
      <c r="T1" s="138"/>
    </row>
    <row r="2" spans="1:20" ht="17.399999999999999">
      <c r="A2" s="138" t="s">
        <v>97</v>
      </c>
      <c r="B2" s="138"/>
      <c r="C2" s="138"/>
      <c r="D2" s="138"/>
      <c r="E2" s="138"/>
      <c r="F2" s="138"/>
      <c r="G2" s="138"/>
      <c r="H2" s="138"/>
      <c r="I2" s="138"/>
      <c r="J2" s="138"/>
      <c r="K2" s="138"/>
      <c r="L2" s="138"/>
      <c r="M2" s="138"/>
      <c r="N2" s="138"/>
      <c r="O2" s="138"/>
      <c r="P2" s="140"/>
      <c r="Q2" s="140"/>
      <c r="R2" s="140"/>
      <c r="S2" s="140"/>
      <c r="T2" s="140"/>
    </row>
    <row r="3" spans="1:20" ht="15.6">
      <c r="A3" s="138"/>
      <c r="B3" s="138" t="s">
        <v>167</v>
      </c>
      <c r="C3" s="138"/>
      <c r="D3" s="138"/>
      <c r="E3" s="138"/>
      <c r="F3" s="138"/>
      <c r="G3" s="138"/>
      <c r="H3" s="138"/>
      <c r="I3" s="138"/>
      <c r="J3" s="138"/>
      <c r="K3" s="138"/>
      <c r="L3" s="138"/>
      <c r="M3" s="138"/>
      <c r="N3" s="138"/>
      <c r="O3" s="138"/>
      <c r="P3" s="139"/>
      <c r="Q3" s="139"/>
      <c r="R3" s="139"/>
      <c r="S3" s="139"/>
      <c r="T3" s="139"/>
    </row>
    <row r="4" spans="1:20" ht="15" customHeight="1">
      <c r="A4" s="139" t="s">
        <v>159</v>
      </c>
      <c r="B4" s="13"/>
      <c r="C4" s="13"/>
      <c r="D4" s="13"/>
      <c r="E4" s="13"/>
      <c r="F4" s="13"/>
      <c r="G4" s="13"/>
      <c r="H4" s="13"/>
      <c r="I4" s="13"/>
      <c r="J4" s="13"/>
      <c r="K4" s="13"/>
      <c r="L4" s="13"/>
      <c r="M4" s="13"/>
      <c r="N4" s="13"/>
      <c r="O4" s="13"/>
      <c r="P4" s="72"/>
      <c r="Q4" s="61"/>
      <c r="R4" s="72"/>
      <c r="S4" s="78"/>
      <c r="T4" s="1"/>
    </row>
    <row r="5" spans="1:20" ht="27.6">
      <c r="A5" s="35"/>
      <c r="B5" s="35"/>
      <c r="C5" s="35"/>
      <c r="D5" s="64"/>
      <c r="E5" s="10"/>
      <c r="F5" s="10"/>
      <c r="G5" s="10"/>
      <c r="H5" s="10"/>
      <c r="I5" s="10"/>
      <c r="J5" s="10"/>
      <c r="K5" s="10"/>
      <c r="L5" s="10"/>
      <c r="M5" s="10"/>
      <c r="N5" s="10"/>
      <c r="O5" s="10"/>
      <c r="P5" s="62" t="s">
        <v>154</v>
      </c>
      <c r="Q5" s="62" t="s">
        <v>155</v>
      </c>
      <c r="R5" s="62" t="s">
        <v>156</v>
      </c>
      <c r="S5" s="62" t="s">
        <v>157</v>
      </c>
      <c r="T5" s="60" t="s">
        <v>158</v>
      </c>
    </row>
    <row r="6" spans="1:20" ht="26.4">
      <c r="A6" s="107" t="s">
        <v>1</v>
      </c>
      <c r="B6" s="108"/>
      <c r="C6" s="103" t="s">
        <v>2</v>
      </c>
      <c r="D6" s="141">
        <v>43101</v>
      </c>
      <c r="E6" s="109">
        <f t="shared" ref="E6:O6" si="0">EDATE(D6,1)</f>
        <v>43132</v>
      </c>
      <c r="F6" s="109">
        <f t="shared" si="0"/>
        <v>43160</v>
      </c>
      <c r="G6" s="109">
        <f t="shared" si="0"/>
        <v>43191</v>
      </c>
      <c r="H6" s="216">
        <f t="shared" si="0"/>
        <v>43221</v>
      </c>
      <c r="I6" s="109">
        <f t="shared" si="0"/>
        <v>43252</v>
      </c>
      <c r="J6" s="109">
        <f t="shared" si="0"/>
        <v>43282</v>
      </c>
      <c r="K6" s="109">
        <f t="shared" si="0"/>
        <v>43313</v>
      </c>
      <c r="L6" s="109">
        <f t="shared" si="0"/>
        <v>43344</v>
      </c>
      <c r="M6" s="109">
        <f t="shared" si="0"/>
        <v>43374</v>
      </c>
      <c r="N6" s="109">
        <f t="shared" si="0"/>
        <v>43405</v>
      </c>
      <c r="O6" s="109">
        <f t="shared" si="0"/>
        <v>43435</v>
      </c>
      <c r="P6" s="109" t="s">
        <v>3</v>
      </c>
      <c r="Q6" s="24" t="s">
        <v>3</v>
      </c>
      <c r="R6" s="24" t="s">
        <v>3</v>
      </c>
      <c r="S6" s="24" t="s">
        <v>3</v>
      </c>
      <c r="T6" s="3" t="s">
        <v>3</v>
      </c>
    </row>
    <row r="7" spans="1:20">
      <c r="A7" s="64"/>
      <c r="B7" s="64" t="s">
        <v>4</v>
      </c>
      <c r="C7" s="64" t="s">
        <v>5</v>
      </c>
      <c r="D7" s="64" t="s">
        <v>6</v>
      </c>
      <c r="E7" s="64" t="s">
        <v>7</v>
      </c>
      <c r="F7" s="64" t="s">
        <v>8</v>
      </c>
      <c r="G7" s="64" t="s">
        <v>9</v>
      </c>
      <c r="H7" s="217" t="s">
        <v>10</v>
      </c>
      <c r="I7" s="64" t="s">
        <v>11</v>
      </c>
      <c r="J7" s="64" t="s">
        <v>12</v>
      </c>
      <c r="K7" s="64" t="s">
        <v>13</v>
      </c>
      <c r="L7" s="64" t="s">
        <v>14</v>
      </c>
      <c r="M7" s="64" t="s">
        <v>15</v>
      </c>
      <c r="N7" s="64" t="s">
        <v>16</v>
      </c>
      <c r="O7" s="64" t="s">
        <v>17</v>
      </c>
      <c r="P7" s="64" t="s">
        <v>18</v>
      </c>
      <c r="Q7" s="26"/>
      <c r="R7" s="64"/>
      <c r="S7" s="64"/>
      <c r="T7" s="4" t="s">
        <v>18</v>
      </c>
    </row>
    <row r="8" spans="1:20">
      <c r="A8" s="64"/>
      <c r="B8" s="2" t="s">
        <v>19</v>
      </c>
      <c r="C8" s="64"/>
      <c r="D8" s="64"/>
      <c r="E8" s="64"/>
      <c r="F8" s="64"/>
      <c r="G8" s="64"/>
      <c r="H8" s="217"/>
      <c r="I8" s="64"/>
      <c r="J8" s="64"/>
      <c r="K8" s="64"/>
      <c r="L8" s="64"/>
      <c r="M8" s="64"/>
      <c r="N8" s="64"/>
      <c r="O8" s="64"/>
      <c r="P8" s="68"/>
      <c r="Q8" s="28"/>
      <c r="R8" s="68"/>
      <c r="S8" s="68"/>
      <c r="T8" s="5"/>
    </row>
    <row r="9" spans="1:20">
      <c r="A9" s="64">
        <v>1</v>
      </c>
      <c r="B9" s="35" t="s">
        <v>20</v>
      </c>
      <c r="C9" s="64" t="s">
        <v>21</v>
      </c>
      <c r="D9" s="142">
        <v>160611</v>
      </c>
      <c r="E9" s="142">
        <v>160378</v>
      </c>
      <c r="F9" s="142">
        <v>161228</v>
      </c>
      <c r="G9" s="142">
        <v>160935</v>
      </c>
      <c r="H9" s="218">
        <v>161371</v>
      </c>
      <c r="I9" s="142">
        <v>161247</v>
      </c>
      <c r="J9" s="142"/>
      <c r="K9" s="142"/>
      <c r="L9" s="142"/>
      <c r="M9" s="142"/>
      <c r="N9" s="142"/>
      <c r="O9" s="142"/>
      <c r="P9" s="67">
        <f>SUM(D9:F9)</f>
        <v>482217</v>
      </c>
      <c r="Q9" s="67">
        <f>SUM(G9:I9)</f>
        <v>483553</v>
      </c>
      <c r="R9" s="67">
        <f>SUM(J9:L9)</f>
        <v>0</v>
      </c>
      <c r="S9" s="67">
        <f>SUM(M9:O9)</f>
        <v>0</v>
      </c>
      <c r="T9" s="67">
        <f>SUM(D9:O9)</f>
        <v>965770</v>
      </c>
    </row>
    <row r="10" spans="1:20" s="73" customFormat="1">
      <c r="A10" s="143">
        <f>A9+1</f>
        <v>2</v>
      </c>
      <c r="B10" s="110" t="s">
        <v>22</v>
      </c>
      <c r="C10" s="114" t="s">
        <v>98</v>
      </c>
      <c r="D10" s="144">
        <v>61.486922879017001</v>
      </c>
      <c r="E10" s="144">
        <v>50.866570431256761</v>
      </c>
      <c r="F10" s="144">
        <v>41.030399057560587</v>
      </c>
      <c r="G10" s="144">
        <v>22.870205136351437</v>
      </c>
      <c r="H10" s="219">
        <v>12.847310592119427</v>
      </c>
      <c r="I10" s="144">
        <v>8.3048388322355109</v>
      </c>
      <c r="J10" s="144">
        <v>6.0444731289140226</v>
      </c>
      <c r="K10" s="144">
        <v>6.2059465105473501</v>
      </c>
      <c r="L10" s="144">
        <v>7.9044427835798148</v>
      </c>
      <c r="M10" s="144">
        <v>19.75096016113789</v>
      </c>
      <c r="N10" s="144">
        <v>38.296167944879095</v>
      </c>
      <c r="O10" s="144">
        <v>57.078845609458618</v>
      </c>
      <c r="P10" s="148">
        <f>P11/P9</f>
        <v>51.115170519492828</v>
      </c>
      <c r="Q10" s="148">
        <f>Q11/Q9</f>
        <v>14.668361417178886</v>
      </c>
      <c r="R10" s="148" t="e">
        <f>R11/R9</f>
        <v>#DIV/0!</v>
      </c>
      <c r="S10" s="148" t="e">
        <f>S11/S9</f>
        <v>#DIV/0!</v>
      </c>
      <c r="T10" s="148">
        <f>T11/T9</f>
        <v>32.866556582581126</v>
      </c>
    </row>
    <row r="11" spans="1:20">
      <c r="A11" s="64">
        <f>A10+1</f>
        <v>3</v>
      </c>
      <c r="B11" s="35" t="s">
        <v>23</v>
      </c>
      <c r="C11" s="64" t="str">
        <f>"("&amp;A9&amp;") x ("&amp;A10&amp;")"</f>
        <v>(1) x (2)</v>
      </c>
      <c r="D11" s="68">
        <f t="shared" ref="D11:O11" si="1">D9*D10</f>
        <v>9875476.1705217995</v>
      </c>
      <c r="E11" s="68">
        <f t="shared" si="1"/>
        <v>8157878.8326240964</v>
      </c>
      <c r="F11" s="68">
        <f t="shared" si="1"/>
        <v>6615249.1792523786</v>
      </c>
      <c r="G11" s="68">
        <f t="shared" si="1"/>
        <v>3680616.4636187186</v>
      </c>
      <c r="H11" s="220">
        <f t="shared" si="1"/>
        <v>2073183.3575609042</v>
      </c>
      <c r="I11" s="68">
        <f t="shared" si="1"/>
        <v>1339130.3471814794</v>
      </c>
      <c r="J11" s="68">
        <f t="shared" si="1"/>
        <v>0</v>
      </c>
      <c r="K11" s="68">
        <f t="shared" si="1"/>
        <v>0</v>
      </c>
      <c r="L11" s="68">
        <f t="shared" si="1"/>
        <v>0</v>
      </c>
      <c r="M11" s="68">
        <f t="shared" si="1"/>
        <v>0</v>
      </c>
      <c r="N11" s="68">
        <f t="shared" si="1"/>
        <v>0</v>
      </c>
      <c r="O11" s="68">
        <f t="shared" si="1"/>
        <v>0</v>
      </c>
      <c r="P11" s="68">
        <f>SUM(D11:F11)</f>
        <v>24648604.182398275</v>
      </c>
      <c r="Q11" s="68">
        <f>SUM(G11:I11)</f>
        <v>7092930.1683611022</v>
      </c>
      <c r="R11" s="68">
        <f>SUM(J11:L11)</f>
        <v>0</v>
      </c>
      <c r="S11" s="68">
        <f>SUM(M11:O11)</f>
        <v>0</v>
      </c>
      <c r="T11" s="68">
        <f>SUM(D11:O11)</f>
        <v>31741534.350759376</v>
      </c>
    </row>
    <row r="12" spans="1:20">
      <c r="A12" s="64"/>
      <c r="B12" s="35"/>
      <c r="C12" s="64"/>
      <c r="D12" s="68"/>
      <c r="E12" s="68"/>
      <c r="F12" s="68"/>
      <c r="G12" s="68"/>
      <c r="H12" s="220"/>
      <c r="I12" s="68"/>
      <c r="J12" s="68"/>
      <c r="K12" s="68"/>
      <c r="L12" s="68"/>
      <c r="M12" s="68"/>
      <c r="N12" s="68"/>
      <c r="O12" s="68"/>
      <c r="P12" s="65"/>
      <c r="Q12" s="65"/>
      <c r="R12" s="65"/>
      <c r="S12" s="65"/>
      <c r="T12" s="65"/>
    </row>
    <row r="13" spans="1:20">
      <c r="A13" s="64"/>
      <c r="B13" s="35" t="s">
        <v>99</v>
      </c>
      <c r="C13" s="64" t="s">
        <v>21</v>
      </c>
      <c r="D13" s="142">
        <v>20280264.403999999</v>
      </c>
      <c r="E13" s="142">
        <v>18200880.844430003</v>
      </c>
      <c r="F13" s="142">
        <v>15790511.955780001</v>
      </c>
      <c r="G13" s="142">
        <v>9771650.2954200003</v>
      </c>
      <c r="H13" s="218">
        <v>3291052.9053500006</v>
      </c>
      <c r="I13" s="142">
        <v>2633458.1433299999</v>
      </c>
      <c r="J13" s="142"/>
      <c r="K13" s="142"/>
      <c r="L13" s="142"/>
      <c r="M13" s="142"/>
      <c r="N13" s="142"/>
      <c r="O13" s="142"/>
      <c r="P13" s="65"/>
      <c r="Q13" s="65"/>
      <c r="R13" s="65"/>
      <c r="S13" s="65"/>
      <c r="T13" s="65"/>
    </row>
    <row r="14" spans="1:20" ht="27">
      <c r="A14" s="64">
        <v>4</v>
      </c>
      <c r="B14" s="145" t="s">
        <v>100</v>
      </c>
      <c r="C14" s="64" t="s">
        <v>21</v>
      </c>
      <c r="D14" s="146">
        <v>10769500.120059978</v>
      </c>
      <c r="E14" s="146">
        <v>9319636.697800003</v>
      </c>
      <c r="F14" s="146">
        <v>8889891.7445299979</v>
      </c>
      <c r="G14" s="146">
        <v>5153697.7623700025</v>
      </c>
      <c r="H14" s="221">
        <v>2698638.1218599984</v>
      </c>
      <c r="I14" s="146">
        <v>2496348.7070699981</v>
      </c>
      <c r="J14" s="146"/>
      <c r="K14" s="146"/>
      <c r="L14" s="146"/>
      <c r="M14" s="146"/>
      <c r="N14" s="146"/>
      <c r="O14" s="146"/>
      <c r="P14" s="37"/>
      <c r="Q14" s="37"/>
      <c r="R14" s="37"/>
      <c r="S14" s="37"/>
      <c r="T14" s="37"/>
    </row>
    <row r="15" spans="1:20">
      <c r="A15" s="64">
        <v>5</v>
      </c>
      <c r="B15" s="35" t="s">
        <v>24</v>
      </c>
      <c r="C15" s="64" t="s">
        <v>21</v>
      </c>
      <c r="D15" s="146">
        <v>1462167</v>
      </c>
      <c r="E15" s="146">
        <v>1459962</v>
      </c>
      <c r="F15" s="146">
        <v>1470663</v>
      </c>
      <c r="G15" s="146">
        <v>1468068.5</v>
      </c>
      <c r="H15" s="221">
        <v>1555555</v>
      </c>
      <c r="I15" s="146">
        <v>1565833</v>
      </c>
      <c r="J15" s="146"/>
      <c r="K15" s="146"/>
      <c r="L15" s="146"/>
      <c r="M15" s="146"/>
      <c r="N15" s="146"/>
      <c r="O15" s="146"/>
      <c r="P15" s="37"/>
      <c r="Q15" s="37"/>
      <c r="R15" s="37"/>
      <c r="S15" s="37"/>
      <c r="T15" s="37"/>
    </row>
    <row r="16" spans="1:20">
      <c r="A16" s="64">
        <v>6</v>
      </c>
      <c r="B16" s="35" t="s">
        <v>25</v>
      </c>
      <c r="C16" s="64" t="str">
        <f>"("&amp;A14&amp;") - ("&amp;A15&amp;")"</f>
        <v>(4) - (5)</v>
      </c>
      <c r="D16" s="68">
        <f>D14-D15</f>
        <v>9307333.1200599782</v>
      </c>
      <c r="E16" s="68">
        <f t="shared" ref="E16:O16" si="2">E14-E15</f>
        <v>7859674.697800003</v>
      </c>
      <c r="F16" s="68">
        <f t="shared" si="2"/>
        <v>7419228.7445299979</v>
      </c>
      <c r="G16" s="68">
        <f t="shared" si="2"/>
        <v>3685629.2623700025</v>
      </c>
      <c r="H16" s="220">
        <f t="shared" si="2"/>
        <v>1143083.1218599984</v>
      </c>
      <c r="I16" s="68">
        <f t="shared" si="2"/>
        <v>930515.70706999814</v>
      </c>
      <c r="J16" s="68">
        <f t="shared" si="2"/>
        <v>0</v>
      </c>
      <c r="K16" s="68">
        <f t="shared" si="2"/>
        <v>0</v>
      </c>
      <c r="L16" s="68">
        <f t="shared" si="2"/>
        <v>0</v>
      </c>
      <c r="M16" s="68">
        <f t="shared" si="2"/>
        <v>0</v>
      </c>
      <c r="N16" s="68">
        <f t="shared" si="2"/>
        <v>0</v>
      </c>
      <c r="O16" s="68">
        <f t="shared" si="2"/>
        <v>0</v>
      </c>
      <c r="P16" s="68">
        <f>SUM(D16:F16)</f>
        <v>24586236.562389977</v>
      </c>
      <c r="Q16" s="68">
        <f>SUM(G16:I16)</f>
        <v>5759228.0912999995</v>
      </c>
      <c r="R16" s="68">
        <f>SUM(J16:L16)</f>
        <v>0</v>
      </c>
      <c r="S16" s="68">
        <f>SUM(M16:O16)</f>
        <v>0</v>
      </c>
      <c r="T16" s="68">
        <f>SUM(D16:O16)</f>
        <v>30345464.653689973</v>
      </c>
    </row>
    <row r="17" spans="1:20">
      <c r="A17" s="64"/>
      <c r="B17" s="7" t="s">
        <v>26</v>
      </c>
      <c r="C17" s="64"/>
      <c r="D17" s="11">
        <f>D16/D9</f>
        <v>57.949537205172611</v>
      </c>
      <c r="E17" s="11">
        <f t="shared" ref="E17:O17" si="3">E16/E9</f>
        <v>49.007187381062259</v>
      </c>
      <c r="F17" s="11">
        <f t="shared" si="3"/>
        <v>46.016999184570906</v>
      </c>
      <c r="G17" s="11">
        <f t="shared" si="3"/>
        <v>22.901353107590037</v>
      </c>
      <c r="H17" s="222">
        <f t="shared" si="3"/>
        <v>7.0835721527411888</v>
      </c>
      <c r="I17" s="11">
        <f t="shared" si="3"/>
        <v>5.7707474065873976</v>
      </c>
      <c r="J17" s="11" t="e">
        <f t="shared" si="3"/>
        <v>#DIV/0!</v>
      </c>
      <c r="K17" s="11" t="e">
        <f t="shared" si="3"/>
        <v>#DIV/0!</v>
      </c>
      <c r="L17" s="11" t="e">
        <f t="shared" si="3"/>
        <v>#DIV/0!</v>
      </c>
      <c r="M17" s="11" t="e">
        <f t="shared" si="3"/>
        <v>#DIV/0!</v>
      </c>
      <c r="N17" s="11" t="e">
        <f t="shared" si="3"/>
        <v>#DIV/0!</v>
      </c>
      <c r="O17" s="11" t="e">
        <f t="shared" si="3"/>
        <v>#DIV/0!</v>
      </c>
      <c r="P17" s="148">
        <f>P16/P9</f>
        <v>50.985835344647697</v>
      </c>
      <c r="Q17" s="148">
        <f>Q16/Q9</f>
        <v>11.910231332035991</v>
      </c>
      <c r="R17" s="148" t="e">
        <f>R16/R9</f>
        <v>#DIV/0!</v>
      </c>
      <c r="S17" s="148" t="e">
        <f>S16/S9</f>
        <v>#DIV/0!</v>
      </c>
      <c r="T17" s="148">
        <f>T16/T9</f>
        <v>31.42100567804961</v>
      </c>
    </row>
    <row r="18" spans="1:20">
      <c r="A18" s="64">
        <v>7</v>
      </c>
      <c r="B18" s="35" t="s">
        <v>27</v>
      </c>
      <c r="C18" s="64" t="str">
        <f>"("&amp;A$11&amp;") - ("&amp;A16&amp;")"</f>
        <v>(3) - (6)</v>
      </c>
      <c r="D18" s="147">
        <f t="shared" ref="D18:O18" si="4">D11-D16</f>
        <v>568143.05046182126</v>
      </c>
      <c r="E18" s="147">
        <f t="shared" si="4"/>
        <v>298204.13482409343</v>
      </c>
      <c r="F18" s="147">
        <f t="shared" si="4"/>
        <v>-803979.56527761929</v>
      </c>
      <c r="G18" s="147">
        <f t="shared" si="4"/>
        <v>-5012.7987512839027</v>
      </c>
      <c r="H18" s="223">
        <f t="shared" si="4"/>
        <v>930100.23570090579</v>
      </c>
      <c r="I18" s="147">
        <f t="shared" si="4"/>
        <v>408614.64011148131</v>
      </c>
      <c r="J18" s="147">
        <f t="shared" si="4"/>
        <v>0</v>
      </c>
      <c r="K18" s="147">
        <f t="shared" si="4"/>
        <v>0</v>
      </c>
      <c r="L18" s="147">
        <f t="shared" si="4"/>
        <v>0</v>
      </c>
      <c r="M18" s="147">
        <f>M11-M16</f>
        <v>0</v>
      </c>
      <c r="N18" s="147">
        <f t="shared" si="4"/>
        <v>0</v>
      </c>
      <c r="O18" s="147">
        <f t="shared" si="4"/>
        <v>0</v>
      </c>
      <c r="P18" s="68">
        <f>SUM(D18:F18)</f>
        <v>62367.620008295402</v>
      </c>
      <c r="Q18" s="68">
        <f>SUM(G18:I18)</f>
        <v>1333702.0770611032</v>
      </c>
      <c r="R18" s="68">
        <f>SUM(J18:L18)</f>
        <v>0</v>
      </c>
      <c r="S18" s="68">
        <f>SUM(M18:O18)</f>
        <v>0</v>
      </c>
      <c r="T18" s="68">
        <f>SUM(D18:O18)</f>
        <v>1396069.6970693986</v>
      </c>
    </row>
    <row r="19" spans="1:20">
      <c r="A19" s="64">
        <v>8</v>
      </c>
      <c r="B19" s="35" t="s">
        <v>28</v>
      </c>
      <c r="C19" s="64" t="s">
        <v>29</v>
      </c>
      <c r="D19" s="117">
        <f>D18*-0.045668</f>
        <v>-25945.956828490453</v>
      </c>
      <c r="E19" s="117">
        <f>E18*-0.045668</f>
        <v>-13618.386429146698</v>
      </c>
      <c r="F19" s="117">
        <f t="shared" ref="F19:O19" si="5">F18*-0.045668</f>
        <v>36716.138787098316</v>
      </c>
      <c r="G19" s="117">
        <f t="shared" si="5"/>
        <v>228.92449337363328</v>
      </c>
      <c r="H19" s="224">
        <v>-43217.11</v>
      </c>
      <c r="I19" s="117">
        <f t="shared" si="5"/>
        <v>-18660.61338461113</v>
      </c>
      <c r="J19" s="117">
        <f t="shared" si="5"/>
        <v>0</v>
      </c>
      <c r="K19" s="117">
        <f t="shared" si="5"/>
        <v>0</v>
      </c>
      <c r="L19" s="117">
        <f t="shared" si="5"/>
        <v>0</v>
      </c>
      <c r="M19" s="117">
        <f t="shared" si="5"/>
        <v>0</v>
      </c>
      <c r="N19" s="117">
        <f t="shared" si="5"/>
        <v>0</v>
      </c>
      <c r="O19" s="117">
        <f t="shared" si="5"/>
        <v>0</v>
      </c>
      <c r="P19" s="68">
        <f>SUM(D19:F19)</f>
        <v>-2848.2044705388325</v>
      </c>
      <c r="Q19" s="68">
        <f>SUM(G19:I19)</f>
        <v>-61648.7988912375</v>
      </c>
      <c r="R19" s="68">
        <f>SUM(J19:L19)</f>
        <v>0</v>
      </c>
      <c r="S19" s="68">
        <f>SUM(M19:O19)</f>
        <v>0</v>
      </c>
      <c r="T19" s="68">
        <f>SUM(D19:O19)</f>
        <v>-64497.003361776326</v>
      </c>
    </row>
    <row r="20" spans="1:20" ht="14.4" customHeight="1">
      <c r="A20" s="64"/>
      <c r="B20" s="35"/>
      <c r="C20" s="8" t="s">
        <v>30</v>
      </c>
      <c r="D20" s="118">
        <v>4.2500000000000003E-2</v>
      </c>
      <c r="E20" s="118">
        <f t="shared" ref="E20:I20" si="6">D20</f>
        <v>4.2500000000000003E-2</v>
      </c>
      <c r="F20" s="118">
        <f>E20</f>
        <v>4.2500000000000003E-2</v>
      </c>
      <c r="G20" s="118">
        <v>4.4699999999999997E-2</v>
      </c>
      <c r="H20" s="225">
        <f t="shared" si="6"/>
        <v>4.4699999999999997E-2</v>
      </c>
      <c r="I20" s="118">
        <f t="shared" si="6"/>
        <v>4.4699999999999997E-2</v>
      </c>
      <c r="J20" s="118">
        <v>0</v>
      </c>
      <c r="K20" s="118">
        <f t="shared" ref="K20" si="7">J20</f>
        <v>0</v>
      </c>
      <c r="L20" s="118">
        <f t="shared" ref="L20" si="8">K20</f>
        <v>0</v>
      </c>
      <c r="M20" s="118">
        <v>0</v>
      </c>
      <c r="N20" s="118">
        <f t="shared" ref="N20" si="9">M20</f>
        <v>0</v>
      </c>
      <c r="O20" s="118">
        <f t="shared" ref="O20" si="10">N20</f>
        <v>0</v>
      </c>
      <c r="P20" s="74"/>
      <c r="Q20" s="74"/>
      <c r="R20" s="74"/>
      <c r="S20" s="74"/>
      <c r="T20" s="74"/>
    </row>
    <row r="21" spans="1:20">
      <c r="A21" s="64">
        <v>9</v>
      </c>
      <c r="B21" s="35" t="s">
        <v>31</v>
      </c>
      <c r="C21" s="8" t="s">
        <v>35</v>
      </c>
      <c r="D21" s="9">
        <f>(D18+D19)/2*D20/12</f>
        <v>960.14068664235663</v>
      </c>
      <c r="E21" s="9">
        <f>(D23+(E18+E19)/2)*E20/12</f>
        <v>2427.63580099929</v>
      </c>
      <c r="F21" s="9">
        <f t="shared" ref="F21:O21" si="11">(E23+(F18+F19)/2)*F20/12</f>
        <v>1581.491956166916</v>
      </c>
      <c r="G21" s="9">
        <f t="shared" si="11"/>
        <v>231.31038202597185</v>
      </c>
      <c r="H21" s="226">
        <f t="shared" si="11"/>
        <v>1875.0818690115975</v>
      </c>
      <c r="I21" s="9">
        <f t="shared" si="11"/>
        <v>4260.1757453703985</v>
      </c>
      <c r="J21" s="9">
        <f t="shared" si="11"/>
        <v>0</v>
      </c>
      <c r="K21" s="9">
        <f t="shared" si="11"/>
        <v>0</v>
      </c>
      <c r="L21" s="9">
        <f t="shared" si="11"/>
        <v>0</v>
      </c>
      <c r="M21" s="9">
        <f t="shared" si="11"/>
        <v>0</v>
      </c>
      <c r="N21" s="9">
        <f t="shared" si="11"/>
        <v>0</v>
      </c>
      <c r="O21" s="9">
        <f t="shared" si="11"/>
        <v>0</v>
      </c>
      <c r="P21" s="68">
        <f>SUM(D21:F21)</f>
        <v>4969.2684438085626</v>
      </c>
      <c r="Q21" s="68">
        <f>SUM(G21:I21)</f>
        <v>6366.5679964079682</v>
      </c>
      <c r="R21" s="68">
        <f>SUM(J21:L21)</f>
        <v>0</v>
      </c>
      <c r="S21" s="68">
        <f>SUM(M21:O21)</f>
        <v>0</v>
      </c>
      <c r="T21" s="9">
        <f>SUM(D21:O21)</f>
        <v>11335.836440216532</v>
      </c>
    </row>
    <row r="22" spans="1:20" ht="15" thickBot="1">
      <c r="A22" s="64"/>
      <c r="B22" s="10" t="s">
        <v>32</v>
      </c>
      <c r="C22" s="64"/>
      <c r="D22" s="12">
        <f>D18+D19+D21</f>
        <v>543157.23431997315</v>
      </c>
      <c r="E22" s="12">
        <f t="shared" ref="E22:O22" si="12">E18+E19+E21</f>
        <v>287013.38419594604</v>
      </c>
      <c r="F22" s="12">
        <f t="shared" si="12"/>
        <v>-765681.93453435402</v>
      </c>
      <c r="G22" s="12">
        <f t="shared" si="12"/>
        <v>-4552.563875884297</v>
      </c>
      <c r="H22" s="227">
        <f t="shared" si="12"/>
        <v>888758.20756991743</v>
      </c>
      <c r="I22" s="12">
        <f t="shared" si="12"/>
        <v>394214.20247224055</v>
      </c>
      <c r="J22" s="12">
        <f t="shared" si="12"/>
        <v>0</v>
      </c>
      <c r="K22" s="12">
        <f t="shared" si="12"/>
        <v>0</v>
      </c>
      <c r="L22" s="12">
        <f t="shared" si="12"/>
        <v>0</v>
      </c>
      <c r="M22" s="12">
        <f t="shared" si="12"/>
        <v>0</v>
      </c>
      <c r="N22" s="12">
        <f t="shared" si="12"/>
        <v>0</v>
      </c>
      <c r="O22" s="12">
        <f t="shared" si="12"/>
        <v>0</v>
      </c>
      <c r="P22" s="70">
        <f>P18+P19+P21</f>
        <v>64488.683981565133</v>
      </c>
      <c r="Q22" s="70">
        <f>Q18+Q19+Q21</f>
        <v>1278419.8461662736</v>
      </c>
      <c r="R22" s="70">
        <f>R18+R19+R21</f>
        <v>0</v>
      </c>
      <c r="S22" s="70">
        <f>S18+S19+S21</f>
        <v>0</v>
      </c>
      <c r="T22" s="70">
        <f>T18+T19+T21</f>
        <v>1342908.5301478389</v>
      </c>
    </row>
    <row r="23" spans="1:20" ht="27.6" thickBot="1">
      <c r="A23" s="64">
        <v>10</v>
      </c>
      <c r="B23" s="137" t="s">
        <v>101</v>
      </c>
      <c r="C23" s="64" t="str">
        <f>"Σ(("&amp;A$18&amp;") ~ ("&amp;A21&amp;"))"</f>
        <v>Σ((7) ~ (9))</v>
      </c>
      <c r="D23" s="68">
        <f>D18+D19+D21</f>
        <v>543157.23431997315</v>
      </c>
      <c r="E23" s="68">
        <f>D23+E18+E19+E21</f>
        <v>830170.61851591908</v>
      </c>
      <c r="F23" s="68">
        <f t="shared" ref="F23:N23" si="13">E23+F18+F19+F21</f>
        <v>64488.683981565024</v>
      </c>
      <c r="G23" s="68">
        <f t="shared" si="13"/>
        <v>59936.120105680726</v>
      </c>
      <c r="H23" s="220">
        <f t="shared" si="13"/>
        <v>948694.32767559821</v>
      </c>
      <c r="I23" s="68">
        <f t="shared" si="13"/>
        <v>1342908.5301478386</v>
      </c>
      <c r="J23" s="68">
        <f t="shared" si="13"/>
        <v>1342908.5301478386</v>
      </c>
      <c r="K23" s="68">
        <f t="shared" si="13"/>
        <v>1342908.5301478386</v>
      </c>
      <c r="L23" s="68">
        <f t="shared" si="13"/>
        <v>1342908.5301478386</v>
      </c>
      <c r="M23" s="68">
        <f t="shared" si="13"/>
        <v>1342908.5301478386</v>
      </c>
      <c r="N23" s="68">
        <f t="shared" si="13"/>
        <v>1342908.5301478386</v>
      </c>
      <c r="O23" s="119">
        <f>N23+O18+O19+O21</f>
        <v>1342908.5301478386</v>
      </c>
      <c r="P23" s="68"/>
      <c r="Q23" s="28"/>
      <c r="R23" s="68"/>
      <c r="S23" s="68"/>
      <c r="T23" s="1"/>
    </row>
    <row r="24" spans="1:20">
      <c r="A24" s="64"/>
      <c r="B24" s="35"/>
      <c r="C24" s="64"/>
      <c r="D24" s="65"/>
      <c r="E24" s="65"/>
      <c r="F24" s="65"/>
      <c r="G24" s="65"/>
      <c r="H24" s="228"/>
      <c r="I24" s="65"/>
      <c r="J24" s="65"/>
      <c r="K24" s="65"/>
      <c r="L24" s="65"/>
      <c r="M24" s="65"/>
      <c r="N24" s="65"/>
      <c r="O24" s="65"/>
      <c r="P24" s="68"/>
      <c r="Q24" s="28"/>
      <c r="R24" s="68"/>
      <c r="S24" s="68"/>
      <c r="T24" s="1"/>
    </row>
    <row r="25" spans="1:20">
      <c r="A25" s="64"/>
      <c r="B25" s="2" t="s">
        <v>33</v>
      </c>
      <c r="C25" s="64"/>
      <c r="D25" s="64"/>
      <c r="E25" s="64"/>
      <c r="F25" s="64"/>
      <c r="G25" s="64"/>
      <c r="H25" s="217"/>
      <c r="I25" s="64"/>
      <c r="J25" s="64"/>
      <c r="K25" s="64"/>
      <c r="L25" s="64"/>
      <c r="M25" s="64"/>
      <c r="N25" s="64"/>
      <c r="O25" s="64"/>
      <c r="P25" s="68"/>
      <c r="Q25" s="36"/>
      <c r="R25" s="68"/>
      <c r="S25" s="68"/>
      <c r="T25" s="5"/>
    </row>
    <row r="26" spans="1:20">
      <c r="A26" s="64">
        <v>11</v>
      </c>
      <c r="B26" s="35" t="s">
        <v>20</v>
      </c>
      <c r="C26" s="64" t="s">
        <v>21</v>
      </c>
      <c r="D26" s="142">
        <v>3021</v>
      </c>
      <c r="E26" s="142">
        <v>3035</v>
      </c>
      <c r="F26" s="142">
        <v>3095</v>
      </c>
      <c r="G26" s="142">
        <v>3084</v>
      </c>
      <c r="H26" s="218">
        <v>3066</v>
      </c>
      <c r="I26" s="142">
        <v>3089</v>
      </c>
      <c r="J26" s="142"/>
      <c r="K26" s="142"/>
      <c r="L26" s="142"/>
      <c r="M26" s="142"/>
      <c r="N26" s="142"/>
      <c r="O26" s="142"/>
      <c r="P26" s="67">
        <f>SUM(D26:F26)</f>
        <v>9151</v>
      </c>
      <c r="Q26" s="67">
        <f>SUM(G26:I26)</f>
        <v>9239</v>
      </c>
      <c r="R26" s="67">
        <f>SUM(J26:L26)</f>
        <v>0</v>
      </c>
      <c r="S26" s="67">
        <f>SUM(M26:O26)</f>
        <v>0</v>
      </c>
      <c r="T26" s="67">
        <f>SUM(D26:O26)</f>
        <v>18390</v>
      </c>
    </row>
    <row r="27" spans="1:20" s="73" customFormat="1">
      <c r="A27" s="143">
        <v>12</v>
      </c>
      <c r="B27" s="110" t="s">
        <v>22</v>
      </c>
      <c r="C27" s="114" t="s">
        <v>98</v>
      </c>
      <c r="D27" s="144">
        <v>753.64912048196356</v>
      </c>
      <c r="E27" s="144">
        <v>633.97166971988349</v>
      </c>
      <c r="F27" s="144">
        <v>560.24514123304027</v>
      </c>
      <c r="G27" s="144">
        <v>374.05059994815878</v>
      </c>
      <c r="H27" s="219">
        <v>270.89587418127491</v>
      </c>
      <c r="I27" s="144">
        <v>181.96563697969282</v>
      </c>
      <c r="J27" s="144">
        <v>155.9609268589395</v>
      </c>
      <c r="K27" s="144">
        <v>163.10613396324226</v>
      </c>
      <c r="L27" s="144">
        <v>199.46971218804904</v>
      </c>
      <c r="M27" s="144">
        <v>369.63584080802372</v>
      </c>
      <c r="N27" s="144">
        <v>494.51412130939275</v>
      </c>
      <c r="O27" s="144">
        <v>714.9331634869684</v>
      </c>
      <c r="P27" s="148">
        <f>P28/P26</f>
        <v>648.54515601487458</v>
      </c>
      <c r="Q27" s="148">
        <f>Q28/Q26</f>
        <v>275.59591439659943</v>
      </c>
      <c r="R27" s="148" t="e">
        <f>R28/R26</f>
        <v>#DIV/0!</v>
      </c>
      <c r="S27" s="148" t="e">
        <f>S28/S26</f>
        <v>#DIV/0!</v>
      </c>
      <c r="T27" s="148">
        <f>T28/T26</f>
        <v>461.17821510616091</v>
      </c>
    </row>
    <row r="28" spans="1:20">
      <c r="A28" s="64">
        <v>13</v>
      </c>
      <c r="B28" s="35" t="s">
        <v>23</v>
      </c>
      <c r="C28" s="64" t="str">
        <f>"("&amp;A26&amp;") x ("&amp;A27&amp;")"</f>
        <v>(11) x (12)</v>
      </c>
      <c r="D28" s="68">
        <f t="shared" ref="D28:O28" si="14">D26*D27</f>
        <v>2276773.9929760117</v>
      </c>
      <c r="E28" s="68">
        <f t="shared" si="14"/>
        <v>1924104.0175998465</v>
      </c>
      <c r="F28" s="68">
        <f t="shared" si="14"/>
        <v>1733958.7121162596</v>
      </c>
      <c r="G28" s="68">
        <f t="shared" si="14"/>
        <v>1153572.0502401218</v>
      </c>
      <c r="H28" s="220">
        <f t="shared" si="14"/>
        <v>830566.7502397889</v>
      </c>
      <c r="I28" s="68">
        <f t="shared" si="14"/>
        <v>562091.85263027111</v>
      </c>
      <c r="J28" s="68">
        <f t="shared" si="14"/>
        <v>0</v>
      </c>
      <c r="K28" s="68">
        <f t="shared" si="14"/>
        <v>0</v>
      </c>
      <c r="L28" s="68">
        <f t="shared" si="14"/>
        <v>0</v>
      </c>
      <c r="M28" s="68">
        <f t="shared" si="14"/>
        <v>0</v>
      </c>
      <c r="N28" s="68">
        <f t="shared" si="14"/>
        <v>0</v>
      </c>
      <c r="O28" s="68">
        <f t="shared" si="14"/>
        <v>0</v>
      </c>
      <c r="P28" s="68">
        <f>SUM(D28:F28)</f>
        <v>5934836.7226921171</v>
      </c>
      <c r="Q28" s="68">
        <f>SUM(G28:I28)</f>
        <v>2546230.6531101819</v>
      </c>
      <c r="R28" s="68">
        <f>SUM(J28:L28)</f>
        <v>0</v>
      </c>
      <c r="S28" s="68">
        <f>SUM(M28:O28)</f>
        <v>0</v>
      </c>
      <c r="T28" s="68">
        <f>SUM(D28:O28)</f>
        <v>8481067.375802299</v>
      </c>
    </row>
    <row r="29" spans="1:20">
      <c r="A29" s="64"/>
      <c r="B29" s="35"/>
      <c r="C29" s="64"/>
      <c r="D29" s="68"/>
      <c r="E29" s="68"/>
      <c r="F29" s="68"/>
      <c r="G29" s="68"/>
      <c r="H29" s="220"/>
      <c r="I29" s="68"/>
      <c r="J29" s="68"/>
      <c r="K29" s="68"/>
      <c r="L29" s="68"/>
      <c r="M29" s="68"/>
      <c r="N29" s="68"/>
      <c r="O29" s="68"/>
      <c r="P29" s="65"/>
      <c r="Q29" s="65"/>
      <c r="R29" s="65"/>
      <c r="S29" s="65"/>
      <c r="T29" s="65"/>
    </row>
    <row r="30" spans="1:20">
      <c r="A30" s="64"/>
      <c r="B30" s="35" t="s">
        <v>99</v>
      </c>
      <c r="C30" s="64"/>
      <c r="D30" s="142">
        <v>6971726.6354099996</v>
      </c>
      <c r="E30" s="142">
        <v>7651846.1468699994</v>
      </c>
      <c r="F30" s="142">
        <v>5951563.6258100001</v>
      </c>
      <c r="G30" s="142">
        <v>4572596.8123699995</v>
      </c>
      <c r="H30" s="218">
        <v>2497933.2149799997</v>
      </c>
      <c r="I30" s="142">
        <v>2279512.6305000004</v>
      </c>
      <c r="J30" s="142"/>
      <c r="K30" s="142"/>
      <c r="L30" s="142"/>
      <c r="M30" s="142"/>
      <c r="N30" s="142"/>
      <c r="O30" s="142"/>
      <c r="P30" s="65"/>
      <c r="Q30" s="65"/>
      <c r="R30" s="65"/>
      <c r="S30" s="65"/>
      <c r="T30" s="65"/>
    </row>
    <row r="31" spans="1:20" ht="27">
      <c r="A31" s="64">
        <v>14</v>
      </c>
      <c r="B31" s="145" t="s">
        <v>100</v>
      </c>
      <c r="C31" s="64" t="s">
        <v>21</v>
      </c>
      <c r="D31" s="146">
        <v>2132043.7323099999</v>
      </c>
      <c r="E31" s="146">
        <v>2288489.9065799997</v>
      </c>
      <c r="F31" s="146">
        <v>1867196.0976</v>
      </c>
      <c r="G31" s="146">
        <v>1490798.12702</v>
      </c>
      <c r="H31" s="221">
        <v>905762.41145999986</v>
      </c>
      <c r="I31" s="146">
        <v>827108.43503000017</v>
      </c>
      <c r="J31" s="146"/>
      <c r="K31" s="146"/>
      <c r="L31" s="146"/>
      <c r="M31" s="146"/>
      <c r="N31" s="146"/>
      <c r="O31" s="146"/>
      <c r="P31" s="37"/>
      <c r="Q31" s="37"/>
      <c r="R31" s="37"/>
      <c r="S31" s="37"/>
      <c r="T31" s="37"/>
    </row>
    <row r="32" spans="1:20">
      <c r="A32" s="64">
        <v>15</v>
      </c>
      <c r="B32" s="35" t="s">
        <v>24</v>
      </c>
      <c r="C32" s="64" t="s">
        <v>21</v>
      </c>
      <c r="D32" s="146">
        <v>310459.05</v>
      </c>
      <c r="E32" s="146">
        <v>312003.61</v>
      </c>
      <c r="F32" s="146">
        <v>317740.88</v>
      </c>
      <c r="G32" s="146">
        <v>317052.28000000003</v>
      </c>
      <c r="H32" s="221">
        <v>310204.46999999997</v>
      </c>
      <c r="I32" s="146">
        <v>304631.79000000004</v>
      </c>
      <c r="J32" s="146"/>
      <c r="K32" s="146"/>
      <c r="L32" s="146"/>
      <c r="M32" s="146"/>
      <c r="N32" s="146"/>
      <c r="O32" s="146"/>
      <c r="P32" s="37"/>
      <c r="Q32" s="37"/>
      <c r="R32" s="37"/>
      <c r="S32" s="37"/>
      <c r="T32" s="37"/>
    </row>
    <row r="33" spans="1:20">
      <c r="A33" s="64">
        <v>16</v>
      </c>
      <c r="B33" s="35" t="s">
        <v>25</v>
      </c>
      <c r="C33" s="64" t="str">
        <f>"("&amp;A31&amp;") - ("&amp;A32&amp;")"</f>
        <v>(14) - (15)</v>
      </c>
      <c r="D33" s="68">
        <f t="shared" ref="D33:O33" si="15">D31-D32</f>
        <v>1821584.6823099998</v>
      </c>
      <c r="E33" s="68">
        <f t="shared" si="15"/>
        <v>1976486.2965799998</v>
      </c>
      <c r="F33" s="68">
        <f t="shared" si="15"/>
        <v>1549455.2176000001</v>
      </c>
      <c r="G33" s="68">
        <f t="shared" si="15"/>
        <v>1173745.84702</v>
      </c>
      <c r="H33" s="220">
        <f t="shared" si="15"/>
        <v>595557.94145999989</v>
      </c>
      <c r="I33" s="68">
        <f t="shared" si="15"/>
        <v>522476.64503000013</v>
      </c>
      <c r="J33" s="68">
        <f t="shared" si="15"/>
        <v>0</v>
      </c>
      <c r="K33" s="68">
        <f t="shared" si="15"/>
        <v>0</v>
      </c>
      <c r="L33" s="68">
        <f t="shared" si="15"/>
        <v>0</v>
      </c>
      <c r="M33" s="68">
        <f t="shared" si="15"/>
        <v>0</v>
      </c>
      <c r="N33" s="68">
        <f t="shared" si="15"/>
        <v>0</v>
      </c>
      <c r="O33" s="68">
        <f t="shared" si="15"/>
        <v>0</v>
      </c>
      <c r="P33" s="68">
        <f>SUM(D33:F33)</f>
        <v>5347526.19649</v>
      </c>
      <c r="Q33" s="68">
        <f>SUM(G33:I33)</f>
        <v>2291780.4335099999</v>
      </c>
      <c r="R33" s="68">
        <f>SUM(J33:L33)</f>
        <v>0</v>
      </c>
      <c r="S33" s="68">
        <f>SUM(M33:O33)</f>
        <v>0</v>
      </c>
      <c r="T33" s="68">
        <f>SUM(D33:O33)</f>
        <v>7639306.6299999999</v>
      </c>
    </row>
    <row r="34" spans="1:20">
      <c r="A34" s="6"/>
      <c r="B34" s="64" t="s">
        <v>34</v>
      </c>
      <c r="C34" s="64"/>
      <c r="D34" s="71">
        <f>D33/D26</f>
        <v>602.97407557431313</v>
      </c>
      <c r="E34" s="71">
        <f t="shared" ref="E34:O34" si="16">E33/E26</f>
        <v>651.23106971334425</v>
      </c>
      <c r="F34" s="71">
        <f t="shared" si="16"/>
        <v>500.6317342810986</v>
      </c>
      <c r="G34" s="71">
        <f t="shared" si="16"/>
        <v>380.59203859273669</v>
      </c>
      <c r="H34" s="229">
        <f t="shared" si="16"/>
        <v>194.24590393346375</v>
      </c>
      <c r="I34" s="71">
        <f t="shared" si="16"/>
        <v>169.14103108773071</v>
      </c>
      <c r="J34" s="71" t="e">
        <f t="shared" si="16"/>
        <v>#DIV/0!</v>
      </c>
      <c r="K34" s="71" t="e">
        <f t="shared" si="16"/>
        <v>#DIV/0!</v>
      </c>
      <c r="L34" s="71" t="e">
        <f t="shared" si="16"/>
        <v>#DIV/0!</v>
      </c>
      <c r="M34" s="71" t="e">
        <f t="shared" si="16"/>
        <v>#DIV/0!</v>
      </c>
      <c r="N34" s="71" t="e">
        <f t="shared" si="16"/>
        <v>#DIV/0!</v>
      </c>
      <c r="O34" s="71" t="e">
        <f t="shared" si="16"/>
        <v>#DIV/0!</v>
      </c>
      <c r="P34" s="148">
        <f>P33/P26</f>
        <v>584.36522746038679</v>
      </c>
      <c r="Q34" s="148">
        <f>Q33/Q26</f>
        <v>248.05503122740555</v>
      </c>
      <c r="R34" s="148" t="e">
        <f>R33/R26</f>
        <v>#DIV/0!</v>
      </c>
      <c r="S34" s="148" t="e">
        <f>S33/S26</f>
        <v>#DIV/0!</v>
      </c>
      <c r="T34" s="148">
        <f>T33/T26</f>
        <v>415.4054719956498</v>
      </c>
    </row>
    <row r="35" spans="1:20">
      <c r="A35" s="64">
        <v>17</v>
      </c>
      <c r="B35" s="35" t="s">
        <v>27</v>
      </c>
      <c r="C35" s="64" t="str">
        <f>"("&amp;A28&amp;") - ("&amp;A33&amp;")"</f>
        <v>(13) - (16)</v>
      </c>
      <c r="D35" s="117">
        <f t="shared" ref="D35:O35" si="17">D28-D33</f>
        <v>455189.31066601188</v>
      </c>
      <c r="E35" s="117">
        <f t="shared" si="17"/>
        <v>-52382.27898015338</v>
      </c>
      <c r="F35" s="117">
        <f t="shared" si="17"/>
        <v>184503.49451625952</v>
      </c>
      <c r="G35" s="117">
        <f t="shared" si="17"/>
        <v>-20173.796779878205</v>
      </c>
      <c r="H35" s="224">
        <f t="shared" si="17"/>
        <v>235008.80877978902</v>
      </c>
      <c r="I35" s="117">
        <f t="shared" si="17"/>
        <v>39615.20760027098</v>
      </c>
      <c r="J35" s="117">
        <f t="shared" si="17"/>
        <v>0</v>
      </c>
      <c r="K35" s="117">
        <f t="shared" si="17"/>
        <v>0</v>
      </c>
      <c r="L35" s="117">
        <f t="shared" si="17"/>
        <v>0</v>
      </c>
      <c r="M35" s="117">
        <f t="shared" si="17"/>
        <v>0</v>
      </c>
      <c r="N35" s="117">
        <f t="shared" si="17"/>
        <v>0</v>
      </c>
      <c r="O35" s="117">
        <f t="shared" si="17"/>
        <v>0</v>
      </c>
      <c r="P35" s="68">
        <f>SUM(D35:F35)</f>
        <v>587310.52620211802</v>
      </c>
      <c r="Q35" s="68">
        <f>SUM(G35:I35)</f>
        <v>254450.21960018179</v>
      </c>
      <c r="R35" s="68">
        <f>SUM(J35:L35)</f>
        <v>0</v>
      </c>
      <c r="S35" s="68">
        <f>SUM(M35:O35)</f>
        <v>0</v>
      </c>
      <c r="T35" s="68">
        <f>SUM(D35:O35)</f>
        <v>841760.74580229982</v>
      </c>
    </row>
    <row r="36" spans="1:20">
      <c r="A36" s="64">
        <v>18</v>
      </c>
      <c r="B36" s="35" t="s">
        <v>28</v>
      </c>
      <c r="C36" s="64" t="s">
        <v>29</v>
      </c>
      <c r="D36" s="117">
        <f>D35*-0.045668</f>
        <v>-20787.585439495429</v>
      </c>
      <c r="E36" s="117">
        <f>E35*-0.045668</f>
        <v>2392.1939164656446</v>
      </c>
      <c r="F36" s="117">
        <f t="shared" ref="F36:O36" si="18">F35*-0.045668</f>
        <v>-8425.9055875685408</v>
      </c>
      <c r="G36" s="117">
        <f t="shared" si="18"/>
        <v>921.29695134347787</v>
      </c>
      <c r="H36" s="224">
        <v>-10919.68</v>
      </c>
      <c r="I36" s="117">
        <f t="shared" si="18"/>
        <v>-1809.1473006891752</v>
      </c>
      <c r="J36" s="117">
        <f t="shared" si="18"/>
        <v>0</v>
      </c>
      <c r="K36" s="117">
        <f t="shared" si="18"/>
        <v>0</v>
      </c>
      <c r="L36" s="117">
        <f t="shared" si="18"/>
        <v>0</v>
      </c>
      <c r="M36" s="117">
        <f t="shared" si="18"/>
        <v>0</v>
      </c>
      <c r="N36" s="117">
        <f t="shared" si="18"/>
        <v>0</v>
      </c>
      <c r="O36" s="117">
        <f t="shared" si="18"/>
        <v>0</v>
      </c>
      <c r="P36" s="68">
        <f>SUM(D36:F36)</f>
        <v>-26821.297110598327</v>
      </c>
      <c r="Q36" s="68">
        <f>SUM(G36:I36)</f>
        <v>-11807.530349345698</v>
      </c>
      <c r="R36" s="68">
        <f>SUM(J36:L36)</f>
        <v>0</v>
      </c>
      <c r="S36" s="68">
        <f>SUM(M36:O36)</f>
        <v>0</v>
      </c>
      <c r="T36" s="68">
        <f>SUM(D36:O36)</f>
        <v>-38628.827459944026</v>
      </c>
    </row>
    <row r="37" spans="1:20" ht="14.4" customHeight="1">
      <c r="A37" s="8"/>
      <c r="B37" s="16"/>
      <c r="C37" s="64" t="s">
        <v>30</v>
      </c>
      <c r="D37" s="118">
        <f t="shared" ref="D37:O37" si="19">D20</f>
        <v>4.2500000000000003E-2</v>
      </c>
      <c r="E37" s="118">
        <f t="shared" si="19"/>
        <v>4.2500000000000003E-2</v>
      </c>
      <c r="F37" s="118">
        <f t="shared" si="19"/>
        <v>4.2500000000000003E-2</v>
      </c>
      <c r="G37" s="118">
        <f t="shared" si="19"/>
        <v>4.4699999999999997E-2</v>
      </c>
      <c r="H37" s="225">
        <f t="shared" si="19"/>
        <v>4.4699999999999997E-2</v>
      </c>
      <c r="I37" s="118">
        <f t="shared" si="19"/>
        <v>4.4699999999999997E-2</v>
      </c>
      <c r="J37" s="118">
        <f t="shared" si="19"/>
        <v>0</v>
      </c>
      <c r="K37" s="118">
        <f t="shared" si="19"/>
        <v>0</v>
      </c>
      <c r="L37" s="118">
        <f t="shared" si="19"/>
        <v>0</v>
      </c>
      <c r="M37" s="118">
        <f t="shared" si="19"/>
        <v>0</v>
      </c>
      <c r="N37" s="118">
        <f t="shared" si="19"/>
        <v>0</v>
      </c>
      <c r="O37" s="118">
        <f t="shared" si="19"/>
        <v>0</v>
      </c>
      <c r="P37" s="74"/>
      <c r="Q37" s="74"/>
      <c r="R37" s="74"/>
      <c r="S37" s="74"/>
      <c r="T37" s="74"/>
    </row>
    <row r="38" spans="1:20">
      <c r="A38" s="64">
        <v>19</v>
      </c>
      <c r="B38" s="35" t="s">
        <v>31</v>
      </c>
      <c r="C38" s="64" t="s">
        <v>35</v>
      </c>
      <c r="D38" s="9">
        <f>(D35+D36)/2*D37/12</f>
        <v>769.253055088623</v>
      </c>
      <c r="E38" s="9">
        <f>(D40+(E35+E36)/2)*E37/12</f>
        <v>1452.7064391137376</v>
      </c>
      <c r="F38" s="9">
        <f t="shared" ref="F38:O38" si="20">(E40+(F35+F36)/2)*F37/12</f>
        <v>1681.1313958465419</v>
      </c>
      <c r="G38" s="9">
        <f t="shared" si="20"/>
        <v>2066.5036110006968</v>
      </c>
      <c r="H38" s="226">
        <f t="shared" si="20"/>
        <v>2455.7095583733849</v>
      </c>
      <c r="I38" s="9">
        <f t="shared" si="20"/>
        <v>2952.6368661386546</v>
      </c>
      <c r="J38" s="9">
        <f t="shared" si="20"/>
        <v>0</v>
      </c>
      <c r="K38" s="9">
        <f t="shared" si="20"/>
        <v>0</v>
      </c>
      <c r="L38" s="9">
        <f t="shared" si="20"/>
        <v>0</v>
      </c>
      <c r="M38" s="9">
        <f t="shared" si="20"/>
        <v>0</v>
      </c>
      <c r="N38" s="9">
        <f t="shared" si="20"/>
        <v>0</v>
      </c>
      <c r="O38" s="9">
        <f t="shared" si="20"/>
        <v>0</v>
      </c>
      <c r="P38" s="68">
        <f>SUM(D38:F38)</f>
        <v>3903.0908900489021</v>
      </c>
      <c r="Q38" s="68">
        <f>SUM(G38:I38)</f>
        <v>7474.8500355127362</v>
      </c>
      <c r="R38" s="68">
        <f>SUM(J38:L38)</f>
        <v>0</v>
      </c>
      <c r="S38" s="68">
        <f>SUM(M38:O38)</f>
        <v>0</v>
      </c>
      <c r="T38" s="9">
        <f>SUM(D38:O38)</f>
        <v>11377.940925561639</v>
      </c>
    </row>
    <row r="39" spans="1:20" ht="15" thickBot="1">
      <c r="A39" s="64"/>
      <c r="B39" s="10" t="s">
        <v>36</v>
      </c>
      <c r="C39" s="64"/>
      <c r="D39" s="12">
        <f>D35+D36+D38</f>
        <v>435170.97828160506</v>
      </c>
      <c r="E39" s="12">
        <f t="shared" ref="E39:O39" si="21">E35+E36+E38</f>
        <v>-48537.378624573998</v>
      </c>
      <c r="F39" s="12">
        <f t="shared" si="21"/>
        <v>177758.72032453754</v>
      </c>
      <c r="G39" s="12">
        <f t="shared" si="21"/>
        <v>-17185.996217534033</v>
      </c>
      <c r="H39" s="227">
        <f t="shared" si="21"/>
        <v>226544.8383381624</v>
      </c>
      <c r="I39" s="12">
        <f t="shared" si="21"/>
        <v>40758.697165720456</v>
      </c>
      <c r="J39" s="12">
        <f t="shared" si="21"/>
        <v>0</v>
      </c>
      <c r="K39" s="12">
        <f t="shared" si="21"/>
        <v>0</v>
      </c>
      <c r="L39" s="12">
        <f t="shared" si="21"/>
        <v>0</v>
      </c>
      <c r="M39" s="12">
        <f t="shared" si="21"/>
        <v>0</v>
      </c>
      <c r="N39" s="12">
        <f t="shared" si="21"/>
        <v>0</v>
      </c>
      <c r="O39" s="12">
        <f t="shared" si="21"/>
        <v>0</v>
      </c>
      <c r="P39" s="70">
        <f>P35+P36+P38</f>
        <v>564392.31998156861</v>
      </c>
      <c r="Q39" s="70">
        <f>Q35+Q36+Q38</f>
        <v>250117.53928634882</v>
      </c>
      <c r="R39" s="70">
        <f>R35+R36+R38</f>
        <v>0</v>
      </c>
      <c r="S39" s="70">
        <f>S35+S36+S38</f>
        <v>0</v>
      </c>
      <c r="T39" s="70">
        <f>T35+T36+T38</f>
        <v>814509.85926791735</v>
      </c>
    </row>
    <row r="40" spans="1:20" ht="27.6" thickBot="1">
      <c r="A40" s="64">
        <v>20</v>
      </c>
      <c r="B40" s="137" t="s">
        <v>102</v>
      </c>
      <c r="C40" s="64" t="str">
        <f>"Σ(("&amp;A35&amp;") ~ ("&amp;A38&amp;"))"</f>
        <v>Σ((17) ~ (19))</v>
      </c>
      <c r="D40" s="68">
        <f>D35+D36+D38</f>
        <v>435170.97828160506</v>
      </c>
      <c r="E40" s="68">
        <f>D40+E35+E36+E38</f>
        <v>386633.59965703101</v>
      </c>
      <c r="F40" s="68">
        <f t="shared" ref="F40:O40" si="22">E40+F35+F36+F38</f>
        <v>564392.31998156849</v>
      </c>
      <c r="G40" s="68">
        <f t="shared" si="22"/>
        <v>547206.32376403443</v>
      </c>
      <c r="H40" s="220">
        <f t="shared" si="22"/>
        <v>773751.16210219683</v>
      </c>
      <c r="I40" s="68">
        <f t="shared" si="22"/>
        <v>814509.85926791735</v>
      </c>
      <c r="J40" s="68">
        <f t="shared" si="22"/>
        <v>814509.85926791735</v>
      </c>
      <c r="K40" s="68">
        <f t="shared" si="22"/>
        <v>814509.85926791735</v>
      </c>
      <c r="L40" s="68">
        <f t="shared" si="22"/>
        <v>814509.85926791735</v>
      </c>
      <c r="M40" s="68">
        <f t="shared" si="22"/>
        <v>814509.85926791735</v>
      </c>
      <c r="N40" s="68">
        <f t="shared" si="22"/>
        <v>814509.85926791735</v>
      </c>
      <c r="O40" s="119">
        <f t="shared" si="22"/>
        <v>814509.85926791735</v>
      </c>
      <c r="P40" s="69"/>
      <c r="Q40" s="31"/>
      <c r="R40" s="69"/>
      <c r="S40" s="69"/>
    </row>
    <row r="41" spans="1:20" ht="15" thickBot="1">
      <c r="A41" s="64"/>
      <c r="B41" s="35"/>
      <c r="C41" s="35"/>
      <c r="D41" s="35"/>
      <c r="E41" s="35"/>
      <c r="F41" s="35"/>
      <c r="G41" s="35"/>
      <c r="H41" s="230"/>
      <c r="I41" s="35"/>
      <c r="J41" s="35"/>
      <c r="K41" s="35"/>
      <c r="L41" s="35"/>
      <c r="M41" s="35"/>
      <c r="N41" s="35"/>
      <c r="O41" s="35"/>
      <c r="P41" s="66"/>
      <c r="Q41" s="27"/>
      <c r="R41" s="66"/>
      <c r="S41" s="66"/>
      <c r="T41" s="1"/>
    </row>
    <row r="42" spans="1:20" ht="15" thickBot="1">
      <c r="A42" s="2">
        <v>21</v>
      </c>
      <c r="B42" s="10" t="s">
        <v>64</v>
      </c>
      <c r="C42" s="2" t="str">
        <f>"("&amp;A23&amp;") + ("&amp;A40&amp;")"</f>
        <v>(10) + (20)</v>
      </c>
      <c r="D42" s="68">
        <f t="shared" ref="D42:O42" si="23">D23+D40</f>
        <v>978328.21260157821</v>
      </c>
      <c r="E42" s="68">
        <f t="shared" si="23"/>
        <v>1216804.2181729502</v>
      </c>
      <c r="F42" s="68">
        <f t="shared" si="23"/>
        <v>628881.00396313355</v>
      </c>
      <c r="G42" s="68">
        <f t="shared" si="23"/>
        <v>607142.44386971521</v>
      </c>
      <c r="H42" s="220">
        <f t="shared" si="23"/>
        <v>1722445.489777795</v>
      </c>
      <c r="I42" s="68">
        <f t="shared" si="23"/>
        <v>2157418.3894157559</v>
      </c>
      <c r="J42" s="68">
        <f t="shared" si="23"/>
        <v>2157418.3894157559</v>
      </c>
      <c r="K42" s="68">
        <f t="shared" si="23"/>
        <v>2157418.3894157559</v>
      </c>
      <c r="L42" s="68">
        <f t="shared" si="23"/>
        <v>2157418.3894157559</v>
      </c>
      <c r="M42" s="68">
        <f t="shared" si="23"/>
        <v>2157418.3894157559</v>
      </c>
      <c r="N42" s="68">
        <f t="shared" si="23"/>
        <v>2157418.3894157559</v>
      </c>
      <c r="O42" s="119">
        <f t="shared" si="23"/>
        <v>2157418.3894157559</v>
      </c>
    </row>
  </sheetData>
  <printOptions horizontalCentered="1"/>
  <pageMargins left="0.7" right="0.71" top="1.1299999999999999" bottom="0.75" header="0.5" footer="0.5"/>
  <pageSetup scale="68" firstPageNumber="2" orientation="landscape" useFirstPageNumber="1" r:id="rId1"/>
  <headerFooter scaleWithDoc="0">
    <oddHeader>&amp;CAvista Corporation Decoupling Mechanism
Washington Jurisdiction
Quarterly Report for 2nd Quarter 2018</oddHeader>
    <oddFooter>&amp;Cfile: &amp;F / &amp;A&amp;RPage 2 of 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view="pageLayout" topLeftCell="A146" zoomScaleNormal="100" workbookViewId="0">
      <selection activeCell="G17" sqref="G17"/>
    </sheetView>
  </sheetViews>
  <sheetFormatPr defaultRowHeight="14.4"/>
  <cols>
    <col min="1" max="1" width="7.33203125" customWidth="1"/>
    <col min="2" max="2" width="36.33203125" customWidth="1"/>
    <col min="3" max="3" width="6.33203125" customWidth="1"/>
    <col min="4" max="4" width="9.44140625" customWidth="1"/>
    <col min="5" max="5" width="12.33203125" customWidth="1"/>
    <col min="6" max="6" width="13.33203125" customWidth="1"/>
    <col min="7" max="7" width="13.44140625" customWidth="1"/>
    <col min="8" max="8" width="3" customWidth="1"/>
    <col min="10" max="11" width="14" bestFit="1" customWidth="1"/>
    <col min="12" max="12" width="11.109375" bestFit="1" customWidth="1"/>
    <col min="13" max="14" width="11.44140625" customWidth="1"/>
  </cols>
  <sheetData>
    <row r="1" spans="1:17" ht="29.4" customHeight="1">
      <c r="A1" s="240" t="s">
        <v>42</v>
      </c>
      <c r="B1" s="240"/>
      <c r="C1" s="240"/>
      <c r="D1" s="240"/>
      <c r="E1" s="240"/>
      <c r="F1" s="240"/>
      <c r="G1" s="240"/>
      <c r="H1" s="240"/>
      <c r="I1" s="73"/>
      <c r="J1" s="73"/>
      <c r="K1" s="73"/>
    </row>
    <row r="2" spans="1:17">
      <c r="A2" s="73"/>
      <c r="B2" s="73"/>
      <c r="C2" s="73"/>
      <c r="D2" s="73"/>
      <c r="E2" s="73"/>
      <c r="F2" s="73"/>
      <c r="G2" s="73"/>
      <c r="H2" s="73"/>
      <c r="I2" s="73"/>
      <c r="J2" s="73"/>
      <c r="K2" s="73"/>
    </row>
    <row r="3" spans="1:17">
      <c r="A3" s="73" t="s">
        <v>166</v>
      </c>
      <c r="B3" s="73"/>
      <c r="C3" s="73"/>
      <c r="D3" s="73"/>
      <c r="E3" s="73"/>
      <c r="F3" s="73"/>
      <c r="G3" s="73"/>
      <c r="H3" s="73"/>
      <c r="I3" s="73"/>
      <c r="J3" s="73"/>
      <c r="K3" s="73"/>
      <c r="L3" s="73"/>
      <c r="M3" s="73"/>
      <c r="N3" s="73"/>
      <c r="O3" s="73"/>
      <c r="P3" s="73"/>
      <c r="Q3" s="73"/>
    </row>
    <row r="4" spans="1:17">
      <c r="A4" s="39" t="s">
        <v>43</v>
      </c>
      <c r="B4" s="73"/>
      <c r="C4" s="17" t="s">
        <v>129</v>
      </c>
      <c r="D4" s="73"/>
      <c r="E4" s="73"/>
      <c r="F4" s="73"/>
      <c r="G4" s="73"/>
      <c r="H4" s="73"/>
      <c r="I4" s="73"/>
      <c r="J4" s="73"/>
      <c r="K4" s="73"/>
    </row>
    <row r="5" spans="1:17">
      <c r="A5" s="73"/>
      <c r="B5" s="73"/>
      <c r="C5" s="73"/>
      <c r="D5" s="73"/>
      <c r="E5" s="73"/>
      <c r="F5" s="73"/>
      <c r="G5" s="73"/>
      <c r="H5" s="73"/>
      <c r="I5" s="73"/>
      <c r="J5" s="73"/>
      <c r="K5" s="73"/>
    </row>
    <row r="6" spans="1:17" ht="27">
      <c r="A6" s="89" t="s">
        <v>44</v>
      </c>
      <c r="B6" s="90" t="s">
        <v>45</v>
      </c>
      <c r="C6" s="91" t="s">
        <v>46</v>
      </c>
      <c r="D6" s="89" t="s">
        <v>47</v>
      </c>
      <c r="E6" s="89" t="s">
        <v>48</v>
      </c>
      <c r="F6" s="89" t="s">
        <v>49</v>
      </c>
      <c r="G6" s="89" t="s">
        <v>50</v>
      </c>
      <c r="H6" s="73"/>
      <c r="I6" s="73"/>
      <c r="J6" s="73"/>
      <c r="K6" s="73"/>
    </row>
    <row r="7" spans="1:17" ht="14.4" customHeight="1">
      <c r="A7" s="41" t="s">
        <v>51</v>
      </c>
      <c r="B7" s="40" t="s">
        <v>52</v>
      </c>
      <c r="C7" s="42" t="s">
        <v>53</v>
      </c>
      <c r="D7" s="43" t="s">
        <v>163</v>
      </c>
      <c r="E7" s="44">
        <v>2724630.61</v>
      </c>
      <c r="F7" s="45">
        <v>818798.61</v>
      </c>
      <c r="G7" s="44">
        <v>3543429.22</v>
      </c>
      <c r="H7" s="73"/>
      <c r="I7" s="73"/>
      <c r="J7" s="73"/>
      <c r="K7" s="73"/>
    </row>
    <row r="8" spans="1:17">
      <c r="A8" s="46"/>
      <c r="B8" s="40" t="s">
        <v>52</v>
      </c>
      <c r="C8" s="47"/>
      <c r="D8" s="43" t="s">
        <v>164</v>
      </c>
      <c r="E8" s="44">
        <v>3543429.22</v>
      </c>
      <c r="F8" s="45">
        <v>1156371.56</v>
      </c>
      <c r="G8" s="44">
        <v>4699800.78</v>
      </c>
      <c r="H8" s="73"/>
      <c r="I8" s="73"/>
      <c r="J8" s="73"/>
      <c r="K8" s="73"/>
    </row>
    <row r="9" spans="1:17">
      <c r="A9" s="46"/>
      <c r="B9" s="40" t="s">
        <v>52</v>
      </c>
      <c r="C9" s="48"/>
      <c r="D9" s="43" t="s">
        <v>165</v>
      </c>
      <c r="E9" s="44">
        <v>4699800.78</v>
      </c>
      <c r="F9" s="45">
        <v>605551.17000000004</v>
      </c>
      <c r="G9" s="44">
        <v>5305351.95</v>
      </c>
      <c r="H9" s="73"/>
      <c r="I9" s="73"/>
      <c r="J9" s="73"/>
      <c r="K9" s="73"/>
    </row>
    <row r="10" spans="1:17">
      <c r="A10" s="46"/>
      <c r="B10" s="81"/>
      <c r="C10" s="82"/>
      <c r="D10" s="81"/>
      <c r="E10" s="83"/>
      <c r="F10" s="84">
        <f>SUM(F7:F9)</f>
        <v>2580721.34</v>
      </c>
      <c r="G10" s="83"/>
      <c r="H10" s="73"/>
      <c r="I10" s="73"/>
      <c r="J10" s="73"/>
      <c r="K10" s="73"/>
    </row>
    <row r="11" spans="1:17">
      <c r="A11" s="46"/>
      <c r="B11" s="40" t="s">
        <v>52</v>
      </c>
      <c r="C11" s="42" t="s">
        <v>54</v>
      </c>
      <c r="D11" s="43" t="s">
        <v>163</v>
      </c>
      <c r="E11" s="44">
        <v>64488.68</v>
      </c>
      <c r="F11" s="45">
        <v>-4552.5600000000004</v>
      </c>
      <c r="G11" s="44">
        <v>59936.12</v>
      </c>
      <c r="H11" s="73"/>
      <c r="I11" s="73"/>
      <c r="J11" s="73"/>
      <c r="K11" s="73"/>
    </row>
    <row r="12" spans="1:17">
      <c r="A12" s="46"/>
      <c r="B12" s="40" t="s">
        <v>52</v>
      </c>
      <c r="C12" s="47"/>
      <c r="D12" s="43" t="s">
        <v>164</v>
      </c>
      <c r="E12" s="44">
        <v>59936.12</v>
      </c>
      <c r="F12" s="45">
        <v>888758.21</v>
      </c>
      <c r="G12" s="44">
        <v>948694.33</v>
      </c>
      <c r="H12" s="73"/>
      <c r="I12" s="73"/>
      <c r="J12" s="73"/>
      <c r="K12" s="73"/>
    </row>
    <row r="13" spans="1:17">
      <c r="A13" s="46"/>
      <c r="B13" s="40" t="s">
        <v>52</v>
      </c>
      <c r="C13" s="48"/>
      <c r="D13" s="43" t="s">
        <v>165</v>
      </c>
      <c r="E13" s="44">
        <v>948694.33</v>
      </c>
      <c r="F13" s="45">
        <v>394214.21</v>
      </c>
      <c r="G13" s="44">
        <v>1342908.54</v>
      </c>
      <c r="H13" s="73"/>
      <c r="I13" s="73"/>
      <c r="J13" s="73"/>
      <c r="K13" s="73"/>
    </row>
    <row r="14" spans="1:17">
      <c r="A14" s="49"/>
      <c r="B14" s="81"/>
      <c r="C14" s="82"/>
      <c r="D14" s="81"/>
      <c r="E14" s="83"/>
      <c r="F14" s="84">
        <f>SUM(F11:F13)</f>
        <v>1278419.8599999999</v>
      </c>
      <c r="G14" s="83"/>
      <c r="H14" s="73"/>
      <c r="I14" s="73"/>
      <c r="J14" s="73"/>
      <c r="K14" s="73"/>
    </row>
    <row r="15" spans="1:17" ht="14.4" customHeight="1">
      <c r="A15" s="85"/>
      <c r="B15" s="86"/>
      <c r="C15" s="85"/>
      <c r="D15" s="85"/>
      <c r="E15" s="87"/>
      <c r="F15" s="88">
        <f>F10+F14</f>
        <v>3859141.1999999997</v>
      </c>
      <c r="G15" s="87"/>
      <c r="H15" s="73"/>
      <c r="I15" s="73"/>
      <c r="J15" s="73"/>
      <c r="K15" s="73"/>
    </row>
    <row r="16" spans="1:17" ht="14.4" customHeight="1">
      <c r="A16" s="41" t="s">
        <v>55</v>
      </c>
      <c r="B16" s="40" t="s">
        <v>56</v>
      </c>
      <c r="C16" s="42" t="s">
        <v>53</v>
      </c>
      <c r="D16" s="43" t="s">
        <v>163</v>
      </c>
      <c r="E16" s="44">
        <v>1181133.28</v>
      </c>
      <c r="F16" s="45">
        <v>525180.06999999995</v>
      </c>
      <c r="G16" s="44">
        <v>1706313.35</v>
      </c>
      <c r="H16" s="73"/>
      <c r="I16" s="73"/>
      <c r="J16" s="73"/>
      <c r="K16" s="73"/>
    </row>
    <row r="17" spans="1:11">
      <c r="A17" s="46"/>
      <c r="B17" s="40" t="s">
        <v>56</v>
      </c>
      <c r="C17" s="47"/>
      <c r="D17" s="43" t="s">
        <v>164</v>
      </c>
      <c r="E17" s="44">
        <v>1706313.35</v>
      </c>
      <c r="F17" s="45">
        <v>833590.18</v>
      </c>
      <c r="G17" s="44">
        <v>2539903.5299999998</v>
      </c>
      <c r="H17" s="73"/>
      <c r="I17" s="73"/>
      <c r="J17" s="73"/>
      <c r="K17" s="73"/>
    </row>
    <row r="18" spans="1:11">
      <c r="A18" s="46"/>
      <c r="B18" s="40" t="s">
        <v>56</v>
      </c>
      <c r="C18" s="48"/>
      <c r="D18" s="43" t="s">
        <v>165</v>
      </c>
      <c r="E18" s="44">
        <v>2539903.5299999998</v>
      </c>
      <c r="F18" s="45">
        <v>850207.95</v>
      </c>
      <c r="G18" s="44">
        <v>3390111.48</v>
      </c>
      <c r="H18" s="73"/>
      <c r="I18" s="73"/>
      <c r="J18" s="73"/>
      <c r="K18" s="73"/>
    </row>
    <row r="19" spans="1:11">
      <c r="A19" s="46"/>
      <c r="B19" s="81"/>
      <c r="C19" s="82"/>
      <c r="D19" s="81"/>
      <c r="E19" s="83"/>
      <c r="F19" s="84">
        <f>SUM(F16:F18)</f>
        <v>2208978.2000000002</v>
      </c>
      <c r="G19" s="83"/>
      <c r="H19" s="73"/>
      <c r="I19" s="73"/>
      <c r="J19" s="73"/>
      <c r="K19" s="73"/>
    </row>
    <row r="20" spans="1:11">
      <c r="A20" s="46"/>
      <c r="B20" s="40" t="s">
        <v>56</v>
      </c>
      <c r="C20" s="42" t="s">
        <v>54</v>
      </c>
      <c r="D20" s="43" t="s">
        <v>163</v>
      </c>
      <c r="E20" s="44">
        <v>564392.31999999995</v>
      </c>
      <c r="F20" s="45">
        <v>-17186</v>
      </c>
      <c r="G20" s="44">
        <v>547206.31999999995</v>
      </c>
      <c r="H20" s="73"/>
      <c r="I20" s="73"/>
      <c r="J20" s="73"/>
      <c r="K20" s="73"/>
    </row>
    <row r="21" spans="1:11">
      <c r="A21" s="46"/>
      <c r="B21" s="40" t="s">
        <v>56</v>
      </c>
      <c r="C21" s="47"/>
      <c r="D21" s="43" t="s">
        <v>164</v>
      </c>
      <c r="E21" s="44">
        <v>547206.31999999995</v>
      </c>
      <c r="F21" s="45">
        <v>226544.83</v>
      </c>
      <c r="G21" s="44">
        <v>773751.15</v>
      </c>
      <c r="H21" s="73"/>
      <c r="I21" s="73"/>
      <c r="J21" s="73"/>
      <c r="K21" s="73"/>
    </row>
    <row r="22" spans="1:11">
      <c r="A22" s="46"/>
      <c r="B22" s="40" t="s">
        <v>56</v>
      </c>
      <c r="C22" s="48"/>
      <c r="D22" s="43" t="s">
        <v>165</v>
      </c>
      <c r="E22" s="44">
        <v>773751.15</v>
      </c>
      <c r="F22" s="45">
        <v>40758.699999999997</v>
      </c>
      <c r="G22" s="44">
        <v>814509.85</v>
      </c>
      <c r="H22" s="73"/>
      <c r="I22" s="73"/>
      <c r="J22" s="73"/>
      <c r="K22" s="73"/>
    </row>
    <row r="23" spans="1:11">
      <c r="A23" s="49"/>
      <c r="B23" s="81"/>
      <c r="C23" s="82"/>
      <c r="D23" s="81"/>
      <c r="E23" s="83"/>
      <c r="F23" s="84">
        <f>SUM(F20:F22)</f>
        <v>250117.52999999997</v>
      </c>
      <c r="G23" s="83"/>
      <c r="H23" s="73"/>
      <c r="I23" s="73"/>
      <c r="J23" s="73"/>
      <c r="K23" s="73"/>
    </row>
    <row r="24" spans="1:11">
      <c r="A24" s="85"/>
      <c r="B24" s="86"/>
      <c r="C24" s="85"/>
      <c r="D24" s="85"/>
      <c r="E24" s="87"/>
      <c r="F24" s="88">
        <f>F19+F23</f>
        <v>2459095.73</v>
      </c>
      <c r="G24" s="87"/>
      <c r="H24" s="73"/>
      <c r="I24" s="73"/>
      <c r="J24" s="73"/>
      <c r="K24" s="73"/>
    </row>
    <row r="25" spans="1:11">
      <c r="A25" s="18"/>
      <c r="B25" s="18"/>
      <c r="C25" s="18"/>
      <c r="D25" s="18"/>
      <c r="E25" s="19"/>
      <c r="F25" s="20"/>
      <c r="G25" s="19"/>
      <c r="H25" s="73"/>
      <c r="I25" s="73"/>
      <c r="J25" s="73"/>
      <c r="K25" s="73"/>
    </row>
    <row r="26" spans="1:11">
      <c r="A26" s="73" t="s">
        <v>166</v>
      </c>
      <c r="B26" s="73"/>
      <c r="C26" s="73"/>
      <c r="D26" s="73"/>
      <c r="E26" s="73"/>
      <c r="F26" s="73"/>
      <c r="G26" s="73"/>
      <c r="H26" s="73"/>
      <c r="I26" s="73"/>
      <c r="J26" s="73"/>
      <c r="K26" s="73"/>
    </row>
    <row r="27" spans="1:11">
      <c r="A27" s="73"/>
      <c r="B27" s="73"/>
      <c r="C27" s="73"/>
      <c r="D27" s="73"/>
      <c r="E27" s="73"/>
      <c r="F27" s="73"/>
      <c r="G27" s="73"/>
      <c r="H27" s="73"/>
      <c r="I27" s="17"/>
      <c r="J27" s="73"/>
      <c r="K27" s="73"/>
    </row>
    <row r="28" spans="1:11">
      <c r="A28" s="39" t="s">
        <v>43</v>
      </c>
      <c r="B28" s="73"/>
      <c r="C28" s="171" t="s">
        <v>160</v>
      </c>
      <c r="D28" s="73"/>
      <c r="E28" s="73"/>
      <c r="F28" s="73"/>
      <c r="G28" s="73"/>
      <c r="H28" s="73"/>
      <c r="I28" s="73"/>
      <c r="J28" s="73"/>
      <c r="K28" s="73"/>
    </row>
    <row r="29" spans="1:11">
      <c r="A29" s="73"/>
      <c r="B29" s="73"/>
      <c r="C29" s="73"/>
      <c r="D29" s="73"/>
      <c r="E29" s="73"/>
      <c r="F29" s="73"/>
      <c r="G29" s="73"/>
      <c r="H29" s="73"/>
      <c r="I29" s="73"/>
      <c r="J29" s="73"/>
      <c r="K29" s="73"/>
    </row>
    <row r="30" spans="1:11" ht="27">
      <c r="A30" s="89" t="s">
        <v>44</v>
      </c>
      <c r="B30" s="90" t="s">
        <v>45</v>
      </c>
      <c r="C30" s="91" t="s">
        <v>46</v>
      </c>
      <c r="D30" s="89" t="s">
        <v>47</v>
      </c>
      <c r="E30" s="89" t="s">
        <v>48</v>
      </c>
      <c r="F30" s="89" t="s">
        <v>49</v>
      </c>
      <c r="G30" s="89" t="s">
        <v>50</v>
      </c>
      <c r="H30" s="73"/>
      <c r="I30" s="73"/>
      <c r="J30" s="73"/>
      <c r="K30" s="73"/>
    </row>
    <row r="31" spans="1:11">
      <c r="A31" s="41" t="s">
        <v>104</v>
      </c>
      <c r="B31" s="40" t="s">
        <v>105</v>
      </c>
      <c r="C31" s="42" t="s">
        <v>53</v>
      </c>
      <c r="D31" s="43" t="s">
        <v>163</v>
      </c>
      <c r="E31" s="44">
        <v>-2120802.0299999998</v>
      </c>
      <c r="F31" s="45">
        <v>-9890.3700000000008</v>
      </c>
      <c r="G31" s="44">
        <v>-2130692.4</v>
      </c>
      <c r="H31" s="73"/>
      <c r="I31" s="73"/>
      <c r="J31" s="73"/>
      <c r="K31" s="73"/>
    </row>
    <row r="32" spans="1:11">
      <c r="A32" s="46"/>
      <c r="B32" s="40" t="s">
        <v>105</v>
      </c>
      <c r="C32" s="47"/>
      <c r="D32" s="43" t="s">
        <v>164</v>
      </c>
      <c r="E32" s="44">
        <v>-2130692.4</v>
      </c>
      <c r="F32" s="45">
        <v>-9927.2099999999991</v>
      </c>
      <c r="G32" s="44">
        <v>-2140619.61</v>
      </c>
      <c r="H32" s="73"/>
      <c r="I32" s="73"/>
      <c r="J32" s="73"/>
      <c r="K32" s="73"/>
    </row>
    <row r="33" spans="1:11">
      <c r="A33" s="46"/>
      <c r="B33" s="40" t="s">
        <v>105</v>
      </c>
      <c r="C33" s="48"/>
      <c r="D33" s="43" t="s">
        <v>165</v>
      </c>
      <c r="E33" s="44">
        <v>-2140619.61</v>
      </c>
      <c r="F33" s="45">
        <v>-9964.19</v>
      </c>
      <c r="G33" s="44">
        <v>-2150583.7999999998</v>
      </c>
      <c r="H33" s="73"/>
      <c r="I33" s="73"/>
      <c r="J33" s="73"/>
      <c r="K33" s="73"/>
    </row>
    <row r="34" spans="1:11">
      <c r="A34" s="46"/>
      <c r="B34" s="81"/>
      <c r="C34" s="82"/>
      <c r="D34" s="81"/>
      <c r="E34" s="83"/>
      <c r="F34" s="84">
        <f>SUM(F31:F33)</f>
        <v>-29781.770000000004</v>
      </c>
      <c r="G34" s="83"/>
      <c r="H34" s="73"/>
      <c r="I34" s="73"/>
      <c r="J34" s="73"/>
      <c r="K34" s="73"/>
    </row>
    <row r="35" spans="1:11" s="73" customFormat="1">
      <c r="A35" s="46"/>
      <c r="B35" s="40" t="s">
        <v>105</v>
      </c>
      <c r="C35" s="42" t="s">
        <v>54</v>
      </c>
      <c r="D35" s="43" t="s">
        <v>163</v>
      </c>
      <c r="E35" s="44">
        <v>-2012501.89</v>
      </c>
      <c r="F35" s="45">
        <v>-14271.22</v>
      </c>
      <c r="G35" s="44">
        <v>-2026773.11</v>
      </c>
    </row>
    <row r="36" spans="1:11" s="73" customFormat="1">
      <c r="A36" s="46"/>
      <c r="B36" s="40" t="s">
        <v>105</v>
      </c>
      <c r="C36" s="47"/>
      <c r="D36" s="43" t="s">
        <v>164</v>
      </c>
      <c r="E36" s="44">
        <v>-2026773.11</v>
      </c>
      <c r="F36" s="45">
        <v>-14324.38</v>
      </c>
      <c r="G36" s="44">
        <v>-2041097.49</v>
      </c>
    </row>
    <row r="37" spans="1:11" s="73" customFormat="1">
      <c r="A37" s="46"/>
      <c r="B37" s="40" t="s">
        <v>105</v>
      </c>
      <c r="C37" s="48"/>
      <c r="D37" s="43" t="s">
        <v>165</v>
      </c>
      <c r="E37" s="44">
        <v>-2041097.49</v>
      </c>
      <c r="F37" s="45">
        <v>-14377.73</v>
      </c>
      <c r="G37" s="44">
        <v>-2055475.22</v>
      </c>
    </row>
    <row r="38" spans="1:11" s="73" customFormat="1">
      <c r="A38" s="49"/>
      <c r="B38" s="81"/>
      <c r="C38" s="82"/>
      <c r="D38" s="81"/>
      <c r="E38" s="83"/>
      <c r="F38" s="84">
        <f>SUM(F35:F37)</f>
        <v>-42973.33</v>
      </c>
      <c r="G38" s="83"/>
    </row>
    <row r="39" spans="1:11" s="73" customFormat="1">
      <c r="A39" s="85"/>
      <c r="B39" s="86"/>
      <c r="C39" s="85"/>
      <c r="D39" s="85"/>
      <c r="E39" s="87"/>
      <c r="F39" s="88">
        <f>F34+F38</f>
        <v>-72755.100000000006</v>
      </c>
      <c r="G39" s="87"/>
    </row>
    <row r="40" spans="1:11" s="73" customFormat="1">
      <c r="A40" s="41" t="s">
        <v>106</v>
      </c>
      <c r="B40" s="40" t="s">
        <v>107</v>
      </c>
      <c r="C40" s="42" t="s">
        <v>53</v>
      </c>
      <c r="D40" s="43" t="s">
        <v>163</v>
      </c>
      <c r="E40" s="44">
        <v>1748906.97</v>
      </c>
      <c r="F40" s="45">
        <v>4588.49</v>
      </c>
      <c r="G40" s="44">
        <v>1753495.46</v>
      </c>
    </row>
    <row r="41" spans="1:11" s="73" customFormat="1">
      <c r="A41" s="46"/>
      <c r="B41" s="40" t="s">
        <v>107</v>
      </c>
      <c r="C41" s="47"/>
      <c r="D41" s="43" t="s">
        <v>164</v>
      </c>
      <c r="E41" s="44">
        <v>1753495.46</v>
      </c>
      <c r="F41" s="45">
        <v>4605.58</v>
      </c>
      <c r="G41" s="44">
        <v>1758101.04</v>
      </c>
    </row>
    <row r="42" spans="1:11" s="73" customFormat="1">
      <c r="A42" s="46"/>
      <c r="B42" s="40" t="s">
        <v>107</v>
      </c>
      <c r="C42" s="48"/>
      <c r="D42" s="43" t="s">
        <v>165</v>
      </c>
      <c r="E42" s="44">
        <v>1758101.04</v>
      </c>
      <c r="F42" s="45">
        <v>4622.74</v>
      </c>
      <c r="G42" s="44">
        <v>1762723.78</v>
      </c>
    </row>
    <row r="43" spans="1:11" s="73" customFormat="1">
      <c r="A43" s="46"/>
      <c r="B43" s="81"/>
      <c r="C43" s="82"/>
      <c r="D43" s="81"/>
      <c r="E43" s="83"/>
      <c r="F43" s="84">
        <f>SUM(F40:F42)</f>
        <v>13816.81</v>
      </c>
      <c r="G43" s="83"/>
    </row>
    <row r="44" spans="1:11" s="73" customFormat="1" ht="18" customHeight="1">
      <c r="A44" s="46"/>
      <c r="B44" s="40" t="s">
        <v>107</v>
      </c>
      <c r="C44" s="42" t="s">
        <v>54</v>
      </c>
      <c r="D44" s="43" t="s">
        <v>163</v>
      </c>
      <c r="E44" s="44">
        <v>843385.88</v>
      </c>
      <c r="F44" s="45">
        <v>1094.45</v>
      </c>
      <c r="G44" s="44">
        <v>844480.33</v>
      </c>
    </row>
    <row r="45" spans="1:11" s="73" customFormat="1">
      <c r="A45" s="46"/>
      <c r="B45" s="40" t="s">
        <v>107</v>
      </c>
      <c r="C45" s="47"/>
      <c r="D45" s="43" t="s">
        <v>164</v>
      </c>
      <c r="E45" s="44">
        <v>844480.33</v>
      </c>
      <c r="F45" s="45">
        <v>1098.53</v>
      </c>
      <c r="G45" s="44">
        <v>845578.86</v>
      </c>
    </row>
    <row r="46" spans="1:11" s="73" customFormat="1" ht="18" customHeight="1">
      <c r="A46" s="46"/>
      <c r="B46" s="40" t="s">
        <v>107</v>
      </c>
      <c r="C46" s="48"/>
      <c r="D46" s="43" t="s">
        <v>165</v>
      </c>
      <c r="E46" s="44">
        <v>845578.86</v>
      </c>
      <c r="F46" s="45">
        <v>1102.6199999999999</v>
      </c>
      <c r="G46" s="44">
        <v>846681.48</v>
      </c>
    </row>
    <row r="47" spans="1:11" s="73" customFormat="1" ht="18" customHeight="1">
      <c r="A47" s="49"/>
      <c r="B47" s="81"/>
      <c r="C47" s="82"/>
      <c r="D47" s="81"/>
      <c r="E47" s="83"/>
      <c r="F47" s="84">
        <f>SUM(F44:F46)</f>
        <v>3295.6</v>
      </c>
      <c r="G47" s="83"/>
    </row>
    <row r="48" spans="1:11" s="73" customFormat="1" ht="18" customHeight="1">
      <c r="A48" s="85"/>
      <c r="B48" s="86"/>
      <c r="C48" s="85"/>
      <c r="D48" s="85"/>
      <c r="E48" s="87"/>
      <c r="F48" s="88">
        <f>F43+F47</f>
        <v>17112.41</v>
      </c>
      <c r="G48" s="87"/>
    </row>
    <row r="49" spans="1:11" s="73" customFormat="1" ht="27.6" customHeight="1"/>
    <row r="50" spans="1:11" s="73" customFormat="1">
      <c r="A50" s="73" t="s">
        <v>166</v>
      </c>
      <c r="J50" s="155"/>
      <c r="K50" s="161"/>
    </row>
    <row r="51" spans="1:11" s="73" customFormat="1">
      <c r="J51" s="155"/>
      <c r="K51" s="161"/>
    </row>
    <row r="52" spans="1:11" s="73" customFormat="1">
      <c r="A52" s="39" t="s">
        <v>43</v>
      </c>
      <c r="C52" s="171" t="s">
        <v>134</v>
      </c>
    </row>
    <row r="53" spans="1:11" s="73" customFormat="1">
      <c r="C53" s="172" t="s">
        <v>135</v>
      </c>
    </row>
    <row r="54" spans="1:11" s="73" customFormat="1" ht="26.4">
      <c r="A54" s="206" t="s">
        <v>44</v>
      </c>
      <c r="B54" s="166" t="s">
        <v>45</v>
      </c>
      <c r="C54" s="167" t="s">
        <v>46</v>
      </c>
      <c r="D54" s="168" t="s">
        <v>47</v>
      </c>
      <c r="E54" s="169" t="s">
        <v>48</v>
      </c>
      <c r="F54" s="168" t="s">
        <v>49</v>
      </c>
      <c r="G54" s="168" t="s">
        <v>50</v>
      </c>
    </row>
    <row r="55" spans="1:11" s="73" customFormat="1">
      <c r="A55" s="208" t="s">
        <v>57</v>
      </c>
      <c r="B55" s="40" t="s">
        <v>58</v>
      </c>
      <c r="C55" s="42" t="s">
        <v>53</v>
      </c>
      <c r="D55" s="43" t="s">
        <v>163</v>
      </c>
      <c r="E55" s="44">
        <v>5225694.82</v>
      </c>
      <c r="F55" s="45">
        <v>-722168.38</v>
      </c>
      <c r="G55" s="44">
        <v>4503526.4400000004</v>
      </c>
    </row>
    <row r="56" spans="1:11" s="73" customFormat="1">
      <c r="A56" s="209"/>
      <c r="B56" s="40" t="s">
        <v>58</v>
      </c>
      <c r="C56" s="47"/>
      <c r="D56" s="43" t="s">
        <v>164</v>
      </c>
      <c r="E56" s="44">
        <v>4503526.4400000004</v>
      </c>
      <c r="F56" s="45">
        <v>-611440.1</v>
      </c>
      <c r="G56" s="44">
        <v>3892086.34</v>
      </c>
    </row>
    <row r="57" spans="1:11" s="73" customFormat="1">
      <c r="A57" s="209"/>
      <c r="B57" s="40" t="s">
        <v>58</v>
      </c>
      <c r="C57" s="48"/>
      <c r="D57" s="43" t="s">
        <v>165</v>
      </c>
      <c r="E57" s="44">
        <v>3892086.34</v>
      </c>
      <c r="F57" s="45">
        <v>-593761.21</v>
      </c>
      <c r="G57" s="44">
        <v>3298325.13</v>
      </c>
    </row>
    <row r="58" spans="1:11">
      <c r="A58" s="209"/>
      <c r="B58" s="81"/>
      <c r="C58" s="81"/>
      <c r="D58" s="81"/>
      <c r="E58" s="83"/>
      <c r="F58" s="84">
        <f>SUM(F55:F57)</f>
        <v>-1927369.69</v>
      </c>
      <c r="G58" s="83"/>
      <c r="H58" s="73"/>
      <c r="I58" s="73"/>
      <c r="J58" s="73"/>
      <c r="K58" s="73"/>
    </row>
    <row r="59" spans="1:11">
      <c r="A59" s="209"/>
      <c r="B59" s="40" t="s">
        <v>58</v>
      </c>
      <c r="C59" s="42" t="s">
        <v>54</v>
      </c>
      <c r="D59" s="43" t="s">
        <v>163</v>
      </c>
      <c r="E59" s="44">
        <v>2389216.75</v>
      </c>
      <c r="F59" s="45">
        <v>-511996.02</v>
      </c>
      <c r="G59" s="44">
        <v>1877220.73</v>
      </c>
      <c r="H59" s="73"/>
      <c r="I59" s="73"/>
      <c r="J59" s="73"/>
      <c r="K59" s="73"/>
    </row>
    <row r="60" spans="1:11">
      <c r="A60" s="209"/>
      <c r="B60" s="40" t="s">
        <v>58</v>
      </c>
      <c r="C60" s="47"/>
      <c r="D60" s="43" t="s">
        <v>164</v>
      </c>
      <c r="E60" s="44">
        <v>1877220.73</v>
      </c>
      <c r="F60" s="45">
        <v>-168443.11</v>
      </c>
      <c r="G60" s="44">
        <v>1708777.62</v>
      </c>
      <c r="H60" s="73"/>
      <c r="I60" s="73"/>
      <c r="J60" s="73"/>
      <c r="K60" s="73"/>
    </row>
    <row r="61" spans="1:11">
      <c r="A61" s="209"/>
      <c r="B61" s="40" t="s">
        <v>58</v>
      </c>
      <c r="C61" s="48"/>
      <c r="D61" s="43" t="s">
        <v>165</v>
      </c>
      <c r="E61" s="44">
        <v>1708777.62</v>
      </c>
      <c r="F61" s="45">
        <v>-134032.72</v>
      </c>
      <c r="G61" s="44">
        <v>1574744.9</v>
      </c>
      <c r="H61" s="73"/>
      <c r="I61" s="73"/>
      <c r="J61" s="73"/>
      <c r="K61" s="73"/>
    </row>
    <row r="62" spans="1:11">
      <c r="A62" s="210"/>
      <c r="B62" s="81"/>
      <c r="C62" s="81"/>
      <c r="D62" s="81"/>
      <c r="E62" s="83"/>
      <c r="F62" s="84">
        <f>SUM(F59:F61)</f>
        <v>-814471.85</v>
      </c>
      <c r="G62" s="83"/>
      <c r="H62" s="73"/>
      <c r="I62" s="73"/>
      <c r="J62" s="73"/>
      <c r="K62" s="73"/>
    </row>
    <row r="63" spans="1:11">
      <c r="A63" s="207"/>
      <c r="B63" s="85"/>
      <c r="C63" s="184"/>
      <c r="D63" s="85"/>
      <c r="E63" s="87"/>
      <c r="F63" s="88">
        <f>F58+F62</f>
        <v>-2741841.54</v>
      </c>
      <c r="G63" s="87"/>
      <c r="H63" s="73"/>
      <c r="I63" s="73"/>
      <c r="J63" s="73"/>
      <c r="K63" s="73"/>
    </row>
    <row r="64" spans="1:11" s="73" customFormat="1">
      <c r="A64" s="187"/>
      <c r="B64" s="40" t="s">
        <v>58</v>
      </c>
      <c r="C64" s="212" t="s">
        <v>53</v>
      </c>
      <c r="D64" s="185" t="s">
        <v>163</v>
      </c>
      <c r="E64" s="44">
        <v>498344.83</v>
      </c>
      <c r="F64" s="45">
        <v>-60065.919999999998</v>
      </c>
      <c r="G64" s="44">
        <v>438278.91</v>
      </c>
    </row>
    <row r="65" spans="1:13" s="73" customFormat="1">
      <c r="A65" s="187"/>
      <c r="B65" s="40" t="s">
        <v>58</v>
      </c>
      <c r="C65" s="213"/>
      <c r="D65" s="186" t="s">
        <v>164</v>
      </c>
      <c r="E65" s="44">
        <v>438278.91</v>
      </c>
      <c r="F65" s="45">
        <v>-65367.51</v>
      </c>
      <c r="G65" s="44">
        <v>372911.4</v>
      </c>
    </row>
    <row r="66" spans="1:13" s="73" customFormat="1">
      <c r="A66" s="187"/>
      <c r="B66" s="40" t="s">
        <v>58</v>
      </c>
      <c r="C66" s="214"/>
      <c r="D66" s="186" t="s">
        <v>165</v>
      </c>
      <c r="E66" s="44">
        <v>372911.4</v>
      </c>
      <c r="F66" s="45">
        <v>-67305.97</v>
      </c>
      <c r="G66" s="44">
        <v>305605.43</v>
      </c>
    </row>
    <row r="67" spans="1:13" s="73" customFormat="1">
      <c r="A67" s="187"/>
      <c r="B67" s="81"/>
      <c r="C67" s="211"/>
      <c r="D67" s="81"/>
      <c r="E67" s="83"/>
      <c r="F67" s="84"/>
      <c r="G67" s="83"/>
    </row>
    <row r="68" spans="1:13" s="34" customFormat="1">
      <c r="A68" s="46" t="s">
        <v>127</v>
      </c>
      <c r="B68" s="40" t="s">
        <v>107</v>
      </c>
      <c r="C68" s="42" t="s">
        <v>54</v>
      </c>
      <c r="D68" s="43" t="s">
        <v>163</v>
      </c>
      <c r="E68" s="44">
        <v>835010.79</v>
      </c>
      <c r="F68" s="45">
        <v>-167426.19</v>
      </c>
      <c r="G68" s="44">
        <v>667584.6</v>
      </c>
      <c r="H68" s="73"/>
      <c r="I68" s="73"/>
      <c r="J68" s="73"/>
      <c r="K68" s="73"/>
    </row>
    <row r="69" spans="1:13" s="34" customFormat="1">
      <c r="A69" s="46"/>
      <c r="B69" s="40" t="s">
        <v>107</v>
      </c>
      <c r="C69" s="47"/>
      <c r="D69" s="43" t="s">
        <v>164</v>
      </c>
      <c r="E69" s="44">
        <v>667584.6</v>
      </c>
      <c r="F69" s="45">
        <v>-88691.75</v>
      </c>
      <c r="G69" s="44">
        <v>578892.85</v>
      </c>
      <c r="H69" s="73"/>
      <c r="I69" s="73"/>
      <c r="J69" s="73"/>
      <c r="K69" s="73"/>
    </row>
    <row r="70" spans="1:13">
      <c r="A70" s="46"/>
      <c r="B70" s="40" t="s">
        <v>107</v>
      </c>
      <c r="C70" s="48"/>
      <c r="D70" s="43" t="s">
        <v>165</v>
      </c>
      <c r="E70" s="44">
        <v>578892.85</v>
      </c>
      <c r="F70" s="45">
        <v>-81288.100000000006</v>
      </c>
      <c r="G70" s="44">
        <v>497604.75</v>
      </c>
      <c r="H70" s="73"/>
      <c r="I70" s="73"/>
      <c r="J70" s="73"/>
      <c r="K70" s="73"/>
    </row>
    <row r="71" spans="1:13">
      <c r="A71" s="49"/>
      <c r="B71" s="81"/>
      <c r="C71" s="81"/>
      <c r="D71" s="81"/>
      <c r="E71" s="83"/>
      <c r="F71" s="84">
        <f>SUM(F68:F70)</f>
        <v>-337406.04000000004</v>
      </c>
      <c r="G71" s="83"/>
      <c r="H71" s="73"/>
      <c r="I71" s="73"/>
      <c r="J71" s="73"/>
      <c r="K71" s="73"/>
      <c r="L71" s="22"/>
      <c r="M71" s="22"/>
    </row>
    <row r="72" spans="1:13">
      <c r="A72" s="85"/>
      <c r="B72" s="85"/>
      <c r="C72" s="85"/>
      <c r="D72" s="85"/>
      <c r="E72" s="87"/>
      <c r="F72" s="88">
        <f>F71</f>
        <v>-337406.04000000004</v>
      </c>
      <c r="G72" s="87"/>
      <c r="H72" s="73"/>
      <c r="I72" s="73"/>
      <c r="J72" s="73"/>
      <c r="K72" s="73"/>
      <c r="L72" s="22"/>
      <c r="M72" s="22"/>
    </row>
    <row r="73" spans="1:13">
      <c r="A73" s="39" t="s">
        <v>43</v>
      </c>
      <c r="B73" s="38"/>
      <c r="C73" s="50" t="s">
        <v>136</v>
      </c>
      <c r="D73" s="38"/>
      <c r="E73" s="38"/>
      <c r="F73" s="38"/>
      <c r="G73" s="38"/>
      <c r="H73" s="73"/>
      <c r="I73" s="73"/>
      <c r="J73" s="73"/>
      <c r="K73" s="73"/>
      <c r="L73" s="22"/>
      <c r="M73" s="22"/>
    </row>
    <row r="74" spans="1:13" ht="26.4">
      <c r="A74" s="165" t="s">
        <v>44</v>
      </c>
      <c r="B74" s="166" t="s">
        <v>45</v>
      </c>
      <c r="C74" s="167" t="s">
        <v>46</v>
      </c>
      <c r="D74" s="168" t="s">
        <v>47</v>
      </c>
      <c r="E74" s="169" t="s">
        <v>48</v>
      </c>
      <c r="F74" s="168" t="s">
        <v>49</v>
      </c>
      <c r="G74" s="168" t="s">
        <v>50</v>
      </c>
      <c r="H74" s="73"/>
      <c r="I74" s="73"/>
      <c r="J74" s="73"/>
      <c r="K74" s="73"/>
    </row>
    <row r="75" spans="1:13">
      <c r="A75" s="41" t="s">
        <v>132</v>
      </c>
      <c r="B75" s="40" t="s">
        <v>133</v>
      </c>
      <c r="C75" s="42" t="s">
        <v>53</v>
      </c>
      <c r="D75" s="43" t="s">
        <v>163</v>
      </c>
      <c r="E75" s="44">
        <v>0</v>
      </c>
      <c r="F75" s="44">
        <v>0</v>
      </c>
      <c r="G75" s="44">
        <v>0</v>
      </c>
      <c r="H75" s="73"/>
      <c r="I75" s="73"/>
      <c r="J75" s="73"/>
      <c r="K75" s="73"/>
    </row>
    <row r="76" spans="1:13" ht="15.6">
      <c r="A76" s="46"/>
      <c r="B76" s="40" t="s">
        <v>133</v>
      </c>
      <c r="C76" s="47"/>
      <c r="D76" s="43" t="s">
        <v>164</v>
      </c>
      <c r="E76" s="44">
        <v>0</v>
      </c>
      <c r="F76" s="44">
        <v>0</v>
      </c>
      <c r="G76" s="44">
        <v>0</v>
      </c>
      <c r="H76" s="170"/>
      <c r="I76" s="73"/>
      <c r="J76" s="73"/>
      <c r="K76" s="73"/>
    </row>
    <row r="77" spans="1:13" s="34" customFormat="1" ht="15.6">
      <c r="A77" s="46"/>
      <c r="B77" s="40" t="s">
        <v>133</v>
      </c>
      <c r="C77" s="48"/>
      <c r="D77" s="43" t="s">
        <v>165</v>
      </c>
      <c r="E77" s="44">
        <v>0</v>
      </c>
      <c r="F77" s="44">
        <v>0</v>
      </c>
      <c r="G77" s="44">
        <v>0</v>
      </c>
      <c r="H77" s="170"/>
      <c r="I77" s="73"/>
      <c r="J77" s="73"/>
      <c r="K77" s="73"/>
    </row>
    <row r="78" spans="1:13">
      <c r="A78" s="49"/>
      <c r="B78" s="81"/>
      <c r="C78" s="81"/>
      <c r="D78" s="81"/>
      <c r="E78" s="83"/>
      <c r="F78" s="84">
        <f>SUM(F75:F77)</f>
        <v>0</v>
      </c>
      <c r="G78" s="83"/>
      <c r="H78" s="73"/>
      <c r="I78" s="73"/>
      <c r="J78" s="73"/>
      <c r="K78" s="73"/>
    </row>
    <row r="79" spans="1:13">
      <c r="A79" s="85"/>
      <c r="B79" s="85"/>
      <c r="C79" s="85"/>
      <c r="D79" s="85"/>
      <c r="E79" s="87"/>
      <c r="F79" s="88">
        <f>F78</f>
        <v>0</v>
      </c>
      <c r="G79" s="87"/>
      <c r="H79" s="73"/>
      <c r="I79" s="73"/>
      <c r="J79" s="73"/>
      <c r="K79" s="73"/>
    </row>
    <row r="80" spans="1:13">
      <c r="A80" s="73"/>
      <c r="B80" s="73"/>
      <c r="C80" s="73"/>
      <c r="D80" s="73"/>
      <c r="E80" s="73"/>
      <c r="F80" s="73"/>
      <c r="G80" s="73"/>
      <c r="H80" s="73"/>
      <c r="I80" s="73"/>
      <c r="J80" s="73"/>
      <c r="K80" s="73"/>
    </row>
    <row r="81" spans="1:11">
      <c r="A81" s="73" t="s">
        <v>166</v>
      </c>
      <c r="B81" s="73"/>
      <c r="C81" s="73"/>
      <c r="D81" s="73"/>
      <c r="E81" s="73"/>
      <c r="F81" s="73"/>
      <c r="G81" s="73"/>
      <c r="H81" s="73"/>
      <c r="I81" s="73"/>
      <c r="J81" s="73"/>
      <c r="K81" s="73"/>
    </row>
    <row r="82" spans="1:11">
      <c r="A82" s="73"/>
      <c r="B82" s="73"/>
      <c r="C82" s="73"/>
      <c r="D82" s="73"/>
      <c r="E82" s="73"/>
      <c r="F82" s="73"/>
      <c r="G82" s="73"/>
      <c r="H82" s="73"/>
      <c r="I82" s="73"/>
      <c r="J82" s="73"/>
      <c r="K82" s="73"/>
    </row>
    <row r="83" spans="1:11">
      <c r="A83" s="39" t="s">
        <v>43</v>
      </c>
      <c r="B83" s="38"/>
      <c r="C83" s="171" t="s">
        <v>130</v>
      </c>
      <c r="D83" s="38"/>
      <c r="E83" s="38"/>
      <c r="F83" s="38"/>
      <c r="G83" s="38"/>
      <c r="H83" s="73"/>
      <c r="I83" s="73"/>
      <c r="J83" s="73"/>
      <c r="K83" s="73"/>
    </row>
    <row r="84" spans="1:11">
      <c r="A84" s="38"/>
      <c r="B84" s="38"/>
      <c r="C84" s="38"/>
      <c r="D84" s="38"/>
      <c r="E84" s="38"/>
      <c r="F84" s="38"/>
      <c r="G84" s="38"/>
      <c r="H84" s="73"/>
      <c r="I84" s="73"/>
      <c r="J84" s="73"/>
      <c r="K84" s="73"/>
    </row>
    <row r="85" spans="1:11" s="73" customFormat="1" ht="27">
      <c r="A85" s="89" t="s">
        <v>44</v>
      </c>
      <c r="B85" s="90" t="s">
        <v>45</v>
      </c>
      <c r="C85" s="91" t="s">
        <v>46</v>
      </c>
      <c r="D85" s="89" t="s">
        <v>47</v>
      </c>
      <c r="E85" s="89" t="s">
        <v>48</v>
      </c>
      <c r="F85" s="89" t="s">
        <v>49</v>
      </c>
      <c r="G85" s="89" t="s">
        <v>50</v>
      </c>
      <c r="J85" s="21" t="s">
        <v>62</v>
      </c>
    </row>
    <row r="86" spans="1:11">
      <c r="A86" s="41" t="s">
        <v>59</v>
      </c>
      <c r="B86" s="40" t="s">
        <v>60</v>
      </c>
      <c r="C86" s="42" t="s">
        <v>53</v>
      </c>
      <c r="D86" s="43" t="s">
        <v>163</v>
      </c>
      <c r="E86" s="44">
        <v>-1944160.73</v>
      </c>
      <c r="F86" s="45">
        <v>-116852.93</v>
      </c>
      <c r="G86" s="44">
        <v>-2061013.66</v>
      </c>
      <c r="H86" s="73"/>
      <c r="I86" s="73"/>
      <c r="J86" s="30">
        <f>(G7+G16+G31+G40+G55+G75+G64+G176)*-0.21</f>
        <v>-2061013.7058000001</v>
      </c>
      <c r="K86" s="22">
        <f>G86-J86</f>
        <v>4.5800000196322799E-2</v>
      </c>
    </row>
    <row r="87" spans="1:11">
      <c r="A87" s="46"/>
      <c r="B87" s="40" t="s">
        <v>60</v>
      </c>
      <c r="C87" s="47"/>
      <c r="D87" s="43" t="s">
        <v>164</v>
      </c>
      <c r="E87" s="44">
        <v>-2061013.66</v>
      </c>
      <c r="F87" s="45">
        <v>-274644.83</v>
      </c>
      <c r="G87" s="44">
        <v>-2335658.4900000002</v>
      </c>
      <c r="H87" s="73"/>
      <c r="I87" s="73"/>
      <c r="J87" s="30">
        <f>(G8+G17+G32+G41+G56+G76+G65+G177)*-0.21</f>
        <v>-2335658.5308000003</v>
      </c>
      <c r="K87" s="22">
        <f>G87-J87</f>
        <v>4.0800000075250864E-2</v>
      </c>
    </row>
    <row r="88" spans="1:11">
      <c r="A88" s="46"/>
      <c r="B88" s="40" t="s">
        <v>60</v>
      </c>
      <c r="C88" s="48"/>
      <c r="D88" s="43" t="s">
        <v>165</v>
      </c>
      <c r="E88" s="44">
        <v>-2335658.4900000002</v>
      </c>
      <c r="F88" s="45">
        <v>-165763.6</v>
      </c>
      <c r="G88" s="44">
        <v>-2501422.09</v>
      </c>
      <c r="H88" s="191"/>
      <c r="I88" s="73"/>
      <c r="J88" s="30">
        <f>(G9+G18+G33+G42+G57+G77+G66+G178)*-0.21</f>
        <v>-2501422.1336999997</v>
      </c>
      <c r="K88" s="22">
        <f>G88-J88</f>
        <v>4.3699999805539846E-2</v>
      </c>
    </row>
    <row r="89" spans="1:11" s="73" customFormat="1">
      <c r="A89" s="46"/>
      <c r="B89" s="81"/>
      <c r="C89" s="82"/>
      <c r="D89" s="81"/>
      <c r="E89" s="83"/>
      <c r="F89" s="84">
        <f>SUM(F86:F88)</f>
        <v>-557261.36</v>
      </c>
      <c r="G89" s="83"/>
    </row>
    <row r="90" spans="1:11">
      <c r="A90" s="46"/>
      <c r="B90" s="40" t="s">
        <v>60</v>
      </c>
      <c r="C90" s="42" t="s">
        <v>54</v>
      </c>
      <c r="D90" s="43" t="s">
        <v>163</v>
      </c>
      <c r="E90" s="44">
        <v>-563638.6</v>
      </c>
      <c r="F90" s="45">
        <v>150010.88</v>
      </c>
      <c r="G90" s="44">
        <v>-413627.72</v>
      </c>
      <c r="H90" s="73"/>
      <c r="I90" s="73"/>
      <c r="J90" s="30">
        <f>(G11+G20+G35+G44+G59+G68+G180+G185)*-0.21</f>
        <v>-413627.54789999995</v>
      </c>
      <c r="K90" s="22">
        <f>G90-J90</f>
        <v>-0.17210000002523884</v>
      </c>
    </row>
    <row r="91" spans="1:11">
      <c r="A91" s="46"/>
      <c r="B91" s="40" t="s">
        <v>60</v>
      </c>
      <c r="C91" s="47"/>
      <c r="D91" s="43" t="s">
        <v>164</v>
      </c>
      <c r="E91" s="44">
        <v>-413627.72</v>
      </c>
      <c r="F91" s="45">
        <v>-177437.89</v>
      </c>
      <c r="G91" s="44">
        <v>-591065.61</v>
      </c>
      <c r="H91" s="73"/>
      <c r="I91" s="73"/>
      <c r="J91" s="30">
        <f>(G12+G21+G36+G45+G60+G69+G181+G186)*-0.21</f>
        <v>-591065.43720000004</v>
      </c>
      <c r="K91" s="22">
        <f>G91-J91</f>
        <v>-0.17279999994207174</v>
      </c>
    </row>
    <row r="92" spans="1:11">
      <c r="A92" s="46"/>
      <c r="B92" s="40" t="s">
        <v>60</v>
      </c>
      <c r="C92" s="48"/>
      <c r="D92" s="43" t="s">
        <v>165</v>
      </c>
      <c r="E92" s="44">
        <v>-591065.61</v>
      </c>
      <c r="F92" s="45">
        <v>-43339.17</v>
      </c>
      <c r="G92" s="44">
        <v>-634404.78</v>
      </c>
      <c r="H92" s="191"/>
      <c r="I92" s="73"/>
      <c r="J92" s="30">
        <f>(G13+G22+G37+G46+G61+G70+G182+G187)*-0.21</f>
        <v>-634404.60299999989</v>
      </c>
      <c r="K92" s="22">
        <f>G92-J92</f>
        <v>-0.17700000014156103</v>
      </c>
    </row>
    <row r="93" spans="1:11" s="73" customFormat="1">
      <c r="A93" s="49"/>
      <c r="B93" s="81"/>
      <c r="C93" s="82"/>
      <c r="D93" s="81"/>
      <c r="E93" s="83"/>
      <c r="F93" s="84">
        <f>SUM(F90:F92)</f>
        <v>-70766.180000000008</v>
      </c>
      <c r="G93" s="83"/>
    </row>
    <row r="94" spans="1:11">
      <c r="A94" s="85"/>
      <c r="B94" s="86"/>
      <c r="C94" s="85"/>
      <c r="D94" s="85"/>
      <c r="E94" s="87"/>
      <c r="F94" s="88">
        <f>F89+F93</f>
        <v>-628027.54</v>
      </c>
      <c r="G94" s="87"/>
      <c r="H94" s="73"/>
      <c r="I94" s="73"/>
      <c r="J94" s="73"/>
      <c r="K94" s="73"/>
    </row>
    <row r="95" spans="1:11" s="73" customFormat="1">
      <c r="A95" s="161"/>
      <c r="B95" s="164"/>
      <c r="C95" s="161"/>
      <c r="D95" s="161"/>
      <c r="E95" s="162"/>
      <c r="F95" s="163"/>
      <c r="G95" s="162"/>
    </row>
    <row r="96" spans="1:11" s="73" customFormat="1">
      <c r="A96" s="161"/>
      <c r="B96" s="164"/>
      <c r="C96" s="161"/>
      <c r="D96" s="161"/>
      <c r="E96" s="162"/>
      <c r="F96" s="163"/>
      <c r="G96" s="162"/>
    </row>
    <row r="97" spans="1:12" s="73" customFormat="1" ht="15.6">
      <c r="A97" s="240" t="s">
        <v>61</v>
      </c>
      <c r="B97" s="240"/>
      <c r="C97" s="240"/>
      <c r="D97" s="240"/>
      <c r="E97" s="240"/>
      <c r="F97" s="240"/>
      <c r="G97" s="240"/>
    </row>
    <row r="98" spans="1:12" s="73" customFormat="1" ht="15.6">
      <c r="A98" s="170"/>
      <c r="B98" s="170"/>
      <c r="C98" s="170"/>
      <c r="D98" s="170"/>
      <c r="E98" s="170"/>
      <c r="F98" s="170"/>
      <c r="G98" s="170"/>
    </row>
    <row r="99" spans="1:12" s="73" customFormat="1">
      <c r="A99" s="73" t="s">
        <v>166</v>
      </c>
      <c r="B99" s="38"/>
      <c r="C99" s="38"/>
      <c r="D99" s="38"/>
      <c r="E99" s="38"/>
      <c r="F99" s="38"/>
      <c r="G99" s="38"/>
    </row>
    <row r="100" spans="1:12" s="73" customFormat="1">
      <c r="A100" s="38"/>
      <c r="B100" s="38"/>
      <c r="C100" s="38"/>
      <c r="D100" s="38"/>
      <c r="E100" s="38"/>
      <c r="F100" s="38"/>
      <c r="G100" s="38"/>
    </row>
    <row r="101" spans="1:12" s="73" customFormat="1">
      <c r="A101" s="39" t="s">
        <v>43</v>
      </c>
      <c r="B101" s="38"/>
      <c r="C101" s="17" t="s">
        <v>129</v>
      </c>
      <c r="D101" s="38"/>
      <c r="E101" s="38"/>
      <c r="F101" s="38"/>
      <c r="G101" s="38"/>
    </row>
    <row r="102" spans="1:12" s="73" customFormat="1">
      <c r="A102" s="38"/>
      <c r="B102" s="38"/>
      <c r="C102" s="38"/>
      <c r="D102" s="38"/>
      <c r="E102" s="38"/>
      <c r="F102" s="38"/>
      <c r="G102" s="38"/>
    </row>
    <row r="103" spans="1:12" s="73" customFormat="1" ht="27">
      <c r="A103" s="89" t="s">
        <v>44</v>
      </c>
      <c r="B103" s="90" t="s">
        <v>45</v>
      </c>
      <c r="C103" s="91" t="s">
        <v>46</v>
      </c>
      <c r="D103" s="89" t="s">
        <v>47</v>
      </c>
      <c r="E103" s="89" t="s">
        <v>48</v>
      </c>
      <c r="F103" s="89" t="s">
        <v>49</v>
      </c>
      <c r="G103" s="89" t="s">
        <v>50</v>
      </c>
      <c r="K103" s="198"/>
    </row>
    <row r="104" spans="1:12" s="73" customFormat="1">
      <c r="A104" s="41" t="s">
        <v>65</v>
      </c>
      <c r="B104" s="40" t="s">
        <v>66</v>
      </c>
      <c r="C104" s="42" t="s">
        <v>53</v>
      </c>
      <c r="D104" s="43" t="s">
        <v>163</v>
      </c>
      <c r="E104" s="44">
        <v>-2711256.51</v>
      </c>
      <c r="F104" s="45">
        <v>-807146.05</v>
      </c>
      <c r="G104" s="44">
        <v>-3518402.5600000001</v>
      </c>
      <c r="I104" s="50"/>
      <c r="K104" s="197"/>
    </row>
    <row r="105" spans="1:12" s="73" customFormat="1">
      <c r="A105" s="46"/>
      <c r="B105" s="40" t="s">
        <v>66</v>
      </c>
      <c r="C105" s="47"/>
      <c r="D105" s="43" t="s">
        <v>164</v>
      </c>
      <c r="E105" s="44">
        <v>-3518402.5600000001</v>
      </c>
      <c r="F105" s="45">
        <v>-1141047.0900000001</v>
      </c>
      <c r="G105" s="44">
        <v>-4659449.6500000004</v>
      </c>
    </row>
    <row r="106" spans="1:12" s="73" customFormat="1">
      <c r="A106" s="46"/>
      <c r="B106" s="40" t="s">
        <v>66</v>
      </c>
      <c r="C106" s="48"/>
      <c r="D106" s="43" t="s">
        <v>165</v>
      </c>
      <c r="E106" s="44">
        <v>-4659449.6500000004</v>
      </c>
      <c r="F106" s="45">
        <v>-586951.22</v>
      </c>
      <c r="G106" s="44">
        <v>-5246400.87</v>
      </c>
    </row>
    <row r="107" spans="1:12" s="73" customFormat="1">
      <c r="A107" s="49"/>
      <c r="B107" s="85"/>
      <c r="C107" s="92"/>
      <c r="D107" s="85"/>
      <c r="E107" s="87"/>
      <c r="F107" s="88">
        <f>SUM(F104:F106)</f>
        <v>-2535144.3600000003</v>
      </c>
      <c r="G107" s="87"/>
    </row>
    <row r="108" spans="1:12">
      <c r="A108" s="41" t="s">
        <v>67</v>
      </c>
      <c r="B108" s="40" t="s">
        <v>68</v>
      </c>
      <c r="C108" s="42" t="s">
        <v>53</v>
      </c>
      <c r="D108" s="43" t="s">
        <v>163</v>
      </c>
      <c r="E108" s="44">
        <v>-1173465.49</v>
      </c>
      <c r="F108" s="45">
        <v>-519812.2</v>
      </c>
      <c r="G108" s="44">
        <v>-1693277.69</v>
      </c>
      <c r="H108" s="73"/>
      <c r="I108" s="73"/>
      <c r="J108" s="73"/>
      <c r="K108" s="197"/>
      <c r="L108" s="197"/>
    </row>
    <row r="109" spans="1:12">
      <c r="A109" s="46"/>
      <c r="B109" s="40" t="s">
        <v>68</v>
      </c>
      <c r="C109" s="47"/>
      <c r="D109" s="43" t="s">
        <v>164</v>
      </c>
      <c r="E109" s="44">
        <v>-1693277.69</v>
      </c>
      <c r="F109" s="45">
        <v>-825696.3</v>
      </c>
      <c r="G109" s="44">
        <v>-2518973.9900000002</v>
      </c>
      <c r="H109" s="73"/>
      <c r="I109" s="73"/>
      <c r="J109" s="73"/>
      <c r="K109" s="73"/>
    </row>
    <row r="110" spans="1:12" s="73" customFormat="1">
      <c r="A110" s="46"/>
      <c r="B110" s="40" t="s">
        <v>68</v>
      </c>
      <c r="C110" s="48"/>
      <c r="D110" s="43" t="s">
        <v>165</v>
      </c>
      <c r="E110" s="44">
        <v>-2518973.9900000002</v>
      </c>
      <c r="F110" s="45">
        <v>-839183.83</v>
      </c>
      <c r="G110" s="44">
        <v>-3358157.82</v>
      </c>
    </row>
    <row r="111" spans="1:12">
      <c r="A111" s="49"/>
      <c r="B111" s="85"/>
      <c r="C111" s="92"/>
      <c r="D111" s="85"/>
      <c r="E111" s="87"/>
      <c r="F111" s="88">
        <f>SUM(F108:F110)</f>
        <v>-2184692.33</v>
      </c>
      <c r="G111" s="87"/>
      <c r="H111" s="73"/>
      <c r="I111" s="73"/>
      <c r="J111" s="73"/>
      <c r="K111" s="73"/>
    </row>
    <row r="112" spans="1:12">
      <c r="A112" s="41" t="s">
        <v>69</v>
      </c>
      <c r="B112" s="40" t="s">
        <v>66</v>
      </c>
      <c r="C112" s="42" t="s">
        <v>54</v>
      </c>
      <c r="D112" s="43" t="s">
        <v>163</v>
      </c>
      <c r="E112" s="44">
        <v>-59519.41</v>
      </c>
      <c r="F112" s="45">
        <v>4783.87</v>
      </c>
      <c r="G112" s="44">
        <v>-54735.54</v>
      </c>
      <c r="H112" s="73"/>
      <c r="I112" s="73"/>
      <c r="J112" s="73"/>
      <c r="K112" s="73"/>
    </row>
    <row r="113" spans="1:11">
      <c r="A113" s="46"/>
      <c r="B113" s="40" t="s">
        <v>66</v>
      </c>
      <c r="C113" s="47"/>
      <c r="D113" s="43" t="s">
        <v>164</v>
      </c>
      <c r="E113" s="44">
        <v>-54735.54</v>
      </c>
      <c r="F113" s="45">
        <v>-886883.13</v>
      </c>
      <c r="G113" s="44">
        <v>-941618.67</v>
      </c>
      <c r="H113" s="73"/>
      <c r="I113" s="73"/>
      <c r="J113" s="73"/>
      <c r="K113" s="73"/>
    </row>
    <row r="114" spans="1:11">
      <c r="A114" s="46"/>
      <c r="B114" s="40" t="s">
        <v>66</v>
      </c>
      <c r="C114" s="48"/>
      <c r="D114" s="43" t="s">
        <v>165</v>
      </c>
      <c r="E114" s="44">
        <v>-941618.67</v>
      </c>
      <c r="F114" s="45">
        <v>-389954.03</v>
      </c>
      <c r="G114" s="44">
        <v>-1331572.7</v>
      </c>
      <c r="H114" s="73"/>
      <c r="I114" s="73"/>
      <c r="J114" s="73"/>
      <c r="K114" s="73"/>
    </row>
    <row r="115" spans="1:11">
      <c r="A115" s="49"/>
      <c r="B115" s="85"/>
      <c r="C115" s="92"/>
      <c r="D115" s="85"/>
      <c r="E115" s="87"/>
      <c r="F115" s="88">
        <f>SUM(F112:F114)</f>
        <v>-1272053.29</v>
      </c>
      <c r="G115" s="87"/>
      <c r="H115" s="73"/>
      <c r="I115" s="73"/>
      <c r="J115" s="73"/>
      <c r="K115" s="73"/>
    </row>
    <row r="116" spans="1:11">
      <c r="A116" s="41" t="s">
        <v>70</v>
      </c>
      <c r="B116" s="40" t="s">
        <v>68</v>
      </c>
      <c r="C116" s="42" t="s">
        <v>54</v>
      </c>
      <c r="D116" s="43" t="s">
        <v>163</v>
      </c>
      <c r="E116" s="44">
        <v>-560489.23</v>
      </c>
      <c r="F116" s="45">
        <v>19252.5</v>
      </c>
      <c r="G116" s="44">
        <v>-541236.73</v>
      </c>
      <c r="H116" s="73"/>
      <c r="I116" s="73"/>
      <c r="J116" s="73"/>
      <c r="K116" s="73"/>
    </row>
    <row r="117" spans="1:11">
      <c r="A117" s="46"/>
      <c r="B117" s="40" t="s">
        <v>68</v>
      </c>
      <c r="C117" s="47"/>
      <c r="D117" s="43" t="s">
        <v>164</v>
      </c>
      <c r="E117" s="44">
        <v>-541236.73</v>
      </c>
      <c r="F117" s="45">
        <v>-224089.12</v>
      </c>
      <c r="G117" s="44">
        <v>-765325.85</v>
      </c>
      <c r="H117" s="73"/>
      <c r="I117" s="73"/>
      <c r="J117" s="73"/>
      <c r="K117" s="73"/>
    </row>
    <row r="118" spans="1:11">
      <c r="A118" s="46"/>
      <c r="B118" s="40" t="s">
        <v>68</v>
      </c>
      <c r="C118" s="48"/>
      <c r="D118" s="43" t="s">
        <v>165</v>
      </c>
      <c r="E118" s="44">
        <v>-765325.85</v>
      </c>
      <c r="F118" s="45">
        <v>-37806.06</v>
      </c>
      <c r="G118" s="44">
        <v>-803131.91</v>
      </c>
      <c r="H118" s="73"/>
      <c r="I118" s="73"/>
      <c r="J118" s="73"/>
      <c r="K118" s="73"/>
    </row>
    <row r="119" spans="1:11">
      <c r="A119" s="49"/>
      <c r="B119" s="85"/>
      <c r="C119" s="92"/>
      <c r="D119" s="85"/>
      <c r="E119" s="87"/>
      <c r="F119" s="88">
        <f>SUM(F116:F118)</f>
        <v>-242642.68</v>
      </c>
      <c r="G119" s="87"/>
      <c r="H119" s="73"/>
      <c r="I119" s="73"/>
      <c r="J119" s="73"/>
      <c r="K119" s="73"/>
    </row>
    <row r="120" spans="1:11">
      <c r="A120" s="73"/>
      <c r="B120" s="73"/>
      <c r="C120" s="73"/>
      <c r="D120" s="73"/>
      <c r="E120" s="73"/>
      <c r="F120" s="73"/>
      <c r="G120" s="73"/>
      <c r="H120" s="73"/>
      <c r="I120" s="73"/>
      <c r="J120" s="73"/>
      <c r="K120" s="73"/>
    </row>
    <row r="121" spans="1:11">
      <c r="A121" s="73"/>
      <c r="B121" s="73"/>
      <c r="C121" s="73"/>
      <c r="D121" s="73"/>
      <c r="E121" s="73"/>
      <c r="F121" s="73"/>
      <c r="G121" s="73"/>
      <c r="H121" s="73"/>
      <c r="I121" s="73"/>
      <c r="J121" s="73"/>
      <c r="K121" s="73"/>
    </row>
    <row r="122" spans="1:11">
      <c r="A122" s="73" t="s">
        <v>166</v>
      </c>
      <c r="B122" s="73"/>
      <c r="C122" s="73"/>
      <c r="D122" s="73"/>
      <c r="E122" s="73"/>
      <c r="F122" s="73"/>
      <c r="G122" s="73"/>
      <c r="H122" s="73"/>
      <c r="I122" s="73"/>
      <c r="J122" s="73"/>
      <c r="K122" s="73"/>
    </row>
    <row r="123" spans="1:11">
      <c r="A123" s="73"/>
      <c r="B123" s="73"/>
      <c r="C123" s="73"/>
      <c r="D123" s="73"/>
      <c r="E123" s="73"/>
      <c r="F123" s="73"/>
      <c r="G123" s="73"/>
      <c r="H123" s="73"/>
      <c r="I123" s="73"/>
      <c r="J123" s="73"/>
      <c r="K123" s="73"/>
    </row>
    <row r="124" spans="1:11">
      <c r="A124" s="39" t="s">
        <v>43</v>
      </c>
      <c r="B124" s="73"/>
      <c r="C124" s="173" t="s">
        <v>137</v>
      </c>
      <c r="D124" s="73"/>
      <c r="E124" s="73"/>
      <c r="F124" s="73"/>
      <c r="G124" s="73"/>
      <c r="H124" s="73"/>
      <c r="I124" s="73"/>
      <c r="J124" s="73"/>
      <c r="K124" s="73"/>
    </row>
    <row r="125" spans="1:11">
      <c r="A125" s="73"/>
      <c r="B125" s="73"/>
      <c r="C125" s="73"/>
      <c r="D125" s="73"/>
      <c r="E125" s="73"/>
      <c r="F125" s="73"/>
      <c r="G125" s="73"/>
      <c r="H125" s="73"/>
      <c r="I125" s="73"/>
      <c r="J125" s="73"/>
      <c r="K125" s="73"/>
    </row>
    <row r="126" spans="1:11" ht="27">
      <c r="A126" s="215" t="s">
        <v>44</v>
      </c>
      <c r="B126" s="90" t="s">
        <v>45</v>
      </c>
      <c r="C126" s="91" t="s">
        <v>46</v>
      </c>
      <c r="D126" s="89" t="s">
        <v>47</v>
      </c>
      <c r="E126" s="89" t="s">
        <v>48</v>
      </c>
      <c r="F126" s="89" t="s">
        <v>49</v>
      </c>
      <c r="G126" s="89" t="s">
        <v>50</v>
      </c>
      <c r="H126" s="73"/>
      <c r="I126" s="73"/>
      <c r="J126" s="73"/>
      <c r="K126" s="73"/>
    </row>
    <row r="127" spans="1:11">
      <c r="A127" s="208" t="s">
        <v>138</v>
      </c>
      <c r="B127" s="175" t="s">
        <v>139</v>
      </c>
      <c r="C127" s="42" t="s">
        <v>53</v>
      </c>
      <c r="D127" s="43" t="s">
        <v>163</v>
      </c>
      <c r="E127" s="44">
        <v>3057483.2</v>
      </c>
      <c r="F127" s="45">
        <v>740255.37</v>
      </c>
      <c r="G127" s="44">
        <v>3797738.57</v>
      </c>
      <c r="H127" s="73"/>
      <c r="I127" s="73"/>
      <c r="J127" s="73"/>
      <c r="K127" s="73"/>
    </row>
    <row r="128" spans="1:11">
      <c r="A128" s="209"/>
      <c r="B128" s="175" t="s">
        <v>139</v>
      </c>
      <c r="C128" s="47"/>
      <c r="D128" s="43" t="s">
        <v>164</v>
      </c>
      <c r="E128" s="44">
        <v>3797738.57</v>
      </c>
      <c r="F128" s="45">
        <v>627047.86</v>
      </c>
      <c r="G128" s="44">
        <v>4424786.43</v>
      </c>
      <c r="H128" s="73"/>
      <c r="I128" s="73"/>
      <c r="J128" s="73"/>
      <c r="K128" s="73"/>
    </row>
    <row r="129" spans="1:11" s="73" customFormat="1">
      <c r="A129" s="209"/>
      <c r="B129" s="175" t="s">
        <v>139</v>
      </c>
      <c r="C129" s="48"/>
      <c r="D129" s="43" t="s">
        <v>165</v>
      </c>
      <c r="E129" s="44">
        <v>4424786.43</v>
      </c>
      <c r="F129" s="45">
        <v>607128.44999999995</v>
      </c>
      <c r="G129" s="44">
        <v>5031914.88</v>
      </c>
    </row>
    <row r="130" spans="1:11">
      <c r="A130" s="210"/>
      <c r="B130" s="85"/>
      <c r="C130" s="92"/>
      <c r="D130" s="85"/>
      <c r="E130" s="87"/>
      <c r="F130" s="88">
        <f>SUM(F127:F129)</f>
        <v>1974431.68</v>
      </c>
      <c r="G130" s="87"/>
      <c r="H130" s="73"/>
      <c r="I130" s="73"/>
      <c r="J130" s="73"/>
      <c r="K130" s="73"/>
    </row>
    <row r="131" spans="1:11">
      <c r="A131" s="208" t="s">
        <v>140</v>
      </c>
      <c r="B131" s="175" t="s">
        <v>141</v>
      </c>
      <c r="C131" s="42" t="s">
        <v>53</v>
      </c>
      <c r="D131" s="43" t="s">
        <v>163</v>
      </c>
      <c r="E131" s="44">
        <v>197389.05</v>
      </c>
      <c r="F131" s="45">
        <v>61807.14</v>
      </c>
      <c r="G131" s="44">
        <v>259196.19</v>
      </c>
      <c r="H131" s="73"/>
      <c r="I131" s="73"/>
      <c r="J131" s="73"/>
      <c r="K131" s="73"/>
    </row>
    <row r="132" spans="1:11">
      <c r="A132" s="209"/>
      <c r="B132" s="175" t="s">
        <v>141</v>
      </c>
      <c r="C132" s="47"/>
      <c r="D132" s="43" t="s">
        <v>164</v>
      </c>
      <c r="E132" s="44">
        <v>259196.19</v>
      </c>
      <c r="F132" s="45">
        <v>66875.539999999994</v>
      </c>
      <c r="G132" s="44">
        <v>326071.73</v>
      </c>
      <c r="H132" s="73"/>
      <c r="I132" s="73"/>
      <c r="J132" s="73"/>
      <c r="K132" s="73"/>
    </row>
    <row r="133" spans="1:11" s="73" customFormat="1">
      <c r="A133" s="209"/>
      <c r="B133" s="175" t="s">
        <v>141</v>
      </c>
      <c r="C133" s="48"/>
      <c r="D133" s="43" t="s">
        <v>165</v>
      </c>
      <c r="E133" s="44">
        <v>326071.73</v>
      </c>
      <c r="F133" s="45">
        <v>68567.360000000001</v>
      </c>
      <c r="G133" s="44">
        <v>394639.09</v>
      </c>
    </row>
    <row r="134" spans="1:11">
      <c r="A134" s="210"/>
      <c r="B134" s="85"/>
      <c r="C134" s="92"/>
      <c r="D134" s="85"/>
      <c r="E134" s="87"/>
      <c r="F134" s="88">
        <f>SUM(F131:F133)</f>
        <v>197250.03999999998</v>
      </c>
      <c r="G134" s="87"/>
      <c r="H134" s="73"/>
      <c r="I134" s="73"/>
      <c r="J134" s="73"/>
      <c r="K134" s="73"/>
    </row>
    <row r="135" spans="1:11">
      <c r="A135" s="208" t="s">
        <v>142</v>
      </c>
      <c r="B135" s="175" t="s">
        <v>139</v>
      </c>
      <c r="C135" s="42" t="s">
        <v>54</v>
      </c>
      <c r="D135" s="43" t="s">
        <v>163</v>
      </c>
      <c r="E135" s="44">
        <v>2887802.74</v>
      </c>
      <c r="F135" s="45">
        <v>519927.49</v>
      </c>
      <c r="G135" s="44">
        <v>3407730.23</v>
      </c>
      <c r="H135" s="73"/>
      <c r="I135" s="73"/>
      <c r="J135" s="73"/>
      <c r="K135" s="73"/>
    </row>
    <row r="136" spans="1:11">
      <c r="A136" s="209"/>
      <c r="B136" s="175" t="s">
        <v>139</v>
      </c>
      <c r="C136" s="47"/>
      <c r="D136" s="43" t="s">
        <v>164</v>
      </c>
      <c r="E136" s="44">
        <v>3407730.23</v>
      </c>
      <c r="F136" s="45">
        <v>175109.62</v>
      </c>
      <c r="G136" s="44">
        <v>3582839.85</v>
      </c>
      <c r="H136" s="73"/>
      <c r="I136" s="73"/>
      <c r="J136" s="73"/>
      <c r="K136" s="73"/>
    </row>
    <row r="137" spans="1:11" s="73" customFormat="1">
      <c r="A137" s="209"/>
      <c r="B137" s="175" t="s">
        <v>139</v>
      </c>
      <c r="C137" s="48"/>
      <c r="D137" s="43" t="s">
        <v>165</v>
      </c>
      <c r="E137" s="44">
        <v>3582839.85</v>
      </c>
      <c r="F137" s="45">
        <v>140136.91</v>
      </c>
      <c r="G137" s="44">
        <v>3722976.76</v>
      </c>
    </row>
    <row r="138" spans="1:11">
      <c r="A138" s="210"/>
      <c r="B138" s="85"/>
      <c r="C138" s="92"/>
      <c r="D138" s="85"/>
      <c r="E138" s="87"/>
      <c r="F138" s="88">
        <f>SUM(F135:F137)</f>
        <v>835174.02</v>
      </c>
      <c r="G138" s="87"/>
      <c r="H138" s="73"/>
      <c r="I138" s="73"/>
      <c r="J138" s="73"/>
      <c r="K138" s="73"/>
    </row>
    <row r="139" spans="1:11">
      <c r="A139" s="208" t="s">
        <v>143</v>
      </c>
      <c r="B139" s="175" t="s">
        <v>141</v>
      </c>
      <c r="C139" s="42" t="s">
        <v>54</v>
      </c>
      <c r="D139" s="43" t="s">
        <v>163</v>
      </c>
      <c r="E139" s="44">
        <v>766641.15</v>
      </c>
      <c r="F139" s="45">
        <v>170219.57</v>
      </c>
      <c r="G139" s="44">
        <v>936860.72</v>
      </c>
      <c r="H139" s="73"/>
      <c r="I139" s="73"/>
      <c r="J139" s="73"/>
      <c r="K139" s="73"/>
    </row>
    <row r="140" spans="1:11">
      <c r="A140" s="209"/>
      <c r="B140" s="175" t="s">
        <v>141</v>
      </c>
      <c r="C140" s="47"/>
      <c r="D140" s="43" t="s">
        <v>164</v>
      </c>
      <c r="E140" s="44">
        <v>936860.72</v>
      </c>
      <c r="F140" s="45">
        <v>91009</v>
      </c>
      <c r="G140" s="44">
        <v>1027869.72</v>
      </c>
      <c r="H140" s="73"/>
      <c r="I140" s="73"/>
      <c r="J140" s="73"/>
      <c r="K140" s="73"/>
    </row>
    <row r="141" spans="1:11" s="73" customFormat="1">
      <c r="A141" s="209"/>
      <c r="B141" s="175" t="s">
        <v>141</v>
      </c>
      <c r="C141" s="48"/>
      <c r="D141" s="43" t="s">
        <v>165</v>
      </c>
      <c r="E141" s="44">
        <v>1027869.72</v>
      </c>
      <c r="F141" s="45">
        <v>83289.350000000006</v>
      </c>
      <c r="G141" s="44">
        <v>1111159.07</v>
      </c>
    </row>
    <row r="142" spans="1:11">
      <c r="A142" s="210"/>
      <c r="B142" s="85"/>
      <c r="C142" s="92"/>
      <c r="D142" s="85"/>
      <c r="E142" s="87"/>
      <c r="F142" s="88">
        <f>SUM(F139:F141)</f>
        <v>344517.92000000004</v>
      </c>
      <c r="G142" s="87"/>
      <c r="H142" s="73"/>
      <c r="I142" s="73"/>
      <c r="J142" s="73"/>
      <c r="K142" s="73"/>
    </row>
    <row r="143" spans="1:11">
      <c r="H143" s="73"/>
      <c r="I143" s="73"/>
      <c r="J143" s="73"/>
      <c r="K143" s="73"/>
    </row>
    <row r="144" spans="1:11">
      <c r="A144" s="73"/>
      <c r="B144" s="73"/>
      <c r="C144" s="73"/>
      <c r="D144" s="73"/>
      <c r="E144" s="73"/>
      <c r="F144" s="73"/>
      <c r="G144" s="73"/>
      <c r="H144" s="73"/>
      <c r="I144" s="73"/>
      <c r="J144" s="73"/>
      <c r="K144" s="73"/>
    </row>
    <row r="145" spans="1:11">
      <c r="A145" s="73" t="s">
        <v>166</v>
      </c>
      <c r="B145" s="38"/>
      <c r="C145" s="38"/>
      <c r="D145" s="38"/>
      <c r="E145" s="38"/>
      <c r="F145" s="38"/>
      <c r="G145" s="38"/>
      <c r="H145" s="73"/>
      <c r="I145" s="73"/>
      <c r="J145" s="73"/>
      <c r="K145" s="73"/>
    </row>
    <row r="146" spans="1:11">
      <c r="A146" s="38"/>
      <c r="B146" s="38"/>
      <c r="C146" s="38"/>
      <c r="D146" s="38"/>
      <c r="E146" s="38"/>
      <c r="F146" s="38"/>
      <c r="G146" s="38"/>
      <c r="H146" s="73"/>
      <c r="I146" s="73"/>
      <c r="J146" s="73"/>
      <c r="K146" s="73"/>
    </row>
    <row r="147" spans="1:11" s="73" customFormat="1">
      <c r="A147" s="39" t="s">
        <v>43</v>
      </c>
      <c r="B147" s="38"/>
      <c r="C147" s="174" t="s">
        <v>131</v>
      </c>
      <c r="D147" s="38"/>
      <c r="E147" s="38"/>
      <c r="F147" s="38"/>
      <c r="G147" s="38"/>
    </row>
    <row r="148" spans="1:11" s="73" customFormat="1">
      <c r="A148" s="38"/>
      <c r="B148" s="38"/>
      <c r="C148" s="38"/>
      <c r="D148" s="38"/>
      <c r="E148" s="38"/>
      <c r="F148" s="38"/>
      <c r="G148" s="38"/>
    </row>
    <row r="149" spans="1:11" s="73" customFormat="1" ht="27">
      <c r="A149" s="89" t="s">
        <v>44</v>
      </c>
      <c r="B149" s="90" t="s">
        <v>45</v>
      </c>
      <c r="C149" s="91" t="s">
        <v>46</v>
      </c>
      <c r="D149" s="89" t="s">
        <v>47</v>
      </c>
      <c r="E149" s="89" t="s">
        <v>48</v>
      </c>
      <c r="F149" s="89" t="s">
        <v>49</v>
      </c>
      <c r="G149" s="89" t="s">
        <v>50</v>
      </c>
    </row>
    <row r="150" spans="1:11" s="73" customFormat="1" ht="15.6">
      <c r="A150" s="41" t="s">
        <v>71</v>
      </c>
      <c r="B150" s="40" t="s">
        <v>72</v>
      </c>
      <c r="C150" s="42" t="s">
        <v>53</v>
      </c>
      <c r="D150" s="43" t="s">
        <v>163</v>
      </c>
      <c r="E150" s="44">
        <v>-110968.04</v>
      </c>
      <c r="F150" s="45">
        <v>-41437.129999999997</v>
      </c>
      <c r="G150" s="44">
        <v>-152405.17000000001</v>
      </c>
      <c r="H150" s="170"/>
    </row>
    <row r="151" spans="1:11">
      <c r="A151" s="46"/>
      <c r="B151" s="40" t="s">
        <v>72</v>
      </c>
      <c r="C151" s="47"/>
      <c r="D151" s="43" t="s">
        <v>164</v>
      </c>
      <c r="E151" s="44">
        <v>-152405.17000000001</v>
      </c>
      <c r="F151" s="45">
        <v>-44939.72</v>
      </c>
      <c r="G151" s="44">
        <v>-197344.89</v>
      </c>
      <c r="H151" s="73"/>
      <c r="I151" s="73"/>
      <c r="J151" s="73"/>
      <c r="K151" s="73"/>
    </row>
    <row r="152" spans="1:11">
      <c r="A152" s="46"/>
      <c r="B152" s="40" t="s">
        <v>72</v>
      </c>
      <c r="C152" s="48"/>
      <c r="D152" s="43" t="s">
        <v>165</v>
      </c>
      <c r="E152" s="44">
        <v>-197344.89</v>
      </c>
      <c r="F152" s="45">
        <v>-48875.44</v>
      </c>
      <c r="G152" s="44">
        <v>-246220.33</v>
      </c>
      <c r="H152" s="73"/>
      <c r="I152" s="73"/>
      <c r="J152" s="73"/>
      <c r="K152" s="73"/>
    </row>
    <row r="153" spans="1:11">
      <c r="A153" s="46"/>
      <c r="B153" s="81"/>
      <c r="C153" s="82"/>
      <c r="D153" s="81"/>
      <c r="E153" s="83"/>
      <c r="F153" s="84">
        <f>SUM(F150:F152)</f>
        <v>-135252.29</v>
      </c>
      <c r="G153" s="83"/>
      <c r="H153" s="73"/>
      <c r="I153" s="73"/>
      <c r="J153" s="73"/>
      <c r="K153" s="73"/>
    </row>
    <row r="154" spans="1:11">
      <c r="A154" s="46"/>
      <c r="B154" s="40" t="s">
        <v>72</v>
      </c>
      <c r="C154" s="42" t="s">
        <v>54</v>
      </c>
      <c r="D154" s="43" t="s">
        <v>163</v>
      </c>
      <c r="E154" s="44">
        <v>-64319.87</v>
      </c>
      <c r="F154" s="45">
        <v>-14117.11</v>
      </c>
      <c r="G154" s="44">
        <v>-78436.98</v>
      </c>
      <c r="H154" s="73"/>
      <c r="I154" s="73"/>
      <c r="J154" s="73"/>
      <c r="K154" s="73"/>
    </row>
    <row r="155" spans="1:11">
      <c r="A155" s="46"/>
      <c r="B155" s="40" t="s">
        <v>72</v>
      </c>
      <c r="C155" s="47"/>
      <c r="D155" s="43" t="s">
        <v>164</v>
      </c>
      <c r="E155" s="44">
        <v>-78436.98</v>
      </c>
      <c r="F155" s="45">
        <v>-14413.08</v>
      </c>
      <c r="G155" s="44">
        <v>-92850.06</v>
      </c>
      <c r="H155" s="73"/>
      <c r="I155" s="73"/>
      <c r="J155" s="73"/>
      <c r="K155" s="73"/>
    </row>
    <row r="156" spans="1:11" s="73" customFormat="1">
      <c r="A156" s="46"/>
      <c r="B156" s="40" t="s">
        <v>72</v>
      </c>
      <c r="C156" s="48"/>
      <c r="D156" s="43" t="s">
        <v>165</v>
      </c>
      <c r="E156" s="44">
        <v>-92850.06</v>
      </c>
      <c r="F156" s="45">
        <v>-16420.88</v>
      </c>
      <c r="G156" s="44">
        <v>-109270.94</v>
      </c>
    </row>
    <row r="157" spans="1:11" s="73" customFormat="1">
      <c r="A157" s="49"/>
      <c r="B157" s="81"/>
      <c r="C157" s="82"/>
      <c r="D157" s="81"/>
      <c r="E157" s="83"/>
      <c r="F157" s="84">
        <f>SUM(F154:F156)</f>
        <v>-44951.070000000007</v>
      </c>
      <c r="G157" s="83"/>
    </row>
    <row r="158" spans="1:11">
      <c r="A158" s="85"/>
      <c r="B158" s="92"/>
      <c r="C158" s="85"/>
      <c r="D158" s="85"/>
      <c r="E158" s="87"/>
      <c r="F158" s="88">
        <f>F153+F157</f>
        <v>-180203.36000000002</v>
      </c>
      <c r="G158" s="87"/>
      <c r="H158" s="73"/>
      <c r="I158" s="73"/>
      <c r="J158" s="73"/>
      <c r="K158" s="73"/>
    </row>
    <row r="159" spans="1:11">
      <c r="A159" s="41" t="s">
        <v>73</v>
      </c>
      <c r="B159" s="40" t="s">
        <v>74</v>
      </c>
      <c r="C159" s="42" t="s">
        <v>53</v>
      </c>
      <c r="D159" s="43" t="s">
        <v>163</v>
      </c>
      <c r="E159" s="44">
        <v>28012.14</v>
      </c>
      <c r="F159" s="45">
        <v>9890.3700000000008</v>
      </c>
      <c r="G159" s="44">
        <v>37902.51</v>
      </c>
      <c r="H159" s="73"/>
      <c r="I159" s="73"/>
      <c r="J159" s="73"/>
      <c r="K159" s="73"/>
    </row>
    <row r="160" spans="1:11" s="73" customFormat="1">
      <c r="A160" s="46"/>
      <c r="B160" s="40" t="s">
        <v>74</v>
      </c>
      <c r="C160" s="47"/>
      <c r="D160" s="43" t="s">
        <v>164</v>
      </c>
      <c r="E160" s="44">
        <v>37902.51</v>
      </c>
      <c r="F160" s="45">
        <v>9927.2099999999991</v>
      </c>
      <c r="G160" s="44">
        <v>47829.72</v>
      </c>
    </row>
    <row r="161" spans="1:11" s="73" customFormat="1">
      <c r="A161" s="46"/>
      <c r="B161" s="40" t="s">
        <v>74</v>
      </c>
      <c r="C161" s="48"/>
      <c r="D161" s="43" t="s">
        <v>165</v>
      </c>
      <c r="E161" s="44">
        <v>47829.72</v>
      </c>
      <c r="F161" s="45">
        <v>39721.9</v>
      </c>
      <c r="G161" s="44">
        <v>87551.62</v>
      </c>
      <c r="H161" s="239" t="s">
        <v>171</v>
      </c>
    </row>
    <row r="162" spans="1:11" s="73" customFormat="1">
      <c r="A162" s="46"/>
      <c r="B162" s="81"/>
      <c r="C162" s="82"/>
      <c r="D162" s="81"/>
      <c r="E162" s="83"/>
      <c r="F162" s="84">
        <f>SUM(F159:F161)</f>
        <v>59539.48</v>
      </c>
      <c r="G162" s="83"/>
    </row>
    <row r="163" spans="1:11">
      <c r="A163" s="46"/>
      <c r="B163" s="40" t="s">
        <v>74</v>
      </c>
      <c r="C163" s="42" t="s">
        <v>54</v>
      </c>
      <c r="D163" s="43" t="s">
        <v>163</v>
      </c>
      <c r="E163" s="44">
        <v>40419.85</v>
      </c>
      <c r="F163" s="45">
        <v>14271.22</v>
      </c>
      <c r="G163" s="44">
        <v>54691.07</v>
      </c>
      <c r="H163" s="73"/>
      <c r="I163" s="73"/>
      <c r="J163" s="73"/>
      <c r="K163" s="73"/>
    </row>
    <row r="164" spans="1:11" s="73" customFormat="1">
      <c r="A164" s="46"/>
      <c r="B164" s="40" t="s">
        <v>74</v>
      </c>
      <c r="C164" s="47"/>
      <c r="D164" s="43" t="s">
        <v>164</v>
      </c>
      <c r="E164" s="44">
        <v>54691.07</v>
      </c>
      <c r="F164" s="45">
        <v>14324.38</v>
      </c>
      <c r="G164" s="44">
        <v>69015.45</v>
      </c>
    </row>
    <row r="165" spans="1:11">
      <c r="A165" s="46"/>
      <c r="B165" s="40" t="s">
        <v>74</v>
      </c>
      <c r="C165" s="48"/>
      <c r="D165" s="43" t="s">
        <v>165</v>
      </c>
      <c r="E165" s="44">
        <v>69015.45</v>
      </c>
      <c r="F165" s="45">
        <v>22009.56</v>
      </c>
      <c r="G165" s="44">
        <v>91025.01</v>
      </c>
      <c r="H165" s="239" t="s">
        <v>171</v>
      </c>
      <c r="I165" s="73"/>
      <c r="J165" s="73"/>
      <c r="K165" s="73"/>
    </row>
    <row r="166" spans="1:11">
      <c r="A166" s="49"/>
      <c r="B166" s="81"/>
      <c r="C166" s="82"/>
      <c r="D166" s="81"/>
      <c r="E166" s="83"/>
      <c r="F166" s="84">
        <f>SUM(F163:F165)</f>
        <v>50605.16</v>
      </c>
      <c r="G166" s="83"/>
      <c r="H166" s="73"/>
      <c r="I166" s="73"/>
      <c r="J166" s="73"/>
      <c r="K166" s="73"/>
    </row>
    <row r="167" spans="1:11">
      <c r="A167" s="85"/>
      <c r="B167" s="92"/>
      <c r="C167" s="85"/>
      <c r="D167" s="85"/>
      <c r="E167" s="87"/>
      <c r="F167" s="88">
        <f>F162+F166</f>
        <v>110144.64000000001</v>
      </c>
      <c r="G167" s="87"/>
      <c r="H167" s="73"/>
      <c r="I167" s="73"/>
      <c r="J167" s="73"/>
      <c r="K167" s="73"/>
    </row>
    <row r="168" spans="1:11">
      <c r="A168" s="93"/>
      <c r="B168" s="93"/>
      <c r="C168" s="93"/>
      <c r="D168" s="93"/>
      <c r="E168" s="94"/>
      <c r="F168" s="95">
        <f>F158+F167</f>
        <v>-70058.720000000001</v>
      </c>
      <c r="G168" s="94"/>
      <c r="H168" s="73"/>
      <c r="I168" s="73"/>
      <c r="J168" s="73"/>
      <c r="K168" s="73"/>
    </row>
    <row r="169" spans="1:11">
      <c r="A169" s="161"/>
      <c r="B169" s="161"/>
      <c r="C169" s="161"/>
      <c r="D169" s="161"/>
      <c r="E169" s="162"/>
      <c r="F169" s="163"/>
      <c r="G169" s="162"/>
      <c r="H169" s="73"/>
      <c r="I169" s="73"/>
      <c r="J169" s="73"/>
      <c r="K169" s="73"/>
    </row>
    <row r="170" spans="1:11" ht="15.6">
      <c r="A170" s="240" t="s">
        <v>169</v>
      </c>
      <c r="B170" s="240"/>
      <c r="C170" s="240"/>
      <c r="D170" s="240"/>
      <c r="E170" s="240"/>
      <c r="F170" s="240"/>
      <c r="G170" s="240"/>
      <c r="H170" s="73"/>
      <c r="I170" s="73"/>
      <c r="J170" s="73"/>
      <c r="K170" s="73"/>
    </row>
    <row r="171" spans="1:11" ht="8.4" customHeight="1">
      <c r="A171" s="170"/>
      <c r="B171" s="170"/>
      <c r="C171" s="170"/>
      <c r="D171" s="170"/>
      <c r="E171" s="170"/>
      <c r="F171" s="170"/>
      <c r="G171" s="170"/>
      <c r="H171" s="73"/>
      <c r="I171" s="73"/>
      <c r="J171" s="73"/>
      <c r="K171" s="73"/>
    </row>
    <row r="172" spans="1:11">
      <c r="A172" s="73" t="s">
        <v>166</v>
      </c>
      <c r="B172" s="73"/>
      <c r="C172" s="73"/>
      <c r="D172" s="73"/>
      <c r="E172" s="73"/>
      <c r="F172" s="73"/>
      <c r="G172" s="73"/>
      <c r="H172" s="73"/>
      <c r="I172" s="73"/>
      <c r="J172" s="73"/>
      <c r="K172" s="73"/>
    </row>
    <row r="173" spans="1:11">
      <c r="A173" s="39" t="s">
        <v>43</v>
      </c>
      <c r="B173" s="73"/>
      <c r="C173" s="73"/>
      <c r="D173" s="73"/>
      <c r="E173" s="73"/>
      <c r="F173" s="73"/>
      <c r="G173" s="73"/>
      <c r="H173" s="73"/>
      <c r="I173" s="73"/>
      <c r="J173" s="73"/>
      <c r="K173" s="73"/>
    </row>
    <row r="174" spans="1:11">
      <c r="A174" s="73"/>
      <c r="B174" s="73"/>
      <c r="C174" s="73"/>
      <c r="D174" s="73"/>
      <c r="E174" s="73"/>
      <c r="F174" s="73"/>
      <c r="G174" s="73"/>
      <c r="H174" s="73"/>
      <c r="I174" s="73"/>
      <c r="J174" s="73"/>
      <c r="K174" s="73"/>
    </row>
    <row r="175" spans="1:11" ht="27">
      <c r="A175" s="89" t="s">
        <v>44</v>
      </c>
      <c r="B175" s="90" t="s">
        <v>45</v>
      </c>
      <c r="C175" s="91" t="s">
        <v>46</v>
      </c>
      <c r="D175" s="89" t="s">
        <v>47</v>
      </c>
      <c r="E175" s="89" t="s">
        <v>48</v>
      </c>
      <c r="F175" s="89" t="s">
        <v>49</v>
      </c>
      <c r="G175" s="89" t="s">
        <v>50</v>
      </c>
      <c r="H175" s="73"/>
      <c r="I175" s="73"/>
      <c r="J175" s="73"/>
      <c r="K175" s="73"/>
    </row>
    <row r="176" spans="1:11">
      <c r="A176" s="41" t="s">
        <v>88</v>
      </c>
      <c r="B176" s="40" t="s">
        <v>89</v>
      </c>
      <c r="C176" s="42" t="s">
        <v>53</v>
      </c>
      <c r="D176" s="43" t="s">
        <v>163</v>
      </c>
      <c r="E176" s="44">
        <v>0</v>
      </c>
      <c r="F176" s="45">
        <v>0</v>
      </c>
      <c r="G176" s="44">
        <v>0</v>
      </c>
      <c r="H176" s="73"/>
      <c r="I176" s="73"/>
      <c r="J176" s="73"/>
      <c r="K176" s="73"/>
    </row>
    <row r="177" spans="1:11">
      <c r="A177" s="46"/>
      <c r="B177" s="40" t="s">
        <v>89</v>
      </c>
      <c r="C177" s="47"/>
      <c r="D177" s="43" t="s">
        <v>164</v>
      </c>
      <c r="E177" s="44">
        <v>0</v>
      </c>
      <c r="F177" s="45">
        <v>0</v>
      </c>
      <c r="G177" s="44">
        <v>0</v>
      </c>
      <c r="H177" s="73"/>
      <c r="I177" s="73"/>
      <c r="J177" s="73"/>
      <c r="K177" s="73"/>
    </row>
    <row r="178" spans="1:11">
      <c r="A178" s="46"/>
      <c r="B178" s="40" t="s">
        <v>89</v>
      </c>
      <c r="C178" s="48"/>
      <c r="D178" s="43" t="s">
        <v>165</v>
      </c>
      <c r="E178" s="44">
        <v>0</v>
      </c>
      <c r="F178" s="45">
        <v>0</v>
      </c>
      <c r="G178" s="44">
        <v>0</v>
      </c>
      <c r="H178" s="73"/>
      <c r="I178" s="73"/>
      <c r="J178" s="73"/>
      <c r="K178" s="73"/>
    </row>
    <row r="179" spans="1:11">
      <c r="A179" s="46"/>
      <c r="B179" s="81"/>
      <c r="C179" s="82"/>
      <c r="D179" s="81"/>
      <c r="E179" s="83"/>
      <c r="F179" s="84">
        <f>SUM(F176:F178)</f>
        <v>0</v>
      </c>
      <c r="G179" s="83"/>
      <c r="H179" s="73"/>
      <c r="I179" s="73"/>
      <c r="J179" s="73"/>
      <c r="K179" s="73"/>
    </row>
    <row r="180" spans="1:11">
      <c r="A180" s="46"/>
      <c r="B180" s="40" t="s">
        <v>89</v>
      </c>
      <c r="C180" s="42" t="s">
        <v>54</v>
      </c>
      <c r="D180" s="43" t="s">
        <v>163</v>
      </c>
      <c r="E180" s="44">
        <v>0</v>
      </c>
      <c r="F180" s="45">
        <v>0</v>
      </c>
      <c r="G180" s="44">
        <v>0</v>
      </c>
      <c r="H180" s="73"/>
      <c r="I180" s="73"/>
      <c r="J180" s="73"/>
      <c r="K180" s="73"/>
    </row>
    <row r="181" spans="1:11">
      <c r="A181" s="46"/>
      <c r="B181" s="40" t="s">
        <v>89</v>
      </c>
      <c r="C181" s="47"/>
      <c r="D181" s="43" t="s">
        <v>164</v>
      </c>
      <c r="E181" s="44">
        <v>0</v>
      </c>
      <c r="F181" s="45">
        <v>0</v>
      </c>
      <c r="G181" s="44">
        <v>0</v>
      </c>
      <c r="H181" s="73"/>
      <c r="I181" s="73"/>
      <c r="J181" s="73"/>
      <c r="K181" s="73"/>
    </row>
    <row r="182" spans="1:11">
      <c r="A182" s="46"/>
      <c r="B182" s="40" t="s">
        <v>89</v>
      </c>
      <c r="C182" s="48"/>
      <c r="D182" s="43" t="s">
        <v>165</v>
      </c>
      <c r="E182" s="44">
        <v>0</v>
      </c>
      <c r="F182" s="45">
        <v>0</v>
      </c>
      <c r="G182" s="44">
        <v>0</v>
      </c>
      <c r="H182" s="73"/>
      <c r="I182" s="73"/>
      <c r="J182" s="73"/>
      <c r="K182" s="73"/>
    </row>
    <row r="183" spans="1:11">
      <c r="A183" s="49"/>
      <c r="B183" s="81"/>
      <c r="C183" s="82"/>
      <c r="D183" s="81"/>
      <c r="E183" s="83"/>
      <c r="F183" s="84">
        <f>SUM(F180:F182)</f>
        <v>0</v>
      </c>
      <c r="G183" s="83"/>
      <c r="H183" s="73"/>
      <c r="I183" s="73"/>
      <c r="J183" s="73"/>
      <c r="K183" s="73"/>
    </row>
    <row r="184" spans="1:11">
      <c r="A184" s="85"/>
      <c r="B184" s="92" t="s">
        <v>148</v>
      </c>
      <c r="C184" s="85"/>
      <c r="D184" s="85"/>
      <c r="E184" s="87"/>
      <c r="F184" s="88">
        <f>F179+F183</f>
        <v>0</v>
      </c>
      <c r="G184" s="87"/>
      <c r="H184" s="73"/>
      <c r="I184" s="73"/>
      <c r="J184" s="73"/>
      <c r="K184" s="73"/>
    </row>
    <row r="185" spans="1:11">
      <c r="A185" s="41" t="s">
        <v>145</v>
      </c>
      <c r="B185" s="40" t="s">
        <v>146</v>
      </c>
      <c r="C185" s="42" t="s">
        <v>54</v>
      </c>
      <c r="D185" s="43" t="s">
        <v>163</v>
      </c>
      <c r="E185" s="44">
        <v>0</v>
      </c>
      <c r="F185" s="45">
        <v>0</v>
      </c>
      <c r="G185" s="44">
        <v>0</v>
      </c>
      <c r="H185" s="73"/>
      <c r="I185" s="73"/>
      <c r="J185" s="73"/>
      <c r="K185" s="73"/>
    </row>
    <row r="186" spans="1:11">
      <c r="A186" s="46"/>
      <c r="B186" s="40" t="s">
        <v>146</v>
      </c>
      <c r="C186" s="47"/>
      <c r="D186" s="43" t="s">
        <v>164</v>
      </c>
      <c r="E186" s="44">
        <v>0</v>
      </c>
      <c r="F186" s="45">
        <v>0</v>
      </c>
      <c r="G186" s="44">
        <v>0</v>
      </c>
      <c r="H186" s="73"/>
      <c r="I186" s="73"/>
      <c r="J186" s="73"/>
      <c r="K186" s="73"/>
    </row>
    <row r="187" spans="1:11">
      <c r="A187" s="46"/>
      <c r="B187" s="40" t="s">
        <v>146</v>
      </c>
      <c r="C187" s="48"/>
      <c r="D187" s="43" t="s">
        <v>165</v>
      </c>
      <c r="E187" s="44">
        <v>0</v>
      </c>
      <c r="F187" s="45">
        <v>0</v>
      </c>
      <c r="G187" s="44">
        <v>0</v>
      </c>
      <c r="H187" s="73"/>
      <c r="I187" s="73"/>
      <c r="J187" s="73"/>
      <c r="K187" s="73"/>
    </row>
    <row r="188" spans="1:11">
      <c r="A188" s="46"/>
      <c r="B188" s="81"/>
      <c r="C188" s="82"/>
      <c r="D188" s="81"/>
      <c r="E188" s="83"/>
      <c r="F188" s="84">
        <f>SUM(F185:F187)</f>
        <v>0</v>
      </c>
      <c r="G188" s="83"/>
      <c r="H188" s="73"/>
      <c r="I188" s="73"/>
      <c r="J188" s="73"/>
      <c r="K188" s="73"/>
    </row>
    <row r="189" spans="1:11">
      <c r="A189" s="184"/>
      <c r="B189" s="92" t="s">
        <v>149</v>
      </c>
      <c r="C189" s="85"/>
      <c r="D189" s="85"/>
      <c r="E189" s="87"/>
      <c r="F189" s="88">
        <f>F188</f>
        <v>0</v>
      </c>
      <c r="G189" s="87"/>
      <c r="H189" s="73"/>
      <c r="I189" s="73"/>
      <c r="J189" s="73"/>
      <c r="K189" s="73"/>
    </row>
    <row r="190" spans="1:11">
      <c r="A190" s="208" t="s">
        <v>147</v>
      </c>
      <c r="B190" s="40" t="s">
        <v>91</v>
      </c>
      <c r="C190" s="42" t="s">
        <v>53</v>
      </c>
      <c r="D190" s="43" t="s">
        <v>163</v>
      </c>
      <c r="E190" s="44">
        <v>0</v>
      </c>
      <c r="F190" s="45">
        <v>0</v>
      </c>
      <c r="G190" s="44">
        <v>0</v>
      </c>
      <c r="H190" s="73"/>
      <c r="I190" s="73"/>
      <c r="J190" s="73"/>
      <c r="K190" s="73"/>
    </row>
    <row r="191" spans="1:11">
      <c r="A191" s="209"/>
      <c r="B191" s="40" t="s">
        <v>91</v>
      </c>
      <c r="C191" s="47"/>
      <c r="D191" s="43" t="s">
        <v>164</v>
      </c>
      <c r="E191" s="44">
        <v>0</v>
      </c>
      <c r="F191" s="45">
        <v>0</v>
      </c>
      <c r="G191" s="44">
        <v>0</v>
      </c>
      <c r="H191" s="73"/>
      <c r="I191" s="73"/>
      <c r="J191" s="73"/>
      <c r="K191" s="73"/>
    </row>
    <row r="192" spans="1:11">
      <c r="A192" s="209"/>
      <c r="B192" s="40" t="s">
        <v>91</v>
      </c>
      <c r="C192" s="48"/>
      <c r="D192" s="43" t="s">
        <v>165</v>
      </c>
      <c r="E192" s="44">
        <v>0</v>
      </c>
      <c r="F192" s="45">
        <v>0</v>
      </c>
      <c r="G192" s="44">
        <v>0</v>
      </c>
    </row>
    <row r="193" spans="1:7">
      <c r="A193" s="210"/>
      <c r="B193" s="81"/>
      <c r="C193" s="82"/>
      <c r="D193" s="81"/>
      <c r="E193" s="83"/>
      <c r="F193" s="84">
        <f>SUM(F190:F192)</f>
        <v>0</v>
      </c>
      <c r="G193" s="83"/>
    </row>
    <row r="194" spans="1:7">
      <c r="A194" s="208" t="s">
        <v>90</v>
      </c>
      <c r="B194" s="40" t="s">
        <v>91</v>
      </c>
      <c r="C194" s="42" t="s">
        <v>54</v>
      </c>
      <c r="D194" s="43" t="s">
        <v>163</v>
      </c>
      <c r="E194" s="44">
        <v>0</v>
      </c>
      <c r="F194" s="45">
        <v>0</v>
      </c>
      <c r="G194" s="44">
        <v>0</v>
      </c>
    </row>
    <row r="195" spans="1:7">
      <c r="A195" s="209"/>
      <c r="B195" s="40" t="s">
        <v>91</v>
      </c>
      <c r="C195" s="47"/>
      <c r="D195" s="43" t="s">
        <v>164</v>
      </c>
      <c r="E195" s="44">
        <v>0</v>
      </c>
      <c r="F195" s="45">
        <v>0</v>
      </c>
      <c r="G195" s="44">
        <v>0</v>
      </c>
    </row>
    <row r="196" spans="1:7">
      <c r="A196" s="209"/>
      <c r="B196" s="40" t="s">
        <v>91</v>
      </c>
      <c r="C196" s="48"/>
      <c r="D196" s="43" t="s">
        <v>165</v>
      </c>
      <c r="E196" s="44">
        <v>0</v>
      </c>
      <c r="F196" s="45">
        <v>0</v>
      </c>
      <c r="G196" s="44">
        <v>0</v>
      </c>
    </row>
    <row r="197" spans="1:7">
      <c r="A197" s="210"/>
      <c r="B197" s="81"/>
      <c r="C197" s="82"/>
      <c r="D197" s="81"/>
      <c r="E197" s="83"/>
      <c r="F197" s="84">
        <f>SUM(F194:F196)</f>
        <v>0</v>
      </c>
      <c r="G197" s="83"/>
    </row>
  </sheetData>
  <mergeCells count="3">
    <mergeCell ref="A1:H1"/>
    <mergeCell ref="A97:G97"/>
    <mergeCell ref="A170:G170"/>
  </mergeCells>
  <printOptions horizontalCentered="1"/>
  <pageMargins left="0.7" right="0.71" top="0.97" bottom="0.75" header="0.5" footer="0.5"/>
  <pageSetup scale="80" firstPageNumber="3" orientation="portrait" useFirstPageNumber="1" r:id="rId1"/>
  <headerFooter scaleWithDoc="0">
    <oddHeader>&amp;CAvista Corporation Decoupling Mechanism
Washington Jurisdiction
Quarterly Report for 2nd Quarter 2018</oddHeader>
    <oddFooter>&amp;Cfile: &amp;F / &amp;A&amp;RPage &amp;P of 11</oddFooter>
  </headerFooter>
  <rowBreaks count="3" manualBreakCount="3">
    <brk id="48" max="7" man="1"/>
    <brk id="95" max="7" man="1"/>
    <brk id="143"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7"/>
  <sheetViews>
    <sheetView zoomScaleNormal="100" workbookViewId="0">
      <selection activeCell="G17" sqref="G17"/>
    </sheetView>
  </sheetViews>
  <sheetFormatPr defaultColWidth="8.88671875" defaultRowHeight="14.4"/>
  <cols>
    <col min="1" max="1" width="13.88671875" style="73" customWidth="1"/>
    <col min="2" max="2" width="3.88671875" style="73" customWidth="1"/>
    <col min="3" max="3" width="14.33203125" style="73" bestFit="1" customWidth="1"/>
    <col min="4" max="4" width="13.33203125" style="73" bestFit="1" customWidth="1"/>
    <col min="5" max="5" width="12.5546875" style="73" bestFit="1" customWidth="1"/>
    <col min="6" max="6" width="12.33203125" style="73" customWidth="1"/>
    <col min="7" max="7" width="3.44140625" style="73" customWidth="1"/>
    <col min="8" max="8" width="15.6640625" style="73" bestFit="1" customWidth="1"/>
    <col min="9" max="9" width="3.88671875" style="73" customWidth="1"/>
    <col min="10" max="10" width="13.44140625" style="73" customWidth="1"/>
    <col min="11" max="11" width="3.88671875" style="73" customWidth="1"/>
    <col min="12" max="12" width="13.44140625" style="73" customWidth="1"/>
    <col min="13" max="13" width="13.88671875" style="73" customWidth="1"/>
    <col min="14" max="14" width="14.44140625" style="73" customWidth="1"/>
    <col min="15" max="15" width="13.5546875" style="73" customWidth="1"/>
    <col min="16" max="16" width="3.6640625" style="73" customWidth="1"/>
    <col min="17" max="17" width="12.77734375" style="73" customWidth="1"/>
    <col min="18" max="18" width="3.109375" style="73" customWidth="1"/>
    <col min="19" max="16384" width="8.88671875" style="73"/>
  </cols>
  <sheetData>
    <row r="1" spans="1:18" ht="28.2" customHeight="1">
      <c r="A1" s="242" t="s">
        <v>116</v>
      </c>
      <c r="B1" s="242"/>
      <c r="C1" s="242"/>
      <c r="D1" s="242"/>
      <c r="E1" s="242"/>
      <c r="F1" s="242"/>
      <c r="G1" s="242"/>
      <c r="H1" s="242"/>
      <c r="I1" s="242"/>
      <c r="J1" s="242" t="s">
        <v>116</v>
      </c>
      <c r="K1" s="242"/>
      <c r="L1" s="242"/>
      <c r="M1" s="242"/>
      <c r="N1" s="242"/>
      <c r="O1" s="242"/>
      <c r="P1" s="242"/>
      <c r="Q1" s="242"/>
      <c r="R1" s="242"/>
    </row>
    <row r="2" spans="1:18">
      <c r="C2" s="173" t="s">
        <v>123</v>
      </c>
      <c r="L2" s="173" t="s">
        <v>122</v>
      </c>
    </row>
    <row r="3" spans="1:18">
      <c r="A3" s="150"/>
      <c r="C3" s="178"/>
      <c r="H3" s="181"/>
      <c r="L3" s="178"/>
      <c r="Q3" s="181"/>
    </row>
    <row r="4" spans="1:18">
      <c r="A4" s="150"/>
      <c r="C4" s="178" t="s">
        <v>121</v>
      </c>
      <c r="D4" s="73">
        <v>419605</v>
      </c>
      <c r="E4" s="73">
        <v>431605</v>
      </c>
      <c r="F4" s="73" t="s">
        <v>118</v>
      </c>
      <c r="H4" s="181" t="s">
        <v>173</v>
      </c>
      <c r="L4" s="178" t="s">
        <v>121</v>
      </c>
      <c r="M4" s="73" t="s">
        <v>119</v>
      </c>
      <c r="N4" s="73" t="s">
        <v>120</v>
      </c>
      <c r="O4" s="73" t="s">
        <v>118</v>
      </c>
      <c r="Q4" s="181" t="str">
        <f>H4</f>
        <v>Recon Check</v>
      </c>
    </row>
    <row r="5" spans="1:18" ht="14.4" customHeight="1">
      <c r="A5" s="150">
        <v>43101</v>
      </c>
      <c r="C5" s="152">
        <f>D25+D41+D58+D76+D93+D109+D125+D141</f>
        <v>25990.95358958334</v>
      </c>
      <c r="D5" s="193">
        <v>35295.339999999997</v>
      </c>
      <c r="E5" s="193">
        <v>-9304.39</v>
      </c>
      <c r="F5" s="152">
        <f>D5+E5</f>
        <v>25990.949999999997</v>
      </c>
      <c r="H5" s="152">
        <f>C5-F5</f>
        <v>3.5895833425456658E-3</v>
      </c>
      <c r="J5" s="150">
        <f>A5</f>
        <v>43101</v>
      </c>
      <c r="L5" s="152">
        <f t="shared" ref="L5:L16" si="0">M25+M41+M58+M76+M93+M109+M125+M141</f>
        <v>11137.999667708336</v>
      </c>
      <c r="M5" s="193">
        <v>24563.68</v>
      </c>
      <c r="N5" s="193">
        <v>-13425.68</v>
      </c>
      <c r="O5" s="152">
        <f>M5+N5</f>
        <v>11138</v>
      </c>
      <c r="Q5" s="152">
        <f>L5-O5</f>
        <v>-3.3229166365345009E-4</v>
      </c>
    </row>
    <row r="6" spans="1:18" ht="14.4" customHeight="1">
      <c r="A6" s="150">
        <v>43132</v>
      </c>
      <c r="C6" s="152">
        <f t="shared" ref="C6:C16" si="1">D26+D42+D59+D77+D94+D110+D126+D142</f>
        <v>27601.348337713112</v>
      </c>
      <c r="D6" s="193">
        <v>36938.69</v>
      </c>
      <c r="E6" s="193">
        <v>-9337.34</v>
      </c>
      <c r="F6" s="152">
        <f t="shared" ref="F6:F16" si="2">D6+E6</f>
        <v>27601.350000000002</v>
      </c>
      <c r="H6" s="152">
        <f>C6-F6</f>
        <v>-1.6622868897684384E-3</v>
      </c>
      <c r="J6" s="150">
        <f t="shared" ref="J6:J16" si="3">A6</f>
        <v>43132</v>
      </c>
      <c r="L6" s="152">
        <f t="shared" si="0"/>
        <v>8731.0402165314663</v>
      </c>
      <c r="M6" s="193">
        <v>23580.02</v>
      </c>
      <c r="N6" s="193">
        <v>-13473.23</v>
      </c>
      <c r="O6" s="152">
        <f t="shared" ref="O6:O16" si="4">M6+N6</f>
        <v>10106.790000000001</v>
      </c>
      <c r="Q6" s="152">
        <f t="shared" ref="Q6:Q16" si="5">L6-O6</f>
        <v>-1375.7497834685346</v>
      </c>
    </row>
    <row r="7" spans="1:18" ht="14.4" customHeight="1">
      <c r="A7" s="150">
        <v>43160</v>
      </c>
      <c r="C7" s="152">
        <f t="shared" si="1"/>
        <v>29363.60231411751</v>
      </c>
      <c r="D7" s="193">
        <v>38734.01</v>
      </c>
      <c r="E7" s="193">
        <v>-9370.41</v>
      </c>
      <c r="F7" s="152">
        <f t="shared" si="2"/>
        <v>29363.600000000002</v>
      </c>
      <c r="H7" s="152">
        <f>C7-F7</f>
        <v>2.3141175079217646E-3</v>
      </c>
      <c r="J7" s="150">
        <f t="shared" si="3"/>
        <v>43160</v>
      </c>
      <c r="L7" s="152">
        <f t="shared" si="0"/>
        <v>4030.9763381316802</v>
      </c>
      <c r="M7" s="193">
        <v>16176.17</v>
      </c>
      <c r="N7" s="193">
        <v>-13520.94</v>
      </c>
      <c r="O7" s="152">
        <f t="shared" si="4"/>
        <v>2655.2299999999996</v>
      </c>
      <c r="Q7" s="152">
        <f t="shared" si="5"/>
        <v>1375.7463381316807</v>
      </c>
    </row>
    <row r="8" spans="1:18" ht="14.4" customHeight="1">
      <c r="A8" s="150">
        <v>43191</v>
      </c>
      <c r="C8" s="152">
        <f>D28+D44+D61+D79+D96+D112+D128+D144</f>
        <v>31546.753388799269</v>
      </c>
      <c r="D8" s="193">
        <v>41437.129999999997</v>
      </c>
      <c r="E8" s="193">
        <v>-9890.3700000000008</v>
      </c>
      <c r="F8" s="152">
        <f t="shared" si="2"/>
        <v>31546.759999999995</v>
      </c>
      <c r="H8" s="152">
        <f>C8-F8</f>
        <v>-6.611200726183597E-3</v>
      </c>
      <c r="J8" s="150">
        <f t="shared" si="3"/>
        <v>43191</v>
      </c>
      <c r="L8" s="152">
        <f t="shared" si="0"/>
        <v>-154.10421394667082</v>
      </c>
      <c r="M8" s="193">
        <v>14117.11</v>
      </c>
      <c r="N8" s="193">
        <v>-14271.22</v>
      </c>
      <c r="O8" s="152">
        <f t="shared" si="4"/>
        <v>-154.10999999999876</v>
      </c>
      <c r="Q8" s="152">
        <f t="shared" si="5"/>
        <v>5.7860533279381343E-3</v>
      </c>
    </row>
    <row r="9" spans="1:18" ht="14.4" customHeight="1">
      <c r="A9" s="150">
        <v>43221</v>
      </c>
      <c r="C9" s="152">
        <f t="shared" si="1"/>
        <v>35012.510592297534</v>
      </c>
      <c r="D9" s="193">
        <v>44939.72</v>
      </c>
      <c r="E9" s="193">
        <v>-9927.2099999999991</v>
      </c>
      <c r="F9" s="152">
        <f t="shared" si="2"/>
        <v>35012.51</v>
      </c>
      <c r="H9" s="152">
        <f t="shared" ref="H9" si="6">C9-F9</f>
        <v>5.9229753242107108E-4</v>
      </c>
      <c r="J9" s="150">
        <f t="shared" si="3"/>
        <v>43221</v>
      </c>
      <c r="L9" s="152">
        <f t="shared" si="0"/>
        <v>88.694995356378968</v>
      </c>
      <c r="M9" s="193">
        <v>14413.08</v>
      </c>
      <c r="N9" s="193">
        <v>-14324.38</v>
      </c>
      <c r="O9" s="152">
        <f t="shared" si="4"/>
        <v>88.700000000000728</v>
      </c>
      <c r="Q9" s="152">
        <f t="shared" si="5"/>
        <v>-5.0046436217598966E-3</v>
      </c>
    </row>
    <row r="10" spans="1:18" ht="14.4" customHeight="1">
      <c r="A10" s="150">
        <v>43252</v>
      </c>
      <c r="C10" s="152">
        <f>D30+D46+D63+D81+D98+D114+D130+D146</f>
        <v>38911.252510128848</v>
      </c>
      <c r="D10" s="193">
        <v>48875.44</v>
      </c>
      <c r="E10" s="199">
        <f>-39721.9+29757.71</f>
        <v>-9964.1900000000023</v>
      </c>
      <c r="F10" s="152">
        <f t="shared" si="2"/>
        <v>38911.25</v>
      </c>
      <c r="H10" s="152">
        <f>C10-F10</f>
        <v>2.510128848371096E-3</v>
      </c>
      <c r="J10" s="150">
        <f t="shared" si="3"/>
        <v>43252</v>
      </c>
      <c r="L10" s="152">
        <f>M30+M46+M63+M81+M98+M114+M130+M146</f>
        <v>2043.1370284640791</v>
      </c>
      <c r="M10" s="193">
        <v>16420.88</v>
      </c>
      <c r="N10" s="199">
        <f>-22009.56+7631.83</f>
        <v>-14377.730000000001</v>
      </c>
      <c r="O10" s="152">
        <f>M10+N10</f>
        <v>2043.1499999999996</v>
      </c>
      <c r="Q10" s="152">
        <f>L10-O10</f>
        <v>-1.297153592054201E-2</v>
      </c>
    </row>
    <row r="11" spans="1:18" ht="14.4" hidden="1" customHeight="1">
      <c r="A11" s="150">
        <v>43282</v>
      </c>
      <c r="C11" s="152">
        <f>D31+D47+D64+D82+D99+D115+D131+D147</f>
        <v>0</v>
      </c>
      <c r="D11" s="193"/>
      <c r="E11" s="193"/>
      <c r="F11" s="152">
        <f t="shared" si="2"/>
        <v>0</v>
      </c>
      <c r="H11" s="152">
        <f>C11-F11</f>
        <v>0</v>
      </c>
      <c r="J11" s="150">
        <f t="shared" si="3"/>
        <v>43282</v>
      </c>
      <c r="L11" s="152">
        <f>M31+M47+M64+M82+M99+M115+M131+M147</f>
        <v>0</v>
      </c>
      <c r="M11" s="193"/>
      <c r="N11" s="193"/>
      <c r="O11" s="152">
        <f t="shared" si="4"/>
        <v>0</v>
      </c>
      <c r="Q11" s="152">
        <f>L11-O11</f>
        <v>0</v>
      </c>
    </row>
    <row r="12" spans="1:18" ht="14.4" hidden="1" customHeight="1">
      <c r="A12" s="150">
        <v>43313</v>
      </c>
      <c r="C12" s="152">
        <f>D32+D48+D65+D83+D100+D116+D132+D148</f>
        <v>0</v>
      </c>
      <c r="D12" s="193"/>
      <c r="E12" s="193"/>
      <c r="F12" s="152">
        <f>D12+E12</f>
        <v>0</v>
      </c>
      <c r="H12" s="156">
        <f>C12-F12</f>
        <v>0</v>
      </c>
      <c r="J12" s="150">
        <f t="shared" si="3"/>
        <v>43313</v>
      </c>
      <c r="L12" s="152">
        <f>M32+M48+M65+M83+M100+M116+M132+M148</f>
        <v>0</v>
      </c>
      <c r="M12" s="193"/>
      <c r="N12" s="193"/>
      <c r="O12" s="152">
        <f>M12+N12</f>
        <v>0</v>
      </c>
      <c r="Q12" s="152">
        <f>L12-O12</f>
        <v>0</v>
      </c>
    </row>
    <row r="13" spans="1:18" ht="14.4" hidden="1" customHeight="1">
      <c r="A13" s="150">
        <v>43344</v>
      </c>
      <c r="C13" s="152">
        <f>D33+D49+D66+D84+D101+D117+D133+D149</f>
        <v>0</v>
      </c>
      <c r="D13" s="193"/>
      <c r="E13" s="193"/>
      <c r="F13" s="152">
        <f>D13+E13</f>
        <v>0</v>
      </c>
      <c r="H13" s="156">
        <f>C13-F13</f>
        <v>0</v>
      </c>
      <c r="J13" s="150">
        <f t="shared" si="3"/>
        <v>43344</v>
      </c>
      <c r="L13" s="152">
        <f t="shared" si="0"/>
        <v>0</v>
      </c>
      <c r="M13" s="193"/>
      <c r="N13" s="193"/>
      <c r="O13" s="152">
        <f t="shared" si="4"/>
        <v>0</v>
      </c>
      <c r="Q13" s="152">
        <f t="shared" si="5"/>
        <v>0</v>
      </c>
    </row>
    <row r="14" spans="1:18" hidden="1">
      <c r="A14" s="150">
        <v>43374</v>
      </c>
      <c r="C14" s="152">
        <f t="shared" si="1"/>
        <v>0</v>
      </c>
      <c r="D14" s="193"/>
      <c r="E14" s="193"/>
      <c r="F14" s="152">
        <f>D14+E14</f>
        <v>0</v>
      </c>
      <c r="H14" s="156">
        <f>C14-F14</f>
        <v>0</v>
      </c>
      <c r="J14" s="150">
        <f t="shared" si="3"/>
        <v>43374</v>
      </c>
      <c r="L14" s="152">
        <f>M34+M50+M67+M85+M102+M118+M134+M150</f>
        <v>0</v>
      </c>
      <c r="M14" s="193"/>
      <c r="N14" s="193"/>
      <c r="O14" s="152">
        <f t="shared" si="4"/>
        <v>0</v>
      </c>
      <c r="Q14" s="152">
        <f>L14-O14</f>
        <v>0</v>
      </c>
    </row>
    <row r="15" spans="1:18" hidden="1">
      <c r="A15" s="150">
        <v>43405</v>
      </c>
      <c r="C15" s="152">
        <f t="shared" si="1"/>
        <v>0</v>
      </c>
      <c r="D15" s="193"/>
      <c r="E15" s="193"/>
      <c r="F15" s="152">
        <f>D15+E15</f>
        <v>0</v>
      </c>
      <c r="H15" s="156">
        <f t="shared" ref="H15:H16" si="7">C15-F15</f>
        <v>0</v>
      </c>
      <c r="J15" s="150">
        <f t="shared" si="3"/>
        <v>43405</v>
      </c>
      <c r="L15" s="152">
        <f>M35+M51+M68+M86+M103+M119+M135+M151</f>
        <v>0</v>
      </c>
      <c r="M15" s="193"/>
      <c r="N15" s="193"/>
      <c r="O15" s="152">
        <f>M15+N15</f>
        <v>0</v>
      </c>
      <c r="Q15" s="152">
        <f>L15-O15</f>
        <v>0</v>
      </c>
    </row>
    <row r="16" spans="1:18" hidden="1">
      <c r="A16" s="150">
        <v>43435</v>
      </c>
      <c r="C16" s="152">
        <f t="shared" si="1"/>
        <v>0</v>
      </c>
      <c r="D16" s="193"/>
      <c r="E16" s="193"/>
      <c r="F16" s="152">
        <f t="shared" si="2"/>
        <v>0</v>
      </c>
      <c r="H16" s="156">
        <f t="shared" si="7"/>
        <v>0</v>
      </c>
      <c r="J16" s="150">
        <f t="shared" si="3"/>
        <v>43435</v>
      </c>
      <c r="L16" s="152">
        <f t="shared" si="0"/>
        <v>0</v>
      </c>
      <c r="M16" s="193"/>
      <c r="N16" s="193"/>
      <c r="O16" s="152">
        <f t="shared" si="4"/>
        <v>0</v>
      </c>
      <c r="Q16" s="152">
        <f t="shared" si="5"/>
        <v>0</v>
      </c>
    </row>
    <row r="17" spans="1:17" ht="14.4" customHeight="1">
      <c r="A17" s="182" t="s">
        <v>117</v>
      </c>
      <c r="B17" s="172"/>
      <c r="C17" s="183">
        <f>SUM(C5:C7)</f>
        <v>82955.904241413955</v>
      </c>
      <c r="D17" s="183">
        <f t="shared" ref="D17:F17" si="8">SUM(D5:D7)</f>
        <v>110968.04000000001</v>
      </c>
      <c r="E17" s="183">
        <f t="shared" si="8"/>
        <v>-28012.14</v>
      </c>
      <c r="F17" s="183">
        <f t="shared" si="8"/>
        <v>82955.900000000009</v>
      </c>
      <c r="G17" s="172"/>
      <c r="H17" s="183">
        <f>C17-F17</f>
        <v>4.2414139461470768E-3</v>
      </c>
      <c r="I17" s="172"/>
      <c r="J17" s="182" t="s">
        <v>117</v>
      </c>
      <c r="K17" s="172"/>
      <c r="L17" s="183">
        <f>SUM(L5:L7)</f>
        <v>23900.016222371483</v>
      </c>
      <c r="M17" s="183">
        <f t="shared" ref="M17:O17" si="9">SUM(M5:M7)</f>
        <v>64319.869999999995</v>
      </c>
      <c r="N17" s="183">
        <f t="shared" si="9"/>
        <v>-40419.85</v>
      </c>
      <c r="O17" s="183">
        <f t="shared" si="9"/>
        <v>23900.02</v>
      </c>
      <c r="P17" s="172"/>
      <c r="Q17" s="183">
        <f>L17-O17</f>
        <v>-3.7776285171275958E-3</v>
      </c>
    </row>
    <row r="18" spans="1:17" ht="14.4" customHeight="1">
      <c r="A18" s="182" t="s">
        <v>124</v>
      </c>
      <c r="B18" s="172"/>
      <c r="C18" s="183">
        <f>SUM(C8:C10)</f>
        <v>105470.51649122564</v>
      </c>
      <c r="D18" s="183">
        <f t="shared" ref="D18:F18" si="10">SUM(D8:D10)</f>
        <v>135252.29</v>
      </c>
      <c r="E18" s="183">
        <f t="shared" si="10"/>
        <v>-29781.770000000004</v>
      </c>
      <c r="F18" s="183">
        <f t="shared" si="10"/>
        <v>105470.51999999999</v>
      </c>
      <c r="G18" s="172"/>
      <c r="H18" s="183">
        <f>SUM(H8:H10)</f>
        <v>-3.50877434539143E-3</v>
      </c>
      <c r="I18" s="172"/>
      <c r="J18" s="182" t="s">
        <v>124</v>
      </c>
      <c r="K18" s="172"/>
      <c r="L18" s="183">
        <f>SUM(L8:L10)</f>
        <v>1977.7278098737872</v>
      </c>
      <c r="M18" s="183">
        <f t="shared" ref="M18:O18" si="11">SUM(M8:M10)</f>
        <v>44951.070000000007</v>
      </c>
      <c r="N18" s="183">
        <f t="shared" si="11"/>
        <v>-42973.33</v>
      </c>
      <c r="O18" s="183">
        <f t="shared" si="11"/>
        <v>1977.7400000000016</v>
      </c>
      <c r="P18" s="172"/>
      <c r="Q18" s="183">
        <f>L18-O18</f>
        <v>-1.2190126214363772E-2</v>
      </c>
    </row>
    <row r="19" spans="1:17" ht="14.4" hidden="1" customHeight="1">
      <c r="A19" s="182" t="s">
        <v>125</v>
      </c>
      <c r="B19" s="172"/>
      <c r="C19" s="183">
        <f>SUM(C11:C13)</f>
        <v>0</v>
      </c>
      <c r="D19" s="183">
        <f t="shared" ref="D19:F19" si="12">SUM(D11:D13)</f>
        <v>0</v>
      </c>
      <c r="E19" s="183">
        <f t="shared" si="12"/>
        <v>0</v>
      </c>
      <c r="F19" s="183">
        <f t="shared" si="12"/>
        <v>0</v>
      </c>
      <c r="G19" s="172"/>
      <c r="H19" s="183">
        <f>C19-F19</f>
        <v>0</v>
      </c>
      <c r="I19" s="172"/>
      <c r="J19" s="182" t="s">
        <v>126</v>
      </c>
      <c r="K19" s="172"/>
      <c r="L19" s="183">
        <f>SUM(L11:L13)</f>
        <v>0</v>
      </c>
      <c r="M19" s="183">
        <f>SUM(M11:M13)</f>
        <v>0</v>
      </c>
      <c r="N19" s="183">
        <f t="shared" ref="N19:O19" si="13">SUM(N11:N13)</f>
        <v>0</v>
      </c>
      <c r="O19" s="183">
        <f t="shared" si="13"/>
        <v>0</v>
      </c>
      <c r="P19" s="172"/>
      <c r="Q19" s="183">
        <f>L19-O19</f>
        <v>0</v>
      </c>
    </row>
    <row r="20" spans="1:17" s="172" customFormat="1" hidden="1">
      <c r="A20" s="182" t="s">
        <v>128</v>
      </c>
      <c r="C20" s="183">
        <f>SUM(C14:C16)</f>
        <v>0</v>
      </c>
      <c r="D20" s="183">
        <f t="shared" ref="D20:F20" si="14">SUM(D14:D16)</f>
        <v>0</v>
      </c>
      <c r="E20" s="183">
        <f t="shared" si="14"/>
        <v>0</v>
      </c>
      <c r="F20" s="183">
        <f t="shared" si="14"/>
        <v>0</v>
      </c>
      <c r="H20" s="183">
        <f>C20-F20</f>
        <v>0</v>
      </c>
      <c r="J20" s="182" t="s">
        <v>128</v>
      </c>
      <c r="L20" s="183">
        <f>SUM(L14:L16)</f>
        <v>0</v>
      </c>
      <c r="M20" s="183">
        <f t="shared" ref="M20:O20" si="15">SUM(M14:M16)</f>
        <v>0</v>
      </c>
      <c r="N20" s="183">
        <f t="shared" si="15"/>
        <v>0</v>
      </c>
      <c r="O20" s="183">
        <f t="shared" si="15"/>
        <v>0</v>
      </c>
      <c r="Q20" s="183">
        <f>L20-O20</f>
        <v>0</v>
      </c>
    </row>
    <row r="22" spans="1:17">
      <c r="A22" s="73">
        <v>186328</v>
      </c>
      <c r="B22" s="73" t="s">
        <v>53</v>
      </c>
      <c r="C22" s="178" t="s">
        <v>108</v>
      </c>
      <c r="D22" s="178" t="s">
        <v>109</v>
      </c>
      <c r="E22" s="178"/>
      <c r="F22" s="178" t="s">
        <v>111</v>
      </c>
      <c r="H22" s="178" t="s">
        <v>109</v>
      </c>
      <c r="J22" s="73">
        <v>186328</v>
      </c>
      <c r="K22" s="73" t="s">
        <v>54</v>
      </c>
      <c r="L22" s="178" t="s">
        <v>108</v>
      </c>
      <c r="M22" s="178" t="s">
        <v>109</v>
      </c>
      <c r="N22" s="178"/>
      <c r="O22" s="178" t="s">
        <v>111</v>
      </c>
      <c r="Q22" s="178" t="s">
        <v>109</v>
      </c>
    </row>
    <row r="23" spans="1:17">
      <c r="C23" s="178" t="s">
        <v>112</v>
      </c>
      <c r="D23" s="178" t="s">
        <v>113</v>
      </c>
      <c r="E23" s="178" t="s">
        <v>114</v>
      </c>
      <c r="F23" s="178" t="s">
        <v>110</v>
      </c>
      <c r="H23" s="178" t="s">
        <v>115</v>
      </c>
      <c r="L23" s="178" t="s">
        <v>112</v>
      </c>
      <c r="M23" s="178" t="s">
        <v>113</v>
      </c>
      <c r="N23" s="178" t="s">
        <v>114</v>
      </c>
      <c r="O23" s="178" t="s">
        <v>110</v>
      </c>
      <c r="Q23" s="178" t="s">
        <v>115</v>
      </c>
    </row>
    <row r="24" spans="1:17" ht="14.4" customHeight="1">
      <c r="A24" s="150">
        <v>43070</v>
      </c>
      <c r="B24" s="151"/>
      <c r="C24" s="151"/>
      <c r="F24" s="152">
        <v>0</v>
      </c>
      <c r="J24" s="150">
        <f>A24</f>
        <v>43070</v>
      </c>
      <c r="K24" s="151"/>
      <c r="L24" s="151"/>
      <c r="O24" s="152">
        <v>0</v>
      </c>
    </row>
    <row r="25" spans="1:17" ht="14.4" customHeight="1">
      <c r="A25" s="150">
        <f>A5</f>
        <v>43101</v>
      </c>
      <c r="C25" s="193">
        <v>340574.75</v>
      </c>
      <c r="D25" s="152">
        <f t="shared" ref="D25:D35" si="16">(F24+(C25+E25)/2)*H25/12</f>
        <v>603.10111979166675</v>
      </c>
      <c r="F25" s="152">
        <f>F24+C25+D25+E25</f>
        <v>341177.85111979168</v>
      </c>
      <c r="H25" s="196">
        <v>4.2500000000000003E-2</v>
      </c>
      <c r="J25" s="150">
        <f t="shared" ref="J25:J36" si="17">A25</f>
        <v>43101</v>
      </c>
      <c r="L25" s="193">
        <v>542197.09</v>
      </c>
      <c r="M25" s="152">
        <f t="shared" ref="M25:M36" si="18">(O24+(L25+N25)/2)*Q25/12</f>
        <v>960.14068020833338</v>
      </c>
      <c r="O25" s="152">
        <f t="shared" ref="O25:O36" si="19">O24+L25+M25+N25</f>
        <v>543157.2306802083</v>
      </c>
      <c r="Q25" s="153">
        <f>H25</f>
        <v>4.2500000000000003E-2</v>
      </c>
    </row>
    <row r="26" spans="1:17" ht="14.4" customHeight="1">
      <c r="A26" s="150">
        <f t="shared" ref="A26:A36" si="20">A6</f>
        <v>43132</v>
      </c>
      <c r="C26" s="193">
        <v>1733954.66</v>
      </c>
      <c r="D26" s="152">
        <f t="shared" si="16"/>
        <v>4278.882933132596</v>
      </c>
      <c r="F26" s="152">
        <f t="shared" ref="F26:F36" si="21">F25+C26+D26+E26</f>
        <v>2079411.3940529241</v>
      </c>
      <c r="H26" s="153">
        <f>H25</f>
        <v>4.2500000000000003E-2</v>
      </c>
      <c r="J26" s="150">
        <f t="shared" si="17"/>
        <v>43132</v>
      </c>
      <c r="L26" s="193">
        <v>284585.75</v>
      </c>
      <c r="M26" s="152">
        <f t="shared" si="18"/>
        <v>2427.6357909507378</v>
      </c>
      <c r="O26" s="152">
        <f t="shared" si="19"/>
        <v>830170.61647115904</v>
      </c>
      <c r="Q26" s="153">
        <f t="shared" ref="Q26:Q36" si="22">H26</f>
        <v>4.2500000000000003E-2</v>
      </c>
    </row>
    <row r="27" spans="1:17" ht="14.4" customHeight="1">
      <c r="A27" s="150">
        <f t="shared" si="20"/>
        <v>43160</v>
      </c>
      <c r="C27" s="193">
        <v>636727.1</v>
      </c>
      <c r="D27" s="152">
        <f t="shared" si="16"/>
        <v>8492.1195935207725</v>
      </c>
      <c r="F27" s="152">
        <f>F26+C27+D27+E27</f>
        <v>2724630.6136464449</v>
      </c>
      <c r="H27" s="153">
        <f t="shared" ref="H27:H36" si="23">H26</f>
        <v>4.2500000000000003E-2</v>
      </c>
      <c r="J27" s="150">
        <f t="shared" si="17"/>
        <v>43160</v>
      </c>
      <c r="L27" s="193">
        <v>-767263.43</v>
      </c>
      <c r="M27" s="152">
        <f t="shared" si="18"/>
        <v>1581.491942710355</v>
      </c>
      <c r="O27" s="152">
        <f t="shared" si="19"/>
        <v>64488.67841386934</v>
      </c>
      <c r="Q27" s="153">
        <f t="shared" si="22"/>
        <v>4.2500000000000003E-2</v>
      </c>
    </row>
    <row r="28" spans="1:17" ht="14.4" customHeight="1">
      <c r="A28" s="150">
        <f t="shared" si="20"/>
        <v>43191</v>
      </c>
      <c r="C28" s="193">
        <v>807146.05</v>
      </c>
      <c r="D28" s="152">
        <f>(F27+(C28+E28)/2)*H28/12</f>
        <v>11652.558553958006</v>
      </c>
      <c r="F28" s="152">
        <f>F27+C28+D28+E28</f>
        <v>3543429.2222004025</v>
      </c>
      <c r="H28" s="196">
        <v>4.4699999999999997E-2</v>
      </c>
      <c r="J28" s="150">
        <f t="shared" si="17"/>
        <v>43191</v>
      </c>
      <c r="L28" s="193">
        <v>-4783.87</v>
      </c>
      <c r="M28" s="152">
        <f t="shared" si="18"/>
        <v>231.31036921666328</v>
      </c>
      <c r="O28" s="152">
        <f t="shared" si="19"/>
        <v>59936.118783086</v>
      </c>
      <c r="Q28" s="153">
        <f t="shared" si="22"/>
        <v>4.4699999999999997E-2</v>
      </c>
    </row>
    <row r="29" spans="1:17" ht="14.4" customHeight="1">
      <c r="A29" s="150">
        <f t="shared" si="20"/>
        <v>43221</v>
      </c>
      <c r="C29" s="193">
        <v>1141047.0900000001</v>
      </c>
      <c r="D29" s="152">
        <f t="shared" si="16"/>
        <v>15324.474057821499</v>
      </c>
      <c r="F29" s="152">
        <f t="shared" si="21"/>
        <v>4699800.7862582244</v>
      </c>
      <c r="H29" s="153">
        <f t="shared" si="23"/>
        <v>4.4699999999999997E-2</v>
      </c>
      <c r="J29" s="150">
        <f t="shared" si="17"/>
        <v>43221</v>
      </c>
      <c r="L29" s="193">
        <v>886883.13</v>
      </c>
      <c r="M29" s="152">
        <f t="shared" si="18"/>
        <v>1875.0818720919951</v>
      </c>
      <c r="O29" s="152">
        <f t="shared" si="19"/>
        <v>948694.33065517794</v>
      </c>
      <c r="Q29" s="153">
        <f t="shared" si="22"/>
        <v>4.4699999999999997E-2</v>
      </c>
    </row>
    <row r="30" spans="1:17" ht="14.4" customHeight="1">
      <c r="A30" s="150">
        <f t="shared" si="20"/>
        <v>43252</v>
      </c>
      <c r="C30" s="193">
        <v>586951.22</v>
      </c>
      <c r="D30" s="152">
        <f>(F29+(C30+E30)/2)*H30/12</f>
        <v>18599.954576061886</v>
      </c>
      <c r="F30" s="152">
        <f t="shared" si="21"/>
        <v>5305351.9608342862</v>
      </c>
      <c r="H30" s="153">
        <f t="shared" si="23"/>
        <v>4.4699999999999997E-2</v>
      </c>
      <c r="J30" s="150">
        <f t="shared" si="17"/>
        <v>43252</v>
      </c>
      <c r="L30" s="193">
        <v>389954.03</v>
      </c>
      <c r="M30" s="152">
        <f t="shared" si="18"/>
        <v>4260.1757625655373</v>
      </c>
      <c r="O30" s="152">
        <f t="shared" si="19"/>
        <v>1342908.5364177434</v>
      </c>
      <c r="Q30" s="153">
        <f t="shared" si="22"/>
        <v>4.4699999999999997E-2</v>
      </c>
    </row>
    <row r="31" spans="1:17" ht="14.4" hidden="1" customHeight="1">
      <c r="A31" s="150">
        <f t="shared" si="20"/>
        <v>43282</v>
      </c>
      <c r="C31" s="193"/>
      <c r="D31" s="152">
        <f>(F30+(C31+E31)/2)*H31/12</f>
        <v>0</v>
      </c>
      <c r="F31" s="152">
        <f t="shared" si="21"/>
        <v>5305351.9608342862</v>
      </c>
      <c r="H31" s="196">
        <v>0</v>
      </c>
      <c r="J31" s="150">
        <f t="shared" si="17"/>
        <v>43282</v>
      </c>
      <c r="L31" s="193"/>
      <c r="M31" s="152">
        <f t="shared" si="18"/>
        <v>0</v>
      </c>
      <c r="O31" s="152">
        <f t="shared" si="19"/>
        <v>1342908.5364177434</v>
      </c>
      <c r="Q31" s="153">
        <f t="shared" si="22"/>
        <v>0</v>
      </c>
    </row>
    <row r="32" spans="1:17" ht="14.4" hidden="1" customHeight="1">
      <c r="A32" s="150">
        <f t="shared" si="20"/>
        <v>43313</v>
      </c>
      <c r="C32" s="193"/>
      <c r="D32" s="152">
        <f>(F31+(C32+E32)/2)*H32/12</f>
        <v>0</v>
      </c>
      <c r="F32" s="152">
        <f t="shared" si="21"/>
        <v>5305351.9608342862</v>
      </c>
      <c r="H32" s="153">
        <f t="shared" si="23"/>
        <v>0</v>
      </c>
      <c r="J32" s="150">
        <f t="shared" si="17"/>
        <v>43313</v>
      </c>
      <c r="L32" s="193"/>
      <c r="M32" s="152">
        <f t="shared" si="18"/>
        <v>0</v>
      </c>
      <c r="O32" s="152">
        <f t="shared" si="19"/>
        <v>1342908.5364177434</v>
      </c>
      <c r="Q32" s="153">
        <f t="shared" si="22"/>
        <v>0</v>
      </c>
    </row>
    <row r="33" spans="1:17" hidden="1">
      <c r="A33" s="150">
        <f t="shared" si="20"/>
        <v>43344</v>
      </c>
      <c r="C33" s="193"/>
      <c r="D33" s="152">
        <f>(F32+(C33+E33)/2)*H33/12</f>
        <v>0</v>
      </c>
      <c r="F33" s="152">
        <f t="shared" si="21"/>
        <v>5305351.9608342862</v>
      </c>
      <c r="H33" s="153">
        <f t="shared" si="23"/>
        <v>0</v>
      </c>
      <c r="J33" s="150">
        <f t="shared" si="17"/>
        <v>43344</v>
      </c>
      <c r="L33" s="193"/>
      <c r="M33" s="152">
        <f t="shared" si="18"/>
        <v>0</v>
      </c>
      <c r="O33" s="152">
        <f t="shared" si="19"/>
        <v>1342908.5364177434</v>
      </c>
      <c r="Q33" s="153">
        <f t="shared" si="22"/>
        <v>0</v>
      </c>
    </row>
    <row r="34" spans="1:17" hidden="1">
      <c r="A34" s="150">
        <f t="shared" si="20"/>
        <v>43374</v>
      </c>
      <c r="C34" s="193"/>
      <c r="D34" s="152">
        <f t="shared" si="16"/>
        <v>0</v>
      </c>
      <c r="F34" s="152">
        <f t="shared" si="21"/>
        <v>5305351.9608342862</v>
      </c>
      <c r="H34" s="196">
        <v>0</v>
      </c>
      <c r="J34" s="150">
        <f t="shared" si="17"/>
        <v>43374</v>
      </c>
      <c r="L34" s="193"/>
      <c r="M34" s="152">
        <f t="shared" si="18"/>
        <v>0</v>
      </c>
      <c r="O34" s="152">
        <f t="shared" si="19"/>
        <v>1342908.5364177434</v>
      </c>
      <c r="Q34" s="153">
        <f t="shared" si="22"/>
        <v>0</v>
      </c>
    </row>
    <row r="35" spans="1:17" hidden="1">
      <c r="A35" s="150">
        <f t="shared" si="20"/>
        <v>43405</v>
      </c>
      <c r="C35" s="193"/>
      <c r="D35" s="152">
        <f t="shared" si="16"/>
        <v>0</v>
      </c>
      <c r="E35" s="22"/>
      <c r="F35" s="152">
        <f t="shared" si="21"/>
        <v>5305351.9608342862</v>
      </c>
      <c r="H35" s="153">
        <f t="shared" si="23"/>
        <v>0</v>
      </c>
      <c r="J35" s="150">
        <f t="shared" si="17"/>
        <v>43405</v>
      </c>
      <c r="L35" s="193"/>
      <c r="M35" s="152">
        <f t="shared" si="18"/>
        <v>0</v>
      </c>
      <c r="N35" s="22"/>
      <c r="O35" s="152">
        <f t="shared" si="19"/>
        <v>1342908.5364177434</v>
      </c>
      <c r="Q35" s="153">
        <f t="shared" si="22"/>
        <v>0</v>
      </c>
    </row>
    <row r="36" spans="1:17" hidden="1">
      <c r="A36" s="150">
        <f t="shared" si="20"/>
        <v>43435</v>
      </c>
      <c r="B36" s="151"/>
      <c r="C36" s="193"/>
      <c r="D36" s="152">
        <f>(F35+(C36+E36)/2)*H36/12</f>
        <v>0</v>
      </c>
      <c r="E36" s="22"/>
      <c r="F36" s="152">
        <f t="shared" si="21"/>
        <v>5305351.9608342862</v>
      </c>
      <c r="H36" s="153">
        <f t="shared" si="23"/>
        <v>0</v>
      </c>
      <c r="J36" s="150">
        <f t="shared" si="17"/>
        <v>43435</v>
      </c>
      <c r="K36" s="151"/>
      <c r="L36" s="193"/>
      <c r="M36" s="152">
        <f t="shared" si="18"/>
        <v>0</v>
      </c>
      <c r="N36" s="22"/>
      <c r="O36" s="152">
        <f t="shared" si="19"/>
        <v>1342908.5364177434</v>
      </c>
      <c r="Q36" s="153">
        <f t="shared" si="22"/>
        <v>0</v>
      </c>
    </row>
    <row r="37" spans="1:17">
      <c r="F37" s="152"/>
      <c r="O37" s="152"/>
    </row>
    <row r="38" spans="1:17">
      <c r="A38" s="73">
        <v>186338</v>
      </c>
      <c r="B38" s="73" t="s">
        <v>53</v>
      </c>
      <c r="C38" s="178" t="s">
        <v>108</v>
      </c>
      <c r="D38" s="178" t="s">
        <v>109</v>
      </c>
      <c r="E38" s="178"/>
      <c r="F38" s="152" t="s">
        <v>111</v>
      </c>
      <c r="H38" s="178" t="s">
        <v>109</v>
      </c>
      <c r="J38" s="73">
        <v>186338</v>
      </c>
      <c r="K38" s="73" t="s">
        <v>54</v>
      </c>
      <c r="L38" s="178" t="s">
        <v>108</v>
      </c>
      <c r="M38" s="178" t="s">
        <v>109</v>
      </c>
      <c r="N38" s="178"/>
      <c r="O38" s="152" t="s">
        <v>111</v>
      </c>
      <c r="Q38" s="178" t="s">
        <v>109</v>
      </c>
    </row>
    <row r="39" spans="1:17">
      <c r="C39" s="178" t="s">
        <v>112</v>
      </c>
      <c r="D39" s="178" t="s">
        <v>113</v>
      </c>
      <c r="E39" s="178" t="s">
        <v>114</v>
      </c>
      <c r="F39" s="152" t="s">
        <v>110</v>
      </c>
      <c r="H39" s="178" t="s">
        <v>115</v>
      </c>
      <c r="L39" s="178" t="s">
        <v>112</v>
      </c>
      <c r="M39" s="178" t="s">
        <v>113</v>
      </c>
      <c r="N39" s="178" t="s">
        <v>114</v>
      </c>
      <c r="O39" s="152" t="s">
        <v>110</v>
      </c>
      <c r="Q39" s="178" t="s">
        <v>115</v>
      </c>
    </row>
    <row r="40" spans="1:17" ht="14.4" customHeight="1">
      <c r="A40" s="150">
        <f>$A$24</f>
        <v>43070</v>
      </c>
      <c r="B40" s="151"/>
      <c r="C40" s="151"/>
      <c r="F40" s="152">
        <v>0</v>
      </c>
      <c r="J40" s="150">
        <f>A40</f>
        <v>43070</v>
      </c>
      <c r="K40" s="151"/>
      <c r="L40" s="151"/>
      <c r="O40" s="152">
        <v>0</v>
      </c>
    </row>
    <row r="41" spans="1:17" ht="14.4" customHeight="1">
      <c r="A41" s="150">
        <f>A40+31</f>
        <v>43101</v>
      </c>
      <c r="C41" s="193">
        <v>577780.56999999995</v>
      </c>
      <c r="D41" s="152">
        <f t="shared" ref="D41:D52" si="24">(F40+(C41+E41)/2)*H41/12</f>
        <v>1023.1530927083332</v>
      </c>
      <c r="F41" s="152">
        <f t="shared" ref="F41:F52" si="25">F40+C41+D41+E41</f>
        <v>578803.72309270827</v>
      </c>
      <c r="H41" s="153">
        <f>H25</f>
        <v>4.2500000000000003E-2</v>
      </c>
      <c r="J41" s="150">
        <f t="shared" ref="J41:J52" si="26">A41</f>
        <v>43101</v>
      </c>
      <c r="L41" s="193">
        <v>434401.73</v>
      </c>
      <c r="M41" s="152">
        <f t="shared" ref="M41:M52" si="27">(O40+(L41+N41)/2)*Q41/12</f>
        <v>769.25306354166662</v>
      </c>
      <c r="O41" s="152">
        <f t="shared" ref="O41:O52" si="28">O40+L41+M41+N41</f>
        <v>435170.98306354164</v>
      </c>
      <c r="Q41" s="153">
        <f t="shared" ref="Q41:Q52" si="29">H41</f>
        <v>4.2500000000000003E-2</v>
      </c>
    </row>
    <row r="42" spans="1:17" ht="14.4" customHeight="1">
      <c r="A42" s="150">
        <f t="shared" ref="A42:A52" si="30">A41+31</f>
        <v>43132</v>
      </c>
      <c r="C42" s="193">
        <v>417892.39</v>
      </c>
      <c r="D42" s="152">
        <f t="shared" si="24"/>
        <v>2789.9476265783419</v>
      </c>
      <c r="F42" s="152">
        <f t="shared" si="25"/>
        <v>999486.06071928667</v>
      </c>
      <c r="H42" s="153">
        <f t="shared" ref="H42:H52" si="31">H26</f>
        <v>4.2500000000000003E-2</v>
      </c>
      <c r="J42" s="150">
        <f t="shared" si="26"/>
        <v>43132</v>
      </c>
      <c r="L42" s="193">
        <v>-49990.09</v>
      </c>
      <c r="M42" s="152">
        <f t="shared" si="27"/>
        <v>1452.7064473083767</v>
      </c>
      <c r="O42" s="152">
        <f t="shared" si="28"/>
        <v>386633.59951084998</v>
      </c>
      <c r="Q42" s="153">
        <f t="shared" si="29"/>
        <v>4.2500000000000003E-2</v>
      </c>
    </row>
    <row r="43" spans="1:17" ht="14.4" customHeight="1">
      <c r="A43" s="150">
        <f t="shared" si="30"/>
        <v>43163</v>
      </c>
      <c r="C43" s="193">
        <v>177792.53</v>
      </c>
      <c r="D43" s="152">
        <f t="shared" si="24"/>
        <v>3854.687403589141</v>
      </c>
      <c r="F43" s="152">
        <f t="shared" si="25"/>
        <v>1181133.2781228758</v>
      </c>
      <c r="H43" s="153">
        <f t="shared" si="31"/>
        <v>4.2500000000000003E-2</v>
      </c>
      <c r="J43" s="150">
        <f t="shared" si="26"/>
        <v>43163</v>
      </c>
      <c r="L43" s="193">
        <v>176077.59</v>
      </c>
      <c r="M43" s="152">
        <f t="shared" si="27"/>
        <v>1681.131397225927</v>
      </c>
      <c r="O43" s="152">
        <f t="shared" si="28"/>
        <v>564392.3209080759</v>
      </c>
      <c r="Q43" s="153">
        <f t="shared" si="29"/>
        <v>4.2500000000000003E-2</v>
      </c>
    </row>
    <row r="44" spans="1:17" ht="14.4" customHeight="1">
      <c r="A44" s="150">
        <f t="shared" si="30"/>
        <v>43194</v>
      </c>
      <c r="C44" s="193">
        <v>519812.2</v>
      </c>
      <c r="D44" s="152">
        <f>(F43+(C44+E44)/2)*H44/12</f>
        <v>5367.871683507713</v>
      </c>
      <c r="F44" s="152">
        <f t="shared" si="25"/>
        <v>1706313.3498063835</v>
      </c>
      <c r="H44" s="153">
        <f t="shared" si="31"/>
        <v>4.4699999999999997E-2</v>
      </c>
      <c r="J44" s="150">
        <f t="shared" si="26"/>
        <v>43194</v>
      </c>
      <c r="L44" s="193">
        <v>-19252.5</v>
      </c>
      <c r="M44" s="152">
        <f t="shared" si="27"/>
        <v>2066.5036141325827</v>
      </c>
      <c r="O44" s="152">
        <f t="shared" si="28"/>
        <v>547206.32452220842</v>
      </c>
      <c r="Q44" s="153">
        <f t="shared" si="29"/>
        <v>4.4699999999999997E-2</v>
      </c>
    </row>
    <row r="45" spans="1:17" ht="14.4" customHeight="1">
      <c r="A45" s="150">
        <f t="shared" si="30"/>
        <v>43225</v>
      </c>
      <c r="C45" s="193">
        <v>825696.3</v>
      </c>
      <c r="D45" s="152">
        <f>(F44+(C45+E45)/2)*H45/12</f>
        <v>7893.8765867787779</v>
      </c>
      <c r="F45" s="152">
        <f t="shared" si="25"/>
        <v>2539903.5263931621</v>
      </c>
      <c r="H45" s="153">
        <f t="shared" si="31"/>
        <v>4.4699999999999997E-2</v>
      </c>
      <c r="J45" s="150">
        <f t="shared" si="26"/>
        <v>43225</v>
      </c>
      <c r="L45" s="193">
        <v>224089.12</v>
      </c>
      <c r="M45" s="152">
        <f t="shared" si="27"/>
        <v>2455.7095448452264</v>
      </c>
      <c r="O45" s="152">
        <f t="shared" si="28"/>
        <v>773751.15406705369</v>
      </c>
      <c r="Q45" s="153">
        <f t="shared" si="29"/>
        <v>4.4699999999999997E-2</v>
      </c>
    </row>
    <row r="46" spans="1:17" ht="14.4" customHeight="1">
      <c r="A46" s="150">
        <f t="shared" si="30"/>
        <v>43256</v>
      </c>
      <c r="C46" s="193">
        <v>839183.83</v>
      </c>
      <c r="D46" s="152">
        <f t="shared" si="24"/>
        <v>11024.120519189528</v>
      </c>
      <c r="F46" s="152">
        <f t="shared" si="25"/>
        <v>3390111.4769123518</v>
      </c>
      <c r="H46" s="153">
        <f t="shared" si="31"/>
        <v>4.4699999999999997E-2</v>
      </c>
      <c r="J46" s="150">
        <f t="shared" si="26"/>
        <v>43256</v>
      </c>
      <c r="L46" s="193">
        <v>37806.06</v>
      </c>
      <c r="M46" s="152">
        <f>(O45+(L46+N46)/2)*Q46/12</f>
        <v>2952.6368356497751</v>
      </c>
      <c r="O46" s="152">
        <f t="shared" si="28"/>
        <v>814509.85090270347</v>
      </c>
      <c r="Q46" s="153">
        <f t="shared" si="29"/>
        <v>4.4699999999999997E-2</v>
      </c>
    </row>
    <row r="47" spans="1:17" ht="14.4" hidden="1" customHeight="1">
      <c r="A47" s="150">
        <f t="shared" si="30"/>
        <v>43287</v>
      </c>
      <c r="C47" s="193"/>
      <c r="D47" s="152">
        <f>(F46+(C47+E47)/2)*H47/12</f>
        <v>0</v>
      </c>
      <c r="F47" s="152">
        <f t="shared" si="25"/>
        <v>3390111.4769123518</v>
      </c>
      <c r="H47" s="153">
        <f t="shared" si="31"/>
        <v>0</v>
      </c>
      <c r="J47" s="150">
        <f t="shared" si="26"/>
        <v>43287</v>
      </c>
      <c r="L47" s="193"/>
      <c r="M47" s="152">
        <f t="shared" si="27"/>
        <v>0</v>
      </c>
      <c r="O47" s="152">
        <f t="shared" si="28"/>
        <v>814509.85090270347</v>
      </c>
      <c r="Q47" s="153">
        <f t="shared" si="29"/>
        <v>0</v>
      </c>
    </row>
    <row r="48" spans="1:17" ht="14.4" hidden="1" customHeight="1">
      <c r="A48" s="150">
        <f t="shared" si="30"/>
        <v>43318</v>
      </c>
      <c r="C48" s="193"/>
      <c r="D48" s="152">
        <f>(F47+(C48+E48)/2)*H48/12</f>
        <v>0</v>
      </c>
      <c r="F48" s="152">
        <f t="shared" si="25"/>
        <v>3390111.4769123518</v>
      </c>
      <c r="H48" s="153">
        <f t="shared" si="31"/>
        <v>0</v>
      </c>
      <c r="J48" s="150">
        <f t="shared" si="26"/>
        <v>43318</v>
      </c>
      <c r="L48" s="193"/>
      <c r="M48" s="152">
        <f t="shared" si="27"/>
        <v>0</v>
      </c>
      <c r="O48" s="152">
        <f t="shared" si="28"/>
        <v>814509.85090270347</v>
      </c>
      <c r="Q48" s="153">
        <f t="shared" si="29"/>
        <v>0</v>
      </c>
    </row>
    <row r="49" spans="1:17" hidden="1">
      <c r="A49" s="150">
        <f t="shared" si="30"/>
        <v>43349</v>
      </c>
      <c r="C49" s="193"/>
      <c r="D49" s="152">
        <f>(F48+(C49+E49)/2)*H49/12</f>
        <v>0</v>
      </c>
      <c r="F49" s="152">
        <f t="shared" si="25"/>
        <v>3390111.4769123518</v>
      </c>
      <c r="H49" s="153">
        <f t="shared" si="31"/>
        <v>0</v>
      </c>
      <c r="J49" s="150">
        <f t="shared" si="26"/>
        <v>43349</v>
      </c>
      <c r="L49" s="193"/>
      <c r="M49" s="152">
        <f t="shared" si="27"/>
        <v>0</v>
      </c>
      <c r="O49" s="152">
        <f t="shared" si="28"/>
        <v>814509.85090270347</v>
      </c>
      <c r="Q49" s="153">
        <f t="shared" si="29"/>
        <v>0</v>
      </c>
    </row>
    <row r="50" spans="1:17" hidden="1">
      <c r="A50" s="150">
        <f t="shared" si="30"/>
        <v>43380</v>
      </c>
      <c r="C50" s="193"/>
      <c r="D50" s="152">
        <f t="shared" si="24"/>
        <v>0</v>
      </c>
      <c r="F50" s="152">
        <f t="shared" si="25"/>
        <v>3390111.4769123518</v>
      </c>
      <c r="H50" s="153">
        <f t="shared" si="31"/>
        <v>0</v>
      </c>
      <c r="J50" s="150">
        <f t="shared" si="26"/>
        <v>43380</v>
      </c>
      <c r="L50" s="193"/>
      <c r="M50" s="152">
        <f t="shared" si="27"/>
        <v>0</v>
      </c>
      <c r="O50" s="152">
        <f t="shared" si="28"/>
        <v>814509.85090270347</v>
      </c>
      <c r="Q50" s="153">
        <f t="shared" si="29"/>
        <v>0</v>
      </c>
    </row>
    <row r="51" spans="1:17" hidden="1">
      <c r="A51" s="150">
        <f t="shared" si="30"/>
        <v>43411</v>
      </c>
      <c r="C51" s="193"/>
      <c r="D51" s="152">
        <f t="shared" si="24"/>
        <v>0</v>
      </c>
      <c r="E51" s="22"/>
      <c r="F51" s="152">
        <f t="shared" si="25"/>
        <v>3390111.4769123518</v>
      </c>
      <c r="H51" s="153">
        <f t="shared" si="31"/>
        <v>0</v>
      </c>
      <c r="J51" s="150">
        <f t="shared" si="26"/>
        <v>43411</v>
      </c>
      <c r="L51" s="194"/>
      <c r="M51" s="152">
        <f t="shared" si="27"/>
        <v>0</v>
      </c>
      <c r="N51" s="22"/>
      <c r="O51" s="152">
        <f t="shared" si="28"/>
        <v>814509.85090270347</v>
      </c>
      <c r="Q51" s="153">
        <f t="shared" si="29"/>
        <v>0</v>
      </c>
    </row>
    <row r="52" spans="1:17" hidden="1">
      <c r="A52" s="150">
        <f t="shared" si="30"/>
        <v>43442</v>
      </c>
      <c r="B52" s="151"/>
      <c r="C52" s="193"/>
      <c r="D52" s="152">
        <f t="shared" si="24"/>
        <v>0</v>
      </c>
      <c r="E52" s="22"/>
      <c r="F52" s="152">
        <f t="shared" si="25"/>
        <v>3390111.4769123518</v>
      </c>
      <c r="H52" s="153">
        <f t="shared" si="31"/>
        <v>0</v>
      </c>
      <c r="J52" s="150">
        <f t="shared" si="26"/>
        <v>43442</v>
      </c>
      <c r="K52" s="151"/>
      <c r="L52" s="193"/>
      <c r="M52" s="152">
        <f t="shared" si="27"/>
        <v>0</v>
      </c>
      <c r="N52" s="22"/>
      <c r="O52" s="152">
        <f t="shared" si="28"/>
        <v>814509.85090270347</v>
      </c>
      <c r="Q52" s="153">
        <f t="shared" si="29"/>
        <v>0</v>
      </c>
    </row>
    <row r="53" spans="1:17">
      <c r="F53" s="152"/>
      <c r="O53" s="152"/>
    </row>
    <row r="54" spans="1:17">
      <c r="A54" s="73">
        <v>182329</v>
      </c>
      <c r="B54" s="73" t="s">
        <v>53</v>
      </c>
      <c r="C54" s="178" t="s">
        <v>108</v>
      </c>
      <c r="D54" s="178" t="s">
        <v>109</v>
      </c>
      <c r="E54" s="178"/>
      <c r="F54" s="152" t="s">
        <v>111</v>
      </c>
      <c r="H54" s="178" t="s">
        <v>109</v>
      </c>
      <c r="J54" s="73">
        <v>182329</v>
      </c>
      <c r="K54" s="73" t="s">
        <v>54</v>
      </c>
      <c r="L54" s="178" t="s">
        <v>108</v>
      </c>
      <c r="M54" s="178" t="s">
        <v>109</v>
      </c>
      <c r="N54" s="178"/>
      <c r="O54" s="152" t="s">
        <v>111</v>
      </c>
      <c r="Q54" s="178" t="s">
        <v>109</v>
      </c>
    </row>
    <row r="55" spans="1:17">
      <c r="C55" s="178" t="s">
        <v>112</v>
      </c>
      <c r="D55" s="178" t="s">
        <v>113</v>
      </c>
      <c r="E55" s="178" t="s">
        <v>114</v>
      </c>
      <c r="F55" s="152" t="s">
        <v>110</v>
      </c>
      <c r="H55" s="178" t="s">
        <v>115</v>
      </c>
      <c r="L55" s="178" t="s">
        <v>112</v>
      </c>
      <c r="M55" s="178" t="s">
        <v>113</v>
      </c>
      <c r="N55" s="178" t="s">
        <v>114</v>
      </c>
      <c r="O55" s="152" t="s">
        <v>110</v>
      </c>
      <c r="Q55" s="178" t="s">
        <v>115</v>
      </c>
    </row>
    <row r="56" spans="1:17" ht="14.4" customHeight="1">
      <c r="A56" s="150">
        <f>$A$24</f>
        <v>43070</v>
      </c>
      <c r="B56" s="151"/>
      <c r="C56" s="151"/>
      <c r="F56" s="193">
        <v>-2092790</v>
      </c>
      <c r="J56" s="150">
        <f>A56</f>
        <v>43070</v>
      </c>
      <c r="K56" s="151"/>
      <c r="L56" s="151"/>
      <c r="O56" s="193">
        <v>-1972082</v>
      </c>
    </row>
    <row r="57" spans="1:17" ht="14.4" customHeight="1">
      <c r="A57" s="176" t="s">
        <v>150</v>
      </c>
      <c r="B57" s="151"/>
      <c r="C57" s="151"/>
      <c r="F57" s="199">
        <v>-534331</v>
      </c>
      <c r="J57" s="176" t="str">
        <f t="shared" ref="J57:J69" si="32">A57</f>
        <v>Provision for Rate Refund</v>
      </c>
      <c r="K57" s="151"/>
      <c r="L57" s="151"/>
      <c r="O57" s="199">
        <v>-1818697</v>
      </c>
    </row>
    <row r="58" spans="1:17" ht="14.4" customHeight="1">
      <c r="A58" s="150">
        <f>A56+31</f>
        <v>43101</v>
      </c>
      <c r="C58" s="193"/>
      <c r="D58" s="152">
        <f>(F56+F$57+(C58+E58)/2)*H58/12</f>
        <v>-9304.3868750000001</v>
      </c>
      <c r="F58" s="152">
        <f>F56+C58+D58+E58</f>
        <v>-2102094.3868749999</v>
      </c>
      <c r="H58" s="153">
        <f t="shared" ref="H58:H69" si="33">H25</f>
        <v>4.2500000000000003E-2</v>
      </c>
      <c r="J58" s="150">
        <f t="shared" si="32"/>
        <v>43101</v>
      </c>
      <c r="L58" s="193"/>
      <c r="M58" s="152">
        <f>(O56+O$57+(L58+N58)/2)*Q58/12</f>
        <v>-13425.675625000002</v>
      </c>
      <c r="O58" s="152">
        <f>O56+L58+M58+N58</f>
        <v>-1985507.6756249999</v>
      </c>
      <c r="Q58" s="153">
        <f t="shared" ref="Q58:Q69" si="34">H58</f>
        <v>4.2500000000000003E-2</v>
      </c>
    </row>
    <row r="59" spans="1:17" ht="14.4" customHeight="1">
      <c r="A59" s="150">
        <f t="shared" ref="A59:A69" si="35">A58+31</f>
        <v>43132</v>
      </c>
      <c r="C59" s="193"/>
      <c r="D59" s="152">
        <f>(F58+F$57+(C59+E59)/2)*H59/12</f>
        <v>-9337.3399118489597</v>
      </c>
      <c r="F59" s="152">
        <f>F58+C59+D59+E59</f>
        <v>-2111431.7267868486</v>
      </c>
      <c r="H59" s="153">
        <f t="shared" si="33"/>
        <v>4.2500000000000003E-2</v>
      </c>
      <c r="J59" s="150">
        <f t="shared" si="32"/>
        <v>43132</v>
      </c>
      <c r="L59" s="193"/>
      <c r="M59" s="152">
        <f>(O58+O$57+(L59+N59)/2)*Q59/12</f>
        <v>-13473.224892838543</v>
      </c>
      <c r="O59" s="152">
        <f t="shared" ref="O59:O69" si="36">O58+L59+M59+N59</f>
        <v>-1998980.9005178385</v>
      </c>
      <c r="Q59" s="153">
        <f t="shared" si="34"/>
        <v>4.2500000000000003E-2</v>
      </c>
    </row>
    <row r="60" spans="1:17" ht="14.4" customHeight="1">
      <c r="A60" s="150">
        <f t="shared" si="35"/>
        <v>43163</v>
      </c>
      <c r="C60" s="193"/>
      <c r="D60" s="152">
        <f t="shared" ref="D60:D65" si="37">(F59+F$57+(C60+E60)/2)*H60/12</f>
        <v>-9370.4096573700899</v>
      </c>
      <c r="F60" s="152">
        <f t="shared" ref="F60:F69" si="38">F59+C60+D60+E60</f>
        <v>-2120802.1364442189</v>
      </c>
      <c r="H60" s="153">
        <f t="shared" si="33"/>
        <v>4.2500000000000003E-2</v>
      </c>
      <c r="J60" s="150">
        <f t="shared" si="32"/>
        <v>43163</v>
      </c>
      <c r="L60" s="193"/>
      <c r="M60" s="152">
        <f t="shared" ref="M60:M65" si="39">(O59+O$57+(L60+N60)/2)*Q60/12</f>
        <v>-13520.942564334013</v>
      </c>
      <c r="O60" s="152">
        <f t="shared" si="36"/>
        <v>-2012501.8430821726</v>
      </c>
      <c r="Q60" s="153">
        <f t="shared" si="34"/>
        <v>4.2500000000000003E-2</v>
      </c>
    </row>
    <row r="61" spans="1:17" ht="14.4" customHeight="1">
      <c r="A61" s="150">
        <f t="shared" si="35"/>
        <v>43194</v>
      </c>
      <c r="C61" s="152"/>
      <c r="D61" s="152">
        <f t="shared" si="37"/>
        <v>-9890.3709332547151</v>
      </c>
      <c r="F61" s="152">
        <f t="shared" si="38"/>
        <v>-2130692.5073774736</v>
      </c>
      <c r="H61" s="153">
        <f t="shared" si="33"/>
        <v>4.4699999999999997E-2</v>
      </c>
      <c r="J61" s="150">
        <f t="shared" si="32"/>
        <v>43194</v>
      </c>
      <c r="L61" s="152"/>
      <c r="M61" s="152">
        <f t="shared" si="39"/>
        <v>-14271.215690481093</v>
      </c>
      <c r="O61" s="152">
        <f t="shared" si="36"/>
        <v>-2026773.0587726536</v>
      </c>
      <c r="Q61" s="153">
        <f t="shared" si="34"/>
        <v>4.4699999999999997E-2</v>
      </c>
    </row>
    <row r="62" spans="1:17" ht="14.4" customHeight="1">
      <c r="A62" s="150">
        <f t="shared" si="35"/>
        <v>43225</v>
      </c>
      <c r="C62" s="152"/>
      <c r="D62" s="152">
        <f t="shared" si="37"/>
        <v>-9927.2125649810896</v>
      </c>
      <c r="F62" s="152">
        <f t="shared" si="38"/>
        <v>-2140619.7199424547</v>
      </c>
      <c r="H62" s="153">
        <f t="shared" si="33"/>
        <v>4.4699999999999997E-2</v>
      </c>
      <c r="J62" s="150">
        <f t="shared" si="32"/>
        <v>43225</v>
      </c>
      <c r="L62" s="152"/>
      <c r="M62" s="152">
        <f t="shared" si="39"/>
        <v>-14324.375968928134</v>
      </c>
      <c r="O62" s="152">
        <f t="shared" si="36"/>
        <v>-2041097.4347415818</v>
      </c>
      <c r="Q62" s="153">
        <f t="shared" si="34"/>
        <v>4.4699999999999997E-2</v>
      </c>
    </row>
    <row r="63" spans="1:17" ht="14.4" customHeight="1">
      <c r="A63" s="150">
        <f t="shared" si="35"/>
        <v>43256</v>
      </c>
      <c r="C63" s="152"/>
      <c r="D63" s="152">
        <f t="shared" si="37"/>
        <v>-9964.1914317856426</v>
      </c>
      <c r="F63" s="152">
        <f t="shared" si="38"/>
        <v>-2150583.9113742402</v>
      </c>
      <c r="H63" s="153">
        <f t="shared" si="33"/>
        <v>4.4699999999999997E-2</v>
      </c>
      <c r="J63" s="150">
        <f t="shared" si="32"/>
        <v>43256</v>
      </c>
      <c r="L63" s="152"/>
      <c r="M63" s="152">
        <f t="shared" si="39"/>
        <v>-14377.734269412393</v>
      </c>
      <c r="O63" s="152">
        <f t="shared" si="36"/>
        <v>-2055475.1690109943</v>
      </c>
      <c r="Q63" s="153">
        <f t="shared" si="34"/>
        <v>4.4699999999999997E-2</v>
      </c>
    </row>
    <row r="64" spans="1:17" ht="14.4" hidden="1" customHeight="1">
      <c r="A64" s="150">
        <f t="shared" si="35"/>
        <v>43287</v>
      </c>
      <c r="C64" s="152"/>
      <c r="D64" s="152">
        <f t="shared" si="37"/>
        <v>0</v>
      </c>
      <c r="F64" s="152">
        <f t="shared" si="38"/>
        <v>-2150583.9113742402</v>
      </c>
      <c r="H64" s="153">
        <f t="shared" si="33"/>
        <v>0</v>
      </c>
      <c r="J64" s="150">
        <f t="shared" si="32"/>
        <v>43287</v>
      </c>
      <c r="L64" s="152"/>
      <c r="M64" s="152">
        <f t="shared" si="39"/>
        <v>0</v>
      </c>
      <c r="O64" s="152">
        <f t="shared" si="36"/>
        <v>-2055475.1690109943</v>
      </c>
      <c r="Q64" s="153">
        <f t="shared" si="34"/>
        <v>0</v>
      </c>
    </row>
    <row r="65" spans="1:17" ht="14.4" hidden="1" customHeight="1">
      <c r="A65" s="150">
        <f>A64+31</f>
        <v>43318</v>
      </c>
      <c r="C65" s="152"/>
      <c r="D65" s="152">
        <f t="shared" si="37"/>
        <v>0</v>
      </c>
      <c r="F65" s="152">
        <f>F64+F57+C65+D65+E65</f>
        <v>-2684914.9113742402</v>
      </c>
      <c r="H65" s="153">
        <f t="shared" si="33"/>
        <v>0</v>
      </c>
      <c r="J65" s="150">
        <f t="shared" si="32"/>
        <v>43318</v>
      </c>
      <c r="L65" s="152"/>
      <c r="M65" s="152">
        <f t="shared" si="39"/>
        <v>0</v>
      </c>
      <c r="O65" s="152">
        <f>O64+O57+L65+M65+N65</f>
        <v>-3874172.169010994</v>
      </c>
      <c r="Q65" s="153">
        <f t="shared" si="34"/>
        <v>0</v>
      </c>
    </row>
    <row r="66" spans="1:17" hidden="1">
      <c r="A66" s="150">
        <f t="shared" si="35"/>
        <v>43349</v>
      </c>
      <c r="C66" s="152"/>
      <c r="D66" s="152">
        <f>(F65+(C66+E66)/2)*H66/12</f>
        <v>0</v>
      </c>
      <c r="F66" s="152">
        <f>F65+C66+D66+E66</f>
        <v>-2684914.9113742402</v>
      </c>
      <c r="H66" s="153">
        <f t="shared" si="33"/>
        <v>0</v>
      </c>
      <c r="J66" s="150">
        <f t="shared" si="32"/>
        <v>43349</v>
      </c>
      <c r="L66" s="152"/>
      <c r="M66" s="152">
        <f>(O65+(L66+N66)/2)*Q66/12</f>
        <v>0</v>
      </c>
      <c r="O66" s="152">
        <f>O65+L66+M66+N66</f>
        <v>-3874172.169010994</v>
      </c>
      <c r="Q66" s="153">
        <f t="shared" si="34"/>
        <v>0</v>
      </c>
    </row>
    <row r="67" spans="1:17" hidden="1">
      <c r="A67" s="150">
        <f t="shared" si="35"/>
        <v>43380</v>
      </c>
      <c r="B67" s="73" t="s">
        <v>144</v>
      </c>
      <c r="C67" s="152"/>
      <c r="D67" s="152">
        <f>(F66+(C67+E67)/2)*H67/12</f>
        <v>0</v>
      </c>
      <c r="F67" s="152">
        <f t="shared" si="38"/>
        <v>-2684914.9113742402</v>
      </c>
      <c r="H67" s="153">
        <f t="shared" si="33"/>
        <v>0</v>
      </c>
      <c r="J67" s="150">
        <f t="shared" si="32"/>
        <v>43380</v>
      </c>
      <c r="K67" s="73" t="s">
        <v>144</v>
      </c>
      <c r="L67" s="152"/>
      <c r="M67" s="152">
        <f>(O66+(L67+N67)/2)*Q67/12</f>
        <v>0</v>
      </c>
      <c r="O67" s="152">
        <f t="shared" si="36"/>
        <v>-3874172.169010994</v>
      </c>
      <c r="Q67" s="153">
        <f t="shared" si="34"/>
        <v>0</v>
      </c>
    </row>
    <row r="68" spans="1:17" hidden="1">
      <c r="A68" s="150">
        <f t="shared" si="35"/>
        <v>43411</v>
      </c>
      <c r="D68" s="152">
        <f t="shared" ref="D68:D69" si="40">(F67+(C68+E68)/2)*H68/12</f>
        <v>0</v>
      </c>
      <c r="E68" s="188"/>
      <c r="F68" s="152">
        <f t="shared" si="38"/>
        <v>-2684914.9113742402</v>
      </c>
      <c r="H68" s="153">
        <f t="shared" si="33"/>
        <v>0</v>
      </c>
      <c r="J68" s="150">
        <f t="shared" si="32"/>
        <v>43411</v>
      </c>
      <c r="M68" s="152">
        <f>(O67+(L68+N68)/2)*Q68/12</f>
        <v>0</v>
      </c>
      <c r="N68" s="188"/>
      <c r="O68" s="152">
        <f>O67+L68+M68+N68</f>
        <v>-3874172.169010994</v>
      </c>
      <c r="Q68" s="153">
        <f t="shared" si="34"/>
        <v>0</v>
      </c>
    </row>
    <row r="69" spans="1:17" hidden="1">
      <c r="A69" s="150">
        <f t="shared" si="35"/>
        <v>43442</v>
      </c>
      <c r="B69" s="151"/>
      <c r="C69" s="152"/>
      <c r="D69" s="152">
        <f t="shared" si="40"/>
        <v>0</v>
      </c>
      <c r="E69" s="22"/>
      <c r="F69" s="152">
        <f t="shared" si="38"/>
        <v>-2684914.9113742402</v>
      </c>
      <c r="H69" s="153">
        <f t="shared" si="33"/>
        <v>0</v>
      </c>
      <c r="J69" s="150">
        <f t="shared" si="32"/>
        <v>43442</v>
      </c>
      <c r="K69" s="151"/>
      <c r="L69" s="152"/>
      <c r="M69" s="152">
        <f t="shared" ref="M69" si="41">(O68+(L69+N69)/2)*Q69/12</f>
        <v>0</v>
      </c>
      <c r="N69" s="22"/>
      <c r="O69" s="152">
        <f t="shared" si="36"/>
        <v>-3874172.169010994</v>
      </c>
      <c r="Q69" s="153">
        <f t="shared" si="34"/>
        <v>0</v>
      </c>
    </row>
    <row r="70" spans="1:17" ht="30.75" hidden="1" customHeight="1">
      <c r="B70" s="157" t="s">
        <v>144</v>
      </c>
      <c r="C70" s="241" t="s">
        <v>161</v>
      </c>
      <c r="D70" s="241"/>
      <c r="E70" s="241"/>
      <c r="F70" s="241"/>
      <c r="G70" s="241"/>
      <c r="H70" s="241"/>
      <c r="K70" s="157" t="s">
        <v>144</v>
      </c>
      <c r="L70" s="241" t="s">
        <v>161</v>
      </c>
      <c r="M70" s="241"/>
      <c r="N70" s="241"/>
      <c r="O70" s="241"/>
      <c r="P70" s="241"/>
      <c r="Q70" s="241"/>
    </row>
    <row r="71" spans="1:17" ht="14.4" customHeight="1">
      <c r="B71" s="157"/>
      <c r="C71" s="177"/>
      <c r="D71" s="177"/>
      <c r="E71" s="177"/>
      <c r="F71" s="177"/>
      <c r="G71" s="177"/>
      <c r="H71" s="177"/>
      <c r="O71" s="152"/>
    </row>
    <row r="72" spans="1:17">
      <c r="A72" s="73">
        <v>182339</v>
      </c>
      <c r="B72" s="73" t="s">
        <v>53</v>
      </c>
      <c r="C72" s="178" t="s">
        <v>108</v>
      </c>
      <c r="D72" s="178" t="s">
        <v>109</v>
      </c>
      <c r="E72" s="178"/>
      <c r="F72" s="152" t="s">
        <v>111</v>
      </c>
      <c r="H72" s="178" t="s">
        <v>109</v>
      </c>
      <c r="J72" s="73">
        <v>182339</v>
      </c>
      <c r="K72" s="73" t="s">
        <v>54</v>
      </c>
      <c r="L72" s="178" t="s">
        <v>108</v>
      </c>
      <c r="M72" s="178" t="s">
        <v>109</v>
      </c>
      <c r="N72" s="178"/>
      <c r="O72" s="152" t="s">
        <v>111</v>
      </c>
      <c r="Q72" s="178" t="s">
        <v>109</v>
      </c>
    </row>
    <row r="73" spans="1:17">
      <c r="C73" s="178" t="s">
        <v>112</v>
      </c>
      <c r="D73" s="178" t="s">
        <v>113</v>
      </c>
      <c r="E73" s="178" t="s">
        <v>114</v>
      </c>
      <c r="F73" s="152" t="s">
        <v>110</v>
      </c>
      <c r="H73" s="178" t="s">
        <v>115</v>
      </c>
      <c r="L73" s="178" t="s">
        <v>112</v>
      </c>
      <c r="M73" s="178" t="s">
        <v>113</v>
      </c>
      <c r="N73" s="178" t="s">
        <v>114</v>
      </c>
      <c r="O73" s="152" t="s">
        <v>110</v>
      </c>
      <c r="Q73" s="178" t="s">
        <v>115</v>
      </c>
    </row>
    <row r="74" spans="1:17" ht="14.4" customHeight="1">
      <c r="A74" s="150">
        <f>$A$24</f>
        <v>43070</v>
      </c>
      <c r="B74" s="151"/>
      <c r="C74" s="151"/>
      <c r="F74" s="193">
        <v>1735911</v>
      </c>
      <c r="J74" s="150">
        <f>A74</f>
        <v>43070</v>
      </c>
      <c r="K74" s="151"/>
      <c r="L74" s="151"/>
      <c r="O74" s="193">
        <v>840286</v>
      </c>
    </row>
    <row r="75" spans="1:17" ht="14.4" customHeight="1">
      <c r="A75" s="176" t="str">
        <f>A57</f>
        <v>Provision for Rate Refund</v>
      </c>
      <c r="B75" s="151"/>
      <c r="C75" s="151"/>
      <c r="F75" s="199">
        <v>-517098</v>
      </c>
      <c r="J75" s="176" t="str">
        <f t="shared" ref="J75:J87" si="42">A75</f>
        <v>Provision for Rate Refund</v>
      </c>
      <c r="K75" s="151"/>
      <c r="L75" s="151"/>
      <c r="O75" s="199">
        <v>-549574</v>
      </c>
    </row>
    <row r="76" spans="1:17" ht="14.4" customHeight="1">
      <c r="A76" s="150">
        <f>A74+31</f>
        <v>43101</v>
      </c>
      <c r="C76" s="152"/>
      <c r="D76" s="152">
        <f>(F74+F$75+(C76+E76)/2)*H76/12</f>
        <v>4316.6293750000004</v>
      </c>
      <c r="F76" s="152">
        <f>F74+C76+D76+E76</f>
        <v>1740227.629375</v>
      </c>
      <c r="H76" s="153">
        <f t="shared" ref="H76:H87" si="43">H25</f>
        <v>4.2500000000000003E-2</v>
      </c>
      <c r="J76" s="150">
        <f t="shared" si="42"/>
        <v>43101</v>
      </c>
      <c r="L76" s="152"/>
      <c r="M76" s="152">
        <f>(O74+O$75+(L76+N76)/2)*Q76/12</f>
        <v>1029.605</v>
      </c>
      <c r="O76" s="152">
        <f>O74+L76+M76+N76</f>
        <v>841315.60499999998</v>
      </c>
      <c r="Q76" s="153">
        <f t="shared" ref="Q76:Q87" si="44">H76</f>
        <v>4.2500000000000003E-2</v>
      </c>
    </row>
    <row r="77" spans="1:17" ht="14.4" customHeight="1">
      <c r="A77" s="150">
        <f t="shared" ref="A77:A87" si="45">A76+31</f>
        <v>43132</v>
      </c>
      <c r="C77" s="152"/>
      <c r="D77" s="152">
        <f>(F76+F$75+(C77+E77)/2)*H77/12</f>
        <v>4331.9174373697924</v>
      </c>
      <c r="F77" s="152">
        <f>F76+C77+D77+E77</f>
        <v>1744559.5468123697</v>
      </c>
      <c r="H77" s="153">
        <f t="shared" si="43"/>
        <v>4.2500000000000003E-2</v>
      </c>
      <c r="J77" s="150">
        <f t="shared" si="42"/>
        <v>43132</v>
      </c>
      <c r="L77" s="152"/>
      <c r="M77" s="152">
        <f>(O76+O$75+(L77+N77)/2)*Q77/12</f>
        <v>1033.2515177083333</v>
      </c>
      <c r="O77" s="152">
        <f>O76+L77+M77+N77</f>
        <v>842348.85651770828</v>
      </c>
      <c r="Q77" s="153">
        <f t="shared" si="44"/>
        <v>4.2500000000000003E-2</v>
      </c>
    </row>
    <row r="78" spans="1:17" ht="14.4" customHeight="1">
      <c r="A78" s="150">
        <f t="shared" si="45"/>
        <v>43163</v>
      </c>
      <c r="C78" s="152"/>
      <c r="D78" s="152">
        <f t="shared" ref="D78:D83" si="46">(F77+F$75+(C78+E78)/2)*H78/12</f>
        <v>4347.2596449604762</v>
      </c>
      <c r="F78" s="152">
        <f>F77+C78+D78+E78</f>
        <v>1748906.8064573302</v>
      </c>
      <c r="H78" s="153">
        <f t="shared" si="43"/>
        <v>4.2500000000000003E-2</v>
      </c>
      <c r="J78" s="150">
        <f t="shared" si="42"/>
        <v>43163</v>
      </c>
      <c r="L78" s="152"/>
      <c r="M78" s="152">
        <f t="shared" ref="M78:M83" si="47">(O77+O$75+(L78+N78)/2)*Q78/12</f>
        <v>1036.9109501668836</v>
      </c>
      <c r="O78" s="152">
        <f>O77+L78+M78+N78</f>
        <v>843385.76746787515</v>
      </c>
      <c r="Q78" s="153">
        <f t="shared" si="44"/>
        <v>4.2500000000000003E-2</v>
      </c>
    </row>
    <row r="79" spans="1:17" ht="14.4" customHeight="1">
      <c r="A79" s="150">
        <f t="shared" si="45"/>
        <v>43194</v>
      </c>
      <c r="C79" s="152"/>
      <c r="D79" s="152">
        <f t="shared" si="46"/>
        <v>4588.487804053555</v>
      </c>
      <c r="F79" s="152">
        <f t="shared" ref="F79:F87" si="48">F78+C79+D79+E79</f>
        <v>1753495.2942613838</v>
      </c>
      <c r="H79" s="153">
        <f t="shared" si="43"/>
        <v>4.4699999999999997E-2</v>
      </c>
      <c r="J79" s="150">
        <f t="shared" si="42"/>
        <v>43194</v>
      </c>
      <c r="L79" s="152"/>
      <c r="M79" s="152">
        <f t="shared" si="47"/>
        <v>1094.4488338178348</v>
      </c>
      <c r="O79" s="152">
        <f t="shared" ref="O79:O85" si="49">O78+L79+M79+N79</f>
        <v>844480.216301693</v>
      </c>
      <c r="Q79" s="153">
        <f t="shared" si="44"/>
        <v>4.4699999999999997E-2</v>
      </c>
    </row>
    <row r="80" spans="1:17" ht="14.4" customHeight="1">
      <c r="A80" s="150">
        <f t="shared" si="45"/>
        <v>43225</v>
      </c>
      <c r="C80" s="152"/>
      <c r="D80" s="152">
        <f t="shared" si="46"/>
        <v>4605.5799211236545</v>
      </c>
      <c r="F80" s="152">
        <f t="shared" si="48"/>
        <v>1758100.8741825074</v>
      </c>
      <c r="H80" s="153">
        <f t="shared" si="43"/>
        <v>4.4699999999999997E-2</v>
      </c>
      <c r="J80" s="150">
        <f t="shared" si="42"/>
        <v>43225</v>
      </c>
      <c r="L80" s="152"/>
      <c r="M80" s="152">
        <f t="shared" si="47"/>
        <v>1098.5256557238063</v>
      </c>
      <c r="O80" s="152">
        <f t="shared" si="49"/>
        <v>845578.74195741676</v>
      </c>
      <c r="Q80" s="153">
        <f t="shared" si="44"/>
        <v>4.4699999999999997E-2</v>
      </c>
    </row>
    <row r="81" spans="1:17" ht="14.4" customHeight="1">
      <c r="A81" s="150">
        <f t="shared" si="45"/>
        <v>43256</v>
      </c>
      <c r="C81" s="152"/>
      <c r="D81" s="152">
        <f t="shared" si="46"/>
        <v>4622.7357063298396</v>
      </c>
      <c r="F81" s="152">
        <f t="shared" si="48"/>
        <v>1762723.6098888372</v>
      </c>
      <c r="H81" s="153">
        <f t="shared" si="43"/>
        <v>4.4699999999999997E-2</v>
      </c>
      <c r="J81" s="150">
        <f t="shared" si="42"/>
        <v>43256</v>
      </c>
      <c r="L81" s="152"/>
      <c r="M81" s="152">
        <f t="shared" si="47"/>
        <v>1102.6176637913775</v>
      </c>
      <c r="O81" s="152">
        <f t="shared" si="49"/>
        <v>846681.35962120816</v>
      </c>
      <c r="Q81" s="153">
        <f t="shared" si="44"/>
        <v>4.4699999999999997E-2</v>
      </c>
    </row>
    <row r="82" spans="1:17" ht="14.4" hidden="1" customHeight="1">
      <c r="A82" s="150">
        <f t="shared" si="45"/>
        <v>43287</v>
      </c>
      <c r="C82" s="152"/>
      <c r="D82" s="152">
        <f t="shared" si="46"/>
        <v>0</v>
      </c>
      <c r="F82" s="152">
        <f t="shared" si="48"/>
        <v>1762723.6098888372</v>
      </c>
      <c r="H82" s="153">
        <f t="shared" si="43"/>
        <v>0</v>
      </c>
      <c r="J82" s="150">
        <f t="shared" si="42"/>
        <v>43287</v>
      </c>
      <c r="L82" s="152"/>
      <c r="M82" s="152">
        <f t="shared" si="47"/>
        <v>0</v>
      </c>
      <c r="O82" s="152">
        <f t="shared" si="49"/>
        <v>846681.35962120816</v>
      </c>
      <c r="Q82" s="153">
        <f t="shared" si="44"/>
        <v>0</v>
      </c>
    </row>
    <row r="83" spans="1:17" ht="14.4" hidden="1" customHeight="1">
      <c r="A83" s="150">
        <f>A82+31</f>
        <v>43318</v>
      </c>
      <c r="C83" s="152"/>
      <c r="D83" s="152">
        <f t="shared" si="46"/>
        <v>0</v>
      </c>
      <c r="F83" s="152">
        <f>F82+F75+C83+D83+E83</f>
        <v>1245625.6098888372</v>
      </c>
      <c r="H83" s="153">
        <f t="shared" si="43"/>
        <v>0</v>
      </c>
      <c r="J83" s="150">
        <f t="shared" si="42"/>
        <v>43318</v>
      </c>
      <c r="L83" s="152"/>
      <c r="M83" s="152">
        <f t="shared" si="47"/>
        <v>0</v>
      </c>
      <c r="O83" s="152">
        <f>O82+O75+L83+M83+N83</f>
        <v>297107.35962120816</v>
      </c>
      <c r="Q83" s="153">
        <f t="shared" si="44"/>
        <v>0</v>
      </c>
    </row>
    <row r="84" spans="1:17" hidden="1">
      <c r="A84" s="150">
        <f t="shared" si="45"/>
        <v>43349</v>
      </c>
      <c r="C84" s="152"/>
      <c r="D84" s="152">
        <f>(F83+(C84+E84)/2)*H84/12</f>
        <v>0</v>
      </c>
      <c r="F84" s="152">
        <f t="shared" si="48"/>
        <v>1245625.6098888372</v>
      </c>
      <c r="H84" s="153">
        <f t="shared" si="43"/>
        <v>0</v>
      </c>
      <c r="J84" s="150">
        <f t="shared" si="42"/>
        <v>43349</v>
      </c>
      <c r="L84" s="152"/>
      <c r="M84" s="152">
        <f>(O83+(L84+N84)/2)*Q84/12</f>
        <v>0</v>
      </c>
      <c r="O84" s="152">
        <f>O83+L84+M84+N84</f>
        <v>297107.35962120816</v>
      </c>
      <c r="Q84" s="153">
        <f t="shared" si="44"/>
        <v>0</v>
      </c>
    </row>
    <row r="85" spans="1:17" hidden="1">
      <c r="A85" s="150">
        <f t="shared" si="45"/>
        <v>43380</v>
      </c>
      <c r="C85" s="152"/>
      <c r="D85" s="152">
        <f t="shared" ref="D85:D87" si="50">(F84+(C85+E85)/2)*H85/12</f>
        <v>0</v>
      </c>
      <c r="F85" s="152">
        <f t="shared" si="48"/>
        <v>1245625.6098888372</v>
      </c>
      <c r="H85" s="153">
        <f t="shared" si="43"/>
        <v>0</v>
      </c>
      <c r="J85" s="150">
        <f t="shared" si="42"/>
        <v>43380</v>
      </c>
      <c r="L85" s="152"/>
      <c r="M85" s="152">
        <f>(O84+(L85+N85)/2)*Q85/12</f>
        <v>0</v>
      </c>
      <c r="O85" s="152">
        <f t="shared" si="49"/>
        <v>297107.35962120816</v>
      </c>
      <c r="Q85" s="153">
        <f t="shared" si="44"/>
        <v>0</v>
      </c>
    </row>
    <row r="86" spans="1:17" hidden="1">
      <c r="A86" s="150">
        <f t="shared" si="45"/>
        <v>43411</v>
      </c>
      <c r="C86" s="152"/>
      <c r="D86" s="152">
        <f t="shared" si="50"/>
        <v>0</v>
      </c>
      <c r="E86" s="189"/>
      <c r="F86" s="152">
        <f t="shared" si="48"/>
        <v>1245625.6098888372</v>
      </c>
      <c r="H86" s="153">
        <f t="shared" si="43"/>
        <v>0</v>
      </c>
      <c r="J86" s="150">
        <f t="shared" si="42"/>
        <v>43411</v>
      </c>
      <c r="L86" s="152"/>
      <c r="M86" s="152">
        <f>(O85+(L86+N86)/2)*Q86/12</f>
        <v>0</v>
      </c>
      <c r="N86" s="190"/>
      <c r="O86" s="152">
        <f>O85+L86+M86+N86</f>
        <v>297107.35962120816</v>
      </c>
      <c r="Q86" s="153">
        <f t="shared" si="44"/>
        <v>0</v>
      </c>
    </row>
    <row r="87" spans="1:17" hidden="1">
      <c r="A87" s="150">
        <f t="shared" si="45"/>
        <v>43442</v>
      </c>
      <c r="C87" s="152"/>
      <c r="D87" s="152">
        <f t="shared" si="50"/>
        <v>0</v>
      </c>
      <c r="F87" s="152">
        <f t="shared" si="48"/>
        <v>1245625.6098888372</v>
      </c>
      <c r="H87" s="153">
        <f t="shared" si="43"/>
        <v>0</v>
      </c>
      <c r="J87" s="150">
        <f t="shared" si="42"/>
        <v>43442</v>
      </c>
      <c r="L87" s="152"/>
      <c r="M87" s="152">
        <f t="shared" ref="M87" si="51">(O86+(L87+N87)/2)*Q87/12</f>
        <v>0</v>
      </c>
      <c r="O87" s="152">
        <f t="shared" ref="O87" si="52">O86+L87+M87+N87</f>
        <v>297107.35962120816</v>
      </c>
      <c r="Q87" s="153">
        <f t="shared" si="44"/>
        <v>0</v>
      </c>
    </row>
    <row r="88" spans="1:17" ht="29.25" hidden="1" customHeight="1">
      <c r="A88" s="150"/>
      <c r="B88" s="157" t="s">
        <v>144</v>
      </c>
      <c r="C88" s="241" t="s">
        <v>161</v>
      </c>
      <c r="D88" s="241"/>
      <c r="E88" s="241"/>
      <c r="F88" s="241"/>
      <c r="G88" s="241"/>
      <c r="H88" s="241"/>
      <c r="J88" s="150"/>
      <c r="K88" s="157" t="s">
        <v>144</v>
      </c>
      <c r="L88" s="241" t="s">
        <v>161</v>
      </c>
      <c r="M88" s="241"/>
      <c r="N88" s="241"/>
      <c r="O88" s="241"/>
      <c r="P88" s="241"/>
      <c r="Q88" s="241"/>
    </row>
    <row r="89" spans="1:17" ht="14.4" customHeight="1">
      <c r="A89" s="150"/>
      <c r="B89" s="157"/>
      <c r="C89" s="177"/>
      <c r="D89" s="177"/>
      <c r="E89" s="177"/>
      <c r="F89" s="177"/>
      <c r="G89" s="177"/>
      <c r="H89" s="177"/>
      <c r="J89" s="150"/>
      <c r="L89" s="152"/>
      <c r="M89" s="152"/>
      <c r="O89" s="152"/>
      <c r="Q89" s="153"/>
    </row>
    <row r="90" spans="1:17">
      <c r="A90" s="73">
        <v>182328</v>
      </c>
      <c r="B90" s="73" t="s">
        <v>53</v>
      </c>
      <c r="C90" s="178" t="s">
        <v>108</v>
      </c>
      <c r="D90" s="178" t="s">
        <v>109</v>
      </c>
      <c r="E90" s="178"/>
      <c r="F90" s="152" t="s">
        <v>111</v>
      </c>
      <c r="H90" s="178" t="s">
        <v>109</v>
      </c>
      <c r="J90" s="73">
        <v>182328</v>
      </c>
      <c r="K90" s="73" t="s">
        <v>54</v>
      </c>
      <c r="L90" s="178" t="s">
        <v>108</v>
      </c>
      <c r="M90" s="178" t="s">
        <v>109</v>
      </c>
      <c r="N90" s="178"/>
      <c r="O90" s="152" t="s">
        <v>111</v>
      </c>
      <c r="Q90" s="178" t="s">
        <v>109</v>
      </c>
    </row>
    <row r="91" spans="1:17">
      <c r="C91" s="178" t="s">
        <v>112</v>
      </c>
      <c r="D91" s="178" t="s">
        <v>113</v>
      </c>
      <c r="E91" s="178" t="s">
        <v>114</v>
      </c>
      <c r="F91" s="152" t="s">
        <v>110</v>
      </c>
      <c r="H91" s="178" t="s">
        <v>115</v>
      </c>
      <c r="L91" s="178" t="s">
        <v>112</v>
      </c>
      <c r="M91" s="178" t="s">
        <v>113</v>
      </c>
      <c r="N91" s="178" t="s">
        <v>114</v>
      </c>
      <c r="O91" s="152" t="s">
        <v>110</v>
      </c>
      <c r="Q91" s="178" t="s">
        <v>115</v>
      </c>
    </row>
    <row r="92" spans="1:17" ht="14.4" customHeight="1">
      <c r="A92" s="150">
        <f>$A$24</f>
        <v>43070</v>
      </c>
      <c r="B92" s="151"/>
      <c r="C92" s="151"/>
      <c r="F92" s="152">
        <v>8212539.75</v>
      </c>
      <c r="J92" s="150">
        <f t="shared" ref="J92:J104" si="53">A92</f>
        <v>43070</v>
      </c>
      <c r="K92" s="151"/>
      <c r="L92" s="151"/>
      <c r="O92" s="152">
        <v>5237395.21</v>
      </c>
    </row>
    <row r="93" spans="1:17" ht="14.4" customHeight="1">
      <c r="A93" s="150">
        <f>A92+31</f>
        <v>43101</v>
      </c>
      <c r="C93" s="152"/>
      <c r="D93" s="152">
        <f t="shared" ref="D93:D96" si="54">(F92+(C93+E93)/2)*H93/12</f>
        <v>27027.925876041671</v>
      </c>
      <c r="E93" s="199">
        <v>-1162250.77</v>
      </c>
      <c r="F93" s="156">
        <f t="shared" ref="F93:F98" si="55">F92+C93+D93+E93</f>
        <v>7077316.9058760423</v>
      </c>
      <c r="G93" s="38"/>
      <c r="H93" s="200">
        <f t="shared" ref="H93:H101" si="56">H25</f>
        <v>4.2500000000000003E-2</v>
      </c>
      <c r="I93" s="38"/>
      <c r="J93" s="201">
        <f t="shared" si="53"/>
        <v>43101</v>
      </c>
      <c r="K93" s="38"/>
      <c r="L93" s="156"/>
      <c r="M93" s="156">
        <f t="shared" ref="M93:M97" si="57">(O92+(L93+N93)/2)*Q93/12</f>
        <v>16638.237432291669</v>
      </c>
      <c r="N93" s="199">
        <v>-1079079.8700000001</v>
      </c>
      <c r="O93" s="152">
        <f t="shared" ref="O93:O104" si="58">O92+L93+M93+N93</f>
        <v>4174953.5774322916</v>
      </c>
      <c r="Q93" s="153">
        <f>H93</f>
        <v>4.2500000000000003E-2</v>
      </c>
    </row>
    <row r="94" spans="1:17" ht="14.4" customHeight="1">
      <c r="A94" s="150">
        <f t="shared" ref="A94:A104" si="59">A93+31</f>
        <v>43132</v>
      </c>
      <c r="C94" s="152"/>
      <c r="D94" s="152">
        <f t="shared" si="54"/>
        <v>23441.729642685987</v>
      </c>
      <c r="E94" s="199">
        <v>-916951.19</v>
      </c>
      <c r="F94" s="156">
        <f t="shared" si="55"/>
        <v>6183807.4455187283</v>
      </c>
      <c r="G94" s="38"/>
      <c r="H94" s="200">
        <f t="shared" si="56"/>
        <v>4.2500000000000003E-2</v>
      </c>
      <c r="I94" s="38"/>
      <c r="J94" s="201">
        <f t="shared" si="53"/>
        <v>43132</v>
      </c>
      <c r="K94" s="38"/>
      <c r="L94" s="156"/>
      <c r="M94" s="156">
        <f t="shared" si="57"/>
        <v>13071.345164864366</v>
      </c>
      <c r="N94" s="199">
        <v>-968441.65</v>
      </c>
      <c r="O94" s="152">
        <f t="shared" si="58"/>
        <v>3219583.272597156</v>
      </c>
      <c r="Q94" s="153">
        <f t="shared" ref="Q94:Q104" si="60">H94</f>
        <v>4.2500000000000003E-2</v>
      </c>
    </row>
    <row r="95" spans="1:17" ht="14.4" customHeight="1">
      <c r="A95" s="150">
        <f t="shared" si="59"/>
        <v>43163</v>
      </c>
      <c r="C95" s="152"/>
      <c r="D95" s="152">
        <f t="shared" si="54"/>
        <v>20168.611673712163</v>
      </c>
      <c r="E95" s="199">
        <v>-978281.24</v>
      </c>
      <c r="F95" s="156">
        <f t="shared" si="55"/>
        <v>5225694.8171924399</v>
      </c>
      <c r="G95" s="38"/>
      <c r="H95" s="200">
        <f t="shared" si="56"/>
        <v>4.2500000000000003E-2</v>
      </c>
      <c r="I95" s="38"/>
      <c r="J95" s="201">
        <f t="shared" si="53"/>
        <v>43163</v>
      </c>
      <c r="K95" s="38"/>
      <c r="L95" s="156"/>
      <c r="M95" s="156">
        <f t="shared" si="57"/>
        <v>9914.6927633649284</v>
      </c>
      <c r="N95" s="199">
        <v>-840281.22</v>
      </c>
      <c r="O95" s="152">
        <f t="shared" si="58"/>
        <v>2389216.7453605207</v>
      </c>
      <c r="Q95" s="153">
        <f t="shared" si="60"/>
        <v>4.2500000000000003E-2</v>
      </c>
    </row>
    <row r="96" spans="1:17" ht="14.4" customHeight="1">
      <c r="A96" s="150">
        <f t="shared" si="59"/>
        <v>43194</v>
      </c>
      <c r="C96" s="152"/>
      <c r="D96" s="152">
        <f t="shared" si="54"/>
        <v>18086.98756741684</v>
      </c>
      <c r="E96" s="199">
        <v>-740255.37</v>
      </c>
      <c r="F96" s="156">
        <f>F95+C96+D96+E96</f>
        <v>4503526.4347598562</v>
      </c>
      <c r="G96" s="38"/>
      <c r="H96" s="200">
        <f t="shared" si="56"/>
        <v>4.4699999999999997E-2</v>
      </c>
      <c r="I96" s="38"/>
      <c r="J96" s="201">
        <f t="shared" si="53"/>
        <v>43194</v>
      </c>
      <c r="K96" s="38"/>
      <c r="L96" s="156"/>
      <c r="M96" s="156">
        <f t="shared" si="57"/>
        <v>7931.4674263429379</v>
      </c>
      <c r="N96" s="199">
        <v>-519927.49</v>
      </c>
      <c r="O96" s="152">
        <f t="shared" si="58"/>
        <v>1877220.7227868636</v>
      </c>
      <c r="Q96" s="153">
        <f t="shared" si="60"/>
        <v>4.4699999999999997E-2</v>
      </c>
    </row>
    <row r="97" spans="1:20" ht="14.4" customHeight="1">
      <c r="A97" s="150">
        <f t="shared" si="59"/>
        <v>43225</v>
      </c>
      <c r="C97" s="152"/>
      <c r="D97" s="152">
        <f>(F96+(C97+E97)/2)*H97/12</f>
        <v>15607.759330230461</v>
      </c>
      <c r="E97" s="199">
        <v>-627047.86</v>
      </c>
      <c r="F97" s="156">
        <f>F96+C97+D97+E97</f>
        <v>3892086.3340900871</v>
      </c>
      <c r="G97" s="38"/>
      <c r="H97" s="200">
        <f t="shared" si="56"/>
        <v>4.4699999999999997E-2</v>
      </c>
      <c r="I97" s="38"/>
      <c r="J97" s="201">
        <f t="shared" si="53"/>
        <v>43225</v>
      </c>
      <c r="K97" s="38"/>
      <c r="L97" s="156"/>
      <c r="M97" s="156">
        <f t="shared" si="57"/>
        <v>6666.505525131066</v>
      </c>
      <c r="N97" s="199">
        <v>-175109.62</v>
      </c>
      <c r="O97" s="152">
        <f t="shared" si="58"/>
        <v>1708777.6083119945</v>
      </c>
      <c r="Q97" s="153">
        <f t="shared" si="60"/>
        <v>4.4699999999999997E-2</v>
      </c>
    </row>
    <row r="98" spans="1:20" ht="14.4" customHeight="1">
      <c r="A98" s="150">
        <f t="shared" si="59"/>
        <v>43256</v>
      </c>
      <c r="C98" s="152"/>
      <c r="D98" s="152">
        <f>(F97+(C98+E98)/2)*H98/12</f>
        <v>13367.244856360572</v>
      </c>
      <c r="E98" s="199">
        <v>-607128.44999999995</v>
      </c>
      <c r="F98" s="156">
        <f t="shared" si="55"/>
        <v>3298325.1289464477</v>
      </c>
      <c r="G98" s="38"/>
      <c r="H98" s="200">
        <f t="shared" si="56"/>
        <v>4.4699999999999997E-2</v>
      </c>
      <c r="I98" s="38"/>
      <c r="J98" s="201">
        <f t="shared" si="53"/>
        <v>43256</v>
      </c>
      <c r="K98" s="38"/>
      <c r="L98" s="156"/>
      <c r="M98" s="156">
        <f>(O97+(L98+N98)/2)*Q98/12</f>
        <v>6104.1915960871784</v>
      </c>
      <c r="N98" s="199">
        <v>-140136.91</v>
      </c>
      <c r="O98" s="152">
        <f t="shared" si="58"/>
        <v>1574744.8899080816</v>
      </c>
      <c r="Q98" s="153">
        <f t="shared" si="60"/>
        <v>4.4699999999999997E-2</v>
      </c>
    </row>
    <row r="99" spans="1:20" ht="14.4" hidden="1" customHeight="1">
      <c r="A99" s="150">
        <f t="shared" si="59"/>
        <v>43287</v>
      </c>
      <c r="C99" s="152"/>
      <c r="D99" s="152">
        <f>(F98+(C99+E99)/2)*H99/12</f>
        <v>0</v>
      </c>
      <c r="E99" s="199"/>
      <c r="F99" s="156">
        <f t="shared" ref="F99:F104" si="61">F98+C99+D99+E99</f>
        <v>3298325.1289464477</v>
      </c>
      <c r="G99" s="38"/>
      <c r="H99" s="200">
        <f t="shared" si="56"/>
        <v>0</v>
      </c>
      <c r="I99" s="38"/>
      <c r="J99" s="201">
        <f t="shared" si="53"/>
        <v>43287</v>
      </c>
      <c r="K99" s="38"/>
      <c r="L99" s="156"/>
      <c r="M99" s="156">
        <f>(O98+(L99+N99)/2)*Q99/12</f>
        <v>0</v>
      </c>
      <c r="N99" s="199"/>
      <c r="O99" s="152">
        <f t="shared" si="58"/>
        <v>1574744.8899080816</v>
      </c>
      <c r="Q99" s="153">
        <f t="shared" si="60"/>
        <v>0</v>
      </c>
    </row>
    <row r="100" spans="1:20" ht="14.4" hidden="1" customHeight="1">
      <c r="A100" s="150">
        <f t="shared" si="59"/>
        <v>43318</v>
      </c>
      <c r="C100" s="152"/>
      <c r="D100" s="152">
        <f t="shared" ref="D100:D104" si="62">(F99+(C100+E100)/2)*H100/12</f>
        <v>0</v>
      </c>
      <c r="E100" s="199"/>
      <c r="F100" s="156">
        <f t="shared" si="61"/>
        <v>3298325.1289464477</v>
      </c>
      <c r="G100" s="38"/>
      <c r="H100" s="200">
        <f t="shared" si="56"/>
        <v>0</v>
      </c>
      <c r="I100" s="38"/>
      <c r="J100" s="201">
        <f t="shared" si="53"/>
        <v>43318</v>
      </c>
      <c r="K100" s="38"/>
      <c r="L100" s="156"/>
      <c r="M100" s="156">
        <f>(O99+(L100+N100)/2)*Q100/12</f>
        <v>0</v>
      </c>
      <c r="N100" s="199"/>
      <c r="O100" s="152">
        <f t="shared" si="58"/>
        <v>1574744.8899080816</v>
      </c>
      <c r="Q100" s="153">
        <f t="shared" si="60"/>
        <v>0</v>
      </c>
    </row>
    <row r="101" spans="1:20" hidden="1">
      <c r="A101" s="150">
        <f t="shared" si="59"/>
        <v>43349</v>
      </c>
      <c r="C101" s="152"/>
      <c r="D101" s="152">
        <f t="shared" si="62"/>
        <v>0</v>
      </c>
      <c r="E101" s="199"/>
      <c r="F101" s="156">
        <f t="shared" si="61"/>
        <v>3298325.1289464477</v>
      </c>
      <c r="G101" s="38"/>
      <c r="H101" s="200">
        <f t="shared" si="56"/>
        <v>0</v>
      </c>
      <c r="I101" s="38"/>
      <c r="J101" s="201">
        <f t="shared" si="53"/>
        <v>43349</v>
      </c>
      <c r="K101" s="38"/>
      <c r="L101" s="202"/>
      <c r="M101" s="156">
        <f>(O100+(L101+N101)/2)*Q101/12</f>
        <v>0</v>
      </c>
      <c r="N101" s="199"/>
      <c r="O101" s="152">
        <f t="shared" si="58"/>
        <v>1574744.8899080816</v>
      </c>
      <c r="Q101" s="153">
        <f t="shared" si="60"/>
        <v>0</v>
      </c>
    </row>
    <row r="102" spans="1:20" hidden="1">
      <c r="A102" s="150">
        <f t="shared" si="59"/>
        <v>43380</v>
      </c>
      <c r="C102" s="158"/>
      <c r="D102" s="152">
        <f t="shared" si="62"/>
        <v>0</v>
      </c>
      <c r="E102" s="199"/>
      <c r="F102" s="156">
        <f>F101+C102+D102+E102</f>
        <v>3298325.1289464477</v>
      </c>
      <c r="G102" s="38"/>
      <c r="H102" s="200">
        <f>H34</f>
        <v>0</v>
      </c>
      <c r="I102" s="38"/>
      <c r="J102" s="201">
        <f t="shared" si="53"/>
        <v>43380</v>
      </c>
      <c r="K102" s="38"/>
      <c r="L102" s="159"/>
      <c r="M102" s="156">
        <f>(O101+L102+(N102)/2)*Q102/12</f>
        <v>0</v>
      </c>
      <c r="N102" s="199"/>
      <c r="O102" s="152">
        <f>O101+L102+M102+N102</f>
        <v>1574744.8899080816</v>
      </c>
      <c r="Q102" s="153">
        <f t="shared" si="60"/>
        <v>0</v>
      </c>
      <c r="T102" s="199"/>
    </row>
    <row r="103" spans="1:20" hidden="1">
      <c r="A103" s="150">
        <f t="shared" si="59"/>
        <v>43411</v>
      </c>
      <c r="B103" s="73" t="s">
        <v>144</v>
      </c>
      <c r="C103" s="158"/>
      <c r="D103" s="152">
        <f t="shared" si="62"/>
        <v>0</v>
      </c>
      <c r="E103" s="203"/>
      <c r="F103" s="156">
        <f>F102+C103+D103+E103</f>
        <v>3298325.1289464477</v>
      </c>
      <c r="G103" s="38"/>
      <c r="H103" s="200">
        <f>H102</f>
        <v>0</v>
      </c>
      <c r="I103" s="38"/>
      <c r="J103" s="201">
        <f t="shared" si="53"/>
        <v>43411</v>
      </c>
      <c r="K103" s="38" t="s">
        <v>144</v>
      </c>
      <c r="L103" s="159"/>
      <c r="M103" s="156">
        <f>(O102+(L103+N103)/2)*Q103/12</f>
        <v>0</v>
      </c>
      <c r="N103" s="199"/>
      <c r="O103" s="152">
        <f>O102+L103+M103+N103</f>
        <v>1574744.8899080816</v>
      </c>
      <c r="Q103" s="153">
        <f t="shared" si="60"/>
        <v>0</v>
      </c>
      <c r="T103" s="199"/>
    </row>
    <row r="104" spans="1:20" ht="13.95" hidden="1" customHeight="1">
      <c r="A104" s="150">
        <f t="shared" si="59"/>
        <v>43442</v>
      </c>
      <c r="B104" s="151"/>
      <c r="C104" s="158"/>
      <c r="D104" s="152">
        <f t="shared" si="62"/>
        <v>0</v>
      </c>
      <c r="E104" s="199"/>
      <c r="F104" s="156">
        <f t="shared" si="61"/>
        <v>3298325.1289464477</v>
      </c>
      <c r="G104" s="38"/>
      <c r="H104" s="200">
        <f>H103</f>
        <v>0</v>
      </c>
      <c r="I104" s="38"/>
      <c r="J104" s="201">
        <f t="shared" si="53"/>
        <v>43442</v>
      </c>
      <c r="K104" s="204"/>
      <c r="L104" s="159"/>
      <c r="M104" s="156">
        <f>(O103+(L104+N104)/2)*Q104/12</f>
        <v>0</v>
      </c>
      <c r="N104" s="199"/>
      <c r="O104" s="152">
        <f t="shared" si="58"/>
        <v>1574744.8899080816</v>
      </c>
      <c r="Q104" s="153">
        <f t="shared" si="60"/>
        <v>0</v>
      </c>
      <c r="T104" s="199"/>
    </row>
    <row r="105" spans="1:20" ht="11.4" customHeight="1">
      <c r="E105" s="38"/>
      <c r="F105" s="156"/>
      <c r="G105" s="38"/>
      <c r="H105" s="38"/>
      <c r="I105" s="38"/>
      <c r="J105" s="38"/>
      <c r="K105" s="38"/>
      <c r="L105" s="38"/>
      <c r="M105" s="38"/>
      <c r="N105" s="38"/>
      <c r="O105" s="152"/>
    </row>
    <row r="106" spans="1:20" ht="16.2" customHeight="1">
      <c r="A106" s="73">
        <v>182338</v>
      </c>
      <c r="B106" s="73" t="s">
        <v>53</v>
      </c>
      <c r="C106" s="178" t="s">
        <v>108</v>
      </c>
      <c r="D106" s="178" t="s">
        <v>109</v>
      </c>
      <c r="E106" s="205"/>
      <c r="F106" s="156" t="s">
        <v>111</v>
      </c>
      <c r="G106" s="38"/>
      <c r="H106" s="205" t="s">
        <v>109</v>
      </c>
      <c r="I106" s="38"/>
      <c r="J106" s="38">
        <v>182338</v>
      </c>
      <c r="K106" s="38" t="s">
        <v>54</v>
      </c>
      <c r="L106" s="205" t="s">
        <v>108</v>
      </c>
      <c r="M106" s="205" t="s">
        <v>109</v>
      </c>
      <c r="N106" s="205"/>
      <c r="O106" s="152" t="s">
        <v>111</v>
      </c>
      <c r="Q106" s="178" t="s">
        <v>109</v>
      </c>
    </row>
    <row r="107" spans="1:20">
      <c r="C107" s="178" t="s">
        <v>112</v>
      </c>
      <c r="D107" s="178" t="s">
        <v>113</v>
      </c>
      <c r="E107" s="205" t="s">
        <v>114</v>
      </c>
      <c r="F107" s="156" t="s">
        <v>110</v>
      </c>
      <c r="G107" s="38"/>
      <c r="H107" s="205" t="s">
        <v>115</v>
      </c>
      <c r="I107" s="38"/>
      <c r="J107" s="38"/>
      <c r="K107" s="38"/>
      <c r="L107" s="205" t="s">
        <v>112</v>
      </c>
      <c r="M107" s="205" t="s">
        <v>113</v>
      </c>
      <c r="N107" s="205" t="s">
        <v>114</v>
      </c>
      <c r="O107" s="152" t="s">
        <v>110</v>
      </c>
      <c r="Q107" s="178" t="s">
        <v>115</v>
      </c>
    </row>
    <row r="108" spans="1:20">
      <c r="A108" s="150">
        <f>$A$24</f>
        <v>43070</v>
      </c>
      <c r="B108" s="151"/>
      <c r="C108" s="151"/>
      <c r="E108" s="38"/>
      <c r="F108" s="156">
        <v>689441.81</v>
      </c>
      <c r="G108" s="38"/>
      <c r="H108" s="38"/>
      <c r="I108" s="38"/>
      <c r="J108" s="201">
        <f t="shared" ref="J108:J120" si="63">A108</f>
        <v>43070</v>
      </c>
      <c r="K108" s="204"/>
      <c r="L108" s="204"/>
      <c r="M108" s="38"/>
      <c r="N108" s="38"/>
      <c r="O108" s="152">
        <v>1588928.48</v>
      </c>
    </row>
    <row r="109" spans="1:20">
      <c r="A109" s="150">
        <f>A108+31</f>
        <v>43101</v>
      </c>
      <c r="C109" s="152"/>
      <c r="D109" s="152">
        <f>(F108+(C109+E109)/2)*H109/12</f>
        <v>2324.531001041667</v>
      </c>
      <c r="E109" s="199">
        <v>-66207.289999999994</v>
      </c>
      <c r="F109" s="156">
        <f>F108+C109+D109+E109</f>
        <v>625559.05100104166</v>
      </c>
      <c r="G109" s="38"/>
      <c r="H109" s="200">
        <f t="shared" ref="H109:H120" si="64">H25</f>
        <v>4.2500000000000003E-2</v>
      </c>
      <c r="I109" s="38"/>
      <c r="J109" s="201">
        <f t="shared" si="63"/>
        <v>43101</v>
      </c>
      <c r="K109" s="38"/>
      <c r="L109" s="156"/>
      <c r="M109" s="156">
        <f>(O108+(L109+N109)/2)*Q109/12</f>
        <v>5166.4391166666674</v>
      </c>
      <c r="N109" s="199">
        <v>-260338.4</v>
      </c>
      <c r="O109" s="152">
        <f>O108+L109+M109+N109</f>
        <v>1333756.5191166666</v>
      </c>
      <c r="Q109" s="153">
        <f>H109</f>
        <v>4.2500000000000003E-2</v>
      </c>
    </row>
    <row r="110" spans="1:20">
      <c r="A110" s="150">
        <f t="shared" ref="A110:A120" si="65">A109+31</f>
        <v>43132</v>
      </c>
      <c r="C110" s="152"/>
      <c r="D110" s="152">
        <f>(F109+(C110+E110)/2)*H110/12</f>
        <v>2096.210609795356</v>
      </c>
      <c r="E110" s="199">
        <v>-67375.64</v>
      </c>
      <c r="F110" s="156">
        <f>F109+C110+D110+E110</f>
        <v>560279.62161083706</v>
      </c>
      <c r="G110" s="38"/>
      <c r="H110" s="200">
        <f t="shared" si="64"/>
        <v>4.2500000000000003E-2</v>
      </c>
      <c r="I110" s="38"/>
      <c r="J110" s="201">
        <f t="shared" si="63"/>
        <v>43132</v>
      </c>
      <c r="K110" s="38"/>
      <c r="L110" s="156"/>
      <c r="M110" s="156">
        <f>(O109+(L110+N110)/2)*Q110/12</f>
        <v>4219.3261885381953</v>
      </c>
      <c r="N110" s="199">
        <v>-284834.71999999997</v>
      </c>
      <c r="O110" s="152">
        <f>O109+L110+M110+N110</f>
        <v>1053141.1253052049</v>
      </c>
      <c r="Q110" s="153">
        <f t="shared" ref="Q110:Q120" si="66">H110</f>
        <v>4.2500000000000003E-2</v>
      </c>
    </row>
    <row r="111" spans="1:20">
      <c r="A111" s="150">
        <f t="shared" si="65"/>
        <v>43163</v>
      </c>
      <c r="C111" s="152"/>
      <c r="D111" s="152">
        <f>(F110+(C111+E111)/2)*H111/12</f>
        <v>1871.3336557050479</v>
      </c>
      <c r="E111" s="199">
        <v>-63806.12</v>
      </c>
      <c r="F111" s="156">
        <f>F110+C111+D111+E111</f>
        <v>498344.83526654216</v>
      </c>
      <c r="G111" s="38"/>
      <c r="H111" s="200">
        <f t="shared" si="64"/>
        <v>4.2500000000000003E-2</v>
      </c>
      <c r="I111" s="38"/>
      <c r="J111" s="201">
        <f t="shared" si="63"/>
        <v>43163</v>
      </c>
      <c r="K111" s="38"/>
      <c r="L111" s="156"/>
      <c r="M111" s="156">
        <f>(O110+(L111+N111)/2)*Q111/12</f>
        <v>3337.691848997601</v>
      </c>
      <c r="N111" s="199">
        <v>-221468.03</v>
      </c>
      <c r="O111" s="152">
        <f>O110+L111+M111+N111</f>
        <v>835010.78715420235</v>
      </c>
      <c r="Q111" s="153">
        <f t="shared" si="66"/>
        <v>4.2500000000000003E-2</v>
      </c>
    </row>
    <row r="112" spans="1:20">
      <c r="A112" s="150">
        <f t="shared" si="65"/>
        <v>43194</v>
      </c>
      <c r="C112" s="152"/>
      <c r="D112" s="152">
        <f>(F111+(C112+E112)/2)*H112/12</f>
        <v>1741.2187131178696</v>
      </c>
      <c r="E112" s="199">
        <v>-61807.14</v>
      </c>
      <c r="F112" s="156">
        <f>F111+C112+D112+E112</f>
        <v>438278.91397966002</v>
      </c>
      <c r="G112" s="38"/>
      <c r="H112" s="200">
        <f t="shared" si="64"/>
        <v>4.4699999999999997E-2</v>
      </c>
      <c r="I112" s="38"/>
      <c r="J112" s="201">
        <f t="shared" si="63"/>
        <v>43194</v>
      </c>
      <c r="K112" s="38"/>
      <c r="L112" s="156"/>
      <c r="M112" s="156">
        <f>(O111+(L112+N112)/2)*Q112/12</f>
        <v>2793.3812330244036</v>
      </c>
      <c r="N112" s="199">
        <v>-170219.57</v>
      </c>
      <c r="O112" s="152">
        <f>O111+L112+M112+N112</f>
        <v>667584.5983872267</v>
      </c>
      <c r="Q112" s="153">
        <f t="shared" si="66"/>
        <v>4.4699999999999997E-2</v>
      </c>
    </row>
    <row r="113" spans="1:17">
      <c r="A113" s="150">
        <f t="shared" si="65"/>
        <v>43225</v>
      </c>
      <c r="C113" s="152"/>
      <c r="D113" s="152">
        <f t="shared" ref="D113:D120" si="67">(F112+(C113+E113)/2)*H113/12</f>
        <v>1508.0332613242335</v>
      </c>
      <c r="E113" s="199">
        <v>-66875.539999999994</v>
      </c>
      <c r="F113" s="156">
        <f t="shared" ref="F113:F120" si="68">F112+C113+D113+E113</f>
        <v>372911.40724098426</v>
      </c>
      <c r="G113" s="38"/>
      <c r="H113" s="200">
        <f t="shared" si="64"/>
        <v>4.4699999999999997E-2</v>
      </c>
      <c r="I113" s="38"/>
      <c r="J113" s="201">
        <f t="shared" si="63"/>
        <v>43225</v>
      </c>
      <c r="K113" s="38"/>
      <c r="L113" s="156"/>
      <c r="M113" s="156">
        <f t="shared" ref="M113:M120" si="69">(O112+(L113+N113)/2)*Q113/12</f>
        <v>2317.2483664924193</v>
      </c>
      <c r="N113" s="199">
        <v>-91009</v>
      </c>
      <c r="O113" s="152">
        <f t="shared" ref="O113:O120" si="70">O112+L113+M113+N113</f>
        <v>578892.84675371915</v>
      </c>
      <c r="Q113" s="153">
        <f t="shared" si="66"/>
        <v>4.4699999999999997E-2</v>
      </c>
    </row>
    <row r="114" spans="1:17">
      <c r="A114" s="150">
        <f t="shared" si="65"/>
        <v>43256</v>
      </c>
      <c r="C114" s="152"/>
      <c r="D114" s="152">
        <f t="shared" si="67"/>
        <v>1261.3882839726664</v>
      </c>
      <c r="E114" s="199">
        <v>-68567.360000000001</v>
      </c>
      <c r="F114" s="156">
        <f t="shared" si="68"/>
        <v>305605.43552495696</v>
      </c>
      <c r="G114" s="38"/>
      <c r="H114" s="200">
        <f t="shared" si="64"/>
        <v>4.4699999999999997E-2</v>
      </c>
      <c r="I114" s="38"/>
      <c r="J114" s="201">
        <f t="shared" si="63"/>
        <v>43256</v>
      </c>
      <c r="K114" s="38"/>
      <c r="L114" s="156"/>
      <c r="M114" s="156">
        <f t="shared" si="69"/>
        <v>2001.2494397826033</v>
      </c>
      <c r="N114" s="199">
        <v>-83289.350000000006</v>
      </c>
      <c r="O114" s="152">
        <f t="shared" si="70"/>
        <v>497604.74619350175</v>
      </c>
      <c r="Q114" s="153">
        <f t="shared" si="66"/>
        <v>4.4699999999999997E-2</v>
      </c>
    </row>
    <row r="115" spans="1:17" hidden="1">
      <c r="A115" s="150">
        <f t="shared" si="65"/>
        <v>43287</v>
      </c>
      <c r="C115" s="152"/>
      <c r="D115" s="152">
        <f t="shared" si="67"/>
        <v>0</v>
      </c>
      <c r="E115" s="199"/>
      <c r="F115" s="156">
        <f t="shared" si="68"/>
        <v>305605.43552495696</v>
      </c>
      <c r="G115" s="38"/>
      <c r="H115" s="200">
        <f t="shared" si="64"/>
        <v>0</v>
      </c>
      <c r="I115" s="38"/>
      <c r="J115" s="201">
        <f t="shared" si="63"/>
        <v>43287</v>
      </c>
      <c r="K115" s="38"/>
      <c r="L115" s="156"/>
      <c r="M115" s="156">
        <f t="shared" si="69"/>
        <v>0</v>
      </c>
      <c r="N115" s="199"/>
      <c r="O115" s="152">
        <f t="shared" si="70"/>
        <v>497604.74619350175</v>
      </c>
      <c r="Q115" s="153">
        <f t="shared" si="66"/>
        <v>0</v>
      </c>
    </row>
    <row r="116" spans="1:17" hidden="1">
      <c r="A116" s="150">
        <f t="shared" si="65"/>
        <v>43318</v>
      </c>
      <c r="C116" s="152"/>
      <c r="D116" s="152">
        <f t="shared" si="67"/>
        <v>0</v>
      </c>
      <c r="E116" s="199"/>
      <c r="F116" s="156">
        <f t="shared" si="68"/>
        <v>305605.43552495696</v>
      </c>
      <c r="G116" s="38"/>
      <c r="H116" s="200">
        <f t="shared" si="64"/>
        <v>0</v>
      </c>
      <c r="I116" s="38"/>
      <c r="J116" s="201">
        <f t="shared" si="63"/>
        <v>43318</v>
      </c>
      <c r="K116" s="38"/>
      <c r="L116" s="156"/>
      <c r="M116" s="156">
        <f>(O115+(L116+N116)/2)*Q116/12</f>
        <v>0</v>
      </c>
      <c r="N116" s="199"/>
      <c r="O116" s="152">
        <f t="shared" si="70"/>
        <v>497604.74619350175</v>
      </c>
      <c r="Q116" s="153">
        <f t="shared" si="66"/>
        <v>0</v>
      </c>
    </row>
    <row r="117" spans="1:17" hidden="1">
      <c r="A117" s="150">
        <f t="shared" si="65"/>
        <v>43349</v>
      </c>
      <c r="C117" s="152"/>
      <c r="D117" s="152">
        <f t="shared" si="67"/>
        <v>0</v>
      </c>
      <c r="E117" s="199"/>
      <c r="F117" s="156">
        <f t="shared" si="68"/>
        <v>305605.43552495696</v>
      </c>
      <c r="G117" s="38"/>
      <c r="H117" s="200">
        <f t="shared" si="64"/>
        <v>0</v>
      </c>
      <c r="I117" s="38"/>
      <c r="J117" s="201">
        <f t="shared" si="63"/>
        <v>43349</v>
      </c>
      <c r="K117" s="38"/>
      <c r="L117" s="156"/>
      <c r="M117" s="156">
        <f t="shared" si="69"/>
        <v>0</v>
      </c>
      <c r="N117" s="199"/>
      <c r="O117" s="152">
        <f t="shared" si="70"/>
        <v>497604.74619350175</v>
      </c>
      <c r="Q117" s="153">
        <f t="shared" si="66"/>
        <v>0</v>
      </c>
    </row>
    <row r="118" spans="1:17" hidden="1">
      <c r="A118" s="150">
        <f t="shared" si="65"/>
        <v>43380</v>
      </c>
      <c r="C118" s="152"/>
      <c r="D118" s="152">
        <f>(F117+C118+(E118)/2)*H118/12</f>
        <v>0</v>
      </c>
      <c r="E118" s="199"/>
      <c r="F118" s="156">
        <f t="shared" si="68"/>
        <v>305605.43552495696</v>
      </c>
      <c r="G118" s="38"/>
      <c r="H118" s="200">
        <f t="shared" si="64"/>
        <v>0</v>
      </c>
      <c r="I118" s="38"/>
      <c r="J118" s="201">
        <f t="shared" si="63"/>
        <v>43380</v>
      </c>
      <c r="K118" s="38"/>
      <c r="L118" s="156"/>
      <c r="M118" s="156">
        <f>(O117+L118+(N118)/2)*Q118/12</f>
        <v>0</v>
      </c>
      <c r="N118" s="199"/>
      <c r="O118" s="152">
        <f t="shared" si="70"/>
        <v>497604.74619350175</v>
      </c>
      <c r="Q118" s="153">
        <f t="shared" si="66"/>
        <v>0</v>
      </c>
    </row>
    <row r="119" spans="1:17" hidden="1">
      <c r="A119" s="150">
        <f t="shared" si="65"/>
        <v>43411</v>
      </c>
      <c r="B119" s="73" t="s">
        <v>144</v>
      </c>
      <c r="C119" s="152"/>
      <c r="D119" s="152">
        <f t="shared" si="67"/>
        <v>0</v>
      </c>
      <c r="E119" s="199"/>
      <c r="F119" s="156">
        <f t="shared" si="68"/>
        <v>305605.43552495696</v>
      </c>
      <c r="G119" s="38"/>
      <c r="H119" s="200">
        <f t="shared" si="64"/>
        <v>0</v>
      </c>
      <c r="I119" s="38"/>
      <c r="J119" s="201">
        <f t="shared" si="63"/>
        <v>43411</v>
      </c>
      <c r="K119" s="38" t="s">
        <v>144</v>
      </c>
      <c r="L119" s="156"/>
      <c r="M119" s="156">
        <f t="shared" si="69"/>
        <v>0</v>
      </c>
      <c r="N119" s="199"/>
      <c r="O119" s="152">
        <f t="shared" si="70"/>
        <v>497604.74619350175</v>
      </c>
      <c r="Q119" s="153">
        <f t="shared" si="66"/>
        <v>0</v>
      </c>
    </row>
    <row r="120" spans="1:17" hidden="1">
      <c r="A120" s="150">
        <f t="shared" si="65"/>
        <v>43442</v>
      </c>
      <c r="C120" s="152"/>
      <c r="D120" s="152">
        <f t="shared" si="67"/>
        <v>0</v>
      </c>
      <c r="E120" s="199"/>
      <c r="F120" s="156">
        <f t="shared" si="68"/>
        <v>305605.43552495696</v>
      </c>
      <c r="G120" s="38"/>
      <c r="H120" s="200">
        <f t="shared" si="64"/>
        <v>0</v>
      </c>
      <c r="I120" s="38"/>
      <c r="J120" s="201">
        <f t="shared" si="63"/>
        <v>43442</v>
      </c>
      <c r="K120" s="38"/>
      <c r="L120" s="156"/>
      <c r="M120" s="156">
        <f t="shared" si="69"/>
        <v>0</v>
      </c>
      <c r="N120" s="199"/>
      <c r="O120" s="152">
        <f t="shared" si="70"/>
        <v>497604.74619350175</v>
      </c>
      <c r="Q120" s="153">
        <f t="shared" si="66"/>
        <v>0</v>
      </c>
    </row>
    <row r="121" spans="1:17">
      <c r="A121" s="150"/>
      <c r="C121" s="152"/>
      <c r="D121" s="152"/>
      <c r="F121" s="152"/>
      <c r="H121" s="153"/>
      <c r="J121" s="150"/>
      <c r="L121" s="152"/>
      <c r="M121" s="152"/>
      <c r="O121" s="152"/>
      <c r="Q121" s="153"/>
    </row>
    <row r="122" spans="1:17">
      <c r="A122" s="73">
        <v>254328</v>
      </c>
      <c r="B122" s="73" t="s">
        <v>53</v>
      </c>
      <c r="C122" s="178" t="s">
        <v>108</v>
      </c>
      <c r="D122" s="178" t="s">
        <v>109</v>
      </c>
      <c r="E122" s="178"/>
      <c r="F122" s="152" t="s">
        <v>111</v>
      </c>
      <c r="H122" s="178" t="s">
        <v>109</v>
      </c>
      <c r="J122" s="73">
        <v>254328</v>
      </c>
      <c r="K122" s="73" t="s">
        <v>54</v>
      </c>
      <c r="L122" s="178" t="s">
        <v>108</v>
      </c>
      <c r="M122" s="178" t="s">
        <v>109</v>
      </c>
      <c r="N122" s="178"/>
      <c r="O122" s="152" t="s">
        <v>111</v>
      </c>
      <c r="Q122" s="178" t="s">
        <v>109</v>
      </c>
    </row>
    <row r="123" spans="1:17">
      <c r="C123" s="178" t="s">
        <v>112</v>
      </c>
      <c r="D123" s="178" t="s">
        <v>113</v>
      </c>
      <c r="E123" s="178" t="s">
        <v>114</v>
      </c>
      <c r="F123" s="152" t="s">
        <v>110</v>
      </c>
      <c r="H123" s="178" t="s">
        <v>115</v>
      </c>
      <c r="L123" s="178" t="s">
        <v>112</v>
      </c>
      <c r="M123" s="178" t="s">
        <v>113</v>
      </c>
      <c r="N123" s="178" t="s">
        <v>114</v>
      </c>
      <c r="O123" s="152" t="s">
        <v>110</v>
      </c>
      <c r="Q123" s="178" t="s">
        <v>115</v>
      </c>
    </row>
    <row r="124" spans="1:17">
      <c r="A124" s="150">
        <f>$A$24</f>
        <v>43070</v>
      </c>
      <c r="B124" s="151"/>
      <c r="C124" s="151"/>
      <c r="F124" s="152">
        <v>0</v>
      </c>
      <c r="J124" s="150">
        <f t="shared" ref="J124:J136" si="71">A124</f>
        <v>43070</v>
      </c>
      <c r="K124" s="151"/>
      <c r="L124" s="151"/>
      <c r="O124" s="152">
        <v>0</v>
      </c>
    </row>
    <row r="125" spans="1:17">
      <c r="A125" s="150">
        <f>A124+31</f>
        <v>43101</v>
      </c>
      <c r="C125" s="152"/>
      <c r="D125" s="152">
        <f t="shared" ref="D125:D136" si="72">(F124+(C125+E125)/2)*H125/12</f>
        <v>0</v>
      </c>
      <c r="F125" s="152">
        <f t="shared" ref="F125:F136" si="73">F124+C125+D125+E125</f>
        <v>0</v>
      </c>
      <c r="H125" s="153">
        <f t="shared" ref="H125:H136" si="74">H25</f>
        <v>4.2500000000000003E-2</v>
      </c>
      <c r="J125" s="150">
        <f t="shared" si="71"/>
        <v>43101</v>
      </c>
      <c r="L125" s="152"/>
      <c r="M125" s="152">
        <f t="shared" ref="M125:M136" si="75">(O124+(L125+N125)/2)*Q125/12</f>
        <v>0</v>
      </c>
      <c r="O125" s="152">
        <f t="shared" ref="O125:O136" si="76">O124+L125+M125+N125</f>
        <v>0</v>
      </c>
      <c r="Q125" s="153">
        <f>H125</f>
        <v>4.2500000000000003E-2</v>
      </c>
    </row>
    <row r="126" spans="1:17">
      <c r="A126" s="150">
        <f t="shared" ref="A126:A136" si="77">A125+31</f>
        <v>43132</v>
      </c>
      <c r="C126" s="152"/>
      <c r="D126" s="152">
        <f t="shared" si="72"/>
        <v>0</v>
      </c>
      <c r="F126" s="152">
        <f t="shared" si="73"/>
        <v>0</v>
      </c>
      <c r="H126" s="153">
        <f t="shared" si="74"/>
        <v>4.2500000000000003E-2</v>
      </c>
      <c r="J126" s="150">
        <f t="shared" si="71"/>
        <v>43132</v>
      </c>
      <c r="L126" s="152"/>
      <c r="M126" s="152">
        <f t="shared" si="75"/>
        <v>0</v>
      </c>
      <c r="O126" s="152">
        <f t="shared" si="76"/>
        <v>0</v>
      </c>
      <c r="Q126" s="153">
        <f t="shared" ref="Q126:Q136" si="78">H126</f>
        <v>4.2500000000000003E-2</v>
      </c>
    </row>
    <row r="127" spans="1:17">
      <c r="A127" s="150">
        <f t="shared" si="77"/>
        <v>43163</v>
      </c>
      <c r="C127" s="152"/>
      <c r="D127" s="152">
        <f t="shared" si="72"/>
        <v>0</v>
      </c>
      <c r="F127" s="152">
        <f t="shared" si="73"/>
        <v>0</v>
      </c>
      <c r="H127" s="153">
        <f t="shared" si="74"/>
        <v>4.2500000000000003E-2</v>
      </c>
      <c r="J127" s="150">
        <f t="shared" si="71"/>
        <v>43163</v>
      </c>
      <c r="L127" s="152"/>
      <c r="M127" s="152">
        <f t="shared" si="75"/>
        <v>0</v>
      </c>
      <c r="O127" s="152">
        <f t="shared" si="76"/>
        <v>0</v>
      </c>
      <c r="Q127" s="153">
        <f t="shared" si="78"/>
        <v>4.2500000000000003E-2</v>
      </c>
    </row>
    <row r="128" spans="1:17">
      <c r="A128" s="150">
        <f t="shared" si="77"/>
        <v>43194</v>
      </c>
      <c r="C128" s="152"/>
      <c r="D128" s="152">
        <f t="shared" si="72"/>
        <v>0</v>
      </c>
      <c r="F128" s="152">
        <f t="shared" si="73"/>
        <v>0</v>
      </c>
      <c r="H128" s="153">
        <f t="shared" si="74"/>
        <v>4.4699999999999997E-2</v>
      </c>
      <c r="J128" s="150">
        <f t="shared" si="71"/>
        <v>43194</v>
      </c>
      <c r="L128" s="152"/>
      <c r="M128" s="152">
        <f t="shared" si="75"/>
        <v>0</v>
      </c>
      <c r="O128" s="152">
        <f t="shared" si="76"/>
        <v>0</v>
      </c>
      <c r="Q128" s="153">
        <f t="shared" si="78"/>
        <v>4.4699999999999997E-2</v>
      </c>
    </row>
    <row r="129" spans="1:17">
      <c r="A129" s="150">
        <f t="shared" si="77"/>
        <v>43225</v>
      </c>
      <c r="C129" s="152"/>
      <c r="D129" s="152">
        <f t="shared" si="72"/>
        <v>0</v>
      </c>
      <c r="F129" s="152">
        <f t="shared" si="73"/>
        <v>0</v>
      </c>
      <c r="H129" s="153">
        <f t="shared" si="74"/>
        <v>4.4699999999999997E-2</v>
      </c>
      <c r="J129" s="150">
        <f t="shared" si="71"/>
        <v>43225</v>
      </c>
      <c r="L129" s="152"/>
      <c r="M129" s="152">
        <f t="shared" si="75"/>
        <v>0</v>
      </c>
      <c r="O129" s="152">
        <f t="shared" si="76"/>
        <v>0</v>
      </c>
      <c r="Q129" s="153">
        <f t="shared" si="78"/>
        <v>4.4699999999999997E-2</v>
      </c>
    </row>
    <row r="130" spans="1:17">
      <c r="A130" s="150">
        <f t="shared" si="77"/>
        <v>43256</v>
      </c>
      <c r="C130" s="152"/>
      <c r="D130" s="152">
        <f t="shared" si="72"/>
        <v>0</v>
      </c>
      <c r="F130" s="152">
        <f t="shared" si="73"/>
        <v>0</v>
      </c>
      <c r="H130" s="153">
        <f t="shared" si="74"/>
        <v>4.4699999999999997E-2</v>
      </c>
      <c r="J130" s="150">
        <f t="shared" si="71"/>
        <v>43256</v>
      </c>
      <c r="L130" s="152"/>
      <c r="M130" s="152">
        <f t="shared" si="75"/>
        <v>0</v>
      </c>
      <c r="O130" s="152">
        <f t="shared" si="76"/>
        <v>0</v>
      </c>
      <c r="Q130" s="153">
        <f t="shared" si="78"/>
        <v>4.4699999999999997E-2</v>
      </c>
    </row>
    <row r="131" spans="1:17" hidden="1">
      <c r="A131" s="150">
        <f t="shared" si="77"/>
        <v>43287</v>
      </c>
      <c r="C131" s="152"/>
      <c r="D131" s="152">
        <f t="shared" si="72"/>
        <v>0</v>
      </c>
      <c r="F131" s="152">
        <f t="shared" si="73"/>
        <v>0</v>
      </c>
      <c r="H131" s="153">
        <f t="shared" si="74"/>
        <v>0</v>
      </c>
      <c r="J131" s="150">
        <f t="shared" si="71"/>
        <v>43287</v>
      </c>
      <c r="L131" s="152"/>
      <c r="M131" s="152">
        <f t="shared" si="75"/>
        <v>0</v>
      </c>
      <c r="O131" s="152">
        <f t="shared" si="76"/>
        <v>0</v>
      </c>
      <c r="Q131" s="153">
        <f t="shared" si="78"/>
        <v>0</v>
      </c>
    </row>
    <row r="132" spans="1:17" hidden="1">
      <c r="A132" s="150">
        <f t="shared" si="77"/>
        <v>43318</v>
      </c>
      <c r="C132" s="152"/>
      <c r="D132" s="152">
        <f t="shared" si="72"/>
        <v>0</v>
      </c>
      <c r="F132" s="152">
        <f t="shared" si="73"/>
        <v>0</v>
      </c>
      <c r="H132" s="153">
        <f t="shared" si="74"/>
        <v>0</v>
      </c>
      <c r="J132" s="150">
        <f t="shared" si="71"/>
        <v>43318</v>
      </c>
      <c r="L132" s="152"/>
      <c r="M132" s="152">
        <f t="shared" si="75"/>
        <v>0</v>
      </c>
      <c r="O132" s="152">
        <f t="shared" si="76"/>
        <v>0</v>
      </c>
      <c r="Q132" s="153">
        <f t="shared" si="78"/>
        <v>0</v>
      </c>
    </row>
    <row r="133" spans="1:17" hidden="1">
      <c r="A133" s="150">
        <f t="shared" si="77"/>
        <v>43349</v>
      </c>
      <c r="C133" s="152"/>
      <c r="D133" s="152">
        <f t="shared" si="72"/>
        <v>0</v>
      </c>
      <c r="F133" s="152">
        <f t="shared" si="73"/>
        <v>0</v>
      </c>
      <c r="H133" s="153">
        <f t="shared" si="74"/>
        <v>0</v>
      </c>
      <c r="J133" s="150">
        <f t="shared" si="71"/>
        <v>43349</v>
      </c>
      <c r="L133" s="152"/>
      <c r="M133" s="152">
        <f t="shared" si="75"/>
        <v>0</v>
      </c>
      <c r="O133" s="152">
        <f t="shared" si="76"/>
        <v>0</v>
      </c>
      <c r="Q133" s="153">
        <f t="shared" si="78"/>
        <v>0</v>
      </c>
    </row>
    <row r="134" spans="1:17" hidden="1">
      <c r="A134" s="150">
        <f t="shared" si="77"/>
        <v>43380</v>
      </c>
      <c r="C134" s="152"/>
      <c r="D134" s="152">
        <f t="shared" si="72"/>
        <v>0</v>
      </c>
      <c r="F134" s="152">
        <f t="shared" si="73"/>
        <v>0</v>
      </c>
      <c r="H134" s="153">
        <f t="shared" si="74"/>
        <v>0</v>
      </c>
      <c r="J134" s="150">
        <f t="shared" si="71"/>
        <v>43380</v>
      </c>
      <c r="L134" s="152"/>
      <c r="M134" s="152">
        <f t="shared" si="75"/>
        <v>0</v>
      </c>
      <c r="O134" s="152">
        <f t="shared" si="76"/>
        <v>0</v>
      </c>
      <c r="Q134" s="153">
        <f t="shared" si="78"/>
        <v>0</v>
      </c>
    </row>
    <row r="135" spans="1:17" hidden="1">
      <c r="A135" s="150">
        <f t="shared" si="77"/>
        <v>43411</v>
      </c>
      <c r="D135" s="152">
        <f t="shared" si="72"/>
        <v>0</v>
      </c>
      <c r="E135" s="22"/>
      <c r="F135" s="152">
        <f t="shared" si="73"/>
        <v>0</v>
      </c>
      <c r="H135" s="153">
        <f t="shared" si="74"/>
        <v>0</v>
      </c>
      <c r="J135" s="150">
        <f t="shared" si="71"/>
        <v>43411</v>
      </c>
      <c r="M135" s="152">
        <f t="shared" si="75"/>
        <v>0</v>
      </c>
      <c r="N135" s="22"/>
      <c r="O135" s="152">
        <f t="shared" si="76"/>
        <v>0</v>
      </c>
      <c r="Q135" s="153">
        <f t="shared" si="78"/>
        <v>0</v>
      </c>
    </row>
    <row r="136" spans="1:17" hidden="1">
      <c r="A136" s="150">
        <f t="shared" si="77"/>
        <v>43442</v>
      </c>
      <c r="B136" s="151"/>
      <c r="C136" s="152"/>
      <c r="D136" s="152">
        <f t="shared" si="72"/>
        <v>0</v>
      </c>
      <c r="E136" s="22"/>
      <c r="F136" s="152">
        <f t="shared" si="73"/>
        <v>0</v>
      </c>
      <c r="H136" s="153">
        <f t="shared" si="74"/>
        <v>0</v>
      </c>
      <c r="J136" s="150">
        <f t="shared" si="71"/>
        <v>43442</v>
      </c>
      <c r="K136" s="151"/>
      <c r="L136" s="152"/>
      <c r="M136" s="152">
        <f t="shared" si="75"/>
        <v>0</v>
      </c>
      <c r="N136" s="22"/>
      <c r="O136" s="152">
        <f t="shared" si="76"/>
        <v>0</v>
      </c>
      <c r="Q136" s="153">
        <f t="shared" si="78"/>
        <v>0</v>
      </c>
    </row>
    <row r="137" spans="1:17">
      <c r="F137" s="152"/>
      <c r="O137" s="152"/>
    </row>
    <row r="138" spans="1:17">
      <c r="A138" s="73">
        <v>254338</v>
      </c>
      <c r="B138" s="73" t="s">
        <v>53</v>
      </c>
      <c r="C138" s="178" t="s">
        <v>108</v>
      </c>
      <c r="D138" s="178" t="s">
        <v>109</v>
      </c>
      <c r="E138" s="178"/>
      <c r="F138" s="152" t="s">
        <v>111</v>
      </c>
      <c r="H138" s="178" t="s">
        <v>109</v>
      </c>
      <c r="J138" s="73">
        <v>254338</v>
      </c>
      <c r="K138" s="73" t="s">
        <v>54</v>
      </c>
      <c r="L138" s="178" t="s">
        <v>108</v>
      </c>
      <c r="M138" s="178" t="s">
        <v>109</v>
      </c>
      <c r="N138" s="178"/>
      <c r="O138" s="152" t="s">
        <v>111</v>
      </c>
      <c r="Q138" s="178" t="s">
        <v>109</v>
      </c>
    </row>
    <row r="139" spans="1:17">
      <c r="C139" s="178" t="s">
        <v>112</v>
      </c>
      <c r="D139" s="178" t="s">
        <v>113</v>
      </c>
      <c r="E139" s="178" t="s">
        <v>114</v>
      </c>
      <c r="F139" s="152" t="s">
        <v>110</v>
      </c>
      <c r="H139" s="178" t="s">
        <v>115</v>
      </c>
      <c r="L139" s="178" t="s">
        <v>112</v>
      </c>
      <c r="M139" s="178" t="s">
        <v>113</v>
      </c>
      <c r="N139" s="178" t="s">
        <v>114</v>
      </c>
      <c r="O139" s="152" t="s">
        <v>110</v>
      </c>
      <c r="Q139" s="178" t="s">
        <v>115</v>
      </c>
    </row>
    <row r="140" spans="1:17">
      <c r="A140" s="150">
        <f>$A$24</f>
        <v>43070</v>
      </c>
      <c r="B140" s="151"/>
      <c r="C140" s="151"/>
      <c r="F140" s="152">
        <v>0</v>
      </c>
      <c r="J140" s="150">
        <f t="shared" ref="J140:J152" si="79">A140</f>
        <v>43070</v>
      </c>
      <c r="K140" s="151"/>
      <c r="L140" s="151"/>
      <c r="O140" s="152">
        <v>0</v>
      </c>
    </row>
    <row r="141" spans="1:17">
      <c r="A141" s="150">
        <f>A140+31</f>
        <v>43101</v>
      </c>
      <c r="C141" s="152"/>
      <c r="D141" s="152">
        <f>(F140+(C141+E141)/2)*H141/12</f>
        <v>0</v>
      </c>
      <c r="E141" s="199"/>
      <c r="F141" s="152">
        <f>F140+C141+D141+E141</f>
        <v>0</v>
      </c>
      <c r="H141" s="153">
        <f t="shared" ref="H141:H152" si="80">H25</f>
        <v>4.2500000000000003E-2</v>
      </c>
      <c r="J141" s="150">
        <f t="shared" si="79"/>
        <v>43101</v>
      </c>
      <c r="L141" s="152"/>
      <c r="M141" s="152">
        <f>(O140+(L141+N141)/2)*Q141/12</f>
        <v>0</v>
      </c>
      <c r="N141" s="195"/>
      <c r="O141" s="152">
        <f>O140+L141+M141+N141</f>
        <v>0</v>
      </c>
      <c r="Q141" s="153">
        <f>H141</f>
        <v>4.2500000000000003E-2</v>
      </c>
    </row>
    <row r="142" spans="1:17">
      <c r="A142" s="150">
        <f t="shared" ref="A142:A152" si="81">A141+31</f>
        <v>43132</v>
      </c>
      <c r="C142" s="152"/>
      <c r="D142" s="152">
        <f>(F141+(C142+E142)/2)*H142/12</f>
        <v>0</v>
      </c>
      <c r="E142" s="199"/>
      <c r="F142" s="152">
        <f>F141+C142+D142+E142</f>
        <v>0</v>
      </c>
      <c r="H142" s="153">
        <f t="shared" si="80"/>
        <v>4.2500000000000003E-2</v>
      </c>
      <c r="J142" s="150">
        <f t="shared" si="79"/>
        <v>43132</v>
      </c>
      <c r="L142" s="152"/>
      <c r="M142" s="152">
        <f>(O141+(L142+N142)/2)*Q142/12</f>
        <v>0</v>
      </c>
      <c r="N142" s="195"/>
      <c r="O142" s="152">
        <f>O141+L142+M142+N142</f>
        <v>0</v>
      </c>
      <c r="Q142" s="153">
        <f t="shared" ref="Q142:Q152" si="82">H142</f>
        <v>4.2500000000000003E-2</v>
      </c>
    </row>
    <row r="143" spans="1:17">
      <c r="A143" s="150">
        <f t="shared" si="81"/>
        <v>43163</v>
      </c>
      <c r="C143" s="152"/>
      <c r="D143" s="152">
        <f>(F142+(C143+E143)/2)*H143/12</f>
        <v>0</v>
      </c>
      <c r="E143" s="199"/>
      <c r="F143" s="152">
        <f>F142+C143+D143+E143</f>
        <v>0</v>
      </c>
      <c r="H143" s="153">
        <f t="shared" si="80"/>
        <v>4.2500000000000003E-2</v>
      </c>
      <c r="J143" s="150">
        <f t="shared" si="79"/>
        <v>43163</v>
      </c>
      <c r="L143" s="152"/>
      <c r="M143" s="152">
        <f>(O142+(L143+N143)/2)*Q143/12</f>
        <v>0</v>
      </c>
      <c r="N143" s="195"/>
      <c r="O143" s="152">
        <f>O142+L143+M143+N143</f>
        <v>0</v>
      </c>
      <c r="Q143" s="153">
        <f t="shared" si="82"/>
        <v>4.2500000000000003E-2</v>
      </c>
    </row>
    <row r="144" spans="1:17">
      <c r="A144" s="150">
        <f t="shared" si="81"/>
        <v>43194</v>
      </c>
      <c r="C144" s="152"/>
      <c r="D144" s="152">
        <f t="shared" ref="D144:D151" si="83">(F143+(C144+E144)/2)*H144/12</f>
        <v>0</v>
      </c>
      <c r="E144" s="199"/>
      <c r="F144" s="152">
        <f t="shared" ref="F144:F152" si="84">F143+C144+D144+E144</f>
        <v>0</v>
      </c>
      <c r="H144" s="153">
        <f t="shared" si="80"/>
        <v>4.4699999999999997E-2</v>
      </c>
      <c r="J144" s="150">
        <f t="shared" si="79"/>
        <v>43194</v>
      </c>
      <c r="L144" s="152"/>
      <c r="M144" s="152">
        <f t="shared" ref="M144:M152" si="85">(O143+(L144+N144)/2)*Q144/12</f>
        <v>0</v>
      </c>
      <c r="N144" s="195"/>
      <c r="O144" s="152">
        <f t="shared" ref="O144:O152" si="86">O143+L144+M144+N144</f>
        <v>0</v>
      </c>
      <c r="Q144" s="153">
        <f t="shared" si="82"/>
        <v>4.4699999999999997E-2</v>
      </c>
    </row>
    <row r="145" spans="1:17">
      <c r="A145" s="150">
        <f t="shared" si="81"/>
        <v>43225</v>
      </c>
      <c r="C145" s="152"/>
      <c r="D145" s="152">
        <f t="shared" si="83"/>
        <v>0</v>
      </c>
      <c r="E145" s="199"/>
      <c r="F145" s="152">
        <f t="shared" si="84"/>
        <v>0</v>
      </c>
      <c r="H145" s="153">
        <f t="shared" si="80"/>
        <v>4.4699999999999997E-2</v>
      </c>
      <c r="J145" s="150">
        <f t="shared" si="79"/>
        <v>43225</v>
      </c>
      <c r="L145" s="152"/>
      <c r="M145" s="152">
        <f t="shared" si="85"/>
        <v>0</v>
      </c>
      <c r="N145" s="195"/>
      <c r="O145" s="152">
        <f t="shared" si="86"/>
        <v>0</v>
      </c>
      <c r="Q145" s="153">
        <f t="shared" si="82"/>
        <v>4.4699999999999997E-2</v>
      </c>
    </row>
    <row r="146" spans="1:17">
      <c r="A146" s="150">
        <f t="shared" si="81"/>
        <v>43256</v>
      </c>
      <c r="C146" s="152"/>
      <c r="D146" s="152">
        <f t="shared" si="83"/>
        <v>0</v>
      </c>
      <c r="E146" s="199"/>
      <c r="F146" s="152">
        <f t="shared" si="84"/>
        <v>0</v>
      </c>
      <c r="H146" s="153">
        <f t="shared" si="80"/>
        <v>4.4699999999999997E-2</v>
      </c>
      <c r="J146" s="150">
        <f t="shared" si="79"/>
        <v>43256</v>
      </c>
      <c r="L146" s="152"/>
      <c r="M146" s="152">
        <f t="shared" si="85"/>
        <v>0</v>
      </c>
      <c r="N146" s="195"/>
      <c r="O146" s="152">
        <f t="shared" si="86"/>
        <v>0</v>
      </c>
      <c r="Q146" s="153">
        <f t="shared" si="82"/>
        <v>4.4699999999999997E-2</v>
      </c>
    </row>
    <row r="147" spans="1:17" hidden="1">
      <c r="A147" s="150">
        <f t="shared" si="81"/>
        <v>43287</v>
      </c>
      <c r="C147" s="152"/>
      <c r="D147" s="152">
        <f t="shared" si="83"/>
        <v>0</v>
      </c>
      <c r="E147" s="199"/>
      <c r="F147" s="152">
        <f t="shared" si="84"/>
        <v>0</v>
      </c>
      <c r="H147" s="153">
        <f t="shared" si="80"/>
        <v>0</v>
      </c>
      <c r="J147" s="150">
        <f t="shared" si="79"/>
        <v>43287</v>
      </c>
      <c r="L147" s="152"/>
      <c r="M147" s="152">
        <f t="shared" si="85"/>
        <v>0</v>
      </c>
      <c r="N147" s="195"/>
      <c r="O147" s="152">
        <f t="shared" si="86"/>
        <v>0</v>
      </c>
      <c r="Q147" s="153">
        <f t="shared" si="82"/>
        <v>0</v>
      </c>
    </row>
    <row r="148" spans="1:17" hidden="1">
      <c r="A148" s="150">
        <f t="shared" si="81"/>
        <v>43318</v>
      </c>
      <c r="C148" s="152"/>
      <c r="D148" s="152">
        <f t="shared" si="83"/>
        <v>0</v>
      </c>
      <c r="E148" s="199"/>
      <c r="F148" s="152">
        <f t="shared" si="84"/>
        <v>0</v>
      </c>
      <c r="H148" s="153">
        <f t="shared" si="80"/>
        <v>0</v>
      </c>
      <c r="J148" s="150">
        <f t="shared" si="79"/>
        <v>43318</v>
      </c>
      <c r="L148" s="152"/>
      <c r="M148" s="152">
        <f t="shared" si="85"/>
        <v>0</v>
      </c>
      <c r="N148" s="195"/>
      <c r="O148" s="152">
        <f t="shared" si="86"/>
        <v>0</v>
      </c>
      <c r="Q148" s="153">
        <f t="shared" si="82"/>
        <v>0</v>
      </c>
    </row>
    <row r="149" spans="1:17" hidden="1">
      <c r="A149" s="150">
        <f t="shared" si="81"/>
        <v>43349</v>
      </c>
      <c r="C149" s="152"/>
      <c r="D149" s="152">
        <f t="shared" si="83"/>
        <v>0</v>
      </c>
      <c r="E149" s="199"/>
      <c r="F149" s="152">
        <f t="shared" si="84"/>
        <v>0</v>
      </c>
      <c r="H149" s="153">
        <f t="shared" si="80"/>
        <v>0</v>
      </c>
      <c r="J149" s="150">
        <f t="shared" si="79"/>
        <v>43349</v>
      </c>
      <c r="L149" s="152"/>
      <c r="M149" s="152">
        <f t="shared" si="85"/>
        <v>0</v>
      </c>
      <c r="N149" s="195"/>
      <c r="O149" s="152">
        <f t="shared" si="86"/>
        <v>0</v>
      </c>
      <c r="Q149" s="153">
        <f t="shared" si="82"/>
        <v>0</v>
      </c>
    </row>
    <row r="150" spans="1:17" hidden="1">
      <c r="A150" s="150">
        <f t="shared" si="81"/>
        <v>43380</v>
      </c>
      <c r="B150" s="73" t="s">
        <v>144</v>
      </c>
      <c r="C150" s="152"/>
      <c r="D150" s="152">
        <f>(F149+C150+(E150)/2)*H150/12</f>
        <v>0</v>
      </c>
      <c r="E150" s="199"/>
      <c r="F150" s="152">
        <f t="shared" si="84"/>
        <v>0</v>
      </c>
      <c r="H150" s="153">
        <f t="shared" si="80"/>
        <v>0</v>
      </c>
      <c r="J150" s="150">
        <f t="shared" si="79"/>
        <v>43380</v>
      </c>
      <c r="L150" s="152"/>
      <c r="M150" s="152">
        <f t="shared" si="85"/>
        <v>0</v>
      </c>
      <c r="N150" s="195"/>
      <c r="O150" s="152">
        <f t="shared" si="86"/>
        <v>0</v>
      </c>
      <c r="Q150" s="153">
        <f t="shared" si="82"/>
        <v>0</v>
      </c>
    </row>
    <row r="151" spans="1:17" hidden="1">
      <c r="A151" s="150">
        <f t="shared" si="81"/>
        <v>43411</v>
      </c>
      <c r="C151" s="152"/>
      <c r="D151" s="152">
        <f t="shared" si="83"/>
        <v>0</v>
      </c>
      <c r="E151" s="199"/>
      <c r="F151" s="152">
        <f t="shared" si="84"/>
        <v>0</v>
      </c>
      <c r="H151" s="153">
        <f t="shared" si="80"/>
        <v>0</v>
      </c>
      <c r="J151" s="150">
        <f t="shared" si="79"/>
        <v>43411</v>
      </c>
      <c r="L151" s="152"/>
      <c r="M151" s="152">
        <f t="shared" si="85"/>
        <v>0</v>
      </c>
      <c r="N151" s="195"/>
      <c r="O151" s="152">
        <f t="shared" si="86"/>
        <v>0</v>
      </c>
      <c r="Q151" s="153">
        <f t="shared" si="82"/>
        <v>0</v>
      </c>
    </row>
    <row r="152" spans="1:17" hidden="1">
      <c r="A152" s="150">
        <f t="shared" si="81"/>
        <v>43442</v>
      </c>
      <c r="C152" s="152"/>
      <c r="D152" s="152">
        <f>(F151+(C152+E152)/2)*H152/12</f>
        <v>0</v>
      </c>
      <c r="E152" s="199"/>
      <c r="F152" s="152">
        <f t="shared" si="84"/>
        <v>0</v>
      </c>
      <c r="H152" s="153">
        <f t="shared" si="80"/>
        <v>0</v>
      </c>
      <c r="J152" s="150">
        <f t="shared" si="79"/>
        <v>43442</v>
      </c>
      <c r="L152" s="152"/>
      <c r="M152" s="152">
        <f t="shared" si="85"/>
        <v>0</v>
      </c>
      <c r="N152" s="195"/>
      <c r="O152" s="152">
        <f t="shared" si="86"/>
        <v>0</v>
      </c>
      <c r="Q152" s="153">
        <f t="shared" si="82"/>
        <v>0</v>
      </c>
    </row>
    <row r="153" spans="1:17" ht="51" hidden="1" customHeight="1">
      <c r="B153" s="157" t="s">
        <v>144</v>
      </c>
      <c r="C153" s="241" t="s">
        <v>152</v>
      </c>
      <c r="D153" s="241"/>
      <c r="E153" s="241"/>
      <c r="F153" s="241"/>
      <c r="G153" s="241"/>
      <c r="H153" s="241"/>
      <c r="O153" s="152"/>
    </row>
    <row r="154" spans="1:17">
      <c r="F154" s="152"/>
      <c r="O154" s="152"/>
    </row>
    <row r="155" spans="1:17">
      <c r="F155" s="152"/>
      <c r="O155" s="152"/>
    </row>
    <row r="156" spans="1:17">
      <c r="F156" s="152"/>
      <c r="O156" s="152"/>
    </row>
    <row r="157" spans="1:17">
      <c r="F157" s="152"/>
      <c r="O157" s="152"/>
    </row>
    <row r="158" spans="1:17">
      <c r="F158" s="152"/>
      <c r="O158" s="152"/>
    </row>
    <row r="159" spans="1:17">
      <c r="F159" s="152"/>
      <c r="O159" s="152"/>
    </row>
    <row r="160" spans="1:17">
      <c r="F160" s="152"/>
      <c r="O160" s="152"/>
    </row>
    <row r="161" spans="6:15">
      <c r="F161" s="152"/>
      <c r="O161" s="152"/>
    </row>
    <row r="162" spans="6:15">
      <c r="F162" s="152"/>
      <c r="O162" s="152"/>
    </row>
    <row r="163" spans="6:15">
      <c r="F163" s="152"/>
      <c r="O163" s="152"/>
    </row>
    <row r="164" spans="6:15">
      <c r="F164" s="152"/>
      <c r="O164" s="152"/>
    </row>
    <row r="165" spans="6:15">
      <c r="F165" s="152"/>
      <c r="O165" s="152"/>
    </row>
    <row r="166" spans="6:15">
      <c r="F166" s="152"/>
      <c r="O166" s="152"/>
    </row>
    <row r="167" spans="6:15">
      <c r="F167" s="152"/>
      <c r="O167" s="152"/>
    </row>
    <row r="168" spans="6:15">
      <c r="F168" s="152"/>
      <c r="O168" s="152"/>
    </row>
    <row r="169" spans="6:15">
      <c r="F169" s="152"/>
      <c r="O169" s="152"/>
    </row>
    <row r="170" spans="6:15">
      <c r="F170" s="152"/>
      <c r="O170" s="152"/>
    </row>
    <row r="171" spans="6:15">
      <c r="F171" s="152"/>
      <c r="O171" s="152"/>
    </row>
    <row r="172" spans="6:15">
      <c r="F172" s="152"/>
      <c r="O172" s="152"/>
    </row>
    <row r="173" spans="6:15">
      <c r="F173" s="152"/>
      <c r="O173" s="152"/>
    </row>
    <row r="174" spans="6:15">
      <c r="F174" s="152"/>
      <c r="O174" s="152"/>
    </row>
    <row r="175" spans="6:15">
      <c r="F175" s="152"/>
      <c r="O175" s="152"/>
    </row>
    <row r="176" spans="6:15">
      <c r="F176" s="152"/>
      <c r="O176" s="152"/>
    </row>
    <row r="177" spans="6:15">
      <c r="F177" s="152"/>
      <c r="O177" s="152"/>
    </row>
    <row r="178" spans="6:15">
      <c r="F178" s="152"/>
      <c r="O178" s="152"/>
    </row>
    <row r="179" spans="6:15">
      <c r="F179" s="152"/>
      <c r="O179" s="152"/>
    </row>
    <row r="180" spans="6:15">
      <c r="F180" s="152"/>
      <c r="O180" s="152"/>
    </row>
    <row r="181" spans="6:15">
      <c r="F181" s="152"/>
      <c r="O181" s="152"/>
    </row>
    <row r="182" spans="6:15">
      <c r="F182" s="152"/>
      <c r="O182" s="152"/>
    </row>
    <row r="183" spans="6:15">
      <c r="F183" s="152"/>
      <c r="O183" s="152"/>
    </row>
    <row r="184" spans="6:15">
      <c r="F184" s="152"/>
      <c r="O184" s="152"/>
    </row>
    <row r="185" spans="6:15">
      <c r="F185" s="152"/>
      <c r="O185" s="152"/>
    </row>
    <row r="186" spans="6:15">
      <c r="F186" s="152"/>
      <c r="O186" s="152"/>
    </row>
    <row r="187" spans="6:15">
      <c r="F187" s="152"/>
      <c r="O187" s="152"/>
    </row>
    <row r="188" spans="6:15">
      <c r="F188" s="152"/>
      <c r="O188" s="152"/>
    </row>
    <row r="189" spans="6:15">
      <c r="F189" s="152"/>
      <c r="O189" s="152"/>
    </row>
    <row r="190" spans="6:15">
      <c r="F190" s="152"/>
      <c r="O190" s="152"/>
    </row>
    <row r="191" spans="6:15">
      <c r="F191" s="152"/>
      <c r="O191" s="152"/>
    </row>
    <row r="192" spans="6:15">
      <c r="F192" s="152"/>
      <c r="O192" s="152"/>
    </row>
    <row r="193" spans="6:15">
      <c r="F193" s="152"/>
      <c r="O193" s="152"/>
    </row>
    <row r="194" spans="6:15">
      <c r="F194" s="152"/>
      <c r="O194" s="152"/>
    </row>
    <row r="195" spans="6:15">
      <c r="F195" s="152"/>
      <c r="O195" s="152"/>
    </row>
    <row r="196" spans="6:15">
      <c r="F196" s="152"/>
      <c r="O196" s="152"/>
    </row>
    <row r="197" spans="6:15">
      <c r="F197" s="152"/>
      <c r="O197" s="152"/>
    </row>
    <row r="198" spans="6:15">
      <c r="F198" s="152"/>
      <c r="O198" s="152"/>
    </row>
    <row r="199" spans="6:15">
      <c r="F199" s="152"/>
      <c r="O199" s="152"/>
    </row>
    <row r="200" spans="6:15">
      <c r="F200" s="152"/>
      <c r="O200" s="152"/>
    </row>
    <row r="201" spans="6:15">
      <c r="F201" s="152"/>
      <c r="O201" s="152"/>
    </row>
    <row r="202" spans="6:15">
      <c r="F202" s="152"/>
      <c r="O202" s="152"/>
    </row>
    <row r="203" spans="6:15">
      <c r="F203" s="152"/>
      <c r="O203" s="152"/>
    </row>
    <row r="204" spans="6:15">
      <c r="F204" s="152"/>
      <c r="O204" s="152"/>
    </row>
    <row r="205" spans="6:15">
      <c r="F205" s="152"/>
      <c r="O205" s="152"/>
    </row>
    <row r="206" spans="6:15">
      <c r="F206" s="152"/>
      <c r="O206" s="152"/>
    </row>
    <row r="207" spans="6:15">
      <c r="F207" s="152"/>
      <c r="O207" s="152"/>
    </row>
    <row r="208" spans="6:15">
      <c r="F208" s="152"/>
      <c r="O208" s="152"/>
    </row>
    <row r="209" spans="6:15">
      <c r="F209" s="152"/>
      <c r="O209" s="152"/>
    </row>
    <row r="210" spans="6:15">
      <c r="F210" s="152"/>
      <c r="O210" s="152"/>
    </row>
    <row r="211" spans="6:15">
      <c r="F211" s="152"/>
      <c r="O211" s="152"/>
    </row>
    <row r="212" spans="6:15">
      <c r="F212" s="152"/>
      <c r="O212" s="152"/>
    </row>
    <row r="213" spans="6:15">
      <c r="F213" s="152"/>
      <c r="O213" s="152"/>
    </row>
    <row r="214" spans="6:15">
      <c r="F214" s="152"/>
      <c r="O214" s="152"/>
    </row>
    <row r="215" spans="6:15">
      <c r="F215" s="152"/>
      <c r="O215" s="152"/>
    </row>
    <row r="216" spans="6:15">
      <c r="F216" s="152"/>
      <c r="O216" s="152"/>
    </row>
    <row r="217" spans="6:15">
      <c r="F217" s="152"/>
      <c r="O217" s="152"/>
    </row>
    <row r="218" spans="6:15">
      <c r="F218" s="152"/>
      <c r="O218" s="152"/>
    </row>
    <row r="219" spans="6:15">
      <c r="F219" s="152"/>
      <c r="O219" s="152"/>
    </row>
    <row r="220" spans="6:15">
      <c r="F220" s="152"/>
      <c r="O220" s="152"/>
    </row>
    <row r="221" spans="6:15">
      <c r="F221" s="152"/>
      <c r="O221" s="152"/>
    </row>
    <row r="222" spans="6:15">
      <c r="F222" s="152"/>
      <c r="O222" s="152"/>
    </row>
    <row r="223" spans="6:15">
      <c r="F223" s="152"/>
      <c r="O223" s="152"/>
    </row>
    <row r="224" spans="6:15">
      <c r="F224" s="152"/>
      <c r="O224" s="152"/>
    </row>
    <row r="225" spans="6:15">
      <c r="F225" s="152"/>
      <c r="O225" s="152"/>
    </row>
    <row r="226" spans="6:15">
      <c r="F226" s="152"/>
      <c r="O226" s="152"/>
    </row>
    <row r="227" spans="6:15">
      <c r="F227" s="152"/>
      <c r="O227" s="152"/>
    </row>
    <row r="228" spans="6:15">
      <c r="F228" s="152"/>
      <c r="O228" s="152"/>
    </row>
    <row r="229" spans="6:15">
      <c r="F229" s="152"/>
      <c r="O229" s="152"/>
    </row>
    <row r="230" spans="6:15">
      <c r="F230" s="152"/>
      <c r="O230" s="152"/>
    </row>
    <row r="231" spans="6:15">
      <c r="F231" s="152"/>
      <c r="O231" s="152"/>
    </row>
    <row r="232" spans="6:15">
      <c r="F232" s="152"/>
      <c r="O232" s="152"/>
    </row>
    <row r="233" spans="6:15">
      <c r="F233" s="152"/>
      <c r="O233" s="152"/>
    </row>
    <row r="234" spans="6:15">
      <c r="F234" s="152"/>
      <c r="O234" s="152"/>
    </row>
    <row r="235" spans="6:15">
      <c r="F235" s="152"/>
      <c r="O235" s="152"/>
    </row>
    <row r="236" spans="6:15">
      <c r="F236" s="152"/>
      <c r="O236" s="152"/>
    </row>
    <row r="237" spans="6:15">
      <c r="F237" s="152"/>
      <c r="O237" s="152"/>
    </row>
    <row r="238" spans="6:15">
      <c r="F238" s="152"/>
      <c r="O238" s="152"/>
    </row>
    <row r="239" spans="6:15">
      <c r="F239" s="152"/>
    </row>
    <row r="240" spans="6:15">
      <c r="F240" s="152"/>
    </row>
    <row r="241" spans="6:6">
      <c r="F241" s="152"/>
    </row>
    <row r="242" spans="6:6">
      <c r="F242" s="152"/>
    </row>
    <row r="243" spans="6:6">
      <c r="F243" s="152"/>
    </row>
    <row r="244" spans="6:6">
      <c r="F244" s="152"/>
    </row>
    <row r="245" spans="6:6">
      <c r="F245" s="152"/>
    </row>
    <row r="246" spans="6:6">
      <c r="F246" s="152"/>
    </row>
    <row r="247" spans="6:6">
      <c r="F247" s="152"/>
    </row>
  </sheetData>
  <mergeCells count="7">
    <mergeCell ref="C153:H153"/>
    <mergeCell ref="C70:H70"/>
    <mergeCell ref="C88:H88"/>
    <mergeCell ref="A1:I1"/>
    <mergeCell ref="J1:R1"/>
    <mergeCell ref="L70:Q70"/>
    <mergeCell ref="L88:Q88"/>
  </mergeCells>
  <printOptions horizontalCentered="1"/>
  <pageMargins left="0.7" right="0.71" top="0.97" bottom="0.75" header="0.5" footer="0.5"/>
  <pageSetup scale="79" firstPageNumber="7" fitToWidth="0" fitToHeight="0" orientation="portrait" useFirstPageNumber="1" r:id="rId1"/>
  <headerFooter scaleWithDoc="0">
    <oddHeader>&amp;CAvista Corporation Decoupling Mechanism
Washington Jurisdiction
Quarterly Report for 2nd Quarter 2018</oddHeader>
    <oddFooter>&amp;Cfile: &amp;F / &amp;A&amp;RPage &amp;P of 11</oddFooter>
  </headerFooter>
  <rowBreaks count="1" manualBreakCount="1">
    <brk id="88" max="17" man="1"/>
  </rowBreaks>
  <colBreaks count="1" manualBreakCount="1">
    <brk id="9" max="120"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opLeftCell="A12" zoomScaleNormal="100" workbookViewId="0">
      <selection activeCell="G17" sqref="G17"/>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3" customWidth="1"/>
    <col min="9" max="12" width="8.5546875" customWidth="1"/>
  </cols>
  <sheetData>
    <row r="1" spans="1:23" ht="28.95" customHeight="1">
      <c r="A1" t="s">
        <v>63</v>
      </c>
    </row>
    <row r="2" spans="1:23" s="34" customFormat="1" ht="14.4" customHeight="1">
      <c r="A2" s="54"/>
      <c r="B2" s="54"/>
      <c r="C2" s="54"/>
      <c r="D2" s="54"/>
      <c r="E2" s="54"/>
      <c r="F2" s="54"/>
      <c r="G2" s="54"/>
      <c r="H2" s="80"/>
      <c r="I2" s="54"/>
      <c r="J2" s="54"/>
      <c r="K2" s="54"/>
    </row>
    <row r="3" spans="1:23" s="34" customFormat="1" ht="75" customHeight="1">
      <c r="A3" s="244" t="s">
        <v>162</v>
      </c>
      <c r="B3" s="244"/>
      <c r="C3" s="244"/>
      <c r="D3" s="244"/>
      <c r="E3" s="244"/>
      <c r="F3" s="244"/>
      <c r="G3" s="244"/>
      <c r="H3" s="244"/>
      <c r="I3" s="244"/>
      <c r="J3" s="244"/>
      <c r="K3" s="244"/>
      <c r="M3"/>
      <c r="N3"/>
      <c r="O3"/>
      <c r="P3"/>
      <c r="Q3"/>
      <c r="R3"/>
      <c r="S3"/>
      <c r="T3"/>
      <c r="U3"/>
      <c r="V3"/>
      <c r="W3"/>
    </row>
    <row r="4" spans="1:23" ht="14.4" customHeight="1"/>
    <row r="5" spans="1:23" ht="14.4" customHeight="1">
      <c r="A5" s="243" t="s">
        <v>83</v>
      </c>
      <c r="B5" s="243"/>
      <c r="C5" s="243"/>
      <c r="D5" s="243"/>
      <c r="E5" s="243"/>
      <c r="F5" s="243"/>
      <c r="G5" s="243"/>
      <c r="H5" s="243"/>
      <c r="I5" s="243"/>
      <c r="J5" s="243"/>
      <c r="K5" s="243"/>
    </row>
    <row r="6" spans="1:23" s="34" customFormat="1" ht="13.95" customHeight="1">
      <c r="A6" s="243" t="s">
        <v>84</v>
      </c>
      <c r="B6" s="243"/>
      <c r="C6" s="243"/>
      <c r="D6" s="243"/>
      <c r="E6" s="243"/>
      <c r="F6" s="243"/>
      <c r="G6" s="243"/>
      <c r="H6" s="243"/>
      <c r="I6" s="243"/>
      <c r="J6" s="243"/>
      <c r="K6" s="243"/>
    </row>
    <row r="7" spans="1:23" ht="28.95" customHeight="1">
      <c r="A7" s="51"/>
      <c r="B7" s="51"/>
      <c r="C7" s="51"/>
      <c r="E7" s="56" t="s">
        <v>77</v>
      </c>
      <c r="F7" s="56" t="s">
        <v>78</v>
      </c>
      <c r="G7" s="59" t="s">
        <v>87</v>
      </c>
      <c r="H7" s="79" t="s">
        <v>92</v>
      </c>
      <c r="I7" s="101" t="s">
        <v>151</v>
      </c>
      <c r="J7" s="56" t="s">
        <v>79</v>
      </c>
      <c r="K7" s="51"/>
      <c r="L7" s="51"/>
    </row>
    <row r="8" spans="1:23" ht="14.4" customHeight="1">
      <c r="A8" s="55" t="s">
        <v>75</v>
      </c>
      <c r="B8" s="23"/>
      <c r="C8" s="23"/>
      <c r="E8" s="23"/>
      <c r="F8" s="23"/>
      <c r="G8" s="23"/>
      <c r="H8" s="23"/>
      <c r="I8" s="23"/>
      <c r="J8" s="23"/>
      <c r="K8" s="23"/>
      <c r="L8" s="23"/>
    </row>
    <row r="9" spans="1:23" ht="14.4" customHeight="1">
      <c r="A9" s="52"/>
      <c r="B9" s="52" t="s">
        <v>76</v>
      </c>
      <c r="C9" s="52"/>
      <c r="E9" s="58">
        <v>-286</v>
      </c>
      <c r="F9" s="58">
        <v>-97</v>
      </c>
      <c r="G9" s="75"/>
      <c r="H9" s="99"/>
      <c r="I9" s="75">
        <v>-384</v>
      </c>
      <c r="J9" s="179">
        <v>-6.5000000000000002E-2</v>
      </c>
      <c r="K9" s="52"/>
      <c r="L9" s="52"/>
    </row>
    <row r="10" spans="1:23" ht="14.4" customHeight="1">
      <c r="A10" s="52"/>
      <c r="B10" s="52" t="s">
        <v>85</v>
      </c>
      <c r="C10" s="52"/>
      <c r="E10" s="57">
        <v>-13.21</v>
      </c>
      <c r="F10" s="57">
        <v>-12.36</v>
      </c>
      <c r="G10" s="76"/>
      <c r="H10" s="100"/>
      <c r="I10" s="76">
        <v>-25.57</v>
      </c>
      <c r="J10" s="179">
        <v>-6.8000000000000005E-2</v>
      </c>
      <c r="K10" s="52"/>
      <c r="L10" s="52"/>
    </row>
    <row r="11" spans="1:23">
      <c r="B11" s="34" t="s">
        <v>86</v>
      </c>
      <c r="E11" s="57">
        <v>13.21</v>
      </c>
      <c r="F11" s="57">
        <v>12.36</v>
      </c>
      <c r="G11" s="57"/>
      <c r="H11" s="57"/>
      <c r="I11" s="76">
        <v>25.57</v>
      </c>
      <c r="J11" s="38"/>
    </row>
    <row r="12" spans="1:23" s="34" customFormat="1" ht="6" customHeight="1">
      <c r="E12" s="57"/>
      <c r="F12" s="57"/>
      <c r="G12" s="76"/>
      <c r="H12" s="96"/>
      <c r="I12" s="75"/>
      <c r="J12" s="38"/>
    </row>
    <row r="13" spans="1:23">
      <c r="A13" s="55" t="s">
        <v>80</v>
      </c>
      <c r="B13" s="23"/>
      <c r="C13" s="23"/>
      <c r="E13" s="23"/>
      <c r="F13" s="23"/>
      <c r="G13" s="77"/>
      <c r="H13" s="97"/>
      <c r="I13" s="75"/>
      <c r="J13" s="77"/>
      <c r="K13" s="53"/>
      <c r="L13" s="53"/>
    </row>
    <row r="14" spans="1:23">
      <c r="A14" s="52"/>
      <c r="B14" s="52" t="s">
        <v>76</v>
      </c>
      <c r="C14" s="52"/>
      <c r="E14" s="58">
        <v>-663</v>
      </c>
      <c r="F14" s="58">
        <v>-783</v>
      </c>
      <c r="G14" s="75"/>
      <c r="H14" s="99"/>
      <c r="I14" s="75">
        <v>-1446</v>
      </c>
      <c r="J14" s="179">
        <v>-4.8000000000000001E-2</v>
      </c>
      <c r="K14" s="53"/>
      <c r="L14" s="53"/>
    </row>
    <row r="15" spans="1:23" ht="14.4" customHeight="1">
      <c r="A15" s="52"/>
      <c r="B15" s="52" t="s">
        <v>85</v>
      </c>
      <c r="C15" s="52"/>
      <c r="E15" s="57">
        <v>-33.58</v>
      </c>
      <c r="F15" s="57">
        <v>-62.87</v>
      </c>
      <c r="G15" s="76"/>
      <c r="H15" s="100"/>
      <c r="I15" s="76">
        <v>-96.38</v>
      </c>
      <c r="J15" s="179">
        <v>-4.4999999999999998E-2</v>
      </c>
      <c r="K15" s="53"/>
      <c r="L15" s="53"/>
    </row>
    <row r="16" spans="1:23">
      <c r="B16" s="34" t="s">
        <v>86</v>
      </c>
      <c r="E16" s="57">
        <v>33.58</v>
      </c>
      <c r="F16" s="57">
        <v>62.87</v>
      </c>
      <c r="G16" s="57"/>
      <c r="H16" s="57"/>
      <c r="I16" s="76">
        <v>96.38</v>
      </c>
      <c r="J16" s="38"/>
    </row>
    <row r="17" spans="1:19" s="34" customFormat="1" ht="9" customHeight="1">
      <c r="G17" s="38"/>
      <c r="H17" s="98"/>
      <c r="I17" s="75"/>
      <c r="J17" s="38"/>
    </row>
    <row r="18" spans="1:19" ht="14.4" customHeight="1">
      <c r="A18" s="55" t="s">
        <v>81</v>
      </c>
      <c r="B18" s="23"/>
      <c r="C18" s="23"/>
      <c r="E18" s="23"/>
      <c r="F18" s="23"/>
      <c r="G18" s="77"/>
      <c r="H18" s="97"/>
      <c r="I18" s="75"/>
      <c r="J18" s="77"/>
    </row>
    <row r="19" spans="1:19" ht="14.4" customHeight="1">
      <c r="A19" s="52"/>
      <c r="B19" s="52" t="s">
        <v>76</v>
      </c>
      <c r="C19" s="52"/>
      <c r="E19" s="58">
        <v>-16</v>
      </c>
      <c r="F19" s="58">
        <v>-8</v>
      </c>
      <c r="G19" s="75"/>
      <c r="H19" s="99"/>
      <c r="I19" s="75">
        <v>-24</v>
      </c>
      <c r="J19" s="179">
        <v>-5.1999999999999998E-2</v>
      </c>
    </row>
    <row r="20" spans="1:19">
      <c r="A20" s="52"/>
      <c r="B20" s="52" t="s">
        <v>85</v>
      </c>
      <c r="C20" s="52"/>
      <c r="E20" s="57">
        <v>-0.39</v>
      </c>
      <c r="F20" s="57">
        <v>-8.27</v>
      </c>
      <c r="G20" s="76"/>
      <c r="H20" s="100"/>
      <c r="I20" s="57">
        <v>-8.67</v>
      </c>
      <c r="J20" s="179">
        <v>-4.3999999999999997E-2</v>
      </c>
    </row>
    <row r="21" spans="1:19" s="34" customFormat="1">
      <c r="A21" s="52"/>
      <c r="B21" s="34" t="s">
        <v>86</v>
      </c>
      <c r="C21" s="52"/>
      <c r="E21" s="57">
        <v>0.39</v>
      </c>
      <c r="F21" s="57">
        <v>8.27</v>
      </c>
      <c r="G21" s="57"/>
      <c r="H21" s="57"/>
      <c r="I21" s="57">
        <v>8.67</v>
      </c>
      <c r="J21" s="180"/>
    </row>
    <row r="22" spans="1:19" ht="9" customHeight="1">
      <c r="A22" s="34"/>
      <c r="B22" s="34"/>
      <c r="C22" s="34"/>
      <c r="E22" s="34"/>
      <c r="F22" s="34"/>
      <c r="G22" s="38"/>
      <c r="H22" s="98"/>
      <c r="I22" s="75"/>
      <c r="J22" s="38"/>
    </row>
    <row r="23" spans="1:19">
      <c r="A23" s="55" t="s">
        <v>82</v>
      </c>
      <c r="B23" s="23"/>
      <c r="C23" s="23"/>
      <c r="E23" s="23"/>
      <c r="F23" s="23"/>
      <c r="G23" s="77"/>
      <c r="H23" s="97"/>
      <c r="I23" s="75"/>
      <c r="J23" s="77"/>
    </row>
    <row r="24" spans="1:19">
      <c r="A24" s="52"/>
      <c r="B24" s="52" t="s">
        <v>76</v>
      </c>
      <c r="C24" s="52"/>
      <c r="E24" s="58">
        <v>-972</v>
      </c>
      <c r="F24" s="58">
        <v>-288</v>
      </c>
      <c r="G24" s="75"/>
      <c r="H24" s="99"/>
      <c r="I24" s="75">
        <v>-1257</v>
      </c>
      <c r="J24" s="179">
        <v>-0.114</v>
      </c>
    </row>
    <row r="25" spans="1:19">
      <c r="A25" s="52"/>
      <c r="B25" s="52" t="s">
        <v>85</v>
      </c>
      <c r="C25" s="52"/>
      <c r="E25" s="57">
        <v>-192.54</v>
      </c>
      <c r="F25" s="57">
        <v>-82.62</v>
      </c>
      <c r="G25" s="76"/>
      <c r="H25" s="100"/>
      <c r="I25" s="76">
        <v>-274.64</v>
      </c>
      <c r="J25" s="179">
        <v>-9.9000000000000005E-2</v>
      </c>
    </row>
    <row r="26" spans="1:19">
      <c r="B26" s="34" t="s">
        <v>86</v>
      </c>
      <c r="E26" s="57">
        <v>192.54</v>
      </c>
      <c r="F26" s="57">
        <v>82.62</v>
      </c>
      <c r="G26" s="57"/>
      <c r="H26" s="57"/>
      <c r="I26" s="76">
        <v>274.64</v>
      </c>
      <c r="J26" s="38"/>
    </row>
    <row r="28" spans="1:19" s="73" customFormat="1" ht="59.4" customHeight="1">
      <c r="A28" s="245" t="s">
        <v>172</v>
      </c>
      <c r="B28" s="245"/>
      <c r="C28" s="245"/>
      <c r="D28" s="245"/>
      <c r="E28" s="245"/>
      <c r="F28" s="245"/>
      <c r="G28" s="245"/>
      <c r="H28" s="245"/>
      <c r="I28" s="245"/>
      <c r="J28" s="245"/>
      <c r="K28" s="245"/>
    </row>
    <row r="30" spans="1:19" ht="93.6" customHeight="1">
      <c r="A30" s="245" t="s">
        <v>170</v>
      </c>
      <c r="B30" s="245"/>
      <c r="C30" s="245"/>
      <c r="D30" s="245"/>
      <c r="E30" s="245"/>
      <c r="F30" s="245"/>
      <c r="G30" s="245"/>
      <c r="H30" s="245"/>
      <c r="I30" s="245"/>
      <c r="J30" s="245"/>
      <c r="K30" s="245"/>
      <c r="L30" s="51"/>
      <c r="M30" s="51"/>
      <c r="N30" s="51"/>
      <c r="O30" s="51"/>
      <c r="P30" s="51"/>
      <c r="Q30" s="51"/>
      <c r="R30" s="51"/>
      <c r="S30" s="51"/>
    </row>
    <row r="31" spans="1:19">
      <c r="L31" s="51"/>
      <c r="M31" s="51"/>
      <c r="N31" s="51"/>
      <c r="O31" s="51"/>
      <c r="P31" s="51"/>
      <c r="Q31" s="51"/>
      <c r="R31" s="51"/>
      <c r="S31" s="51"/>
    </row>
    <row r="32" spans="1:19">
      <c r="L32" s="51"/>
      <c r="M32" s="51"/>
      <c r="N32" s="51"/>
      <c r="O32" s="51"/>
      <c r="P32" s="51"/>
      <c r="Q32" s="51"/>
      <c r="R32" s="51"/>
      <c r="S32" s="51"/>
    </row>
    <row r="33" spans="12:19">
      <c r="L33" s="51"/>
      <c r="M33" s="51"/>
      <c r="N33" s="51"/>
      <c r="O33" s="51"/>
      <c r="P33" s="51"/>
      <c r="Q33" s="51"/>
      <c r="R33" s="51"/>
      <c r="S33" s="51"/>
    </row>
    <row r="34" spans="12:19">
      <c r="L34" s="51"/>
      <c r="M34" s="51"/>
      <c r="N34" s="51"/>
      <c r="O34" s="51"/>
      <c r="P34" s="51"/>
      <c r="Q34" s="51"/>
      <c r="R34" s="51"/>
      <c r="S34" s="51"/>
    </row>
    <row r="35" spans="12:19">
      <c r="L35" s="51"/>
      <c r="M35" s="51"/>
      <c r="N35" s="51"/>
      <c r="O35" s="51"/>
      <c r="P35" s="51"/>
      <c r="Q35" s="51"/>
      <c r="R35" s="51"/>
      <c r="S35" s="51"/>
    </row>
  </sheetData>
  <mergeCells count="5">
    <mergeCell ref="A5:K5"/>
    <mergeCell ref="A6:K6"/>
    <mergeCell ref="A3:K3"/>
    <mergeCell ref="A30:K30"/>
    <mergeCell ref="A28:K28"/>
  </mergeCells>
  <printOptions horizontalCentered="1"/>
  <pageMargins left="0.7" right="0.71" top="0.97" bottom="0.75" header="0.5" footer="0.5"/>
  <pageSetup scale="90" orientation="portrait" r:id="rId1"/>
  <headerFooter scaleWithDoc="0">
    <oddHeader>&amp;CAvista Corporation Decoupling Mechanism
Washington Jurisdiction
Quarterly Report for 2nd Quarter 2018</oddHeader>
    <oddFooter>&amp;Cfile: &amp;F / &amp;A&amp;RPage 11 of 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2018-08-14T07:00:00+00:00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1F0088D-69D6-42D9-B7FE-01B49006444F}"/>
</file>

<file path=customXml/itemProps2.xml><?xml version="1.0" encoding="utf-8"?>
<ds:datastoreItem xmlns:ds="http://schemas.openxmlformats.org/officeDocument/2006/customXml" ds:itemID="{33C12EE0-ADBD-49E5-B795-5408A8BE7958}"/>
</file>

<file path=customXml/itemProps3.xml><?xml version="1.0" encoding="utf-8"?>
<ds:datastoreItem xmlns:ds="http://schemas.openxmlformats.org/officeDocument/2006/customXml" ds:itemID="{3CD2B978-1E6E-4535-826C-9BDAEE215386}"/>
</file>

<file path=customXml/itemProps4.xml><?xml version="1.0" encoding="utf-8"?>
<ds:datastoreItem xmlns:ds="http://schemas.openxmlformats.org/officeDocument/2006/customXml" ds:itemID="{2C2CA693-B93B-452E-84AB-4EA1F8281A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2018-08-10T18:01:09Z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