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20\2020 WA Elec and Gas GRC\Adjustments\3.21E - 3.18G PF ADFIT\"/>
    </mc:Choice>
  </mc:AlternateContent>
  <bookViews>
    <workbookView xWindow="28680" yWindow="-192" windowWidth="29040" windowHeight="15840"/>
  </bookViews>
  <sheets>
    <sheet name="Elec-Dec20" sheetId="1" r:id="rId1"/>
    <sheet name="Gas North-Dec20" sheetId="2" r:id="rId2"/>
    <sheet name="SYS-Dec20" sheetId="6" r:id="rId3"/>
    <sheet name="AvgCalc" sheetId="23" r:id="rId4"/>
    <sheet name="283324 ED AN" sheetId="9" state="hidden" r:id="rId5"/>
    <sheet name="283325. ED AN " sheetId="10" state="hidden" r:id="rId6"/>
    <sheet name="E-PLT" sheetId="21" r:id="rId7"/>
    <sheet name="G-PLT" sheetId="22" r:id="rId8"/>
  </sheets>
  <definedNames>
    <definedName name="_xlnm.Print_Area" localSheetId="3">AvgCalc!$A$1:$K$68</definedName>
    <definedName name="_xlnm.Print_Area" localSheetId="0">'Elec-Dec20'!$A$1:$F$35</definedName>
    <definedName name="_xlnm.Print_Area" localSheetId="1">'Gas North-Dec20'!$A$1:$F$38</definedName>
    <definedName name="_xlnm.Print_Area" localSheetId="2">'SYS-Dec20'!$A$1:$G$27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4" i="23" l="1"/>
  <c r="N27" i="23"/>
  <c r="D4" i="21"/>
  <c r="G22" i="23" l="1"/>
  <c r="A53" i="23" l="1"/>
  <c r="A54" i="23"/>
  <c r="A55" i="23"/>
  <c r="A56" i="23"/>
  <c r="A57" i="23"/>
  <c r="A58" i="23"/>
  <c r="A59" i="23"/>
  <c r="A60" i="23"/>
  <c r="A61" i="23"/>
  <c r="A62" i="23"/>
  <c r="A63" i="23"/>
  <c r="A64" i="23"/>
  <c r="A52" i="23"/>
  <c r="D8" i="23"/>
  <c r="D9" i="23"/>
  <c r="K9" i="23" s="1"/>
  <c r="D10" i="23"/>
  <c r="D11" i="23"/>
  <c r="K11" i="23" s="1"/>
  <c r="D12" i="23"/>
  <c r="D13" i="23"/>
  <c r="K13" i="23" s="1"/>
  <c r="D14" i="23"/>
  <c r="K14" i="23" s="1"/>
  <c r="D15" i="23"/>
  <c r="K15" i="23" s="1"/>
  <c r="D16" i="23"/>
  <c r="D17" i="23"/>
  <c r="K17" i="23" s="1"/>
  <c r="D18" i="23"/>
  <c r="D19" i="23"/>
  <c r="K19" i="23" s="1"/>
  <c r="D20" i="23"/>
  <c r="G52" i="23"/>
  <c r="H52" i="23"/>
  <c r="I52" i="23"/>
  <c r="G53" i="23"/>
  <c r="H53" i="23"/>
  <c r="I53" i="23"/>
  <c r="G54" i="23"/>
  <c r="H54" i="23"/>
  <c r="I54" i="23"/>
  <c r="G55" i="23"/>
  <c r="H55" i="23"/>
  <c r="I55" i="23"/>
  <c r="G56" i="23"/>
  <c r="H56" i="23"/>
  <c r="I56" i="23"/>
  <c r="G57" i="23"/>
  <c r="H57" i="23"/>
  <c r="I57" i="23"/>
  <c r="G58" i="23"/>
  <c r="H58" i="23"/>
  <c r="I58" i="23"/>
  <c r="G59" i="23"/>
  <c r="H59" i="23"/>
  <c r="I59" i="23"/>
  <c r="G60" i="23"/>
  <c r="H60" i="23"/>
  <c r="I60" i="23"/>
  <c r="G61" i="23"/>
  <c r="H61" i="23"/>
  <c r="I61" i="23"/>
  <c r="G62" i="23"/>
  <c r="H62" i="23"/>
  <c r="I62" i="23"/>
  <c r="G63" i="23"/>
  <c r="H63" i="23"/>
  <c r="I63" i="23"/>
  <c r="G64" i="23"/>
  <c r="H64" i="23"/>
  <c r="I64" i="23"/>
  <c r="F53" i="23"/>
  <c r="F54" i="23"/>
  <c r="F55" i="23"/>
  <c r="F56" i="23"/>
  <c r="F57" i="23"/>
  <c r="F58" i="23"/>
  <c r="F59" i="23"/>
  <c r="F60" i="23"/>
  <c r="F61" i="23"/>
  <c r="F62" i="23"/>
  <c r="F63" i="23"/>
  <c r="F64" i="23"/>
  <c r="B53" i="23"/>
  <c r="B54" i="23"/>
  <c r="B55" i="23"/>
  <c r="B56" i="23"/>
  <c r="B57" i="23"/>
  <c r="B58" i="23"/>
  <c r="B59" i="23"/>
  <c r="B60" i="23"/>
  <c r="B61" i="23"/>
  <c r="B62" i="23"/>
  <c r="B63" i="23"/>
  <c r="B64" i="23"/>
  <c r="B52" i="23"/>
  <c r="K20" i="23"/>
  <c r="K18" i="23"/>
  <c r="K16" i="23"/>
  <c r="K12" i="23"/>
  <c r="K10" i="23"/>
  <c r="K8" i="23"/>
  <c r="D25" i="22" l="1"/>
  <c r="D31" i="21" l="1"/>
  <c r="L12" i="21"/>
  <c r="H12" i="21"/>
  <c r="O30" i="23" l="1"/>
  <c r="O31" i="23" s="1"/>
  <c r="O32" i="23" s="1"/>
  <c r="O33" i="23" s="1"/>
  <c r="P27" i="23"/>
  <c r="O27" i="23"/>
  <c r="Q27" i="23"/>
  <c r="Q30" i="23" s="1"/>
  <c r="Q31" i="23" s="1"/>
  <c r="Q32" i="23" s="1"/>
  <c r="Q33" i="23" s="1"/>
  <c r="Q34" i="23" s="1"/>
  <c r="Q35" i="23" s="1"/>
  <c r="Q36" i="23" s="1"/>
  <c r="Q37" i="23" s="1"/>
  <c r="Q38" i="23" s="1"/>
  <c r="Q39" i="23" s="1"/>
  <c r="Q40" i="23" s="1"/>
  <c r="Q41" i="23" s="1"/>
  <c r="M10" i="23"/>
  <c r="M11" i="23"/>
  <c r="M12" i="23"/>
  <c r="M13" i="23"/>
  <c r="M14" i="23"/>
  <c r="M15" i="23"/>
  <c r="M16" i="23"/>
  <c r="M17" i="23"/>
  <c r="M18" i="23"/>
  <c r="M19" i="23"/>
  <c r="M20" i="23"/>
  <c r="M9" i="23"/>
  <c r="N30" i="23" l="1"/>
  <c r="N31" i="23" s="1"/>
  <c r="N32" i="23" s="1"/>
  <c r="N33" i="23" s="1"/>
  <c r="N34" i="23" s="1"/>
  <c r="N35" i="23" s="1"/>
  <c r="N36" i="23" s="1"/>
  <c r="N37" i="23" s="1"/>
  <c r="N38" i="23" s="1"/>
  <c r="N39" i="23" s="1"/>
  <c r="N40" i="23" s="1"/>
  <c r="N41" i="23" s="1"/>
  <c r="M27" i="23"/>
  <c r="P30" i="23"/>
  <c r="P31" i="23"/>
  <c r="P32" i="23" s="1"/>
  <c r="P33" i="23" s="1"/>
  <c r="P34" i="23" s="1"/>
  <c r="P35" i="23" s="1"/>
  <c r="P36" i="23" s="1"/>
  <c r="P37" i="23" s="1"/>
  <c r="P38" i="23" s="1"/>
  <c r="P39" i="23" s="1"/>
  <c r="P40" i="23" s="1"/>
  <c r="P41" i="23" s="1"/>
  <c r="O34" i="23"/>
  <c r="O35" i="23" s="1"/>
  <c r="O36" i="23" s="1"/>
  <c r="O37" i="23" s="1"/>
  <c r="O38" i="23" s="1"/>
  <c r="O39" i="23" s="1"/>
  <c r="O40" i="23" s="1"/>
  <c r="O41" i="23" s="1"/>
  <c r="D30" i="23"/>
  <c r="D31" i="23"/>
  <c r="D32" i="23"/>
  <c r="D33" i="23"/>
  <c r="D34" i="23"/>
  <c r="D35" i="23"/>
  <c r="D36" i="23"/>
  <c r="D37" i="23"/>
  <c r="D38" i="23"/>
  <c r="H32" i="22"/>
  <c r="H33" i="22" s="1"/>
  <c r="H34" i="22" s="1"/>
  <c r="H39" i="21"/>
  <c r="H38" i="21"/>
  <c r="K38" i="23" l="1"/>
  <c r="K37" i="23"/>
  <c r="K36" i="23"/>
  <c r="K35" i="23"/>
  <c r="K34" i="23"/>
  <c r="K33" i="23"/>
  <c r="K32" i="23"/>
  <c r="K31" i="23"/>
  <c r="K30" i="23"/>
  <c r="D41" i="23" l="1"/>
  <c r="K41" i="23" s="1"/>
  <c r="D40" i="23"/>
  <c r="K40" i="23" s="1"/>
  <c r="D39" i="23"/>
  <c r="K39" i="23" s="1"/>
  <c r="H25" i="21" l="1"/>
  <c r="H25" i="22" l="1"/>
  <c r="L25" i="22" s="1"/>
  <c r="M25" i="22" s="1"/>
  <c r="L34" i="22"/>
  <c r="K27" i="22"/>
  <c r="G27" i="22"/>
  <c r="D27" i="22"/>
  <c r="L26" i="22"/>
  <c r="M26" i="22" s="1"/>
  <c r="I26" i="22"/>
  <c r="C26" i="22"/>
  <c r="E26" i="22" s="1"/>
  <c r="C25" i="22"/>
  <c r="E25" i="22" s="1"/>
  <c r="I25" i="22" l="1"/>
  <c r="H31" i="21" l="1"/>
  <c r="H30" i="21"/>
  <c r="L30" i="21" s="1"/>
  <c r="M30" i="21" s="1"/>
  <c r="L39" i="21"/>
  <c r="E30" i="21"/>
  <c r="C30" i="21"/>
  <c r="I30" i="21" l="1"/>
  <c r="L13" i="21" l="1"/>
  <c r="K13" i="21"/>
  <c r="H13" i="21"/>
  <c r="G13" i="21"/>
  <c r="C12" i="21"/>
  <c r="D12" i="21"/>
  <c r="M12" i="21"/>
  <c r="I12" i="21"/>
  <c r="E12" i="21" l="1"/>
  <c r="F52" i="23" l="1"/>
  <c r="C53" i="23"/>
  <c r="C54" i="23"/>
  <c r="C55" i="23"/>
  <c r="C56" i="23"/>
  <c r="C57" i="23"/>
  <c r="C58" i="23"/>
  <c r="C59" i="23"/>
  <c r="C60" i="23"/>
  <c r="C61" i="23"/>
  <c r="C52" i="23"/>
  <c r="C62" i="23" l="1"/>
  <c r="C63" i="23" l="1"/>
  <c r="C64" i="23" l="1"/>
  <c r="C68" i="23" s="1"/>
  <c r="I24" i="23"/>
  <c r="H24" i="23"/>
  <c r="G24" i="23"/>
  <c r="F24" i="23"/>
  <c r="C24" i="23"/>
  <c r="B24" i="23"/>
  <c r="I22" i="23"/>
  <c r="H22" i="23"/>
  <c r="F22" i="23"/>
  <c r="C22" i="23"/>
  <c r="B22" i="23"/>
  <c r="D1" i="6"/>
  <c r="C1" i="1" s="1"/>
  <c r="D52" i="23"/>
  <c r="K52" i="23" s="1"/>
  <c r="D22" i="23" l="1"/>
  <c r="K22" i="23" s="1"/>
  <c r="C46" i="23"/>
  <c r="C44" i="23"/>
  <c r="C1" i="2"/>
  <c r="D24" i="23"/>
  <c r="K24" i="23" s="1"/>
  <c r="D53" i="23" l="1"/>
  <c r="K53" i="23" s="1"/>
  <c r="D54" i="23" l="1"/>
  <c r="K54" i="23" s="1"/>
  <c r="D55" i="23" l="1"/>
  <c r="K55" i="23" s="1"/>
  <c r="C66" i="23"/>
  <c r="D56" i="23" l="1"/>
  <c r="K56" i="23" s="1"/>
  <c r="D57" i="23" l="1"/>
  <c r="K57" i="23" s="1"/>
  <c r="D58" i="23" l="1"/>
  <c r="K58" i="23" s="1"/>
  <c r="D59" i="23" l="1"/>
  <c r="K59" i="23" s="1"/>
  <c r="D60" i="23" l="1"/>
  <c r="K60" i="23" s="1"/>
  <c r="G46" i="23"/>
  <c r="D61" i="23" l="1"/>
  <c r="K61" i="23" s="1"/>
  <c r="G68" i="23"/>
  <c r="G66" i="23"/>
  <c r="D8" i="6" s="1"/>
  <c r="E8" i="6" s="1"/>
  <c r="I18" i="21"/>
  <c r="I17" i="21"/>
  <c r="I16" i="21"/>
  <c r="I15" i="21"/>
  <c r="I11" i="21"/>
  <c r="I10" i="21"/>
  <c r="I9" i="21"/>
  <c r="I8" i="21"/>
  <c r="I7" i="21"/>
  <c r="I6" i="21"/>
  <c r="I5" i="21"/>
  <c r="I4" i="21"/>
  <c r="I13" i="21" l="1"/>
  <c r="H44" i="23"/>
  <c r="H46" i="23"/>
  <c r="D62" i="23"/>
  <c r="K62" i="23" s="1"/>
  <c r="F46" i="23"/>
  <c r="F44" i="23"/>
  <c r="I46" i="23"/>
  <c r="I44" i="23"/>
  <c r="H28" i="21"/>
  <c r="F68" i="23" l="1"/>
  <c r="F66" i="23"/>
  <c r="D16" i="6" s="1"/>
  <c r="E16" i="6" s="1"/>
  <c r="D63" i="23"/>
  <c r="K63" i="23" s="1"/>
  <c r="I66" i="23"/>
  <c r="D12" i="6" s="1"/>
  <c r="I68" i="23"/>
  <c r="H68" i="23"/>
  <c r="H66" i="23"/>
  <c r="D10" i="6" s="1"/>
  <c r="F27" i="1"/>
  <c r="F28" i="1"/>
  <c r="F29" i="1"/>
  <c r="B44" i="23" l="1"/>
  <c r="D44" i="23" s="1"/>
  <c r="K44" i="23" s="1"/>
  <c r="D42" i="23"/>
  <c r="B46" i="23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D6" i="9"/>
  <c r="D46" i="23" l="1"/>
  <c r="K46" i="23" s="1"/>
  <c r="K42" i="23"/>
  <c r="B68" i="23"/>
  <c r="D64" i="23"/>
  <c r="B66" i="23"/>
  <c r="D66" i="23" s="1"/>
  <c r="L33" i="22"/>
  <c r="L32" i="22"/>
  <c r="L31" i="22"/>
  <c r="L24" i="22"/>
  <c r="M24" i="22" s="1"/>
  <c r="I24" i="22"/>
  <c r="C24" i="22"/>
  <c r="E24" i="22" s="1"/>
  <c r="H23" i="22"/>
  <c r="L23" i="22" s="1"/>
  <c r="M23" i="22" s="1"/>
  <c r="C23" i="22"/>
  <c r="E23" i="22" s="1"/>
  <c r="L22" i="22"/>
  <c r="M22" i="22" s="1"/>
  <c r="I22" i="22"/>
  <c r="C22" i="22"/>
  <c r="E22" i="22" s="1"/>
  <c r="H21" i="22"/>
  <c r="I21" i="22" s="1"/>
  <c r="C21" i="22"/>
  <c r="E21" i="22" s="1"/>
  <c r="H20" i="22"/>
  <c r="L20" i="22" s="1"/>
  <c r="M20" i="22" s="1"/>
  <c r="E20" i="22"/>
  <c r="C20" i="22"/>
  <c r="H19" i="22"/>
  <c r="C19" i="22"/>
  <c r="C27" i="22" s="1"/>
  <c r="F14" i="22"/>
  <c r="M13" i="22"/>
  <c r="M12" i="22"/>
  <c r="I12" i="22"/>
  <c r="D12" i="22"/>
  <c r="I15" i="2" s="1"/>
  <c r="C12" i="22"/>
  <c r="M11" i="22"/>
  <c r="I11" i="22"/>
  <c r="D11" i="22"/>
  <c r="C11" i="22"/>
  <c r="M10" i="22"/>
  <c r="I10" i="22"/>
  <c r="D10" i="22"/>
  <c r="E10" i="22" s="1"/>
  <c r="C10" i="22"/>
  <c r="L8" i="22"/>
  <c r="L14" i="22" s="1"/>
  <c r="K8" i="22"/>
  <c r="K14" i="22" s="1"/>
  <c r="H8" i="22"/>
  <c r="H14" i="22" s="1"/>
  <c r="G8" i="22"/>
  <c r="G14" i="22" s="1"/>
  <c r="M7" i="22"/>
  <c r="I7" i="22"/>
  <c r="D7" i="22"/>
  <c r="C7" i="22"/>
  <c r="M6" i="22"/>
  <c r="I6" i="22"/>
  <c r="D6" i="22"/>
  <c r="C6" i="22"/>
  <c r="M5" i="22"/>
  <c r="I5" i="22"/>
  <c r="D5" i="22"/>
  <c r="C5" i="22"/>
  <c r="M4" i="22"/>
  <c r="I4" i="22"/>
  <c r="D4" i="22"/>
  <c r="C4" i="22"/>
  <c r="L38" i="21"/>
  <c r="L37" i="21"/>
  <c r="L36" i="21"/>
  <c r="K32" i="21"/>
  <c r="G32" i="21"/>
  <c r="D32" i="21"/>
  <c r="L31" i="21"/>
  <c r="M31" i="21" s="1"/>
  <c r="I31" i="21"/>
  <c r="C31" i="21"/>
  <c r="E31" i="21" s="1"/>
  <c r="H29" i="21"/>
  <c r="I29" i="21" s="1"/>
  <c r="C29" i="21"/>
  <c r="E29" i="21" s="1"/>
  <c r="L28" i="21"/>
  <c r="M28" i="21" s="1"/>
  <c r="I28" i="21"/>
  <c r="C28" i="21"/>
  <c r="E28" i="21" s="1"/>
  <c r="H27" i="21"/>
  <c r="L27" i="21" s="1"/>
  <c r="M27" i="21" s="1"/>
  <c r="C27" i="21"/>
  <c r="E27" i="21" s="1"/>
  <c r="H26" i="21"/>
  <c r="L26" i="21" s="1"/>
  <c r="M26" i="21" s="1"/>
  <c r="E26" i="21"/>
  <c r="C26" i="21"/>
  <c r="C25" i="21"/>
  <c r="F20" i="21"/>
  <c r="M19" i="21"/>
  <c r="M18" i="21"/>
  <c r="D18" i="21"/>
  <c r="I16" i="1" s="1"/>
  <c r="C18" i="21"/>
  <c r="M17" i="21"/>
  <c r="D17" i="21"/>
  <c r="C17" i="21"/>
  <c r="M16" i="21"/>
  <c r="D16" i="21"/>
  <c r="E16" i="21" s="1"/>
  <c r="I12" i="1" s="1"/>
  <c r="C16" i="21"/>
  <c r="M15" i="21"/>
  <c r="D15" i="21"/>
  <c r="C15" i="21"/>
  <c r="L20" i="21"/>
  <c r="K20" i="21"/>
  <c r="H20" i="21"/>
  <c r="G20" i="21"/>
  <c r="M11" i="21"/>
  <c r="D11" i="21"/>
  <c r="C11" i="21"/>
  <c r="M10" i="21"/>
  <c r="D10" i="21"/>
  <c r="C10" i="21"/>
  <c r="M9" i="21"/>
  <c r="D9" i="21"/>
  <c r="C9" i="21"/>
  <c r="M8" i="21"/>
  <c r="D8" i="21"/>
  <c r="C8" i="21"/>
  <c r="M7" i="21"/>
  <c r="D7" i="21"/>
  <c r="C7" i="21"/>
  <c r="M6" i="21"/>
  <c r="D6" i="21"/>
  <c r="C6" i="21"/>
  <c r="M5" i="21"/>
  <c r="D5" i="21"/>
  <c r="C5" i="21"/>
  <c r="M4" i="21"/>
  <c r="C4" i="21"/>
  <c r="E15" i="21" l="1"/>
  <c r="I11" i="1" s="1"/>
  <c r="E4" i="22"/>
  <c r="I19" i="22"/>
  <c r="H27" i="22"/>
  <c r="C13" i="21"/>
  <c r="C20" i="21" s="1"/>
  <c r="M13" i="21"/>
  <c r="M20" i="21" s="1"/>
  <c r="D13" i="21"/>
  <c r="D20" i="21" s="1"/>
  <c r="E6" i="21"/>
  <c r="I27" i="21"/>
  <c r="K64" i="23"/>
  <c r="D68" i="23"/>
  <c r="K68" i="23" s="1"/>
  <c r="E7" i="22"/>
  <c r="C32" i="21"/>
  <c r="D14" i="6"/>
  <c r="K66" i="23"/>
  <c r="L19" i="22"/>
  <c r="E5" i="21"/>
  <c r="E9" i="21"/>
  <c r="E17" i="21"/>
  <c r="I13" i="1" s="1"/>
  <c r="E18" i="21"/>
  <c r="C8" i="22"/>
  <c r="C14" i="22" s="1"/>
  <c r="E6" i="22"/>
  <c r="D8" i="22"/>
  <c r="D14" i="22" s="1"/>
  <c r="I23" i="22"/>
  <c r="L21" i="22"/>
  <c r="M21" i="22" s="1"/>
  <c r="L29" i="21"/>
  <c r="M29" i="21" s="1"/>
  <c r="E10" i="21"/>
  <c r="E7" i="21"/>
  <c r="M8" i="22"/>
  <c r="E5" i="22"/>
  <c r="E12" i="22"/>
  <c r="E11" i="22"/>
  <c r="I12" i="2" s="1"/>
  <c r="I8" i="22"/>
  <c r="H32" i="21"/>
  <c r="L25" i="21"/>
  <c r="I25" i="21"/>
  <c r="E11" i="21"/>
  <c r="E8" i="21"/>
  <c r="I20" i="21"/>
  <c r="E4" i="21"/>
  <c r="E19" i="22"/>
  <c r="I20" i="22"/>
  <c r="E25" i="21"/>
  <c r="E32" i="21" s="1"/>
  <c r="I17" i="1" s="1"/>
  <c r="I26" i="21"/>
  <c r="E14" i="6" l="1"/>
  <c r="F14" i="6"/>
  <c r="L27" i="22"/>
  <c r="I27" i="22"/>
  <c r="E27" i="22"/>
  <c r="I16" i="2" s="1"/>
  <c r="I15" i="1"/>
  <c r="E13" i="21"/>
  <c r="E20" i="21" s="1"/>
  <c r="I32" i="21"/>
  <c r="M19" i="22"/>
  <c r="M27" i="22" s="1"/>
  <c r="L32" i="21"/>
  <c r="E8" i="22"/>
  <c r="M14" i="22"/>
  <c r="I14" i="22"/>
  <c r="M25" i="21"/>
  <c r="M32" i="21" s="1"/>
  <c r="I14" i="2" l="1"/>
  <c r="E14" i="22"/>
  <c r="F26" i="2" l="1"/>
  <c r="F27" i="2"/>
  <c r="F28" i="2"/>
  <c r="F25" i="2"/>
  <c r="F26" i="1" l="1"/>
  <c r="F25" i="1"/>
  <c r="D6" i="10" l="1"/>
  <c r="F6" i="10" s="1"/>
  <c r="C19" i="9"/>
  <c r="A7" i="10"/>
  <c r="A8" i="10"/>
  <c r="A9" i="10"/>
  <c r="A10" i="10"/>
  <c r="A11" i="10"/>
  <c r="A12" i="10"/>
  <c r="A13" i="10"/>
  <c r="A14" i="10"/>
  <c r="A15" i="10"/>
  <c r="A16" i="10"/>
  <c r="A17" i="10"/>
  <c r="A18" i="10"/>
  <c r="A6" i="10"/>
  <c r="C19" i="10"/>
  <c r="D25" i="6"/>
  <c r="D24" i="6"/>
  <c r="F32" i="2"/>
  <c r="E32" i="2"/>
  <c r="D31" i="2"/>
  <c r="D30" i="2"/>
  <c r="D28" i="2"/>
  <c r="D27" i="2"/>
  <c r="D26" i="2"/>
  <c r="D25" i="2"/>
  <c r="A20" i="2"/>
  <c r="C3" i="2"/>
  <c r="D29" i="1"/>
  <c r="D28" i="1"/>
  <c r="D27" i="1"/>
  <c r="D26" i="1"/>
  <c r="D25" i="1"/>
  <c r="C3" i="1"/>
  <c r="D32" i="2" l="1"/>
  <c r="F33" i="2" s="1"/>
  <c r="J10" i="2"/>
  <c r="B7" i="10"/>
  <c r="D7" i="10" s="1"/>
  <c r="J14" i="1"/>
  <c r="J13" i="1"/>
  <c r="J12" i="1"/>
  <c r="J11" i="1"/>
  <c r="J10" i="1"/>
  <c r="E33" i="2" l="1"/>
  <c r="I20" i="2"/>
  <c r="J13" i="2"/>
  <c r="D33" i="2"/>
  <c r="F7" i="10"/>
  <c r="B8" i="10"/>
  <c r="D8" i="10" s="1"/>
  <c r="J11" i="2"/>
  <c r="J12" i="2"/>
  <c r="J15" i="1"/>
  <c r="J14" i="2" l="1"/>
  <c r="B9" i="10"/>
  <c r="D9" i="10" s="1"/>
  <c r="F8" i="10"/>
  <c r="B10" i="10" l="1"/>
  <c r="D10" i="10" s="1"/>
  <c r="F9" i="10"/>
  <c r="B11" i="10" l="1"/>
  <c r="D11" i="10" s="1"/>
  <c r="F10" i="10"/>
  <c r="B12" i="10" l="1"/>
  <c r="D12" i="10" s="1"/>
  <c r="F11" i="10"/>
  <c r="B13" i="10" l="1"/>
  <c r="D13" i="10" s="1"/>
  <c r="F12" i="10"/>
  <c r="B14" i="10" l="1"/>
  <c r="D14" i="10" s="1"/>
  <c r="F13" i="10"/>
  <c r="B15" i="10" l="1"/>
  <c r="D15" i="10" s="1"/>
  <c r="F14" i="10"/>
  <c r="B16" i="10" l="1"/>
  <c r="D16" i="10" s="1"/>
  <c r="F15" i="10"/>
  <c r="B17" i="10" l="1"/>
  <c r="D17" i="10" s="1"/>
  <c r="F16" i="10"/>
  <c r="B18" i="10" l="1"/>
  <c r="D18" i="10" s="1"/>
  <c r="F18" i="10" s="1"/>
  <c r="F17" i="10"/>
  <c r="G12" i="6" l="1"/>
  <c r="F10" i="6"/>
  <c r="D11" i="2" l="1"/>
  <c r="D13" i="2"/>
  <c r="D12" i="2"/>
  <c r="D10" i="2"/>
  <c r="D17" i="1"/>
  <c r="F16" i="6"/>
  <c r="D16" i="2" s="1"/>
  <c r="E16" i="2" l="1"/>
  <c r="F16" i="2"/>
  <c r="F17" i="1"/>
  <c r="E17" i="1"/>
  <c r="F13" i="2"/>
  <c r="E13" i="2"/>
  <c r="E12" i="2"/>
  <c r="F12" i="2"/>
  <c r="E10" i="2"/>
  <c r="F10" i="2"/>
  <c r="E11" i="2"/>
  <c r="F11" i="2"/>
  <c r="D12" i="1" l="1"/>
  <c r="D10" i="1"/>
  <c r="D14" i="1"/>
  <c r="D13" i="1"/>
  <c r="D11" i="1"/>
  <c r="E12" i="1" l="1"/>
  <c r="F12" i="1"/>
  <c r="F11" i="1"/>
  <c r="E11" i="1"/>
  <c r="F10" i="1"/>
  <c r="E10" i="1"/>
  <c r="F14" i="1"/>
  <c r="E14" i="1"/>
  <c r="E13" i="1"/>
  <c r="F13" i="1"/>
  <c r="G14" i="6" l="1"/>
  <c r="G17" i="6" s="1"/>
  <c r="G20" i="6" s="1"/>
  <c r="D17" i="6"/>
  <c r="D20" i="6" s="1"/>
  <c r="D16" i="1" l="1"/>
  <c r="E17" i="6"/>
  <c r="E20" i="6" s="1"/>
  <c r="D15" i="2"/>
  <c r="F17" i="6"/>
  <c r="F20" i="6" s="1"/>
  <c r="D18" i="1" l="1"/>
  <c r="D21" i="1" s="1"/>
  <c r="F16" i="1"/>
  <c r="E16" i="1"/>
  <c r="D17" i="2"/>
  <c r="D20" i="2" s="1"/>
  <c r="F15" i="2"/>
  <c r="E15" i="2"/>
  <c r="F17" i="2" l="1"/>
  <c r="F20" i="2" s="1"/>
  <c r="E17" i="2"/>
  <c r="E20" i="2" s="1"/>
  <c r="F18" i="1"/>
  <c r="F21" i="1" s="1"/>
  <c r="E18" i="1"/>
  <c r="E21" i="1" s="1"/>
  <c r="E6" i="9" l="1"/>
  <c r="F6" i="9" s="1"/>
  <c r="B7" i="9"/>
  <c r="D7" i="9" s="1"/>
  <c r="E7" i="9" l="1"/>
  <c r="F7" i="9" s="1"/>
  <c r="B8" i="9"/>
  <c r="D8" i="9" s="1"/>
  <c r="E8" i="9" l="1"/>
  <c r="F8" i="9" s="1"/>
  <c r="B9" i="9"/>
  <c r="D9" i="9" s="1"/>
  <c r="E9" i="9" l="1"/>
  <c r="F9" i="9" s="1"/>
  <c r="B10" i="9"/>
  <c r="D10" i="9" s="1"/>
  <c r="E10" i="9" l="1"/>
  <c r="F10" i="9" s="1"/>
  <c r="B11" i="9"/>
  <c r="D11" i="9" s="1"/>
  <c r="E11" i="9" l="1"/>
  <c r="F11" i="9" s="1"/>
  <c r="B12" i="9"/>
  <c r="D12" i="9" s="1"/>
  <c r="E12" i="9" l="1"/>
  <c r="F12" i="9" s="1"/>
  <c r="B13" i="9"/>
  <c r="D13" i="9" s="1"/>
  <c r="E13" i="9" l="1"/>
  <c r="F13" i="9" s="1"/>
  <c r="B14" i="9"/>
  <c r="D14" i="9" s="1"/>
  <c r="E14" i="9" l="1"/>
  <c r="F14" i="9" s="1"/>
  <c r="B15" i="9"/>
  <c r="D15" i="9" s="1"/>
  <c r="E15" i="9" l="1"/>
  <c r="F15" i="9" s="1"/>
  <c r="B16" i="9"/>
  <c r="D16" i="9" s="1"/>
  <c r="E16" i="9" l="1"/>
  <c r="F16" i="9" s="1"/>
  <c r="B17" i="9"/>
  <c r="D17" i="9" s="1"/>
  <c r="E17" i="9" l="1"/>
  <c r="F17" i="9" s="1"/>
  <c r="B18" i="9"/>
  <c r="D18" i="9" s="1"/>
  <c r="E18" i="9" l="1"/>
  <c r="F18" i="9" s="1"/>
</calcChain>
</file>

<file path=xl/sharedStrings.xml><?xml version="1.0" encoding="utf-8"?>
<sst xmlns="http://schemas.openxmlformats.org/spreadsheetml/2006/main" count="295" uniqueCount="129">
  <si>
    <t>Electric Accumulated Deferred Taxes</t>
  </si>
  <si>
    <t>Alloc</t>
  </si>
  <si>
    <t>Electric</t>
  </si>
  <si>
    <t>Basis</t>
  </si>
  <si>
    <t>System</t>
  </si>
  <si>
    <t>Washington</t>
  </si>
  <si>
    <t>Idaho</t>
  </si>
  <si>
    <t>ACCELERATED TAX DEPRECIATION</t>
  </si>
  <si>
    <t>SYSTEM</t>
  </si>
  <si>
    <t>Results - AMA Plant</t>
  </si>
  <si>
    <t>Intangible</t>
  </si>
  <si>
    <t>Production</t>
  </si>
  <si>
    <t>Transmission</t>
  </si>
  <si>
    <t>Distribution</t>
  </si>
  <si>
    <t>General Utility (Direct)</t>
  </si>
  <si>
    <t>General-Direct</t>
  </si>
  <si>
    <t xml:space="preserve">General/Intangible </t>
  </si>
  <si>
    <t>CD AA</t>
  </si>
  <si>
    <t>General-Allocated (CDAA,CDAN)</t>
  </si>
  <si>
    <t>CD AN</t>
  </si>
  <si>
    <t>Intangible-Allocated (CDAA,CDAN)</t>
  </si>
  <si>
    <t xml:space="preserve">   Subtotal</t>
  </si>
  <si>
    <t>CDA Lake IPA Fund</t>
  </si>
  <si>
    <t>Total Plant</t>
  </si>
  <si>
    <t xml:space="preserve">      Total Deferred FIT</t>
  </si>
  <si>
    <t>Allocation Notes:</t>
  </si>
  <si>
    <t>Production/Transmission</t>
  </si>
  <si>
    <t>Jurisdictional four-factor</t>
  </si>
  <si>
    <t>Only changes once, every December 31</t>
  </si>
  <si>
    <t>Net electric distribution plant - AMA</t>
  </si>
  <si>
    <t>Net electric plant - AMA</t>
  </si>
  <si>
    <t>Changes each month</t>
  </si>
  <si>
    <t>Net electric general plant - AMA</t>
  </si>
  <si>
    <t>Direct</t>
  </si>
  <si>
    <t>D</t>
  </si>
  <si>
    <t>Source of Allocation Factors: Results of Operations Report E-ALL-12A</t>
  </si>
  <si>
    <t>Source of Allocation Factors: Results of Operations Report E-PLT-12A</t>
  </si>
  <si>
    <t>Gas Accumulated Deferred Taxes</t>
  </si>
  <si>
    <t>Gas</t>
  </si>
  <si>
    <t>Gas North</t>
  </si>
  <si>
    <t>UG Storage</t>
  </si>
  <si>
    <t>General (Direct)</t>
  </si>
  <si>
    <t>General/Intangible</t>
  </si>
  <si>
    <t xml:space="preserve">       Total Plant DFIT</t>
  </si>
  <si>
    <t>System Contract Demand</t>
  </si>
  <si>
    <t>Net gas plant - AMA</t>
  </si>
  <si>
    <t>Net gas general plant - AMA</t>
  </si>
  <si>
    <t>Net distribution plant - AMA</t>
  </si>
  <si>
    <t>Gross (1)</t>
  </si>
  <si>
    <t>A/D (1)</t>
  </si>
  <si>
    <t>Net Distribution Plant</t>
  </si>
  <si>
    <t>Percent</t>
  </si>
  <si>
    <t>NDP</t>
  </si>
  <si>
    <t>Source of Allocation Factors: Results of Operations Report G-PLT-12A</t>
  </si>
  <si>
    <t xml:space="preserve">(1) Source: Results of Operations (G-PLT-12A) </t>
  </si>
  <si>
    <t>CD</t>
  </si>
  <si>
    <t>AA</t>
  </si>
  <si>
    <t>AN</t>
  </si>
  <si>
    <t>ED</t>
  </si>
  <si>
    <t>GD</t>
  </si>
  <si>
    <t>OR</t>
  </si>
  <si>
    <t>AVISTA UTILITIES</t>
  </si>
  <si>
    <t>Accumulated Deferred Taxes</t>
  </si>
  <si>
    <t>Associated with Accelerated Tax Depreciation</t>
  </si>
  <si>
    <t xml:space="preserve">   Total Accelerated Tax Depr</t>
  </si>
  <si>
    <t>Total</t>
  </si>
  <si>
    <t>Gas - North</t>
  </si>
  <si>
    <t>Gas - South</t>
  </si>
  <si>
    <t>GAS North</t>
  </si>
  <si>
    <t>GAS Oregon</t>
  </si>
  <si>
    <t xml:space="preserve">General Utility </t>
  </si>
  <si>
    <t>General Utility</t>
  </si>
  <si>
    <t>CD AA - 7</t>
  </si>
  <si>
    <t>Changes once a year on January 1</t>
  </si>
  <si>
    <t>CD AN - 9</t>
  </si>
  <si>
    <t>FERC Account Number</t>
  </si>
  <si>
    <t>Description</t>
  </si>
  <si>
    <t>YTD</t>
  </si>
  <si>
    <t>PTD</t>
  </si>
  <si>
    <t>Accounting Period</t>
  </si>
  <si>
    <t>Beginning Balance</t>
  </si>
  <si>
    <t>Monthly Activity</t>
  </si>
  <si>
    <t>Ending Balance</t>
  </si>
  <si>
    <t>YTD Check</t>
  </si>
  <si>
    <t>WA</t>
  </si>
  <si>
    <t>ID</t>
  </si>
  <si>
    <t>ADFIT LAKE CDA CDR/IPA FUNDS</t>
  </si>
  <si>
    <t>ADFIT CdA IPA FUND DEPOSIT</t>
  </si>
  <si>
    <t xml:space="preserve">Adjustment in Results of Operations </t>
  </si>
  <si>
    <t>CD.AA</t>
  </si>
  <si>
    <t>(1) NSJ004 201212 - IRS Audit disallowed deduction, and had Company</t>
  </si>
  <si>
    <t>amortize CDA settlement for tax the same as for book/regulatory,</t>
  </si>
  <si>
    <t>Balance Per GL</t>
  </si>
  <si>
    <t>Adjustment in Results of Operations  (1) (2) (3)</t>
  </si>
  <si>
    <t>(From PLT)</t>
  </si>
  <si>
    <t>Allocated</t>
  </si>
  <si>
    <t>CDA Lake CDR Fund - Allocated</t>
  </si>
  <si>
    <t>CDA Settlement Costs</t>
  </si>
  <si>
    <t>CDA Settlement Past Storage</t>
  </si>
  <si>
    <t>Franchises &amp; Consents</t>
  </si>
  <si>
    <t>Misc Intangible Plant- (C-IPL)</t>
  </si>
  <si>
    <t>Misc Intangible Plant-Mainframe Software (C-IPL)</t>
  </si>
  <si>
    <t>Misc Intangible Plant-PC Software (C-IPL)</t>
  </si>
  <si>
    <t xml:space="preserve">  TOTAL INTANGIBLE PLANT</t>
  </si>
  <si>
    <t>General Plant</t>
  </si>
  <si>
    <t>TOTAL Plant</t>
  </si>
  <si>
    <t>(From IPL - Electric Data)</t>
  </si>
  <si>
    <t>Allocation Factors</t>
  </si>
  <si>
    <t>3031XX</t>
  </si>
  <si>
    <t>(From IPL - Gas North Data)</t>
  </si>
  <si>
    <t>Intangible (Less CDA Settlement)</t>
  </si>
  <si>
    <t>therefore, ADFIT is zeroed out.</t>
  </si>
  <si>
    <t>Monthly Activity (1)</t>
  </si>
  <si>
    <t xml:space="preserve">therefore, ADFIT is zeroed out.  </t>
  </si>
  <si>
    <t>A</t>
  </si>
  <si>
    <t>ZZ</t>
  </si>
  <si>
    <t>TOTAL</t>
  </si>
  <si>
    <t>AMA</t>
  </si>
  <si>
    <t>EOP</t>
  </si>
  <si>
    <t>Per GL:</t>
  </si>
  <si>
    <t>Adjustments:</t>
  </si>
  <si>
    <t>Revised:</t>
  </si>
  <si>
    <t>303115-303121</t>
  </si>
  <si>
    <t>ED.AN</t>
  </si>
  <si>
    <t>GD.AN</t>
  </si>
  <si>
    <t>GD.OR</t>
  </si>
  <si>
    <t>E Adj 3.21</t>
  </si>
  <si>
    <t>G Adj 3.18</t>
  </si>
  <si>
    <t>EOP - Twelve Months Ended December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</si>
</sst>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  <numFmt numFmtId="167" formatCode="0.00000%"/>
    <numFmt numFmtId="168" formatCode="#,###,###,##0.00"/>
    <numFmt numFmtId="169" formatCode="0000"/>
  </numFmts>
  <fonts count="21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u/>
      <sz val="10"/>
      <name val="Geneva"/>
    </font>
    <font>
      <sz val="10"/>
      <color indexed="12"/>
      <name val="Geneva"/>
    </font>
    <font>
      <sz val="10"/>
      <color indexed="14"/>
      <name val="Geneva"/>
    </font>
    <font>
      <b/>
      <sz val="22"/>
      <color indexed="8"/>
      <name val="Times New Roman"/>
      <family val="1"/>
    </font>
    <font>
      <b/>
      <sz val="10"/>
      <name val="Geneva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sz val="10"/>
      <name val="Times New Roman"/>
      <family val="1"/>
    </font>
    <font>
      <u/>
      <sz val="10"/>
      <color indexed="12"/>
      <name val="Geneva"/>
    </font>
    <font>
      <b/>
      <sz val="10"/>
      <color indexed="8"/>
      <name val="Times New Roman"/>
      <family val="1"/>
    </font>
    <font>
      <b/>
      <sz val="10"/>
      <color indexed="8"/>
      <name val="Arial"/>
      <family val="2"/>
    </font>
    <font>
      <sz val="10"/>
      <color indexed="8"/>
      <name val="Times New Roman"/>
      <family val="1"/>
    </font>
    <font>
      <sz val="10"/>
      <color theme="0"/>
      <name val="Geneva"/>
    </font>
    <font>
      <sz val="10"/>
      <color theme="1"/>
      <name val="Arial"/>
      <family val="2"/>
    </font>
    <font>
      <u/>
      <sz val="10"/>
      <name val="Times New Roman"/>
      <family val="1"/>
    </font>
    <font>
      <sz val="10"/>
      <color theme="4" tint="-0.249977111117893"/>
      <name val="Times New Roman"/>
      <family val="1"/>
    </font>
    <font>
      <b/>
      <sz val="10"/>
      <color rgb="FFFF0000"/>
      <name val="Geneva"/>
    </font>
    <font>
      <u val="singleAccounting"/>
      <sz val="10"/>
      <name val="Geneva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 applyBorder="0">
      <alignment horizontal="centerContinuous"/>
    </xf>
    <xf numFmtId="0" fontId="8" fillId="0" borderId="0" applyBorder="0">
      <alignment horizontal="centerContinuous"/>
    </xf>
    <xf numFmtId="0" fontId="9" fillId="4" borderId="0">
      <alignment horizontal="right"/>
    </xf>
    <xf numFmtId="0" fontId="16" fillId="0" borderId="0"/>
    <xf numFmtId="0" fontId="1" fillId="0" borderId="0"/>
    <xf numFmtId="43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37" fontId="0" fillId="0" borderId="0" xfId="0" applyNumberFormat="1" applyFill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right"/>
    </xf>
    <xf numFmtId="164" fontId="4" fillId="0" borderId="0" xfId="1" applyNumberFormat="1" applyFont="1" applyFill="1"/>
    <xf numFmtId="165" fontId="0" fillId="0" borderId="0" xfId="3" applyNumberFormat="1" applyFont="1" applyFill="1"/>
    <xf numFmtId="165" fontId="0" fillId="0" borderId="1" xfId="3" applyNumberFormat="1" applyFont="1" applyFill="1" applyBorder="1"/>
    <xf numFmtId="164" fontId="0" fillId="0" borderId="0" xfId="0" applyNumberFormat="1" applyFill="1"/>
    <xf numFmtId="10" fontId="0" fillId="0" borderId="0" xfId="3" applyNumberFormat="1" applyFont="1" applyFill="1"/>
    <xf numFmtId="0" fontId="0" fillId="0" borderId="0" xfId="0" applyFill="1" applyAlignment="1"/>
    <xf numFmtId="0" fontId="0" fillId="0" borderId="0" xfId="0" applyFill="1" applyBorder="1" applyAlignment="1">
      <alignment horizontal="right"/>
    </xf>
    <xf numFmtId="164" fontId="4" fillId="0" borderId="0" xfId="0" applyNumberFormat="1" applyFont="1" applyFill="1" applyBorder="1"/>
    <xf numFmtId="37" fontId="0" fillId="0" borderId="1" xfId="0" applyNumberFormat="1" applyFill="1" applyBorder="1"/>
    <xf numFmtId="37" fontId="0" fillId="0" borderId="0" xfId="0" applyNumberFormat="1" applyFill="1" applyBorder="1"/>
    <xf numFmtId="166" fontId="0" fillId="0" borderId="0" xfId="0" applyNumberFormat="1" applyFill="1"/>
    <xf numFmtId="37" fontId="0" fillId="0" borderId="0" xfId="0" applyNumberFormat="1"/>
    <xf numFmtId="37" fontId="0" fillId="0" borderId="0" xfId="0" applyNumberFormat="1" applyBorder="1"/>
    <xf numFmtId="165" fontId="4" fillId="0" borderId="0" xfId="3" applyNumberFormat="1" applyFont="1" applyFill="1"/>
    <xf numFmtId="0" fontId="0" fillId="0" borderId="0" xfId="0" applyFont="1" applyFill="1"/>
    <xf numFmtId="3" fontId="0" fillId="0" borderId="0" xfId="0" applyNumberFormat="1" applyFont="1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7" fontId="0" fillId="0" borderId="0" xfId="3" applyNumberFormat="1" applyFont="1" applyFill="1"/>
    <xf numFmtId="167" fontId="0" fillId="0" borderId="1" xfId="3" applyNumberFormat="1" applyFont="1" applyFill="1" applyBorder="1"/>
    <xf numFmtId="37" fontId="0" fillId="0" borderId="1" xfId="0" applyNumberFormat="1" applyBorder="1"/>
    <xf numFmtId="165" fontId="0" fillId="0" borderId="0" xfId="3" applyNumberFormat="1" applyFont="1"/>
    <xf numFmtId="0" fontId="0" fillId="3" borderId="0" xfId="0" applyFill="1"/>
    <xf numFmtId="0" fontId="5" fillId="3" borderId="0" xfId="0" applyFont="1" applyFill="1"/>
    <xf numFmtId="37" fontId="0" fillId="3" borderId="0" xfId="0" applyNumberFormat="1" applyFill="1"/>
    <xf numFmtId="37" fontId="4" fillId="3" borderId="0" xfId="0" applyNumberFormat="1" applyFont="1" applyFill="1"/>
    <xf numFmtId="37" fontId="0" fillId="3" borderId="1" xfId="0" applyNumberFormat="1" applyFill="1" applyBorder="1"/>
    <xf numFmtId="37" fontId="4" fillId="3" borderId="1" xfId="0" applyNumberFormat="1" applyFont="1" applyFill="1" applyBorder="1"/>
    <xf numFmtId="0" fontId="0" fillId="3" borderId="0" xfId="0" applyFill="1" applyAlignment="1">
      <alignment horizontal="center"/>
    </xf>
    <xf numFmtId="165" fontId="2" fillId="3" borderId="0" xfId="3" applyNumberFormat="1" applyFont="1" applyFill="1"/>
    <xf numFmtId="0" fontId="10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64" fontId="0" fillId="0" borderId="0" xfId="1" applyNumberFormat="1" applyFont="1"/>
    <xf numFmtId="0" fontId="11" fillId="0" borderId="0" xfId="0" applyFont="1" applyAlignment="1">
      <alignment horizontal="center"/>
    </xf>
    <xf numFmtId="0" fontId="7" fillId="0" borderId="0" xfId="0" quotePrefix="1" applyFont="1"/>
    <xf numFmtId="3" fontId="0" fillId="0" borderId="0" xfId="0" applyNumberFormat="1"/>
    <xf numFmtId="37" fontId="0" fillId="0" borderId="2" xfId="0" applyNumberFormat="1" applyBorder="1"/>
    <xf numFmtId="0" fontId="12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top"/>
    </xf>
    <xf numFmtId="0" fontId="0" fillId="0" borderId="7" xfId="0" applyFill="1" applyBorder="1"/>
    <xf numFmtId="0" fontId="0" fillId="0" borderId="8" xfId="0" applyFill="1" applyBorder="1"/>
    <xf numFmtId="0" fontId="0" fillId="0" borderId="1" xfId="0" applyFill="1" applyBorder="1"/>
    <xf numFmtId="0" fontId="0" fillId="0" borderId="9" xfId="0" applyFill="1" applyBorder="1"/>
    <xf numFmtId="0" fontId="0" fillId="0" borderId="10" xfId="0" applyFill="1" applyBorder="1"/>
    <xf numFmtId="0" fontId="15" fillId="0" borderId="0" xfId="0" applyFont="1" applyFill="1" applyBorder="1"/>
    <xf numFmtId="0" fontId="0" fillId="0" borderId="0" xfId="0" applyFill="1" applyBorder="1"/>
    <xf numFmtId="0" fontId="0" fillId="0" borderId="11" xfId="0" applyFill="1" applyBorder="1"/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left" vertical="center"/>
    </xf>
    <xf numFmtId="44" fontId="14" fillId="0" borderId="14" xfId="2" applyFont="1" applyFill="1" applyBorder="1" applyAlignment="1">
      <alignment horizontal="right" vertical="center"/>
    </xf>
    <xf numFmtId="44" fontId="14" fillId="0" borderId="13" xfId="2" applyFont="1" applyFill="1" applyBorder="1" applyAlignment="1">
      <alignment horizontal="right" vertical="center"/>
    </xf>
    <xf numFmtId="168" fontId="14" fillId="0" borderId="14" xfId="0" applyNumberFormat="1" applyFont="1" applyFill="1" applyBorder="1" applyAlignment="1">
      <alignment horizontal="right" vertical="center"/>
    </xf>
    <xf numFmtId="0" fontId="13" fillId="0" borderId="15" xfId="0" applyFont="1" applyFill="1" applyBorder="1" applyAlignment="1">
      <alignment horizontal="left" vertical="top"/>
    </xf>
    <xf numFmtId="44" fontId="13" fillId="0" borderId="1" xfId="2" applyFont="1" applyFill="1" applyBorder="1" applyAlignment="1">
      <alignment horizontal="left" vertical="top"/>
    </xf>
    <xf numFmtId="44" fontId="13" fillId="0" borderId="16" xfId="2" applyFont="1" applyFill="1" applyBorder="1" applyAlignment="1">
      <alignment horizontal="left" vertical="top"/>
    </xf>
    <xf numFmtId="44" fontId="13" fillId="0" borderId="17" xfId="2" applyFont="1" applyFill="1" applyBorder="1" applyAlignment="1">
      <alignment horizontal="left" vertical="top"/>
    </xf>
    <xf numFmtId="164" fontId="0" fillId="0" borderId="0" xfId="0" applyNumberFormat="1"/>
    <xf numFmtId="43" fontId="14" fillId="0" borderId="13" xfId="1" applyFont="1" applyFill="1" applyBorder="1" applyAlignment="1">
      <alignment horizontal="center" vertical="center" wrapText="1"/>
    </xf>
    <xf numFmtId="43" fontId="14" fillId="0" borderId="13" xfId="1" applyFont="1" applyFill="1" applyBorder="1" applyAlignment="1">
      <alignment horizontal="right" vertical="center"/>
    </xf>
    <xf numFmtId="43" fontId="14" fillId="0" borderId="13" xfId="0" applyNumberFormat="1" applyFont="1" applyFill="1" applyBorder="1" applyAlignment="1">
      <alignment horizontal="center" vertical="center" wrapText="1"/>
    </xf>
    <xf numFmtId="165" fontId="2" fillId="0" borderId="0" xfId="3" applyNumberFormat="1" applyFont="1" applyFill="1"/>
    <xf numFmtId="164" fontId="2" fillId="0" borderId="0" xfId="0" applyNumberFormat="1" applyFont="1" applyFill="1"/>
    <xf numFmtId="0" fontId="17" fillId="0" borderId="0" xfId="0" applyFont="1" applyAlignment="1">
      <alignment horizontal="center"/>
    </xf>
    <xf numFmtId="169" fontId="10" fillId="0" borderId="0" xfId="0" applyNumberFormat="1" applyFont="1" applyFill="1" applyAlignment="1">
      <alignment horizontal="center"/>
    </xf>
    <xf numFmtId="3" fontId="10" fillId="0" borderId="0" xfId="0" applyNumberFormat="1" applyFont="1" applyFill="1"/>
    <xf numFmtId="164" fontId="10" fillId="0" borderId="0" xfId="1" applyNumberFormat="1" applyFont="1"/>
    <xf numFmtId="164" fontId="18" fillId="0" borderId="0" xfId="1" applyNumberFormat="1" applyFont="1"/>
    <xf numFmtId="169" fontId="10" fillId="0" borderId="0" xfId="0" applyNumberFormat="1" applyFont="1" applyAlignment="1">
      <alignment horizontal="center"/>
    </xf>
    <xf numFmtId="3" fontId="10" fillId="0" borderId="0" xfId="0" applyNumberFormat="1" applyFont="1"/>
    <xf numFmtId="0" fontId="10" fillId="0" borderId="0" xfId="0" applyNumberFormat="1" applyFont="1"/>
    <xf numFmtId="164" fontId="10" fillId="0" borderId="3" xfId="1" applyNumberFormat="1" applyFont="1" applyBorder="1"/>
    <xf numFmtId="164" fontId="10" fillId="0" borderId="21" xfId="1" applyNumberFormat="1" applyFont="1" applyBorder="1"/>
    <xf numFmtId="164" fontId="18" fillId="0" borderId="21" xfId="1" applyNumberFormat="1" applyFont="1" applyBorder="1"/>
    <xf numFmtId="164" fontId="2" fillId="0" borderId="0" xfId="1" applyNumberFormat="1" applyFont="1" applyFill="1"/>
    <xf numFmtId="164" fontId="2" fillId="0" borderId="1" xfId="1" applyNumberFormat="1" applyFont="1" applyFill="1" applyBorder="1"/>
    <xf numFmtId="164" fontId="2" fillId="0" borderId="0" xfId="0" applyNumberFormat="1" applyFont="1" applyFill="1" applyBorder="1"/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164" fontId="19" fillId="0" borderId="0" xfId="1" applyNumberFormat="1" applyFont="1" applyAlignment="1">
      <alignment horizontal="center"/>
    </xf>
    <xf numFmtId="164" fontId="0" fillId="0" borderId="22" xfId="1" applyNumberFormat="1" applyFont="1" applyBorder="1"/>
    <xf numFmtId="164" fontId="0" fillId="0" borderId="1" xfId="1" applyNumberFormat="1" applyFont="1" applyBorder="1"/>
    <xf numFmtId="164" fontId="20" fillId="0" borderId="0" xfId="1" applyNumberFormat="1" applyFont="1"/>
    <xf numFmtId="164" fontId="0" fillId="0" borderId="3" xfId="1" applyNumberFormat="1" applyFont="1" applyBorder="1"/>
    <xf numFmtId="165" fontId="18" fillId="0" borderId="0" xfId="3" applyNumberFormat="1" applyFont="1" applyFill="1"/>
    <xf numFmtId="164" fontId="10" fillId="0" borderId="0" xfId="1" applyNumberFormat="1" applyFont="1" applyFill="1"/>
    <xf numFmtId="165" fontId="10" fillId="0" borderId="0" xfId="0" applyNumberFormat="1" applyFont="1" applyFill="1"/>
    <xf numFmtId="165" fontId="18" fillId="0" borderId="0" xfId="0" applyNumberFormat="1" applyFont="1" applyFill="1"/>
    <xf numFmtId="0" fontId="10" fillId="0" borderId="0" xfId="0" applyFont="1" applyFill="1"/>
    <xf numFmtId="0" fontId="7" fillId="5" borderId="0" xfId="0" applyFont="1" applyFill="1"/>
    <xf numFmtId="165" fontId="10" fillId="0" borderId="0" xfId="3" applyNumberFormat="1" applyFont="1" applyFill="1"/>
    <xf numFmtId="37" fontId="7" fillId="2" borderId="2" xfId="0" applyNumberFormat="1" applyFont="1" applyFill="1" applyBorder="1"/>
    <xf numFmtId="164" fontId="7" fillId="0" borderId="22" xfId="1" applyNumberFormat="1" applyFont="1" applyBorder="1"/>
    <xf numFmtId="37" fontId="7" fillId="0" borderId="0" xfId="0" applyNumberFormat="1" applyFont="1"/>
    <xf numFmtId="37" fontId="7" fillId="0" borderId="1" xfId="0" applyNumberFormat="1" applyFont="1" applyBorder="1"/>
    <xf numFmtId="17" fontId="0" fillId="0" borderId="0" xfId="0" applyNumberFormat="1" applyAlignment="1">
      <alignment horizontal="left"/>
    </xf>
    <xf numFmtId="37" fontId="7" fillId="5" borderId="0" xfId="0" applyNumberFormat="1" applyFont="1" applyFill="1"/>
    <xf numFmtId="164" fontId="0" fillId="5" borderId="22" xfId="1" applyNumberFormat="1" applyFont="1" applyFill="1" applyBorder="1"/>
    <xf numFmtId="164" fontId="0" fillId="0" borderId="22" xfId="1" applyNumberFormat="1" applyFont="1" applyFill="1" applyBorder="1"/>
    <xf numFmtId="164" fontId="7" fillId="5" borderId="22" xfId="1" applyNumberFormat="1" applyFont="1" applyFill="1" applyBorder="1"/>
    <xf numFmtId="37" fontId="0" fillId="5" borderId="0" xfId="0" applyNumberFormat="1" applyFill="1"/>
    <xf numFmtId="164" fontId="10" fillId="5" borderId="21" xfId="1" applyNumberFormat="1" applyFont="1" applyFill="1" applyBorder="1"/>
    <xf numFmtId="164" fontId="0" fillId="6" borderId="22" xfId="1" applyNumberFormat="1" applyFont="1" applyFill="1" applyBorder="1"/>
    <xf numFmtId="164" fontId="7" fillId="6" borderId="22" xfId="1" applyNumberFormat="1" applyFont="1" applyFill="1" applyBorder="1"/>
    <xf numFmtId="37" fontId="0" fillId="6" borderId="2" xfId="0" applyNumberFormat="1" applyFill="1" applyBorder="1"/>
    <xf numFmtId="0" fontId="19" fillId="6" borderId="0" xfId="0" applyFont="1" applyFill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</cellXfs>
  <cellStyles count="10">
    <cellStyle name="Comma" xfId="1" builtinId="3"/>
    <cellStyle name="Comma 2" xfId="9"/>
    <cellStyle name="Currency" xfId="2" builtinId="4"/>
    <cellStyle name="Normal" xfId="0" builtinId="0"/>
    <cellStyle name="Normal 2" xfId="7"/>
    <cellStyle name="Normal 3" xfId="8"/>
    <cellStyle name="Output Column Headings" xfId="6"/>
    <cellStyle name="Output Report Heading" xfId="5"/>
    <cellStyle name="Output Report Title" xfId="4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C3" sqref="C3"/>
    </sheetView>
  </sheetViews>
  <sheetFormatPr defaultColWidth="11.44140625" defaultRowHeight="13.2"/>
  <cols>
    <col min="1" max="1" width="16.5546875" style="1" customWidth="1"/>
    <col min="2" max="2" width="23.109375" style="1" customWidth="1"/>
    <col min="3" max="3" width="6.44140625" style="1" customWidth="1"/>
    <col min="4" max="6" width="13.6640625" style="1" customWidth="1"/>
    <col min="7" max="7" width="5.5546875" style="1" customWidth="1"/>
    <col min="8" max="8" width="24.88671875" style="1" customWidth="1"/>
    <col min="9" max="9" width="17.5546875" style="1" bestFit="1" customWidth="1"/>
    <col min="10" max="10" width="13.44140625" style="1" bestFit="1" customWidth="1"/>
    <col min="11" max="16384" width="11.44140625" style="1"/>
  </cols>
  <sheetData>
    <row r="1" spans="1:10">
      <c r="C1" s="2" t="str">
        <f>'SYS-Dec20'!D1</f>
        <v>AVISTA UTILITIES</v>
      </c>
    </row>
    <row r="2" spans="1:10">
      <c r="C2" s="2" t="s">
        <v>0</v>
      </c>
    </row>
    <row r="3" spans="1:10">
      <c r="C3" s="3" t="str">
        <f>'SYS-Dec20'!D3</f>
        <v>EOP - Twelve Months Ended December 31, 2020</v>
      </c>
    </row>
    <row r="6" spans="1:10">
      <c r="C6" s="2" t="s">
        <v>1</v>
      </c>
      <c r="D6" s="2" t="s">
        <v>2</v>
      </c>
      <c r="E6" s="2"/>
      <c r="F6" s="2"/>
    </row>
    <row r="7" spans="1:10">
      <c r="C7" s="3" t="s">
        <v>3</v>
      </c>
      <c r="D7" s="3" t="s">
        <v>4</v>
      </c>
      <c r="E7" s="3" t="s">
        <v>5</v>
      </c>
      <c r="F7" s="3" t="s">
        <v>6</v>
      </c>
    </row>
    <row r="8" spans="1:10">
      <c r="A8" s="1" t="s">
        <v>7</v>
      </c>
      <c r="H8" s="2"/>
      <c r="I8" s="2" t="s">
        <v>8</v>
      </c>
    </row>
    <row r="9" spans="1:10">
      <c r="C9" s="2"/>
      <c r="D9" s="4"/>
      <c r="E9" s="4"/>
      <c r="F9" s="4"/>
      <c r="I9" s="5" t="s">
        <v>9</v>
      </c>
    </row>
    <row r="10" spans="1:10">
      <c r="A10" s="1" t="s">
        <v>2</v>
      </c>
      <c r="B10" s="1" t="s">
        <v>10</v>
      </c>
      <c r="C10" s="2">
        <v>1</v>
      </c>
      <c r="D10" s="4">
        <f>ROUND('SYS-Dec20'!$E$8*J10,0)</f>
        <v>0</v>
      </c>
      <c r="E10" s="4">
        <f>D10*E25</f>
        <v>0</v>
      </c>
      <c r="F10" s="4">
        <f>D10*F25</f>
        <v>0</v>
      </c>
      <c r="H10" s="6" t="s">
        <v>110</v>
      </c>
      <c r="I10" s="86"/>
      <c r="J10" s="8">
        <f>ROUND(I10/$I$15,8)</f>
        <v>0</v>
      </c>
    </row>
    <row r="11" spans="1:10">
      <c r="B11" s="1" t="s">
        <v>11</v>
      </c>
      <c r="C11" s="2">
        <v>1</v>
      </c>
      <c r="D11" s="4">
        <f>ROUND('SYS-Dec20'!$E$8*J11,0)</f>
        <v>-16194307</v>
      </c>
      <c r="E11" s="4">
        <f>D11*E25</f>
        <v>-10629943.114800001</v>
      </c>
      <c r="F11" s="4">
        <f>D11*F25</f>
        <v>-5564363.8852000004</v>
      </c>
      <c r="H11" s="6" t="s">
        <v>11</v>
      </c>
      <c r="I11" s="86">
        <f>'E-PLT'!E15</f>
        <v>1418084853</v>
      </c>
      <c r="J11" s="8">
        <f>ROUND(I11/$I$15,8)</f>
        <v>0.35466311</v>
      </c>
    </row>
    <row r="12" spans="1:10">
      <c r="B12" s="1" t="s">
        <v>12</v>
      </c>
      <c r="C12" s="2">
        <v>1</v>
      </c>
      <c r="D12" s="4">
        <f>ROUND('SYS-Dec20'!$E$8*J12,0)</f>
        <v>-8872505</v>
      </c>
      <c r="E12" s="4">
        <f>D12*E25</f>
        <v>-5823912.2819999997</v>
      </c>
      <c r="F12" s="4">
        <f>D12*F25</f>
        <v>-3048592.7180000003</v>
      </c>
      <c r="H12" s="6" t="s">
        <v>12</v>
      </c>
      <c r="I12" s="86">
        <f>'E-PLT'!E16</f>
        <v>776937563</v>
      </c>
      <c r="J12" s="8">
        <f>ROUND(I12/$I$15,8)</f>
        <v>0.19431213</v>
      </c>
    </row>
    <row r="13" spans="1:10">
      <c r="B13" s="1" t="s">
        <v>13</v>
      </c>
      <c r="C13" s="2">
        <v>10</v>
      </c>
      <c r="D13" s="4">
        <f>ROUND('SYS-Dec20'!$E$8*J13,0)</f>
        <v>-20594286</v>
      </c>
      <c r="E13" s="4">
        <f>D13*E27</f>
        <v>-14113470.138659999</v>
      </c>
      <c r="F13" s="4">
        <f>D13*F27</f>
        <v>-6480815.8613400003</v>
      </c>
      <c r="H13" s="6" t="s">
        <v>13</v>
      </c>
      <c r="I13" s="86">
        <f>'E-PLT'!E17</f>
        <v>1803377197</v>
      </c>
      <c r="J13" s="8">
        <f>ROUND(I13/$I$15,8)</f>
        <v>0.45102474999999997</v>
      </c>
    </row>
    <row r="14" spans="1:10">
      <c r="B14" s="1" t="s">
        <v>14</v>
      </c>
      <c r="C14" s="2">
        <v>13</v>
      </c>
      <c r="D14" s="4">
        <f>ROUND('SYS-Dec20'!$E$8*J14,0)</f>
        <v>0</v>
      </c>
      <c r="E14" s="4">
        <f>D14*E29</f>
        <v>0</v>
      </c>
      <c r="F14" s="4">
        <f>D14*F29</f>
        <v>0</v>
      </c>
      <c r="H14" s="6" t="s">
        <v>15</v>
      </c>
      <c r="I14" s="87"/>
      <c r="J14" s="9">
        <f>ROUND(I14/$I$15,8)</f>
        <v>0</v>
      </c>
    </row>
    <row r="15" spans="1:10">
      <c r="C15" s="2"/>
      <c r="D15" s="4"/>
      <c r="E15" s="4"/>
      <c r="F15" s="4"/>
      <c r="H15" s="6"/>
      <c r="I15" s="74">
        <f>SUM(I10:I14)</f>
        <v>3998399613</v>
      </c>
      <c r="J15" s="11">
        <f>SUM(J10:J14)</f>
        <v>0.99999998999999995</v>
      </c>
    </row>
    <row r="16" spans="1:10">
      <c r="A16" s="1" t="s">
        <v>16</v>
      </c>
      <c r="B16" s="12" t="s">
        <v>17</v>
      </c>
      <c r="C16" s="2">
        <v>4</v>
      </c>
      <c r="D16" s="4">
        <f>'SYS-Dec20'!E14</f>
        <v>36966.639060000001</v>
      </c>
      <c r="E16" s="4">
        <f>D16*E26</f>
        <v>25576.847899223401</v>
      </c>
      <c r="F16" s="4">
        <f>D16*F26</f>
        <v>11389.7911607766</v>
      </c>
      <c r="H16" s="13" t="s">
        <v>18</v>
      </c>
      <c r="I16" s="88">
        <f>'E-PLT'!D18</f>
        <v>297489697</v>
      </c>
    </row>
    <row r="17" spans="1:9">
      <c r="A17" s="1" t="s">
        <v>16</v>
      </c>
      <c r="B17" s="1" t="s">
        <v>19</v>
      </c>
      <c r="C17" s="2">
        <v>4</v>
      </c>
      <c r="D17" s="15">
        <f>'SYS-Dec20'!E16</f>
        <v>0</v>
      </c>
      <c r="E17" s="15">
        <f>D17*E26</f>
        <v>0</v>
      </c>
      <c r="F17" s="15">
        <f>D17*F26</f>
        <v>0</v>
      </c>
      <c r="H17" s="13" t="s">
        <v>20</v>
      </c>
      <c r="I17" s="88">
        <f>'E-PLT'!E32</f>
        <v>175276771</v>
      </c>
    </row>
    <row r="18" spans="1:9">
      <c r="A18" s="1" t="s">
        <v>21</v>
      </c>
      <c r="C18" s="2"/>
      <c r="D18" s="115">
        <f>SUM(D10:D17)</f>
        <v>-45624131.360940002</v>
      </c>
      <c r="E18" s="4">
        <f>SUM(E10:E17)</f>
        <v>-30541748.687560774</v>
      </c>
      <c r="F18" s="4">
        <f>SUM(F10:F17)</f>
        <v>-15082382.673379224</v>
      </c>
      <c r="H18" s="13"/>
      <c r="I18" s="88"/>
    </row>
    <row r="19" spans="1:9">
      <c r="C19" s="2"/>
      <c r="D19" s="4"/>
      <c r="E19" s="4"/>
      <c r="F19" s="4"/>
      <c r="H19" s="13"/>
      <c r="I19" s="88"/>
    </row>
    <row r="20" spans="1:9">
      <c r="D20" s="4"/>
      <c r="E20" s="4"/>
      <c r="F20" s="4"/>
      <c r="I20" s="17"/>
    </row>
    <row r="21" spans="1:9" ht="13.8" thickBot="1">
      <c r="A21" s="1" t="s">
        <v>24</v>
      </c>
      <c r="C21" s="90"/>
      <c r="D21" s="106">
        <f>D18</f>
        <v>-45624131.360940002</v>
      </c>
      <c r="E21" s="106">
        <f t="shared" ref="E21:F21" si="0">E18</f>
        <v>-30541748.687560774</v>
      </c>
      <c r="F21" s="106">
        <f t="shared" si="0"/>
        <v>-15082382.673379224</v>
      </c>
      <c r="H21" s="6"/>
      <c r="I21" s="11"/>
    </row>
    <row r="22" spans="1:9" ht="13.8" thickTop="1">
      <c r="E22" s="120" t="s">
        <v>126</v>
      </c>
      <c r="F22" s="90"/>
      <c r="H22" s="6"/>
      <c r="I22" s="11"/>
    </row>
    <row r="23" spans="1:9" customFormat="1">
      <c r="A23" s="1"/>
      <c r="B23" s="1"/>
      <c r="C23" s="1"/>
      <c r="D23" s="1"/>
      <c r="E23" s="1"/>
      <c r="F23" s="1"/>
      <c r="H23" s="1"/>
      <c r="I23" s="1"/>
    </row>
    <row r="24" spans="1:9">
      <c r="A24" s="1" t="s">
        <v>25</v>
      </c>
    </row>
    <row r="25" spans="1:9">
      <c r="A25" s="1" t="s">
        <v>26</v>
      </c>
      <c r="C25" s="2">
        <v>1</v>
      </c>
      <c r="D25" s="8">
        <f>SUM(E25:F25)</f>
        <v>1</v>
      </c>
      <c r="E25" s="20">
        <v>0.65639999999999998</v>
      </c>
      <c r="F25" s="73">
        <f>1-E25</f>
        <v>0.34360000000000002</v>
      </c>
    </row>
    <row r="26" spans="1:9">
      <c r="A26" s="1" t="s">
        <v>27</v>
      </c>
      <c r="C26" s="2">
        <v>4</v>
      </c>
      <c r="D26" s="8">
        <f>SUM(E26:F26)</f>
        <v>1</v>
      </c>
      <c r="E26" s="20">
        <v>0.69189000000000001</v>
      </c>
      <c r="F26" s="73">
        <f>1-E26</f>
        <v>0.30810999999999999</v>
      </c>
      <c r="H26" s="1" t="s">
        <v>28</v>
      </c>
    </row>
    <row r="27" spans="1:9">
      <c r="A27" s="1" t="s">
        <v>29</v>
      </c>
      <c r="C27" s="2">
        <v>10</v>
      </c>
      <c r="D27" s="8">
        <f>SUM(E27:F27)</f>
        <v>1</v>
      </c>
      <c r="E27" s="20">
        <v>0.68530999999999997</v>
      </c>
      <c r="F27" s="73">
        <f t="shared" ref="F27:F29" si="1">1-E27</f>
        <v>0.31469000000000003</v>
      </c>
      <c r="H27" s="1" t="s">
        <v>28</v>
      </c>
    </row>
    <row r="28" spans="1:9">
      <c r="A28" s="1" t="s">
        <v>30</v>
      </c>
      <c r="C28" s="2">
        <v>12</v>
      </c>
      <c r="D28" s="8">
        <f>SUM(E28:F28)</f>
        <v>1</v>
      </c>
      <c r="E28" s="20">
        <v>0.67337000000000002</v>
      </c>
      <c r="F28" s="73">
        <f t="shared" si="1"/>
        <v>0.32662999999999998</v>
      </c>
      <c r="H28" s="1" t="s">
        <v>31</v>
      </c>
    </row>
    <row r="29" spans="1:9">
      <c r="A29" s="1" t="s">
        <v>32</v>
      </c>
      <c r="C29" s="2">
        <v>13</v>
      </c>
      <c r="D29" s="8">
        <f>SUM(E29:F29)</f>
        <v>1</v>
      </c>
      <c r="E29" s="20">
        <v>0.68598000000000003</v>
      </c>
      <c r="F29" s="73">
        <f t="shared" si="1"/>
        <v>0.31401999999999997</v>
      </c>
    </row>
    <row r="30" spans="1:9">
      <c r="A30" s="1" t="s">
        <v>33</v>
      </c>
      <c r="C30" s="2" t="s">
        <v>34</v>
      </c>
      <c r="D30" s="8"/>
      <c r="E30" s="8"/>
      <c r="F30" s="8"/>
      <c r="H30"/>
      <c r="I30"/>
    </row>
    <row r="31" spans="1:9">
      <c r="H31"/>
      <c r="I31"/>
    </row>
    <row r="32" spans="1:9">
      <c r="A32" s="1" t="s">
        <v>35</v>
      </c>
    </row>
    <row r="33" spans="1:5">
      <c r="A33" s="1" t="s">
        <v>36</v>
      </c>
    </row>
    <row r="35" spans="1:5">
      <c r="A35" s="21"/>
      <c r="B35" s="22"/>
      <c r="C35" s="22"/>
      <c r="D35" s="22"/>
      <c r="E35" s="21"/>
    </row>
  </sheetData>
  <pageMargins left="0.75" right="0.75" top="0.75" bottom="0.75" header="0.5" footer="0.5"/>
  <pageSetup orientation="portrait" r:id="rId1"/>
  <headerFooter alignWithMargins="0">
    <oddFooter>&amp;C&amp;F&amp;A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E22" sqref="E22"/>
    </sheetView>
  </sheetViews>
  <sheetFormatPr defaultColWidth="11.44140625" defaultRowHeight="13.2"/>
  <cols>
    <col min="1" max="1" width="23.44140625" customWidth="1"/>
    <col min="2" max="2" width="19.88671875" customWidth="1"/>
    <col min="3" max="3" width="6" customWidth="1"/>
    <col min="4" max="6" width="13.6640625" customWidth="1"/>
    <col min="7" max="7" width="3" customWidth="1"/>
    <col min="8" max="8" width="30.88671875" style="1" customWidth="1"/>
    <col min="9" max="9" width="15.88671875" style="1" bestFit="1" customWidth="1"/>
    <col min="10" max="10" width="11.44140625" style="1"/>
    <col min="12" max="12" width="11.6640625" bestFit="1" customWidth="1"/>
  </cols>
  <sheetData>
    <row r="1" spans="1:12">
      <c r="C1" s="23" t="str">
        <f>'Elec-Dec20'!C1</f>
        <v>AVISTA UTILITIES</v>
      </c>
    </row>
    <row r="2" spans="1:12">
      <c r="C2" s="23" t="s">
        <v>37</v>
      </c>
    </row>
    <row r="3" spans="1:12">
      <c r="C3" s="24" t="str">
        <f>'SYS-Dec20'!D3</f>
        <v>EOP - Twelve Months Ended December 31, 2020</v>
      </c>
    </row>
    <row r="6" spans="1:12">
      <c r="C6" s="23" t="s">
        <v>1</v>
      </c>
      <c r="D6" s="23" t="s">
        <v>38</v>
      </c>
      <c r="E6" s="23"/>
      <c r="F6" s="23"/>
    </row>
    <row r="7" spans="1:12">
      <c r="C7" s="24" t="s">
        <v>3</v>
      </c>
      <c r="D7" s="24" t="s">
        <v>4</v>
      </c>
      <c r="E7" s="24" t="s">
        <v>5</v>
      </c>
      <c r="F7" s="24" t="s">
        <v>6</v>
      </c>
    </row>
    <row r="8" spans="1:12">
      <c r="A8" t="s">
        <v>7</v>
      </c>
      <c r="H8" s="2"/>
      <c r="I8" s="2" t="s">
        <v>8</v>
      </c>
    </row>
    <row r="9" spans="1:12">
      <c r="I9" s="5" t="s">
        <v>9</v>
      </c>
    </row>
    <row r="10" spans="1:12">
      <c r="A10" t="s">
        <v>39</v>
      </c>
      <c r="B10" t="s">
        <v>10</v>
      </c>
      <c r="C10" s="23">
        <v>4</v>
      </c>
      <c r="D10" s="18">
        <f>ROUND('SYS-Dec20'!$F$10*J10,0)</f>
        <v>0</v>
      </c>
      <c r="E10" s="18">
        <f>D10*E26</f>
        <v>0</v>
      </c>
      <c r="F10" s="18">
        <f>D10*F26</f>
        <v>0</v>
      </c>
      <c r="H10" s="6" t="s">
        <v>10</v>
      </c>
      <c r="I10" s="86"/>
      <c r="J10" s="25">
        <f>ROUND(I10/$I$14,8)</f>
        <v>0</v>
      </c>
      <c r="L10" s="69"/>
    </row>
    <row r="11" spans="1:12">
      <c r="B11" t="s">
        <v>40</v>
      </c>
      <c r="C11" s="23">
        <v>1</v>
      </c>
      <c r="D11" s="18">
        <f>ROUND('SYS-Dec20'!$F$10*J11,0)</f>
        <v>0</v>
      </c>
      <c r="E11" s="18">
        <f>D11*E25</f>
        <v>0</v>
      </c>
      <c r="F11" s="18">
        <f>D11*F25</f>
        <v>0</v>
      </c>
      <c r="H11" s="6" t="s">
        <v>40</v>
      </c>
      <c r="I11" s="86"/>
      <c r="J11" s="25">
        <f>ROUND(I11/$I$14,8)</f>
        <v>0</v>
      </c>
      <c r="L11" s="18"/>
    </row>
    <row r="12" spans="1:12">
      <c r="B12" t="s">
        <v>13</v>
      </c>
      <c r="C12" s="23">
        <v>12</v>
      </c>
      <c r="D12" s="18">
        <f>ROUND('SYS-Dec20'!$F$10*J12,0)</f>
        <v>-21714219</v>
      </c>
      <c r="E12" s="18">
        <f>D12*E27</f>
        <v>-15235781.76135</v>
      </c>
      <c r="F12" s="18">
        <f>D12*F27</f>
        <v>-6478437.2386499997</v>
      </c>
      <c r="H12" s="6" t="s">
        <v>13</v>
      </c>
      <c r="I12" s="86">
        <f>'G-PLT'!E11</f>
        <v>754807849</v>
      </c>
      <c r="J12" s="25">
        <f>ROUND(I12/$I$14,8)</f>
        <v>1</v>
      </c>
      <c r="L12" s="18"/>
    </row>
    <row r="13" spans="1:12">
      <c r="B13" t="s">
        <v>41</v>
      </c>
      <c r="C13" s="23">
        <v>13</v>
      </c>
      <c r="D13" s="18">
        <f>ROUND('SYS-Dec20'!$F$10*J13,0)</f>
        <v>0</v>
      </c>
      <c r="E13" s="18">
        <f>D13*E28</f>
        <v>0</v>
      </c>
      <c r="F13" s="18">
        <f>D13*F28</f>
        <v>0</v>
      </c>
      <c r="H13" s="6" t="s">
        <v>15</v>
      </c>
      <c r="I13" s="87"/>
      <c r="J13" s="26">
        <f>ROUND(I13/$I$14,8)</f>
        <v>0</v>
      </c>
      <c r="L13" s="18"/>
    </row>
    <row r="14" spans="1:12">
      <c r="C14" s="23"/>
      <c r="D14" s="18"/>
      <c r="E14" s="18"/>
      <c r="F14" s="18"/>
      <c r="H14" s="6"/>
      <c r="I14" s="74">
        <f>SUM(I10:I13)</f>
        <v>754807849</v>
      </c>
      <c r="J14" s="8">
        <f>SUM(J10:J13)</f>
        <v>1</v>
      </c>
    </row>
    <row r="15" spans="1:12">
      <c r="A15" t="s">
        <v>42</v>
      </c>
      <c r="B15" t="s">
        <v>17</v>
      </c>
      <c r="C15" s="23">
        <v>4</v>
      </c>
      <c r="D15" s="19">
        <f>'SYS-Dec20'!F14</f>
        <v>10744.094010000001</v>
      </c>
      <c r="E15" s="19">
        <f>D15*E26</f>
        <v>7799.4601646792999</v>
      </c>
      <c r="F15" s="19">
        <f>D15*F26</f>
        <v>2944.6338453207004</v>
      </c>
      <c r="H15" s="13" t="s">
        <v>18</v>
      </c>
      <c r="I15" s="88">
        <f>'G-PLT'!D12</f>
        <v>72466033</v>
      </c>
      <c r="K15" s="69"/>
    </row>
    <row r="16" spans="1:12">
      <c r="A16" t="s">
        <v>42</v>
      </c>
      <c r="B16" t="s">
        <v>19</v>
      </c>
      <c r="C16" s="23">
        <v>12</v>
      </c>
      <c r="D16" s="27">
        <f>'SYS-Dec20'!F16</f>
        <v>0</v>
      </c>
      <c r="E16" s="27">
        <f>D16*E27</f>
        <v>0</v>
      </c>
      <c r="F16" s="27">
        <f>D16*F27</f>
        <v>0</v>
      </c>
      <c r="H16" s="13" t="s">
        <v>20</v>
      </c>
      <c r="I16" s="88">
        <f>'G-PLT'!E27</f>
        <v>50939932</v>
      </c>
    </row>
    <row r="17" spans="1:10">
      <c r="A17" t="s">
        <v>43</v>
      </c>
      <c r="C17" s="23"/>
      <c r="D17" s="115">
        <f>SUM(D10:D16)</f>
        <v>-21703474.905990001</v>
      </c>
      <c r="E17" s="4">
        <f>SUM(E10:E16)</f>
        <v>-15227982.301185321</v>
      </c>
      <c r="F17" s="4">
        <f>SUM(F10:F16)</f>
        <v>-6475492.6048046788</v>
      </c>
      <c r="H17" s="13"/>
      <c r="I17" s="14"/>
    </row>
    <row r="18" spans="1:10">
      <c r="C18" s="23"/>
      <c r="D18" s="18"/>
      <c r="E18" s="18"/>
      <c r="F18" s="18"/>
      <c r="H18" s="13"/>
      <c r="I18" s="7"/>
    </row>
    <row r="19" spans="1:10">
      <c r="D19" s="18"/>
      <c r="E19" s="18"/>
      <c r="F19" s="18"/>
      <c r="H19" s="13"/>
      <c r="I19" s="14"/>
    </row>
    <row r="20" spans="1:10" ht="13.8" thickBot="1">
      <c r="A20" t="str">
        <f>'SYS-Dec20'!A20</f>
        <v xml:space="preserve">      Total Deferred FIT</v>
      </c>
      <c r="C20" s="89"/>
      <c r="D20" s="106">
        <f>D17</f>
        <v>-21703474.905990001</v>
      </c>
      <c r="E20" s="106">
        <f t="shared" ref="E20:F20" si="0">E17</f>
        <v>-15227982.301185321</v>
      </c>
      <c r="F20" s="106">
        <f t="shared" si="0"/>
        <v>-6475492.6048046788</v>
      </c>
      <c r="H20" s="13" t="s">
        <v>23</v>
      </c>
      <c r="I20" s="10">
        <f>SUM(I14:I18)</f>
        <v>878213814</v>
      </c>
    </row>
    <row r="21" spans="1:10" s="1" customFormat="1" ht="13.8" thickTop="1">
      <c r="D21" s="16"/>
      <c r="E21" s="120" t="s">
        <v>127</v>
      </c>
      <c r="F21" s="16"/>
    </row>
    <row r="22" spans="1:10">
      <c r="D22" s="18"/>
      <c r="E22" s="18"/>
      <c r="F22" s="18"/>
      <c r="I22" s="17"/>
    </row>
    <row r="23" spans="1:10">
      <c r="H23" s="6"/>
      <c r="I23" s="11"/>
    </row>
    <row r="24" spans="1:10">
      <c r="A24" t="s">
        <v>25</v>
      </c>
      <c r="H24" s="6"/>
      <c r="I24" s="11"/>
    </row>
    <row r="25" spans="1:10">
      <c r="A25" t="s">
        <v>44</v>
      </c>
      <c r="C25" s="23">
        <v>1</v>
      </c>
      <c r="D25" s="28">
        <f>SUM(E25:F25)</f>
        <v>1</v>
      </c>
      <c r="E25" s="20">
        <v>0.68679999999999997</v>
      </c>
      <c r="F25" s="73">
        <f>1-E25</f>
        <v>0.31320000000000003</v>
      </c>
      <c r="G25" t="s">
        <v>28</v>
      </c>
      <c r="H25" s="6"/>
      <c r="I25" s="11"/>
    </row>
    <row r="26" spans="1:10">
      <c r="A26" t="s">
        <v>27</v>
      </c>
      <c r="C26" s="2">
        <v>4</v>
      </c>
      <c r="D26" s="28">
        <f>SUM(E26:F26)</f>
        <v>1</v>
      </c>
      <c r="E26" s="20">
        <v>0.72592999999999996</v>
      </c>
      <c r="F26" s="73">
        <f t="shared" ref="F26:F28" si="1">1-E26</f>
        <v>0.27407000000000004</v>
      </c>
      <c r="G26" t="s">
        <v>28</v>
      </c>
    </row>
    <row r="27" spans="1:10">
      <c r="A27" t="s">
        <v>45</v>
      </c>
      <c r="C27" s="23">
        <v>12</v>
      </c>
      <c r="D27" s="28">
        <f>SUM(E27:F27)</f>
        <v>1</v>
      </c>
      <c r="E27" s="20">
        <v>0.70165</v>
      </c>
      <c r="F27" s="73">
        <f t="shared" si="1"/>
        <v>0.29835</v>
      </c>
      <c r="G27" t="s">
        <v>31</v>
      </c>
    </row>
    <row r="28" spans="1:10">
      <c r="A28" t="s">
        <v>46</v>
      </c>
      <c r="C28" s="23">
        <v>13</v>
      </c>
      <c r="D28" s="28">
        <f>SUM(E28:F28)</f>
        <v>1</v>
      </c>
      <c r="E28" s="20">
        <v>0.80767</v>
      </c>
      <c r="F28" s="73">
        <f t="shared" si="1"/>
        <v>0.19233</v>
      </c>
      <c r="G28" t="s">
        <v>31</v>
      </c>
    </row>
    <row r="29" spans="1:10" hidden="1">
      <c r="A29" s="29" t="s">
        <v>47</v>
      </c>
      <c r="B29" s="29"/>
      <c r="C29" s="29"/>
      <c r="D29" s="29"/>
      <c r="E29" s="29"/>
      <c r="F29" s="30"/>
      <c r="J29"/>
    </row>
    <row r="30" spans="1:10" hidden="1">
      <c r="A30" s="29"/>
      <c r="B30" s="29" t="s">
        <v>48</v>
      </c>
      <c r="C30" s="29"/>
      <c r="D30" s="31">
        <f>SUM(E30:F30)</f>
        <v>433956075</v>
      </c>
      <c r="E30" s="32">
        <v>281278889</v>
      </c>
      <c r="F30" s="32">
        <v>152677186</v>
      </c>
      <c r="J30"/>
    </row>
    <row r="31" spans="1:10" hidden="1">
      <c r="A31" s="29"/>
      <c r="B31" s="29" t="s">
        <v>49</v>
      </c>
      <c r="C31" s="29"/>
      <c r="D31" s="33">
        <f>SUM(E31:F31)</f>
        <v>146236411</v>
      </c>
      <c r="E31" s="34">
        <v>97488810</v>
      </c>
      <c r="F31" s="34">
        <v>48747601</v>
      </c>
    </row>
    <row r="32" spans="1:10" hidden="1">
      <c r="A32" s="29"/>
      <c r="B32" s="29" t="s">
        <v>50</v>
      </c>
      <c r="C32" s="29"/>
      <c r="D32" s="31">
        <f>SUM(D30:D31)</f>
        <v>580192486</v>
      </c>
      <c r="E32" s="31">
        <f>SUM(E30:E31)</f>
        <v>378767699</v>
      </c>
      <c r="F32" s="31">
        <f>SUM(F30:F31)</f>
        <v>201424787</v>
      </c>
      <c r="H32" s="1" t="s">
        <v>28</v>
      </c>
    </row>
    <row r="33" spans="1:9" hidden="1">
      <c r="A33" s="29"/>
      <c r="B33" s="29" t="s">
        <v>51</v>
      </c>
      <c r="C33" s="35" t="s">
        <v>52</v>
      </c>
      <c r="D33" s="36">
        <f>SUM(E33:F33)</f>
        <v>1</v>
      </c>
      <c r="E33" s="36">
        <f>E32/D32</f>
        <v>0.6528311002635081</v>
      </c>
      <c r="F33" s="36">
        <f>F32/D32</f>
        <v>0.34716889973649195</v>
      </c>
      <c r="H33" s="1" t="s">
        <v>28</v>
      </c>
    </row>
    <row r="34" spans="1:9" hidden="1">
      <c r="A34" t="s">
        <v>33</v>
      </c>
      <c r="C34" s="23" t="s">
        <v>34</v>
      </c>
      <c r="H34" s="1" t="s">
        <v>31</v>
      </c>
    </row>
    <row r="36" spans="1:9">
      <c r="A36" s="1" t="s">
        <v>53</v>
      </c>
      <c r="B36" s="1"/>
      <c r="C36" s="1"/>
      <c r="D36" s="1"/>
      <c r="F36" s="1"/>
      <c r="H36"/>
      <c r="I36"/>
    </row>
    <row r="37" spans="1:9">
      <c r="A37" s="1" t="s">
        <v>54</v>
      </c>
      <c r="B37" s="1"/>
      <c r="C37" s="1"/>
      <c r="D37" s="1"/>
      <c r="H37"/>
      <c r="I37"/>
    </row>
  </sheetData>
  <printOptions horizontalCentered="1"/>
  <pageMargins left="0.75" right="0.75" top="0.75" bottom="0.75" header="0.5" footer="0.5"/>
  <pageSetup orientation="portrait" r:id="rId1"/>
  <headerFooter alignWithMargins="0">
    <oddFooter>&amp;C&amp;F&amp;A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workbookViewId="0">
      <selection activeCell="D4" sqref="D4"/>
    </sheetView>
  </sheetViews>
  <sheetFormatPr defaultColWidth="11.44140625" defaultRowHeight="13.2"/>
  <cols>
    <col min="1" max="1" width="25.6640625" customWidth="1"/>
    <col min="2" max="2" width="14.109375" customWidth="1"/>
    <col min="3" max="3" width="2.44140625" customWidth="1"/>
    <col min="4" max="7" width="13.6640625" customWidth="1"/>
  </cols>
  <sheetData>
    <row r="1" spans="1:7">
      <c r="D1" s="23" t="str">
        <f>AvgCalc!E1</f>
        <v>AVISTA UTILITIES</v>
      </c>
    </row>
    <row r="2" spans="1:7">
      <c r="D2" s="23" t="s">
        <v>62</v>
      </c>
    </row>
    <row r="3" spans="1:7">
      <c r="D3" s="42" t="s">
        <v>128</v>
      </c>
    </row>
    <row r="6" spans="1:7">
      <c r="D6" s="23" t="s">
        <v>65</v>
      </c>
      <c r="E6" s="23"/>
      <c r="F6" s="23"/>
      <c r="G6" s="23"/>
    </row>
    <row r="7" spans="1:7">
      <c r="D7" s="24" t="s">
        <v>4</v>
      </c>
      <c r="E7" s="24" t="s">
        <v>2</v>
      </c>
      <c r="F7" s="24" t="s">
        <v>66</v>
      </c>
      <c r="G7" s="3" t="s">
        <v>67</v>
      </c>
    </row>
    <row r="8" spans="1:7">
      <c r="A8" t="s">
        <v>2</v>
      </c>
      <c r="B8" s="43"/>
      <c r="C8" s="43"/>
      <c r="D8" s="18">
        <f>AvgCalc!G66</f>
        <v>-45661099</v>
      </c>
      <c r="E8" s="111">
        <f>D8</f>
        <v>-45661099</v>
      </c>
    </row>
    <row r="9" spans="1:7">
      <c r="D9" s="18"/>
      <c r="E9" s="4"/>
      <c r="F9" s="18"/>
      <c r="G9" s="18"/>
    </row>
    <row r="10" spans="1:7">
      <c r="A10" t="s">
        <v>68</v>
      </c>
      <c r="D10" s="18">
        <f>AvgCalc!H66</f>
        <v>-21714219</v>
      </c>
      <c r="E10" s="4"/>
      <c r="F10" s="111">
        <f>D10</f>
        <v>-21714219</v>
      </c>
      <c r="G10" s="18"/>
    </row>
    <row r="11" spans="1:7">
      <c r="D11" s="18"/>
      <c r="E11" s="4"/>
      <c r="F11" s="18"/>
      <c r="G11" s="18"/>
    </row>
    <row r="12" spans="1:7">
      <c r="A12" t="s">
        <v>69</v>
      </c>
      <c r="D12" s="18">
        <f>AvgCalc!I66</f>
        <v>-8861164</v>
      </c>
      <c r="E12" s="4"/>
      <c r="F12" s="18"/>
      <c r="G12" s="111">
        <f>D12</f>
        <v>-8861164</v>
      </c>
    </row>
    <row r="13" spans="1:7">
      <c r="D13" s="108"/>
      <c r="E13" s="4"/>
      <c r="F13" s="18"/>
      <c r="G13" s="18"/>
    </row>
    <row r="14" spans="1:7">
      <c r="A14" t="s">
        <v>70</v>
      </c>
      <c r="B14" t="s">
        <v>17</v>
      </c>
      <c r="D14" s="111">
        <f>AvgCalc!D66</f>
        <v>52377</v>
      </c>
      <c r="E14" s="4">
        <f>D14*E24</f>
        <v>36966.639060000001</v>
      </c>
      <c r="F14" s="18">
        <f>D14*F24</f>
        <v>10744.094010000001</v>
      </c>
      <c r="G14" s="18">
        <f>D14*G24</f>
        <v>4666.2669299999998</v>
      </c>
    </row>
    <row r="15" spans="1:7">
      <c r="D15" s="18"/>
      <c r="E15" s="4"/>
      <c r="F15" s="18"/>
      <c r="G15" s="18"/>
    </row>
    <row r="16" spans="1:7">
      <c r="A16" t="s">
        <v>71</v>
      </c>
      <c r="B16" t="s">
        <v>19</v>
      </c>
      <c r="D16" s="109">
        <f>AvgCalc!F66</f>
        <v>0</v>
      </c>
      <c r="E16" s="15">
        <f>D16*E25</f>
        <v>0</v>
      </c>
      <c r="F16" s="27">
        <f>D16*F25</f>
        <v>0</v>
      </c>
      <c r="G16" s="27"/>
    </row>
    <row r="17" spans="1:8" ht="13.8" thickBot="1">
      <c r="A17" t="s">
        <v>64</v>
      </c>
      <c r="D17" s="106">
        <f>SUM(D8:D16)</f>
        <v>-76184105</v>
      </c>
      <c r="E17" s="4">
        <f>SUM(E8:E16)</f>
        <v>-45624132.360940002</v>
      </c>
      <c r="F17" s="18">
        <f>SUM(F9:F16)</f>
        <v>-21703474.905990001</v>
      </c>
      <c r="G17" s="18">
        <f>SUM(G9:G16)</f>
        <v>-8856497.7330699991</v>
      </c>
      <c r="H17" s="44"/>
    </row>
    <row r="18" spans="1:8" ht="13.8" thickTop="1">
      <c r="D18" s="94" t="s">
        <v>114</v>
      </c>
      <c r="E18" s="4"/>
      <c r="F18" s="18"/>
      <c r="G18" s="18"/>
      <c r="H18" s="44"/>
    </row>
    <row r="19" spans="1:8">
      <c r="D19" s="18"/>
      <c r="E19" s="18"/>
      <c r="F19" s="18"/>
      <c r="G19" s="18"/>
    </row>
    <row r="20" spans="1:8" ht="13.8" thickBot="1">
      <c r="A20" t="s">
        <v>24</v>
      </c>
      <c r="D20" s="119">
        <f>D17</f>
        <v>-76184105</v>
      </c>
      <c r="E20" s="45">
        <f t="shared" ref="E20:G20" si="0">E17</f>
        <v>-45624132.360940002</v>
      </c>
      <c r="F20" s="45">
        <f t="shared" si="0"/>
        <v>-21703474.905990001</v>
      </c>
      <c r="G20" s="45">
        <f t="shared" si="0"/>
        <v>-8856497.7330699991</v>
      </c>
      <c r="H20" s="44"/>
    </row>
    <row r="21" spans="1:8" ht="13.8" thickTop="1">
      <c r="E21" s="90"/>
      <c r="F21" s="90"/>
    </row>
    <row r="23" spans="1:8">
      <c r="A23" s="1" t="s">
        <v>35</v>
      </c>
      <c r="B23" s="1"/>
      <c r="C23" s="1"/>
      <c r="D23" s="1"/>
      <c r="E23" s="1"/>
      <c r="F23" s="1"/>
    </row>
    <row r="24" spans="1:8">
      <c r="B24" s="1" t="s">
        <v>72</v>
      </c>
      <c r="C24" s="1"/>
      <c r="D24" s="28">
        <f>SUM(E24:G24)</f>
        <v>1</v>
      </c>
      <c r="E24" s="20">
        <v>0.70577999999999996</v>
      </c>
      <c r="F24" s="20">
        <v>0.20513000000000001</v>
      </c>
      <c r="G24" s="20">
        <v>8.9090000000000003E-2</v>
      </c>
      <c r="H24" t="s">
        <v>73</v>
      </c>
    </row>
    <row r="25" spans="1:8">
      <c r="B25" s="1" t="s">
        <v>74</v>
      </c>
      <c r="C25" s="1"/>
      <c r="D25" s="28">
        <f>SUM(E25:G25)</f>
        <v>1</v>
      </c>
      <c r="E25" s="20">
        <v>0.77873999999999999</v>
      </c>
      <c r="F25" s="20">
        <v>0.22126000000000001</v>
      </c>
      <c r="G25" s="20">
        <v>0</v>
      </c>
      <c r="H25" t="s">
        <v>73</v>
      </c>
    </row>
    <row r="30" spans="1:8">
      <c r="A30" s="40"/>
    </row>
    <row r="31" spans="1:8">
      <c r="A31" s="40"/>
    </row>
    <row r="32" spans="1:8">
      <c r="A32" s="40"/>
    </row>
  </sheetData>
  <pageMargins left="0.75" right="0.75" top="0.75" bottom="0.75" header="0.5" footer="0.5"/>
  <pageSetup scale="94" orientation="portrait" r:id="rId1"/>
  <headerFooter alignWithMargins="0">
    <oddFooter>&amp;C&amp;F&amp;A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topLeftCell="A37" workbookViewId="0">
      <selection activeCell="H76" sqref="H76"/>
    </sheetView>
  </sheetViews>
  <sheetFormatPr defaultColWidth="11.44140625" defaultRowHeight="13.2"/>
  <cols>
    <col min="1" max="1" width="17.33203125" customWidth="1"/>
    <col min="2" max="3" width="14.88671875" bestFit="1" customWidth="1"/>
    <col min="4" max="4" width="14.44140625" customWidth="1"/>
    <col min="5" max="5" width="1.33203125" customWidth="1"/>
    <col min="6" max="6" width="13.88671875" bestFit="1" customWidth="1"/>
    <col min="7" max="8" width="15.88671875" customWidth="1"/>
    <col min="9" max="9" width="14" customWidth="1"/>
    <col min="10" max="10" width="0.88671875" customWidth="1"/>
    <col min="11" max="11" width="14" bestFit="1" customWidth="1"/>
    <col min="12" max="12" width="11.6640625" bestFit="1" customWidth="1"/>
    <col min="13" max="13" width="0.88671875" customWidth="1"/>
    <col min="14" max="14" width="13.6640625" bestFit="1" customWidth="1"/>
    <col min="15" max="15" width="11.109375" bestFit="1" customWidth="1"/>
    <col min="16" max="17" width="9.5546875" bestFit="1" customWidth="1"/>
  </cols>
  <sheetData>
    <row r="1" spans="1:13">
      <c r="E1" s="38" t="s">
        <v>61</v>
      </c>
      <c r="F1" s="38"/>
    </row>
    <row r="2" spans="1:13">
      <c r="E2" s="91" t="s">
        <v>62</v>
      </c>
      <c r="F2" s="91"/>
    </row>
    <row r="3" spans="1:13">
      <c r="E3" s="91" t="s">
        <v>63</v>
      </c>
      <c r="F3" s="91"/>
    </row>
    <row r="4" spans="1:13">
      <c r="A4" s="104" t="s">
        <v>119</v>
      </c>
      <c r="E4" s="39"/>
      <c r="F4" s="39"/>
    </row>
    <row r="5" spans="1:13">
      <c r="A5" s="92"/>
      <c r="B5" s="92">
        <v>282900</v>
      </c>
      <c r="C5" s="92">
        <v>283000</v>
      </c>
      <c r="D5" s="92" t="s">
        <v>65</v>
      </c>
      <c r="E5" s="92"/>
      <c r="F5" s="92">
        <v>282900</v>
      </c>
      <c r="G5" s="92">
        <v>282900</v>
      </c>
      <c r="H5" s="92">
        <v>282900</v>
      </c>
      <c r="I5" s="92">
        <v>282900</v>
      </c>
      <c r="J5" s="92"/>
      <c r="K5" s="92"/>
      <c r="L5" s="92">
        <v>282900</v>
      </c>
    </row>
    <row r="6" spans="1:13">
      <c r="B6" s="92" t="s">
        <v>55</v>
      </c>
      <c r="C6" s="92" t="s">
        <v>55</v>
      </c>
      <c r="D6" s="92" t="s">
        <v>55</v>
      </c>
      <c r="E6" s="92"/>
      <c r="F6" s="92" t="s">
        <v>55</v>
      </c>
      <c r="G6" s="92" t="s">
        <v>58</v>
      </c>
      <c r="H6" s="92" t="s">
        <v>59</v>
      </c>
      <c r="I6" s="92" t="s">
        <v>59</v>
      </c>
      <c r="L6" s="92" t="s">
        <v>115</v>
      </c>
    </row>
    <row r="7" spans="1:13">
      <c r="A7" s="93" t="s">
        <v>79</v>
      </c>
      <c r="B7" s="24" t="s">
        <v>56</v>
      </c>
      <c r="C7" s="24" t="s">
        <v>56</v>
      </c>
      <c r="D7" s="24" t="s">
        <v>56</v>
      </c>
      <c r="E7" s="92"/>
      <c r="F7" s="24" t="s">
        <v>57</v>
      </c>
      <c r="G7" s="24" t="s">
        <v>57</v>
      </c>
      <c r="H7" s="24" t="s">
        <v>57</v>
      </c>
      <c r="I7" s="24" t="s">
        <v>60</v>
      </c>
      <c r="J7" s="93"/>
      <c r="K7" s="24" t="s">
        <v>116</v>
      </c>
      <c r="L7" s="24" t="s">
        <v>115</v>
      </c>
    </row>
    <row r="8" spans="1:13">
      <c r="A8" s="110">
        <v>43435</v>
      </c>
      <c r="B8" s="41">
        <v>52377</v>
      </c>
      <c r="C8" s="41">
        <v>0</v>
      </c>
      <c r="D8" s="41">
        <f>SUM(B8:C8)</f>
        <v>52377</v>
      </c>
      <c r="E8" s="41"/>
      <c r="F8" s="41">
        <v>0</v>
      </c>
      <c r="G8" s="41">
        <v>-35563350</v>
      </c>
      <c r="H8" s="41">
        <v>-16863657</v>
      </c>
      <c r="I8" s="41">
        <v>-7260690</v>
      </c>
      <c r="K8" s="41">
        <f>SUM(D8:I8)</f>
        <v>-59635320</v>
      </c>
      <c r="L8" s="41"/>
    </row>
    <row r="9" spans="1:13">
      <c r="A9" s="110">
        <v>43466</v>
      </c>
      <c r="B9" s="41">
        <v>52377</v>
      </c>
      <c r="C9" s="41">
        <v>0</v>
      </c>
      <c r="D9" s="41">
        <f t="shared" ref="D9" si="0">SUM(B9:C9)</f>
        <v>52377</v>
      </c>
      <c r="E9" s="41"/>
      <c r="F9" s="41">
        <v>0</v>
      </c>
      <c r="G9" s="41">
        <v>-35563350</v>
      </c>
      <c r="H9" s="41">
        <v>-16863657</v>
      </c>
      <c r="I9" s="41">
        <v>-7260690</v>
      </c>
      <c r="K9" s="41">
        <f t="shared" ref="K9:K20" si="1">SUM(D9:I9)</f>
        <v>-59635320</v>
      </c>
      <c r="L9" s="41"/>
      <c r="M9" s="69">
        <f>K9-K8</f>
        <v>0</v>
      </c>
    </row>
    <row r="10" spans="1:13">
      <c r="A10" s="110">
        <v>43497</v>
      </c>
      <c r="B10" s="41">
        <v>52377</v>
      </c>
      <c r="C10" s="41">
        <v>0</v>
      </c>
      <c r="D10" s="41">
        <f>SUM(B10:C10)</f>
        <v>52377</v>
      </c>
      <c r="E10" s="41"/>
      <c r="F10" s="41">
        <v>0</v>
      </c>
      <c r="G10" s="41">
        <v>-35563350</v>
      </c>
      <c r="H10" s="41">
        <v>-16863657</v>
      </c>
      <c r="I10" s="41">
        <v>-7260690</v>
      </c>
      <c r="K10" s="41">
        <f t="shared" si="1"/>
        <v>-59635320</v>
      </c>
      <c r="L10" s="41"/>
      <c r="M10" s="69">
        <f t="shared" ref="M10:M20" si="2">K10-K9</f>
        <v>0</v>
      </c>
    </row>
    <row r="11" spans="1:13">
      <c r="A11" s="110">
        <v>43525</v>
      </c>
      <c r="B11" s="41">
        <v>52377</v>
      </c>
      <c r="C11" s="41">
        <v>0</v>
      </c>
      <c r="D11" s="41">
        <f t="shared" ref="D11:D20" si="3">SUM(B11:C11)</f>
        <v>52377</v>
      </c>
      <c r="E11" s="41"/>
      <c r="F11" s="41">
        <v>0</v>
      </c>
      <c r="G11" s="41">
        <v>-35563350</v>
      </c>
      <c r="H11" s="41">
        <v>-16863657</v>
      </c>
      <c r="I11" s="41">
        <v>-7260690</v>
      </c>
      <c r="K11" s="41">
        <f t="shared" si="1"/>
        <v>-59635320</v>
      </c>
      <c r="L11" s="41"/>
      <c r="M11" s="69">
        <f t="shared" si="2"/>
        <v>0</v>
      </c>
    </row>
    <row r="12" spans="1:13">
      <c r="A12" s="110">
        <v>43556</v>
      </c>
      <c r="B12" s="41">
        <v>52377</v>
      </c>
      <c r="C12" s="41">
        <v>0</v>
      </c>
      <c r="D12" s="41">
        <f t="shared" si="3"/>
        <v>52377</v>
      </c>
      <c r="E12" s="41"/>
      <c r="F12" s="41">
        <v>0</v>
      </c>
      <c r="G12" s="41">
        <v>-35563350</v>
      </c>
      <c r="H12" s="41">
        <v>-16863657</v>
      </c>
      <c r="I12" s="41">
        <v>-7260690</v>
      </c>
      <c r="K12" s="41">
        <f t="shared" si="1"/>
        <v>-59635320</v>
      </c>
      <c r="L12" s="41"/>
      <c r="M12" s="69">
        <f t="shared" si="2"/>
        <v>0</v>
      </c>
    </row>
    <row r="13" spans="1:13">
      <c r="A13" s="110">
        <v>43586</v>
      </c>
      <c r="B13" s="41">
        <v>52377</v>
      </c>
      <c r="C13" s="41">
        <v>0</v>
      </c>
      <c r="D13" s="41">
        <f t="shared" si="3"/>
        <v>52377</v>
      </c>
      <c r="E13" s="41"/>
      <c r="F13" s="41">
        <v>0</v>
      </c>
      <c r="G13" s="41">
        <v>-35563350</v>
      </c>
      <c r="H13" s="41">
        <v>-16863657</v>
      </c>
      <c r="I13" s="41">
        <v>-7260690</v>
      </c>
      <c r="K13" s="41">
        <f t="shared" si="1"/>
        <v>-59635320</v>
      </c>
      <c r="L13" s="41"/>
      <c r="M13" s="69">
        <f t="shared" si="2"/>
        <v>0</v>
      </c>
    </row>
    <row r="14" spans="1:13">
      <c r="A14" s="110">
        <v>43617</v>
      </c>
      <c r="B14" s="41">
        <v>52377</v>
      </c>
      <c r="C14" s="41">
        <v>0</v>
      </c>
      <c r="D14" s="41">
        <f t="shared" si="3"/>
        <v>52377</v>
      </c>
      <c r="E14" s="41"/>
      <c r="F14" s="41">
        <v>0</v>
      </c>
      <c r="G14" s="41">
        <v>-35563350</v>
      </c>
      <c r="H14" s="41">
        <v>-16863657</v>
      </c>
      <c r="I14" s="41">
        <v>-7260690</v>
      </c>
      <c r="K14" s="41">
        <f t="shared" si="1"/>
        <v>-59635320</v>
      </c>
      <c r="L14" s="41"/>
      <c r="M14" s="69">
        <f t="shared" si="2"/>
        <v>0</v>
      </c>
    </row>
    <row r="15" spans="1:13">
      <c r="A15" s="110">
        <v>43647</v>
      </c>
      <c r="B15" s="41">
        <v>52377</v>
      </c>
      <c r="C15" s="41">
        <v>0</v>
      </c>
      <c r="D15" s="41">
        <f t="shared" si="3"/>
        <v>52377</v>
      </c>
      <c r="E15" s="41"/>
      <c r="F15" s="41">
        <v>0</v>
      </c>
      <c r="G15" s="41">
        <v>-35563350</v>
      </c>
      <c r="H15" s="41">
        <v>-16863657</v>
      </c>
      <c r="I15" s="41">
        <v>-7260690</v>
      </c>
      <c r="K15" s="41">
        <f t="shared" si="1"/>
        <v>-59635320</v>
      </c>
      <c r="L15" s="41"/>
      <c r="M15" s="69">
        <f t="shared" si="2"/>
        <v>0</v>
      </c>
    </row>
    <row r="16" spans="1:13">
      <c r="A16" s="110">
        <v>43678</v>
      </c>
      <c r="B16" s="41">
        <v>52377</v>
      </c>
      <c r="C16" s="41">
        <v>0</v>
      </c>
      <c r="D16" s="41">
        <f t="shared" si="3"/>
        <v>52377</v>
      </c>
      <c r="E16" s="41"/>
      <c r="F16" s="41">
        <v>0</v>
      </c>
      <c r="G16" s="41">
        <v>-35563350</v>
      </c>
      <c r="H16" s="41">
        <v>-16863657</v>
      </c>
      <c r="I16" s="41">
        <v>-7260690</v>
      </c>
      <c r="K16" s="41">
        <f t="shared" si="1"/>
        <v>-59635320</v>
      </c>
      <c r="L16" s="41"/>
      <c r="M16" s="69">
        <f t="shared" si="2"/>
        <v>0</v>
      </c>
    </row>
    <row r="17" spans="1:17">
      <c r="A17" s="110">
        <v>43709</v>
      </c>
      <c r="B17" s="41">
        <v>52377</v>
      </c>
      <c r="C17" s="41">
        <v>0</v>
      </c>
      <c r="D17" s="41">
        <f t="shared" si="3"/>
        <v>52377</v>
      </c>
      <c r="E17" s="41"/>
      <c r="F17" s="41">
        <v>0</v>
      </c>
      <c r="G17" s="41">
        <v>-35563350</v>
      </c>
      <c r="H17" s="41">
        <v>-16863657</v>
      </c>
      <c r="I17" s="41">
        <v>-7260690</v>
      </c>
      <c r="K17" s="41">
        <f t="shared" si="1"/>
        <v>-59635320</v>
      </c>
      <c r="L17" s="41"/>
      <c r="M17" s="69">
        <f t="shared" si="2"/>
        <v>0</v>
      </c>
    </row>
    <row r="18" spans="1:17">
      <c r="A18" s="110">
        <v>43739</v>
      </c>
      <c r="B18" s="41">
        <v>52377</v>
      </c>
      <c r="C18" s="41">
        <v>0</v>
      </c>
      <c r="D18" s="41">
        <f t="shared" si="3"/>
        <v>52377</v>
      </c>
      <c r="E18" s="41"/>
      <c r="F18" s="41">
        <v>0</v>
      </c>
      <c r="G18" s="41">
        <v>-35563350</v>
      </c>
      <c r="H18" s="41">
        <v>-16863657</v>
      </c>
      <c r="I18" s="41">
        <v>-7260690</v>
      </c>
      <c r="K18" s="41">
        <f t="shared" si="1"/>
        <v>-59635320</v>
      </c>
      <c r="L18" s="41"/>
      <c r="M18" s="69">
        <f t="shared" si="2"/>
        <v>0</v>
      </c>
    </row>
    <row r="19" spans="1:17">
      <c r="A19" s="110">
        <v>43770</v>
      </c>
      <c r="B19" s="41">
        <v>52377</v>
      </c>
      <c r="C19" s="41">
        <v>0</v>
      </c>
      <c r="D19" s="41">
        <f t="shared" si="3"/>
        <v>52377</v>
      </c>
      <c r="E19" s="41"/>
      <c r="F19" s="41">
        <v>0</v>
      </c>
      <c r="G19" s="41">
        <v>-35563350</v>
      </c>
      <c r="H19" s="41">
        <v>-16863657</v>
      </c>
      <c r="I19" s="41">
        <v>-7260690</v>
      </c>
      <c r="K19" s="41">
        <f t="shared" si="1"/>
        <v>-59635320</v>
      </c>
      <c r="L19" s="41"/>
      <c r="M19" s="69">
        <f t="shared" si="2"/>
        <v>0</v>
      </c>
    </row>
    <row r="20" spans="1:17" ht="15">
      <c r="A20" s="110">
        <v>43800</v>
      </c>
      <c r="B20" s="97">
        <v>52377</v>
      </c>
      <c r="C20" s="97">
        <v>0</v>
      </c>
      <c r="D20" s="96">
        <f t="shared" si="3"/>
        <v>52377</v>
      </c>
      <c r="E20" s="41"/>
      <c r="F20" s="96">
        <v>0</v>
      </c>
      <c r="G20" s="97">
        <v>-35563350</v>
      </c>
      <c r="H20" s="97">
        <v>-16863657</v>
      </c>
      <c r="I20" s="97">
        <v>-7260690</v>
      </c>
      <c r="K20" s="96">
        <f t="shared" si="1"/>
        <v>-59635320</v>
      </c>
      <c r="L20" s="41"/>
      <c r="M20" s="69">
        <f t="shared" si="2"/>
        <v>0</v>
      </c>
    </row>
    <row r="21" spans="1:17">
      <c r="B21" s="41"/>
      <c r="C21" s="41"/>
      <c r="D21" s="41"/>
      <c r="E21" s="41"/>
      <c r="F21" s="41"/>
      <c r="G21" s="41"/>
      <c r="H21" s="41"/>
      <c r="I21" s="41"/>
      <c r="K21" s="41"/>
      <c r="L21" s="41"/>
    </row>
    <row r="22" spans="1:17" ht="13.8" thickBot="1">
      <c r="A22" t="s">
        <v>117</v>
      </c>
      <c r="B22" s="95">
        <f>(((B8+B20)/2)+(B9+B10+B11+B12+B13+B14+B15+B16+B17+B18+B19))/12</f>
        <v>52377</v>
      </c>
      <c r="C22" s="95">
        <f>(((C8+C20)/2)+(C9+C10+C11+C12+C13+C14+C15+C16+C17+C18+C19))/12</f>
        <v>0</v>
      </c>
      <c r="D22" s="113">
        <f>SUM(B22:C22)</f>
        <v>52377</v>
      </c>
      <c r="E22" s="41"/>
      <c r="F22" s="95">
        <f>(((F8+F20)/2)+(F9+F10+F11+F12+F13+F14+F15+F16+F17+F18+F19))/12</f>
        <v>0</v>
      </c>
      <c r="G22" s="95">
        <f>(((G8+G20)/2)+(G9+G10+G11+G12+G13+G14+G15+G16+G17+G18+G19))/12</f>
        <v>-35563350</v>
      </c>
      <c r="H22" s="95">
        <f>(((H8+H20)/2)+(H9+H10+H11+H12+H13+H14+H15+H16+H17+H18+H19))/12</f>
        <v>-16863657</v>
      </c>
      <c r="I22" s="95">
        <f>(((I8+I20)/2)+(I9+I10+I11+I12+I13+I14+I15+I16+I17+I18+I19))/12</f>
        <v>-7260690</v>
      </c>
      <c r="J22" s="41"/>
      <c r="K22" s="112">
        <f>SUM(D22:I22)</f>
        <v>-59635320</v>
      </c>
      <c r="L22" s="41"/>
    </row>
    <row r="23" spans="1:17">
      <c r="B23" s="41"/>
      <c r="C23" s="41"/>
      <c r="D23" s="41"/>
      <c r="E23" s="41"/>
      <c r="F23" s="41"/>
      <c r="G23" s="41"/>
      <c r="H23" s="41"/>
      <c r="I23" s="41"/>
      <c r="J23" s="41"/>
      <c r="K23" s="94"/>
      <c r="L23" s="41"/>
    </row>
    <row r="24" spans="1:17" ht="13.8" thickBot="1">
      <c r="A24" t="s">
        <v>118</v>
      </c>
      <c r="B24" s="95">
        <f>B20</f>
        <v>52377</v>
      </c>
      <c r="C24" s="95">
        <f t="shared" ref="C24:D24" si="4">C20</f>
        <v>0</v>
      </c>
      <c r="D24" s="95">
        <f t="shared" si="4"/>
        <v>52377</v>
      </c>
      <c r="E24" s="41"/>
      <c r="F24" s="95">
        <f>F20</f>
        <v>0</v>
      </c>
      <c r="G24" s="95">
        <f t="shared" ref="G24:I24" si="5">G20</f>
        <v>-35563350</v>
      </c>
      <c r="H24" s="95">
        <f t="shared" si="5"/>
        <v>-16863657</v>
      </c>
      <c r="I24" s="95">
        <f t="shared" si="5"/>
        <v>-7260690</v>
      </c>
      <c r="J24" s="41"/>
      <c r="K24" s="95">
        <f>SUM(D24:I24)</f>
        <v>-59635320</v>
      </c>
      <c r="L24" s="41"/>
    </row>
    <row r="25" spans="1:17">
      <c r="E25" s="39"/>
      <c r="F25" s="39"/>
    </row>
    <row r="26" spans="1:17">
      <c r="A26" s="104" t="s">
        <v>120</v>
      </c>
      <c r="E26" s="39"/>
      <c r="F26" s="39"/>
    </row>
    <row r="27" spans="1:17">
      <c r="A27" s="92"/>
      <c r="B27" s="92">
        <v>282900</v>
      </c>
      <c r="C27" s="92">
        <v>283000</v>
      </c>
      <c r="D27" s="92" t="s">
        <v>65</v>
      </c>
      <c r="E27" s="92"/>
      <c r="F27" s="92">
        <v>282900</v>
      </c>
      <c r="G27" s="92">
        <v>282900</v>
      </c>
      <c r="H27" s="92">
        <v>282900</v>
      </c>
      <c r="I27" s="92">
        <v>282900</v>
      </c>
      <c r="J27" s="92"/>
      <c r="K27" s="92"/>
      <c r="L27" s="92">
        <v>282900</v>
      </c>
      <c r="M27" s="69">
        <f>SUM(N27:Q28)</f>
        <v>-6801622</v>
      </c>
      <c r="N27" s="41">
        <f>-1255145-434479</f>
        <v>-1689624</v>
      </c>
      <c r="O27" s="41">
        <f>-4335661+218992</f>
        <v>-4116669</v>
      </c>
      <c r="P27" s="41">
        <f>-614781+98122</f>
        <v>-516659</v>
      </c>
      <c r="Q27" s="41">
        <f>-544008+65338</f>
        <v>-478670</v>
      </c>
    </row>
    <row r="28" spans="1:17">
      <c r="B28" s="92" t="s">
        <v>55</v>
      </c>
      <c r="C28" s="92" t="s">
        <v>55</v>
      </c>
      <c r="D28" s="92" t="s">
        <v>55</v>
      </c>
      <c r="E28" s="92"/>
      <c r="F28" s="92" t="s">
        <v>55</v>
      </c>
      <c r="G28" s="92" t="s">
        <v>58</v>
      </c>
      <c r="H28" s="92" t="s">
        <v>59</v>
      </c>
      <c r="I28" s="92" t="s">
        <v>59</v>
      </c>
      <c r="L28" s="92" t="s">
        <v>115</v>
      </c>
    </row>
    <row r="29" spans="1:17">
      <c r="A29" s="93" t="s">
        <v>79</v>
      </c>
      <c r="B29" s="24" t="s">
        <v>56</v>
      </c>
      <c r="C29" s="24" t="s">
        <v>56</v>
      </c>
      <c r="D29" s="24" t="s">
        <v>56</v>
      </c>
      <c r="E29" s="92"/>
      <c r="F29" s="24" t="s">
        <v>57</v>
      </c>
      <c r="G29" s="24" t="s">
        <v>57</v>
      </c>
      <c r="H29" s="24" t="s">
        <v>57</v>
      </c>
      <c r="I29" s="24" t="s">
        <v>60</v>
      </c>
      <c r="J29" s="93"/>
      <c r="K29" s="24" t="s">
        <v>116</v>
      </c>
      <c r="L29" s="24" t="s">
        <v>115</v>
      </c>
      <c r="N29" s="24" t="s">
        <v>89</v>
      </c>
      <c r="O29" s="24" t="s">
        <v>123</v>
      </c>
      <c r="P29" s="24" t="s">
        <v>124</v>
      </c>
      <c r="Q29" s="24" t="s">
        <v>125</v>
      </c>
    </row>
    <row r="30" spans="1:17">
      <c r="A30" s="110">
        <v>43800</v>
      </c>
      <c r="B30" s="41"/>
      <c r="C30" s="41"/>
      <c r="D30" s="41">
        <f t="shared" ref="D30:D38" si="6">SUM(B30:C30)</f>
        <v>0</v>
      </c>
      <c r="E30" s="41"/>
      <c r="F30" s="41"/>
      <c r="G30" s="41">
        <v>-10097749</v>
      </c>
      <c r="H30" s="41">
        <v>-4850562</v>
      </c>
      <c r="I30" s="41">
        <v>-1600474</v>
      </c>
      <c r="K30" s="41">
        <f t="shared" ref="K30:K38" si="7">SUM(D30:I30)</f>
        <v>-16548785</v>
      </c>
      <c r="L30" s="41"/>
      <c r="N30" s="41">
        <f>(N27/12)</f>
        <v>-140802</v>
      </c>
      <c r="O30" s="41">
        <f t="shared" ref="O30:Q30" si="8">(O27/12)</f>
        <v>-343055.75</v>
      </c>
      <c r="P30" s="41">
        <f t="shared" si="8"/>
        <v>-43054.916666666664</v>
      </c>
      <c r="Q30" s="41">
        <f t="shared" si="8"/>
        <v>-39889.166666666664</v>
      </c>
    </row>
    <row r="31" spans="1:17">
      <c r="A31" s="110">
        <v>43831</v>
      </c>
      <c r="B31" s="41"/>
      <c r="C31" s="41"/>
      <c r="D31" s="41">
        <f t="shared" si="6"/>
        <v>0</v>
      </c>
      <c r="E31" s="41"/>
      <c r="F31" s="41"/>
      <c r="G31" s="41">
        <v>-10097749</v>
      </c>
      <c r="H31" s="41">
        <v>-4850562</v>
      </c>
      <c r="I31" s="41">
        <v>-1600474</v>
      </c>
      <c r="K31" s="41">
        <f t="shared" si="7"/>
        <v>-16548785</v>
      </c>
      <c r="L31" s="41"/>
      <c r="N31" s="69">
        <f>($N$27/12)+N30</f>
        <v>-281604</v>
      </c>
      <c r="O31" s="41">
        <f>($O$27/12)+O30</f>
        <v>-686111.5</v>
      </c>
      <c r="P31" s="41">
        <f>($P$27/12)+P30</f>
        <v>-86109.833333333328</v>
      </c>
      <c r="Q31" s="41">
        <f>($Q$27/12)+Q30</f>
        <v>-79778.333333333328</v>
      </c>
    </row>
    <row r="32" spans="1:17">
      <c r="A32" s="110">
        <v>43862</v>
      </c>
      <c r="B32" s="41"/>
      <c r="C32" s="41"/>
      <c r="D32" s="41">
        <f t="shared" si="6"/>
        <v>0</v>
      </c>
      <c r="E32" s="41"/>
      <c r="F32" s="41"/>
      <c r="G32" s="41">
        <v>-10097749</v>
      </c>
      <c r="H32" s="41">
        <v>-4850562</v>
      </c>
      <c r="I32" s="41">
        <v>-1600474</v>
      </c>
      <c r="K32" s="41">
        <f t="shared" si="7"/>
        <v>-16548785</v>
      </c>
      <c r="L32" s="41"/>
      <c r="N32" s="69">
        <f t="shared" ref="N32:N41" si="9">($N$27/12)+N31</f>
        <v>-422406</v>
      </c>
      <c r="O32" s="41">
        <f t="shared" ref="O32:O41" si="10">($O$27/12)+O31</f>
        <v>-1029167.25</v>
      </c>
      <c r="P32" s="41">
        <f t="shared" ref="P32:P41" si="11">($P$27/12)+P31</f>
        <v>-129164.75</v>
      </c>
      <c r="Q32" s="41">
        <f t="shared" ref="Q32:Q41" si="12">($Q$27/12)+Q31</f>
        <v>-119667.5</v>
      </c>
    </row>
    <row r="33" spans="1:17">
      <c r="A33" s="110">
        <v>43891</v>
      </c>
      <c r="B33" s="41"/>
      <c r="C33" s="41"/>
      <c r="D33" s="41">
        <f t="shared" si="6"/>
        <v>0</v>
      </c>
      <c r="E33" s="41"/>
      <c r="F33" s="41"/>
      <c r="G33" s="41">
        <v>-10097749</v>
      </c>
      <c r="H33" s="41">
        <v>-4850562</v>
      </c>
      <c r="I33" s="41">
        <v>-1600474</v>
      </c>
      <c r="K33" s="41">
        <f t="shared" si="7"/>
        <v>-16548785</v>
      </c>
      <c r="L33" s="41"/>
      <c r="N33" s="69">
        <f t="shared" si="9"/>
        <v>-563208</v>
      </c>
      <c r="O33" s="41">
        <f t="shared" si="10"/>
        <v>-1372223</v>
      </c>
      <c r="P33" s="41">
        <f t="shared" si="11"/>
        <v>-172219.66666666666</v>
      </c>
      <c r="Q33" s="41">
        <f t="shared" si="12"/>
        <v>-159556.66666666666</v>
      </c>
    </row>
    <row r="34" spans="1:17">
      <c r="A34" s="110">
        <v>43922</v>
      </c>
      <c r="B34" s="41"/>
      <c r="C34" s="41"/>
      <c r="D34" s="41">
        <f t="shared" si="6"/>
        <v>0</v>
      </c>
      <c r="E34" s="41"/>
      <c r="F34" s="41"/>
      <c r="G34" s="41">
        <v>-10097749</v>
      </c>
      <c r="H34" s="41">
        <v>-4850562</v>
      </c>
      <c r="I34" s="41">
        <v>-1600474</v>
      </c>
      <c r="K34" s="41">
        <f t="shared" si="7"/>
        <v>-16548785</v>
      </c>
      <c r="L34" s="41"/>
      <c r="N34" s="69">
        <f t="shared" si="9"/>
        <v>-704010</v>
      </c>
      <c r="O34" s="41">
        <f t="shared" si="10"/>
        <v>-1715278.75</v>
      </c>
      <c r="P34" s="41">
        <f t="shared" si="11"/>
        <v>-215274.58333333331</v>
      </c>
      <c r="Q34" s="41">
        <f t="shared" si="12"/>
        <v>-199445.83333333331</v>
      </c>
    </row>
    <row r="35" spans="1:17">
      <c r="A35" s="110">
        <v>43952</v>
      </c>
      <c r="B35" s="41"/>
      <c r="C35" s="41"/>
      <c r="D35" s="41">
        <f t="shared" si="6"/>
        <v>0</v>
      </c>
      <c r="E35" s="41"/>
      <c r="F35" s="41"/>
      <c r="G35" s="41">
        <v>-10097749</v>
      </c>
      <c r="H35" s="41">
        <v>-4850562</v>
      </c>
      <c r="I35" s="41">
        <v>-1600474</v>
      </c>
      <c r="K35" s="41">
        <f t="shared" si="7"/>
        <v>-16548785</v>
      </c>
      <c r="L35" s="41"/>
      <c r="N35" s="69">
        <f t="shared" si="9"/>
        <v>-844812</v>
      </c>
      <c r="O35" s="41">
        <f t="shared" si="10"/>
        <v>-2058334.5</v>
      </c>
      <c r="P35" s="41">
        <f t="shared" si="11"/>
        <v>-258329.49999999997</v>
      </c>
      <c r="Q35" s="41">
        <f t="shared" si="12"/>
        <v>-239334.99999999997</v>
      </c>
    </row>
    <row r="36" spans="1:17">
      <c r="A36" s="110">
        <v>43983</v>
      </c>
      <c r="B36" s="41"/>
      <c r="C36" s="41"/>
      <c r="D36" s="41">
        <f t="shared" si="6"/>
        <v>0</v>
      </c>
      <c r="E36" s="41"/>
      <c r="F36" s="41"/>
      <c r="G36" s="41">
        <v>-10097749</v>
      </c>
      <c r="H36" s="41">
        <v>-4850562</v>
      </c>
      <c r="I36" s="41">
        <v>-1600474</v>
      </c>
      <c r="K36" s="41">
        <f t="shared" si="7"/>
        <v>-16548785</v>
      </c>
      <c r="L36" s="41"/>
      <c r="N36" s="69">
        <f t="shared" si="9"/>
        <v>-985614</v>
      </c>
      <c r="O36" s="41">
        <f t="shared" si="10"/>
        <v>-2401390.25</v>
      </c>
      <c r="P36" s="41">
        <f t="shared" si="11"/>
        <v>-301384.41666666663</v>
      </c>
      <c r="Q36" s="41">
        <f t="shared" si="12"/>
        <v>-279224.16666666663</v>
      </c>
    </row>
    <row r="37" spans="1:17">
      <c r="A37" s="110">
        <v>44013</v>
      </c>
      <c r="B37" s="41"/>
      <c r="C37" s="41"/>
      <c r="D37" s="41">
        <f t="shared" si="6"/>
        <v>0</v>
      </c>
      <c r="E37" s="41"/>
      <c r="F37" s="41"/>
      <c r="G37" s="41">
        <v>-10097749</v>
      </c>
      <c r="H37" s="41">
        <v>-4850562</v>
      </c>
      <c r="I37" s="41">
        <v>-1600474</v>
      </c>
      <c r="K37" s="41">
        <f t="shared" si="7"/>
        <v>-16548785</v>
      </c>
      <c r="L37" s="41"/>
      <c r="N37" s="69">
        <f t="shared" si="9"/>
        <v>-1126416</v>
      </c>
      <c r="O37" s="41">
        <f t="shared" si="10"/>
        <v>-2744446</v>
      </c>
      <c r="P37" s="41">
        <f t="shared" si="11"/>
        <v>-344439.33333333331</v>
      </c>
      <c r="Q37" s="41">
        <f t="shared" si="12"/>
        <v>-319113.33333333331</v>
      </c>
    </row>
    <row r="38" spans="1:17">
      <c r="A38" s="110">
        <v>44044</v>
      </c>
      <c r="B38" s="41"/>
      <c r="C38" s="41"/>
      <c r="D38" s="41">
        <f t="shared" si="6"/>
        <v>0</v>
      </c>
      <c r="E38" s="41"/>
      <c r="F38" s="41"/>
      <c r="G38" s="41">
        <v>-10097749</v>
      </c>
      <c r="H38" s="41">
        <v>-4850562</v>
      </c>
      <c r="I38" s="41">
        <v>-1600474</v>
      </c>
      <c r="K38" s="41">
        <f t="shared" si="7"/>
        <v>-16548785</v>
      </c>
      <c r="L38" s="41"/>
      <c r="N38" s="69">
        <f t="shared" si="9"/>
        <v>-1267218</v>
      </c>
      <c r="O38" s="41">
        <f t="shared" si="10"/>
        <v>-3087501.75</v>
      </c>
      <c r="P38" s="41">
        <f t="shared" si="11"/>
        <v>-387494.25</v>
      </c>
      <c r="Q38" s="41">
        <f t="shared" si="12"/>
        <v>-359002.5</v>
      </c>
    </row>
    <row r="39" spans="1:17">
      <c r="A39" s="110">
        <v>44075</v>
      </c>
      <c r="B39" s="41"/>
      <c r="C39" s="41"/>
      <c r="D39" s="41">
        <f t="shared" ref="D39:D41" si="13">SUM(B39:C39)</f>
        <v>0</v>
      </c>
      <c r="E39" s="41"/>
      <c r="F39" s="41"/>
      <c r="G39" s="41">
        <v>-10097749</v>
      </c>
      <c r="H39" s="41">
        <v>-4850562</v>
      </c>
      <c r="I39" s="41">
        <v>-1600474</v>
      </c>
      <c r="K39" s="41">
        <f t="shared" ref="K39:K42" si="14">SUM(D39:I39)</f>
        <v>-16548785</v>
      </c>
      <c r="L39" s="41"/>
      <c r="N39" s="69">
        <f t="shared" si="9"/>
        <v>-1408020</v>
      </c>
      <c r="O39" s="41">
        <f t="shared" si="10"/>
        <v>-3430557.5</v>
      </c>
      <c r="P39" s="41">
        <f t="shared" si="11"/>
        <v>-430549.16666666669</v>
      </c>
      <c r="Q39" s="41">
        <f t="shared" si="12"/>
        <v>-398891.66666666669</v>
      </c>
    </row>
    <row r="40" spans="1:17">
      <c r="A40" s="110">
        <v>44105</v>
      </c>
      <c r="B40" s="41"/>
      <c r="C40" s="41"/>
      <c r="D40" s="41">
        <f t="shared" si="13"/>
        <v>0</v>
      </c>
      <c r="E40" s="41"/>
      <c r="F40" s="41"/>
      <c r="G40" s="41">
        <v>-10097749</v>
      </c>
      <c r="H40" s="41">
        <v>-4850562</v>
      </c>
      <c r="I40" s="41">
        <v>-1600474</v>
      </c>
      <c r="K40" s="41">
        <f t="shared" si="14"/>
        <v>-16548785</v>
      </c>
      <c r="L40" s="41"/>
      <c r="N40" s="69">
        <f t="shared" si="9"/>
        <v>-1548822</v>
      </c>
      <c r="O40" s="41">
        <f t="shared" si="10"/>
        <v>-3773613.25</v>
      </c>
      <c r="P40" s="41">
        <f t="shared" si="11"/>
        <v>-473604.08333333337</v>
      </c>
      <c r="Q40" s="41">
        <f t="shared" si="12"/>
        <v>-438780.83333333337</v>
      </c>
    </row>
    <row r="41" spans="1:17">
      <c r="A41" s="110">
        <v>44136</v>
      </c>
      <c r="B41" s="41"/>
      <c r="C41" s="41"/>
      <c r="D41" s="41">
        <f t="shared" si="13"/>
        <v>0</v>
      </c>
      <c r="E41" s="41"/>
      <c r="F41" s="41"/>
      <c r="G41" s="41">
        <v>-10097749</v>
      </c>
      <c r="H41" s="41">
        <v>-4850562</v>
      </c>
      <c r="I41" s="41">
        <v>-1600474</v>
      </c>
      <c r="K41" s="41">
        <f t="shared" si="14"/>
        <v>-16548785</v>
      </c>
      <c r="L41" s="41"/>
      <c r="N41" s="69">
        <f t="shared" si="9"/>
        <v>-1689624</v>
      </c>
      <c r="O41" s="41">
        <f t="shared" si="10"/>
        <v>-4116669</v>
      </c>
      <c r="P41" s="41">
        <f t="shared" si="11"/>
        <v>-516659.00000000006</v>
      </c>
      <c r="Q41" s="41">
        <f t="shared" si="12"/>
        <v>-478670.00000000006</v>
      </c>
    </row>
    <row r="42" spans="1:17">
      <c r="A42" s="110">
        <v>44166</v>
      </c>
      <c r="B42" s="41"/>
      <c r="C42" s="41"/>
      <c r="D42" s="96">
        <f t="shared" ref="D42" si="15">SUM(B42:C42)</f>
        <v>0</v>
      </c>
      <c r="E42" s="41"/>
      <c r="F42" s="41"/>
      <c r="G42" s="41">
        <v>-10097749</v>
      </c>
      <c r="H42" s="41">
        <v>-4850562</v>
      </c>
      <c r="I42" s="41">
        <v>-1600474</v>
      </c>
      <c r="K42" s="96">
        <f t="shared" si="14"/>
        <v>-16548785</v>
      </c>
      <c r="L42" s="41"/>
    </row>
    <row r="43" spans="1:17">
      <c r="B43" s="98"/>
      <c r="C43" s="98"/>
      <c r="D43" s="41"/>
      <c r="E43" s="41"/>
      <c r="F43" s="98"/>
      <c r="G43" s="98"/>
      <c r="H43" s="98"/>
      <c r="I43" s="98"/>
      <c r="K43" s="41"/>
      <c r="L43" s="41"/>
    </row>
    <row r="44" spans="1:17" ht="13.8" thickBot="1">
      <c r="A44" t="s">
        <v>117</v>
      </c>
      <c r="B44" s="95">
        <f>(((B30+B42)/2)+(B31+B32+B33+B34+B35+B36+B37+B38+B39+B40+B41))/12</f>
        <v>0</v>
      </c>
      <c r="C44" s="95">
        <f>(((C30+C42)/2)+(C31+C32+C33+C34+C35+C36+C37+C38+C39+C40+C41))/12</f>
        <v>0</v>
      </c>
      <c r="D44" s="95">
        <f>SUM(B44:C44)</f>
        <v>0</v>
      </c>
      <c r="E44" s="41"/>
      <c r="F44" s="95">
        <f>(((F30+F42)/2)+(F31+F32+F33+F34+F35+F36+F37+F38+F39+F40+F41))/12</f>
        <v>0</v>
      </c>
      <c r="G44" s="95">
        <f>(((G30+G42)/2)+(G31+G32+G33+G34+G35+G36+G37+G38+G39+G40+G41))/12</f>
        <v>-10097749</v>
      </c>
      <c r="H44" s="95">
        <f>(((H30+H42)/2)+(H31+H32+H33+H34+H35+H36+H37+H38+H39+H40+H41))/12</f>
        <v>-4850562</v>
      </c>
      <c r="I44" s="95">
        <f>(((I30+I42)/2)+(I31+I32+I33+I34+I35+I36+I37+I38+I39+I40+I41))/12</f>
        <v>-1600474</v>
      </c>
      <c r="J44" s="41"/>
      <c r="K44" s="95">
        <f>SUM(D44:I44)</f>
        <v>-16548785</v>
      </c>
      <c r="L44" s="41"/>
    </row>
    <row r="45" spans="1:17">
      <c r="B45" s="41"/>
      <c r="C45" s="41"/>
      <c r="D45" s="41"/>
      <c r="E45" s="41"/>
      <c r="F45" s="41"/>
      <c r="G45" s="41"/>
      <c r="H45" s="41"/>
      <c r="I45" s="41"/>
      <c r="J45" s="41"/>
      <c r="K45" s="94"/>
      <c r="L45" s="41"/>
    </row>
    <row r="46" spans="1:17" ht="13.8" thickBot="1">
      <c r="A46" t="s">
        <v>118</v>
      </c>
      <c r="B46" s="95">
        <f>B42</f>
        <v>0</v>
      </c>
      <c r="C46" s="95">
        <f t="shared" ref="C46:D46" si="16">C42</f>
        <v>0</v>
      </c>
      <c r="D46" s="95">
        <f t="shared" si="16"/>
        <v>0</v>
      </c>
      <c r="E46" s="41"/>
      <c r="F46" s="95">
        <f>F42</f>
        <v>0</v>
      </c>
      <c r="G46" s="95">
        <f t="shared" ref="G46:I46" si="17">G42</f>
        <v>-10097749</v>
      </c>
      <c r="H46" s="95">
        <f t="shared" si="17"/>
        <v>-4850562</v>
      </c>
      <c r="I46" s="95">
        <f t="shared" si="17"/>
        <v>-1600474</v>
      </c>
      <c r="J46" s="41"/>
      <c r="K46" s="117">
        <f>SUM(D46:I46)</f>
        <v>-16548785</v>
      </c>
      <c r="L46" s="41"/>
    </row>
    <row r="47" spans="1:17">
      <c r="E47" s="39"/>
      <c r="F47" s="39"/>
    </row>
    <row r="48" spans="1:17">
      <c r="A48" s="104" t="s">
        <v>121</v>
      </c>
      <c r="E48" s="39"/>
      <c r="F48" s="39"/>
    </row>
    <row r="49" spans="1:12">
      <c r="A49" s="91"/>
      <c r="B49" s="91">
        <v>282900</v>
      </c>
      <c r="C49" s="91">
        <v>283000</v>
      </c>
      <c r="D49" s="91" t="s">
        <v>65</v>
      </c>
      <c r="E49" s="91"/>
      <c r="F49" s="91">
        <v>282900</v>
      </c>
      <c r="G49" s="91">
        <v>282900</v>
      </c>
      <c r="H49" s="91">
        <v>282900</v>
      </c>
      <c r="I49" s="91">
        <v>282900</v>
      </c>
      <c r="J49" s="91"/>
      <c r="K49" s="91"/>
      <c r="L49" s="91">
        <v>282900</v>
      </c>
    </row>
    <row r="50" spans="1:12">
      <c r="B50" s="91" t="s">
        <v>55</v>
      </c>
      <c r="C50" s="91" t="s">
        <v>55</v>
      </c>
      <c r="D50" s="91" t="s">
        <v>55</v>
      </c>
      <c r="E50" s="91"/>
      <c r="F50" s="91" t="s">
        <v>55</v>
      </c>
      <c r="G50" s="91" t="s">
        <v>58</v>
      </c>
      <c r="H50" s="91" t="s">
        <v>59</v>
      </c>
      <c r="I50" s="91" t="s">
        <v>59</v>
      </c>
      <c r="L50" s="91" t="s">
        <v>115</v>
      </c>
    </row>
    <row r="51" spans="1:12">
      <c r="A51" s="93" t="s">
        <v>79</v>
      </c>
      <c r="B51" s="24" t="s">
        <v>56</v>
      </c>
      <c r="C51" s="24" t="s">
        <v>56</v>
      </c>
      <c r="D51" s="24" t="s">
        <v>56</v>
      </c>
      <c r="E51" s="91"/>
      <c r="F51" s="24" t="s">
        <v>57</v>
      </c>
      <c r="G51" s="24" t="s">
        <v>57</v>
      </c>
      <c r="H51" s="24" t="s">
        <v>57</v>
      </c>
      <c r="I51" s="24" t="s">
        <v>60</v>
      </c>
      <c r="J51" s="93"/>
      <c r="K51" s="24" t="s">
        <v>116</v>
      </c>
      <c r="L51" s="24" t="s">
        <v>115</v>
      </c>
    </row>
    <row r="52" spans="1:12">
      <c r="A52" s="110">
        <f>A30</f>
        <v>43800</v>
      </c>
      <c r="B52" s="41">
        <f>B8+B30</f>
        <v>52377</v>
      </c>
      <c r="C52" s="41">
        <f>C8+C30</f>
        <v>0</v>
      </c>
      <c r="D52" s="41">
        <f>SUM(B52:C52)</f>
        <v>52377</v>
      </c>
      <c r="E52" s="41"/>
      <c r="F52" s="41">
        <f>F8+F30</f>
        <v>0</v>
      </c>
      <c r="G52" s="41">
        <f t="shared" ref="G52:I52" si="18">G8+G30</f>
        <v>-45661099</v>
      </c>
      <c r="H52" s="41">
        <f t="shared" si="18"/>
        <v>-21714219</v>
      </c>
      <c r="I52" s="41">
        <f t="shared" si="18"/>
        <v>-8861164</v>
      </c>
      <c r="K52" s="41">
        <f>SUM(D52:I52)</f>
        <v>-76184105</v>
      </c>
      <c r="L52" s="41"/>
    </row>
    <row r="53" spans="1:12">
      <c r="A53" s="110">
        <f t="shared" ref="A53:A64" si="19">A31</f>
        <v>43831</v>
      </c>
      <c r="B53" s="41">
        <f t="shared" ref="B53:B64" si="20">B9+B31</f>
        <v>52377</v>
      </c>
      <c r="C53" s="41">
        <f t="shared" ref="C53:C64" si="21">C9+C31</f>
        <v>0</v>
      </c>
      <c r="D53" s="41">
        <f t="shared" ref="D53:D64" si="22">SUM(B53:C53)</f>
        <v>52377</v>
      </c>
      <c r="E53" s="41"/>
      <c r="F53" s="41">
        <f t="shared" ref="F53:I64" si="23">F9+F31</f>
        <v>0</v>
      </c>
      <c r="G53" s="41">
        <f t="shared" si="23"/>
        <v>-45661099</v>
      </c>
      <c r="H53" s="41">
        <f t="shared" si="23"/>
        <v>-21714219</v>
      </c>
      <c r="I53" s="41">
        <f t="shared" si="23"/>
        <v>-8861164</v>
      </c>
      <c r="K53" s="41">
        <f t="shared" ref="K53:K64" si="24">SUM(D53:I53)</f>
        <v>-76184105</v>
      </c>
      <c r="L53" s="41"/>
    </row>
    <row r="54" spans="1:12">
      <c r="A54" s="110">
        <f t="shared" si="19"/>
        <v>43862</v>
      </c>
      <c r="B54" s="41">
        <f t="shared" si="20"/>
        <v>52377</v>
      </c>
      <c r="C54" s="41">
        <f t="shared" si="21"/>
        <v>0</v>
      </c>
      <c r="D54" s="41">
        <f>SUM(B54:C54)</f>
        <v>52377</v>
      </c>
      <c r="E54" s="41"/>
      <c r="F54" s="41">
        <f t="shared" si="23"/>
        <v>0</v>
      </c>
      <c r="G54" s="41">
        <f t="shared" si="23"/>
        <v>-45661099</v>
      </c>
      <c r="H54" s="41">
        <f t="shared" si="23"/>
        <v>-21714219</v>
      </c>
      <c r="I54" s="41">
        <f t="shared" si="23"/>
        <v>-8861164</v>
      </c>
      <c r="K54" s="41">
        <f t="shared" si="24"/>
        <v>-76184105</v>
      </c>
      <c r="L54" s="41"/>
    </row>
    <row r="55" spans="1:12">
      <c r="A55" s="110">
        <f t="shared" si="19"/>
        <v>43891</v>
      </c>
      <c r="B55" s="41">
        <f t="shared" si="20"/>
        <v>52377</v>
      </c>
      <c r="C55" s="41">
        <f t="shared" si="21"/>
        <v>0</v>
      </c>
      <c r="D55" s="41">
        <f t="shared" si="22"/>
        <v>52377</v>
      </c>
      <c r="E55" s="41"/>
      <c r="F55" s="41">
        <f t="shared" si="23"/>
        <v>0</v>
      </c>
      <c r="G55" s="41">
        <f t="shared" si="23"/>
        <v>-45661099</v>
      </c>
      <c r="H55" s="41">
        <f t="shared" si="23"/>
        <v>-21714219</v>
      </c>
      <c r="I55" s="41">
        <f t="shared" si="23"/>
        <v>-8861164</v>
      </c>
      <c r="K55" s="41">
        <f t="shared" si="24"/>
        <v>-76184105</v>
      </c>
      <c r="L55" s="41"/>
    </row>
    <row r="56" spans="1:12">
      <c r="A56" s="110">
        <f t="shared" si="19"/>
        <v>43922</v>
      </c>
      <c r="B56" s="41">
        <f t="shared" si="20"/>
        <v>52377</v>
      </c>
      <c r="C56" s="41">
        <f t="shared" si="21"/>
        <v>0</v>
      </c>
      <c r="D56" s="41">
        <f t="shared" si="22"/>
        <v>52377</v>
      </c>
      <c r="E56" s="41"/>
      <c r="F56" s="41">
        <f t="shared" si="23"/>
        <v>0</v>
      </c>
      <c r="G56" s="41">
        <f t="shared" si="23"/>
        <v>-45661099</v>
      </c>
      <c r="H56" s="41">
        <f t="shared" si="23"/>
        <v>-21714219</v>
      </c>
      <c r="I56" s="41">
        <f t="shared" si="23"/>
        <v>-8861164</v>
      </c>
      <c r="K56" s="41">
        <f t="shared" si="24"/>
        <v>-76184105</v>
      </c>
      <c r="L56" s="41"/>
    </row>
    <row r="57" spans="1:12">
      <c r="A57" s="110">
        <f t="shared" si="19"/>
        <v>43952</v>
      </c>
      <c r="B57" s="41">
        <f t="shared" si="20"/>
        <v>52377</v>
      </c>
      <c r="C57" s="41">
        <f t="shared" si="21"/>
        <v>0</v>
      </c>
      <c r="D57" s="41">
        <f t="shared" si="22"/>
        <v>52377</v>
      </c>
      <c r="E57" s="41"/>
      <c r="F57" s="41">
        <f t="shared" si="23"/>
        <v>0</v>
      </c>
      <c r="G57" s="41">
        <f t="shared" si="23"/>
        <v>-45661099</v>
      </c>
      <c r="H57" s="41">
        <f t="shared" si="23"/>
        <v>-21714219</v>
      </c>
      <c r="I57" s="41">
        <f t="shared" si="23"/>
        <v>-8861164</v>
      </c>
      <c r="K57" s="41">
        <f t="shared" si="24"/>
        <v>-76184105</v>
      </c>
      <c r="L57" s="41"/>
    </row>
    <row r="58" spans="1:12">
      <c r="A58" s="110">
        <f t="shared" si="19"/>
        <v>43983</v>
      </c>
      <c r="B58" s="41">
        <f t="shared" si="20"/>
        <v>52377</v>
      </c>
      <c r="C58" s="41">
        <f t="shared" si="21"/>
        <v>0</v>
      </c>
      <c r="D58" s="41">
        <f t="shared" si="22"/>
        <v>52377</v>
      </c>
      <c r="E58" s="41"/>
      <c r="F58" s="41">
        <f t="shared" si="23"/>
        <v>0</v>
      </c>
      <c r="G58" s="41">
        <f t="shared" si="23"/>
        <v>-45661099</v>
      </c>
      <c r="H58" s="41">
        <f t="shared" si="23"/>
        <v>-21714219</v>
      </c>
      <c r="I58" s="41">
        <f t="shared" si="23"/>
        <v>-8861164</v>
      </c>
      <c r="K58" s="41">
        <f t="shared" si="24"/>
        <v>-76184105</v>
      </c>
      <c r="L58" s="41"/>
    </row>
    <row r="59" spans="1:12">
      <c r="A59" s="110">
        <f t="shared" si="19"/>
        <v>44013</v>
      </c>
      <c r="B59" s="41">
        <f t="shared" si="20"/>
        <v>52377</v>
      </c>
      <c r="C59" s="41">
        <f t="shared" si="21"/>
        <v>0</v>
      </c>
      <c r="D59" s="41">
        <f t="shared" si="22"/>
        <v>52377</v>
      </c>
      <c r="E59" s="41"/>
      <c r="F59" s="41">
        <f t="shared" si="23"/>
        <v>0</v>
      </c>
      <c r="G59" s="41">
        <f t="shared" si="23"/>
        <v>-45661099</v>
      </c>
      <c r="H59" s="41">
        <f t="shared" si="23"/>
        <v>-21714219</v>
      </c>
      <c r="I59" s="41">
        <f t="shared" si="23"/>
        <v>-8861164</v>
      </c>
      <c r="K59" s="41">
        <f t="shared" si="24"/>
        <v>-76184105</v>
      </c>
      <c r="L59" s="41"/>
    </row>
    <row r="60" spans="1:12">
      <c r="A60" s="110">
        <f t="shared" si="19"/>
        <v>44044</v>
      </c>
      <c r="B60" s="41">
        <f t="shared" si="20"/>
        <v>52377</v>
      </c>
      <c r="C60" s="41">
        <f t="shared" si="21"/>
        <v>0</v>
      </c>
      <c r="D60" s="41">
        <f t="shared" si="22"/>
        <v>52377</v>
      </c>
      <c r="E60" s="41"/>
      <c r="F60" s="41">
        <f t="shared" si="23"/>
        <v>0</v>
      </c>
      <c r="G60" s="41">
        <f t="shared" si="23"/>
        <v>-45661099</v>
      </c>
      <c r="H60" s="41">
        <f t="shared" si="23"/>
        <v>-21714219</v>
      </c>
      <c r="I60" s="41">
        <f t="shared" si="23"/>
        <v>-8861164</v>
      </c>
      <c r="K60" s="41">
        <f t="shared" si="24"/>
        <v>-76184105</v>
      </c>
      <c r="L60" s="41"/>
    </row>
    <row r="61" spans="1:12">
      <c r="A61" s="110">
        <f t="shared" si="19"/>
        <v>44075</v>
      </c>
      <c r="B61" s="41">
        <f t="shared" si="20"/>
        <v>52377</v>
      </c>
      <c r="C61" s="41">
        <f t="shared" si="21"/>
        <v>0</v>
      </c>
      <c r="D61" s="41">
        <f t="shared" si="22"/>
        <v>52377</v>
      </c>
      <c r="E61" s="41"/>
      <c r="F61" s="41">
        <f t="shared" si="23"/>
        <v>0</v>
      </c>
      <c r="G61" s="41">
        <f t="shared" si="23"/>
        <v>-45661099</v>
      </c>
      <c r="H61" s="41">
        <f t="shared" si="23"/>
        <v>-21714219</v>
      </c>
      <c r="I61" s="41">
        <f t="shared" si="23"/>
        <v>-8861164</v>
      </c>
      <c r="K61" s="41">
        <f t="shared" si="24"/>
        <v>-76184105</v>
      </c>
      <c r="L61" s="41"/>
    </row>
    <row r="62" spans="1:12">
      <c r="A62" s="110">
        <f t="shared" si="19"/>
        <v>44105</v>
      </c>
      <c r="B62" s="41">
        <f t="shared" si="20"/>
        <v>52377</v>
      </c>
      <c r="C62" s="41">
        <f t="shared" si="21"/>
        <v>0</v>
      </c>
      <c r="D62" s="41">
        <f t="shared" si="22"/>
        <v>52377</v>
      </c>
      <c r="E62" s="41"/>
      <c r="F62" s="41">
        <f t="shared" si="23"/>
        <v>0</v>
      </c>
      <c r="G62" s="41">
        <f t="shared" si="23"/>
        <v>-45661099</v>
      </c>
      <c r="H62" s="41">
        <f t="shared" si="23"/>
        <v>-21714219</v>
      </c>
      <c r="I62" s="41">
        <f t="shared" si="23"/>
        <v>-8861164</v>
      </c>
      <c r="K62" s="41">
        <f t="shared" si="24"/>
        <v>-76184105</v>
      </c>
      <c r="L62" s="41"/>
    </row>
    <row r="63" spans="1:12">
      <c r="A63" s="110">
        <f t="shared" si="19"/>
        <v>44136</v>
      </c>
      <c r="B63" s="41">
        <f t="shared" si="20"/>
        <v>52377</v>
      </c>
      <c r="C63" s="41">
        <f t="shared" si="21"/>
        <v>0</v>
      </c>
      <c r="D63" s="41">
        <f t="shared" si="22"/>
        <v>52377</v>
      </c>
      <c r="E63" s="41"/>
      <c r="F63" s="41">
        <f t="shared" si="23"/>
        <v>0</v>
      </c>
      <c r="G63" s="41">
        <f t="shared" si="23"/>
        <v>-45661099</v>
      </c>
      <c r="H63" s="41">
        <f t="shared" si="23"/>
        <v>-21714219</v>
      </c>
      <c r="I63" s="41">
        <f t="shared" si="23"/>
        <v>-8861164</v>
      </c>
      <c r="K63" s="41">
        <f t="shared" si="24"/>
        <v>-76184105</v>
      </c>
      <c r="L63" s="41"/>
    </row>
    <row r="64" spans="1:12" ht="15">
      <c r="A64" s="110">
        <f t="shared" si="19"/>
        <v>44166</v>
      </c>
      <c r="B64" s="96">
        <f t="shared" si="20"/>
        <v>52377</v>
      </c>
      <c r="C64" s="96">
        <f t="shared" si="21"/>
        <v>0</v>
      </c>
      <c r="D64" s="96">
        <f t="shared" si="22"/>
        <v>52377</v>
      </c>
      <c r="E64" s="41"/>
      <c r="F64" s="97">
        <f t="shared" si="23"/>
        <v>0</v>
      </c>
      <c r="G64" s="97">
        <f t="shared" si="23"/>
        <v>-45661099</v>
      </c>
      <c r="H64" s="97">
        <f t="shared" si="23"/>
        <v>-21714219</v>
      </c>
      <c r="I64" s="97">
        <f t="shared" si="23"/>
        <v>-8861164</v>
      </c>
      <c r="K64" s="96">
        <f t="shared" si="24"/>
        <v>-76184105</v>
      </c>
      <c r="L64" s="41"/>
    </row>
    <row r="65" spans="1:12">
      <c r="B65" s="41"/>
      <c r="C65" s="41"/>
      <c r="D65" s="41"/>
      <c r="E65" s="41"/>
      <c r="F65" s="41"/>
      <c r="G65" s="41"/>
      <c r="H65" s="41"/>
      <c r="I65" s="41"/>
      <c r="K65" s="41"/>
      <c r="L65" s="41"/>
    </row>
    <row r="66" spans="1:12" ht="13.8" thickBot="1">
      <c r="A66" t="s">
        <v>117</v>
      </c>
      <c r="B66" s="95">
        <f>(((B52+B64)/2)+(B53+B54+B55+B56+B57+B58+B59+B60+B61+B62+B63))/12</f>
        <v>52377</v>
      </c>
      <c r="C66" s="95">
        <f>(((C52+C64)/2)+(C53+C54+C55+C56+C57+C58+C59+C60+C61+C62+C63))/12</f>
        <v>0</v>
      </c>
      <c r="D66" s="114">
        <f>SUM(B66:C66)</f>
        <v>52377</v>
      </c>
      <c r="E66" s="41"/>
      <c r="F66" s="107">
        <f>(((F52+F64)/2)+(F53+F54+F55+F56+F57+F58+F59+F60+F61+F62+F63))/12</f>
        <v>0</v>
      </c>
      <c r="G66" s="114">
        <f>(((G52+G64)/2)+(G53+G54+G55+G56+G57+G58+G59+G60+G61+G62+G63))/12</f>
        <v>-45661099</v>
      </c>
      <c r="H66" s="114">
        <f>(((H52+H64)/2)+(H53+H54+H55+H56+H57+H58+H59+H60+H61+H62+H63))/12</f>
        <v>-21714219</v>
      </c>
      <c r="I66" s="114">
        <f>(((I52+I64)/2)+(I53+I54+I55+I56+I57+I58+I59+I60+I61+I62+I63))/12</f>
        <v>-8861164</v>
      </c>
      <c r="J66" s="41"/>
      <c r="K66" s="118">
        <f>SUM(D66:I66)</f>
        <v>-76184105</v>
      </c>
      <c r="L66" s="41"/>
    </row>
    <row r="67" spans="1:12">
      <c r="B67" s="41"/>
      <c r="C67" s="41"/>
      <c r="D67" s="41"/>
      <c r="E67" s="41"/>
      <c r="F67" s="41"/>
      <c r="G67" s="41"/>
      <c r="H67" s="41"/>
      <c r="I67" s="41"/>
      <c r="J67" s="41"/>
      <c r="K67" s="94" t="s">
        <v>114</v>
      </c>
      <c r="L67" s="41"/>
    </row>
    <row r="68" spans="1:12" ht="13.8" thickBot="1">
      <c r="A68" t="s">
        <v>118</v>
      </c>
      <c r="B68" s="95">
        <f>B64</f>
        <v>52377</v>
      </c>
      <c r="C68" s="95">
        <f t="shared" ref="C68:D68" si="25">C64</f>
        <v>0</v>
      </c>
      <c r="D68" s="95">
        <f t="shared" si="25"/>
        <v>52377</v>
      </c>
      <c r="E68" s="41"/>
      <c r="F68" s="95">
        <f>F64</f>
        <v>0</v>
      </c>
      <c r="G68" s="95">
        <f t="shared" ref="G68:I68" si="26">G64</f>
        <v>-45661099</v>
      </c>
      <c r="H68" s="95">
        <f t="shared" si="26"/>
        <v>-21714219</v>
      </c>
      <c r="I68" s="95">
        <f t="shared" si="26"/>
        <v>-8861164</v>
      </c>
      <c r="J68" s="41"/>
      <c r="K68" s="95">
        <f>SUM(D68:I68)</f>
        <v>-76184105</v>
      </c>
      <c r="L68" s="41"/>
    </row>
    <row r="69" spans="1:12"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</row>
    <row r="70" spans="1:12"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</row>
  </sheetData>
  <printOptions horizontalCentered="1"/>
  <pageMargins left="0.75" right="0.75" top="0.25" bottom="0.5" header="0" footer="0.25"/>
  <pageSetup scale="65" orientation="landscape" r:id="rId1"/>
  <headerFooter alignWithMargins="0">
    <oddFooter>&amp;C&amp;F&amp;A&amp;RPrepared by: TKnox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4"/>
  <sheetViews>
    <sheetView workbookViewId="0"/>
  </sheetViews>
  <sheetFormatPr defaultColWidth="9.109375" defaultRowHeight="13.2"/>
  <cols>
    <col min="1" max="1" width="10.33203125" style="1" customWidth="1"/>
    <col min="2" max="2" width="25.88671875" style="1" customWidth="1"/>
    <col min="3" max="3" width="16.5546875" style="1" bestFit="1" customWidth="1"/>
    <col min="4" max="4" width="16.5546875" style="1" customWidth="1"/>
    <col min="5" max="5" width="14.5546875" style="1" customWidth="1"/>
    <col min="6" max="6" width="16.5546875" style="1" bestFit="1" customWidth="1"/>
    <col min="7" max="7" width="9.109375" style="1"/>
    <col min="8" max="8" width="11.33203125" style="1" hidden="1" customWidth="1"/>
    <col min="9" max="9" width="12.6640625" style="1" customWidth="1"/>
    <col min="10" max="10" width="12.109375" style="1" customWidth="1"/>
    <col min="11" max="11" width="14" style="1" customWidth="1"/>
    <col min="12" max="16384" width="9.109375" style="1"/>
  </cols>
  <sheetData>
    <row r="2" spans="1:8" ht="39.6">
      <c r="A2" s="46" t="s">
        <v>75</v>
      </c>
      <c r="B2" s="47" t="s">
        <v>76</v>
      </c>
      <c r="C2" s="47" t="s">
        <v>58</v>
      </c>
      <c r="D2" s="47"/>
      <c r="E2" s="47" t="s">
        <v>57</v>
      </c>
      <c r="F2" s="48"/>
    </row>
    <row r="3" spans="1:8" ht="29.25" customHeight="1">
      <c r="A3" s="49">
        <v>283324</v>
      </c>
      <c r="B3" s="50" t="s">
        <v>86</v>
      </c>
      <c r="C3" s="51"/>
      <c r="D3" s="51"/>
      <c r="E3" s="51"/>
      <c r="F3" s="52"/>
    </row>
    <row r="4" spans="1:8">
      <c r="A4" s="53"/>
      <c r="B4" s="54" t="s">
        <v>77</v>
      </c>
      <c r="C4" s="54" t="s">
        <v>78</v>
      </c>
      <c r="D4" s="54"/>
      <c r="E4" s="55"/>
      <c r="F4" s="56"/>
    </row>
    <row r="5" spans="1:8" ht="52.8">
      <c r="A5" s="57" t="s">
        <v>79</v>
      </c>
      <c r="B5" s="58" t="s">
        <v>80</v>
      </c>
      <c r="C5" s="58" t="s">
        <v>81</v>
      </c>
      <c r="D5" s="58" t="s">
        <v>92</v>
      </c>
      <c r="E5" s="58" t="s">
        <v>93</v>
      </c>
      <c r="F5" s="59" t="s">
        <v>82</v>
      </c>
      <c r="H5" s="60" t="s">
        <v>83</v>
      </c>
    </row>
    <row r="6" spans="1:8">
      <c r="A6" s="61" t="e">
        <f>#REF!</f>
        <v>#REF!</v>
      </c>
      <c r="B6" s="71">
        <v>-0.02</v>
      </c>
      <c r="C6" s="70">
        <v>0</v>
      </c>
      <c r="D6" s="72">
        <f>SUM(B6:C6)</f>
        <v>-0.02</v>
      </c>
      <c r="E6" s="63">
        <f>-D6</f>
        <v>0.02</v>
      </c>
      <c r="F6" s="62">
        <f>SUM(D6:E6)</f>
        <v>0</v>
      </c>
    </row>
    <row r="7" spans="1:8">
      <c r="A7" s="61" t="e">
        <f>#REF!</f>
        <v>#REF!</v>
      </c>
      <c r="B7" s="63">
        <f>D6</f>
        <v>-0.02</v>
      </c>
      <c r="C7" s="63">
        <v>0.02</v>
      </c>
      <c r="D7" s="72">
        <f t="shared" ref="D7:D18" si="0">SUM(B7:C7)</f>
        <v>0</v>
      </c>
      <c r="E7" s="63">
        <f>-D7</f>
        <v>0</v>
      </c>
      <c r="F7" s="62">
        <f t="shared" ref="F7:F18" si="1">SUM(D7:E7)</f>
        <v>0</v>
      </c>
      <c r="H7" s="64">
        <v>-3406666.72</v>
      </c>
    </row>
    <row r="8" spans="1:8">
      <c r="A8" s="61" t="e">
        <f>#REF!</f>
        <v>#REF!</v>
      </c>
      <c r="B8" s="63">
        <f t="shared" ref="B8:B18" si="2">D7</f>
        <v>0</v>
      </c>
      <c r="C8" s="63">
        <v>0</v>
      </c>
      <c r="D8" s="72">
        <f t="shared" si="0"/>
        <v>0</v>
      </c>
      <c r="E8" s="63">
        <f t="shared" ref="E8:E18" si="3">-D8</f>
        <v>0</v>
      </c>
      <c r="F8" s="62">
        <f t="shared" si="1"/>
        <v>0</v>
      </c>
      <c r="H8" s="64">
        <v>-3400833.39</v>
      </c>
    </row>
    <row r="9" spans="1:8">
      <c r="A9" s="61" t="e">
        <f>#REF!</f>
        <v>#REF!</v>
      </c>
      <c r="B9" s="63">
        <f t="shared" si="2"/>
        <v>0</v>
      </c>
      <c r="C9" s="63">
        <v>0</v>
      </c>
      <c r="D9" s="72">
        <f t="shared" si="0"/>
        <v>0</v>
      </c>
      <c r="E9" s="63">
        <f t="shared" si="3"/>
        <v>0</v>
      </c>
      <c r="F9" s="62">
        <f t="shared" si="1"/>
        <v>0</v>
      </c>
      <c r="H9" s="64">
        <v>-3395000.06</v>
      </c>
    </row>
    <row r="10" spans="1:8">
      <c r="A10" s="61" t="e">
        <f>#REF!</f>
        <v>#REF!</v>
      </c>
      <c r="B10" s="63">
        <f t="shared" si="2"/>
        <v>0</v>
      </c>
      <c r="C10" s="63">
        <v>0</v>
      </c>
      <c r="D10" s="72">
        <f t="shared" si="0"/>
        <v>0</v>
      </c>
      <c r="E10" s="63">
        <f t="shared" si="3"/>
        <v>0</v>
      </c>
      <c r="F10" s="62">
        <f t="shared" si="1"/>
        <v>0</v>
      </c>
      <c r="H10" s="64">
        <v>-3389166.73</v>
      </c>
    </row>
    <row r="11" spans="1:8">
      <c r="A11" s="61" t="e">
        <f>#REF!</f>
        <v>#REF!</v>
      </c>
      <c r="B11" s="63">
        <f t="shared" si="2"/>
        <v>0</v>
      </c>
      <c r="C11" s="63">
        <v>0</v>
      </c>
      <c r="D11" s="72">
        <f t="shared" si="0"/>
        <v>0</v>
      </c>
      <c r="E11" s="63">
        <f t="shared" si="3"/>
        <v>0</v>
      </c>
      <c r="F11" s="62">
        <f t="shared" si="1"/>
        <v>0</v>
      </c>
      <c r="H11" s="64">
        <v>-3383333.4</v>
      </c>
    </row>
    <row r="12" spans="1:8">
      <c r="A12" s="61" t="e">
        <f>#REF!</f>
        <v>#REF!</v>
      </c>
      <c r="B12" s="63">
        <f t="shared" si="2"/>
        <v>0</v>
      </c>
      <c r="C12" s="63">
        <v>0</v>
      </c>
      <c r="D12" s="72">
        <f t="shared" si="0"/>
        <v>0</v>
      </c>
      <c r="E12" s="63">
        <f t="shared" si="3"/>
        <v>0</v>
      </c>
      <c r="F12" s="62">
        <f t="shared" si="1"/>
        <v>0</v>
      </c>
      <c r="H12" s="64">
        <v>-3377500.07</v>
      </c>
    </row>
    <row r="13" spans="1:8">
      <c r="A13" s="61" t="e">
        <f>#REF!</f>
        <v>#REF!</v>
      </c>
      <c r="B13" s="63">
        <f t="shared" si="2"/>
        <v>0</v>
      </c>
      <c r="C13" s="63">
        <v>0</v>
      </c>
      <c r="D13" s="72">
        <f t="shared" si="0"/>
        <v>0</v>
      </c>
      <c r="E13" s="63">
        <f t="shared" si="3"/>
        <v>0</v>
      </c>
      <c r="F13" s="62">
        <f t="shared" si="1"/>
        <v>0</v>
      </c>
      <c r="H13" s="64">
        <v>-3371666.74</v>
      </c>
    </row>
    <row r="14" spans="1:8">
      <c r="A14" s="61" t="e">
        <f>#REF!</f>
        <v>#REF!</v>
      </c>
      <c r="B14" s="63">
        <f t="shared" si="2"/>
        <v>0</v>
      </c>
      <c r="C14" s="63">
        <v>0</v>
      </c>
      <c r="D14" s="72">
        <f t="shared" si="0"/>
        <v>0</v>
      </c>
      <c r="E14" s="63">
        <f t="shared" si="3"/>
        <v>0</v>
      </c>
      <c r="F14" s="62">
        <f t="shared" si="1"/>
        <v>0</v>
      </c>
      <c r="H14" s="64">
        <v>-3365833.41</v>
      </c>
    </row>
    <row r="15" spans="1:8">
      <c r="A15" s="61" t="e">
        <f>#REF!</f>
        <v>#REF!</v>
      </c>
      <c r="B15" s="63">
        <f t="shared" si="2"/>
        <v>0</v>
      </c>
      <c r="C15" s="63">
        <v>0</v>
      </c>
      <c r="D15" s="72">
        <f t="shared" si="0"/>
        <v>0</v>
      </c>
      <c r="E15" s="63">
        <f t="shared" si="3"/>
        <v>0</v>
      </c>
      <c r="F15" s="62">
        <f t="shared" si="1"/>
        <v>0</v>
      </c>
      <c r="H15" s="64">
        <v>-3360000.08</v>
      </c>
    </row>
    <row r="16" spans="1:8">
      <c r="A16" s="61" t="e">
        <f>#REF!</f>
        <v>#REF!</v>
      </c>
      <c r="B16" s="63">
        <f t="shared" si="2"/>
        <v>0</v>
      </c>
      <c r="C16" s="63">
        <v>0</v>
      </c>
      <c r="D16" s="72">
        <f t="shared" si="0"/>
        <v>0</v>
      </c>
      <c r="E16" s="63">
        <f t="shared" si="3"/>
        <v>0</v>
      </c>
      <c r="F16" s="62">
        <f t="shared" si="1"/>
        <v>0</v>
      </c>
      <c r="H16" s="64">
        <v>-3354166.75</v>
      </c>
    </row>
    <row r="17" spans="1:8">
      <c r="A17" s="61" t="e">
        <f>#REF!</f>
        <v>#REF!</v>
      </c>
      <c r="B17" s="63">
        <f t="shared" si="2"/>
        <v>0</v>
      </c>
      <c r="C17" s="63">
        <v>0</v>
      </c>
      <c r="D17" s="72">
        <f t="shared" si="0"/>
        <v>0</v>
      </c>
      <c r="E17" s="63">
        <f t="shared" si="3"/>
        <v>0</v>
      </c>
      <c r="F17" s="62">
        <f t="shared" si="1"/>
        <v>0</v>
      </c>
      <c r="H17" s="64">
        <v>-3348333.42</v>
      </c>
    </row>
    <row r="18" spans="1:8">
      <c r="A18" s="61" t="e">
        <f>#REF!</f>
        <v>#REF!</v>
      </c>
      <c r="B18" s="63">
        <f t="shared" si="2"/>
        <v>0</v>
      </c>
      <c r="C18" s="63">
        <v>0</v>
      </c>
      <c r="D18" s="72">
        <f t="shared" si="0"/>
        <v>0</v>
      </c>
      <c r="E18" s="63">
        <f t="shared" si="3"/>
        <v>0</v>
      </c>
      <c r="F18" s="62">
        <f t="shared" si="1"/>
        <v>0</v>
      </c>
      <c r="H18" s="64">
        <v>-3342500.09</v>
      </c>
    </row>
    <row r="19" spans="1:8">
      <c r="A19" s="65"/>
      <c r="B19" s="66"/>
      <c r="C19" s="67">
        <f>SUM(C7:C18)</f>
        <v>0.02</v>
      </c>
      <c r="D19" s="67"/>
      <c r="E19" s="67"/>
      <c r="F19" s="68"/>
    </row>
    <row r="22" spans="1:8">
      <c r="A22" s="1" t="s">
        <v>90</v>
      </c>
    </row>
    <row r="23" spans="1:8">
      <c r="A23" s="1" t="s">
        <v>91</v>
      </c>
    </row>
    <row r="24" spans="1:8">
      <c r="A24" s="1" t="s">
        <v>113</v>
      </c>
    </row>
  </sheetData>
  <pageMargins left="0.7" right="0.7" top="0.75" bottom="0.75" header="0.3" footer="0.3"/>
  <pageSetup scale="91" orientation="portrait" r:id="rId1"/>
  <headerFooter>
    <oddFooter>&amp;C&amp;F&amp;A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4"/>
  <sheetViews>
    <sheetView workbookViewId="0"/>
  </sheetViews>
  <sheetFormatPr defaultColWidth="9.109375" defaultRowHeight="13.2"/>
  <cols>
    <col min="1" max="1" width="10.33203125" style="1" customWidth="1"/>
    <col min="2" max="2" width="25.88671875" style="1" customWidth="1"/>
    <col min="3" max="3" width="14.6640625" style="1" bestFit="1" customWidth="1"/>
    <col min="4" max="4" width="14.6640625" style="1" customWidth="1"/>
    <col min="5" max="5" width="14.5546875" style="1" customWidth="1"/>
    <col min="6" max="6" width="14.88671875" style="1" bestFit="1" customWidth="1"/>
    <col min="7" max="7" width="9.109375" style="1"/>
    <col min="8" max="8" width="11.33203125" style="1" hidden="1" customWidth="1"/>
    <col min="9" max="9" width="12.6640625" style="1" customWidth="1"/>
    <col min="10" max="10" width="12.109375" style="1" customWidth="1"/>
    <col min="11" max="11" width="14" style="1" customWidth="1"/>
    <col min="12" max="16384" width="9.109375" style="1"/>
  </cols>
  <sheetData>
    <row r="2" spans="1:8" ht="39.6">
      <c r="A2" s="46" t="s">
        <v>75</v>
      </c>
      <c r="B2" s="47" t="s">
        <v>76</v>
      </c>
      <c r="C2" s="47" t="s">
        <v>58</v>
      </c>
      <c r="D2" s="47"/>
      <c r="E2" s="47" t="s">
        <v>57</v>
      </c>
      <c r="F2" s="48"/>
    </row>
    <row r="3" spans="1:8" ht="29.25" customHeight="1">
      <c r="A3" s="49">
        <v>283325</v>
      </c>
      <c r="B3" s="50" t="s">
        <v>87</v>
      </c>
      <c r="C3" s="51"/>
      <c r="D3" s="51"/>
      <c r="E3" s="51"/>
      <c r="F3" s="52"/>
    </row>
    <row r="4" spans="1:8">
      <c r="A4" s="53"/>
      <c r="B4" s="54" t="s">
        <v>77</v>
      </c>
      <c r="C4" s="54" t="s">
        <v>78</v>
      </c>
      <c r="D4" s="54"/>
      <c r="E4" s="55"/>
      <c r="F4" s="56"/>
    </row>
    <row r="5" spans="1:8" ht="39.6">
      <c r="A5" s="57" t="s">
        <v>79</v>
      </c>
      <c r="B5" s="58" t="s">
        <v>80</v>
      </c>
      <c r="C5" s="58" t="s">
        <v>112</v>
      </c>
      <c r="D5" s="58" t="s">
        <v>92</v>
      </c>
      <c r="E5" s="58" t="s">
        <v>88</v>
      </c>
      <c r="F5" s="59" t="s">
        <v>82</v>
      </c>
      <c r="H5" s="60" t="s">
        <v>83</v>
      </c>
    </row>
    <row r="6" spans="1:8">
      <c r="A6" s="61" t="e">
        <f>#REF!</f>
        <v>#REF!</v>
      </c>
      <c r="B6" s="71">
        <v>0</v>
      </c>
      <c r="C6" s="70">
        <v>0</v>
      </c>
      <c r="D6" s="72">
        <f>SUM(B6:C6)</f>
        <v>0</v>
      </c>
      <c r="E6" s="70">
        <v>0</v>
      </c>
      <c r="F6" s="62">
        <f>SUM(D6:E6)</f>
        <v>0</v>
      </c>
    </row>
    <row r="7" spans="1:8">
      <c r="A7" s="61" t="e">
        <f>#REF!</f>
        <v>#REF!</v>
      </c>
      <c r="B7" s="63">
        <f>D6</f>
        <v>0</v>
      </c>
      <c r="C7" s="63">
        <v>0</v>
      </c>
      <c r="D7" s="72">
        <f t="shared" ref="D7:D18" si="0">SUM(B7:C7)</f>
        <v>0</v>
      </c>
      <c r="E7" s="70">
        <v>0</v>
      </c>
      <c r="F7" s="62">
        <f t="shared" ref="F7:F18" si="1">SUM(D7:E7)</f>
        <v>0</v>
      </c>
      <c r="H7" s="64">
        <v>-700000</v>
      </c>
    </row>
    <row r="8" spans="1:8">
      <c r="A8" s="61" t="e">
        <f>#REF!</f>
        <v>#REF!</v>
      </c>
      <c r="B8" s="63">
        <f t="shared" ref="B8:B18" si="2">D7</f>
        <v>0</v>
      </c>
      <c r="C8" s="63">
        <v>0</v>
      </c>
      <c r="D8" s="72">
        <f t="shared" si="0"/>
        <v>0</v>
      </c>
      <c r="E8" s="70">
        <v>0</v>
      </c>
      <c r="F8" s="62">
        <f t="shared" si="1"/>
        <v>0</v>
      </c>
      <c r="H8" s="64">
        <v>-700000</v>
      </c>
    </row>
    <row r="9" spans="1:8">
      <c r="A9" s="61" t="e">
        <f>#REF!</f>
        <v>#REF!</v>
      </c>
      <c r="B9" s="63">
        <f t="shared" si="2"/>
        <v>0</v>
      </c>
      <c r="C9" s="63">
        <v>0</v>
      </c>
      <c r="D9" s="72">
        <f t="shared" si="0"/>
        <v>0</v>
      </c>
      <c r="E9" s="70">
        <v>0</v>
      </c>
      <c r="F9" s="62">
        <f t="shared" si="1"/>
        <v>0</v>
      </c>
      <c r="H9" s="64">
        <v>-700000</v>
      </c>
    </row>
    <row r="10" spans="1:8">
      <c r="A10" s="61" t="e">
        <f>#REF!</f>
        <v>#REF!</v>
      </c>
      <c r="B10" s="63">
        <f t="shared" si="2"/>
        <v>0</v>
      </c>
      <c r="C10" s="63">
        <v>0</v>
      </c>
      <c r="D10" s="72">
        <f t="shared" si="0"/>
        <v>0</v>
      </c>
      <c r="E10" s="70">
        <v>0</v>
      </c>
      <c r="F10" s="62">
        <f t="shared" si="1"/>
        <v>0</v>
      </c>
      <c r="H10" s="64">
        <v>-700000</v>
      </c>
    </row>
    <row r="11" spans="1:8">
      <c r="A11" s="61" t="e">
        <f>#REF!</f>
        <v>#REF!</v>
      </c>
      <c r="B11" s="63">
        <f t="shared" si="2"/>
        <v>0</v>
      </c>
      <c r="C11" s="63">
        <v>0</v>
      </c>
      <c r="D11" s="72">
        <f t="shared" si="0"/>
        <v>0</v>
      </c>
      <c r="E11" s="70">
        <v>0</v>
      </c>
      <c r="F11" s="62">
        <f t="shared" si="1"/>
        <v>0</v>
      </c>
      <c r="H11" s="64">
        <v>-700000</v>
      </c>
    </row>
    <row r="12" spans="1:8">
      <c r="A12" s="61" t="e">
        <f>#REF!</f>
        <v>#REF!</v>
      </c>
      <c r="B12" s="63">
        <f t="shared" si="2"/>
        <v>0</v>
      </c>
      <c r="C12" s="63">
        <v>0</v>
      </c>
      <c r="D12" s="72">
        <f t="shared" si="0"/>
        <v>0</v>
      </c>
      <c r="E12" s="70">
        <v>0</v>
      </c>
      <c r="F12" s="62">
        <f t="shared" si="1"/>
        <v>0</v>
      </c>
      <c r="H12" s="64">
        <v>-700000</v>
      </c>
    </row>
    <row r="13" spans="1:8">
      <c r="A13" s="61" t="e">
        <f>#REF!</f>
        <v>#REF!</v>
      </c>
      <c r="B13" s="63">
        <f t="shared" si="2"/>
        <v>0</v>
      </c>
      <c r="C13" s="63">
        <v>0</v>
      </c>
      <c r="D13" s="72">
        <f t="shared" si="0"/>
        <v>0</v>
      </c>
      <c r="E13" s="70">
        <v>0</v>
      </c>
      <c r="F13" s="62">
        <f t="shared" si="1"/>
        <v>0</v>
      </c>
      <c r="H13" s="64">
        <v>-700000</v>
      </c>
    </row>
    <row r="14" spans="1:8">
      <c r="A14" s="61" t="e">
        <f>#REF!</f>
        <v>#REF!</v>
      </c>
      <c r="B14" s="63">
        <f t="shared" si="2"/>
        <v>0</v>
      </c>
      <c r="C14" s="63">
        <v>0</v>
      </c>
      <c r="D14" s="72">
        <f t="shared" si="0"/>
        <v>0</v>
      </c>
      <c r="E14" s="70">
        <v>0</v>
      </c>
      <c r="F14" s="62">
        <f t="shared" si="1"/>
        <v>0</v>
      </c>
      <c r="H14" s="64">
        <v>-700000</v>
      </c>
    </row>
    <row r="15" spans="1:8">
      <c r="A15" s="61" t="e">
        <f>#REF!</f>
        <v>#REF!</v>
      </c>
      <c r="B15" s="63">
        <f t="shared" si="2"/>
        <v>0</v>
      </c>
      <c r="C15" s="63">
        <v>0</v>
      </c>
      <c r="D15" s="72">
        <f t="shared" si="0"/>
        <v>0</v>
      </c>
      <c r="E15" s="70">
        <v>0</v>
      </c>
      <c r="F15" s="62">
        <f t="shared" si="1"/>
        <v>0</v>
      </c>
      <c r="H15" s="64">
        <v>-700000</v>
      </c>
    </row>
    <row r="16" spans="1:8">
      <c r="A16" s="61" t="e">
        <f>#REF!</f>
        <v>#REF!</v>
      </c>
      <c r="B16" s="63">
        <f t="shared" si="2"/>
        <v>0</v>
      </c>
      <c r="C16" s="63">
        <v>0</v>
      </c>
      <c r="D16" s="72">
        <f t="shared" si="0"/>
        <v>0</v>
      </c>
      <c r="E16" s="70">
        <v>0</v>
      </c>
      <c r="F16" s="62">
        <f t="shared" si="1"/>
        <v>0</v>
      </c>
      <c r="H16" s="64">
        <v>-700000</v>
      </c>
    </row>
    <row r="17" spans="1:8">
      <c r="A17" s="61" t="e">
        <f>#REF!</f>
        <v>#REF!</v>
      </c>
      <c r="B17" s="63">
        <f t="shared" si="2"/>
        <v>0</v>
      </c>
      <c r="C17" s="63">
        <v>0</v>
      </c>
      <c r="D17" s="72">
        <f t="shared" si="0"/>
        <v>0</v>
      </c>
      <c r="E17" s="70">
        <v>0</v>
      </c>
      <c r="F17" s="62">
        <f t="shared" si="1"/>
        <v>0</v>
      </c>
      <c r="H17" s="64">
        <v>-700000</v>
      </c>
    </row>
    <row r="18" spans="1:8">
      <c r="A18" s="61" t="e">
        <f>#REF!</f>
        <v>#REF!</v>
      </c>
      <c r="B18" s="63">
        <f t="shared" si="2"/>
        <v>0</v>
      </c>
      <c r="C18" s="63">
        <v>0</v>
      </c>
      <c r="D18" s="72">
        <f t="shared" si="0"/>
        <v>0</v>
      </c>
      <c r="E18" s="70">
        <v>0</v>
      </c>
      <c r="F18" s="62">
        <f t="shared" si="1"/>
        <v>0</v>
      </c>
      <c r="H18" s="64">
        <v>-700000</v>
      </c>
    </row>
    <row r="19" spans="1:8">
      <c r="A19" s="65"/>
      <c r="B19" s="66"/>
      <c r="C19" s="67">
        <f>SUM(C7:C18)</f>
        <v>0</v>
      </c>
      <c r="D19" s="67"/>
      <c r="E19" s="67"/>
      <c r="F19" s="68"/>
    </row>
    <row r="22" spans="1:8">
      <c r="A22" s="1" t="s">
        <v>90</v>
      </c>
    </row>
    <row r="23" spans="1:8">
      <c r="A23" s="1" t="s">
        <v>91</v>
      </c>
    </row>
    <row r="24" spans="1:8">
      <c r="A24" s="1" t="s">
        <v>111</v>
      </c>
    </row>
  </sheetData>
  <pageMargins left="0.7" right="0.7" top="0.75" bottom="0.75" header="0.3" footer="0.3"/>
  <pageSetup scale="97" orientation="portrait" r:id="rId1"/>
  <headerFooter>
    <oddFooter>&amp;C&amp;F&amp;A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workbookViewId="0">
      <selection activeCell="D40" sqref="D40"/>
    </sheetView>
  </sheetViews>
  <sheetFormatPr defaultRowHeight="13.2"/>
  <cols>
    <col min="1" max="1" width="7" style="37" bestFit="1" customWidth="1"/>
    <col min="2" max="2" width="40.5546875" style="37" bestFit="1" customWidth="1"/>
    <col min="3" max="5" width="13.6640625" style="37" bestFit="1" customWidth="1"/>
    <col min="6" max="6" width="0.5546875" style="37" customWidth="1"/>
    <col min="7" max="7" width="14" style="37" customWidth="1"/>
    <col min="8" max="9" width="13.6640625" style="37" bestFit="1" customWidth="1"/>
    <col min="10" max="10" width="0.6640625" style="37" customWidth="1"/>
    <col min="11" max="12" width="12.33203125" style="37" bestFit="1" customWidth="1"/>
    <col min="13" max="13" width="13.6640625" style="37" bestFit="1" customWidth="1"/>
    <col min="14" max="256" width="8.88671875" style="37"/>
    <col min="257" max="257" width="7" style="37" bestFit="1" customWidth="1"/>
    <col min="258" max="258" width="40.5546875" style="37" bestFit="1" customWidth="1"/>
    <col min="259" max="261" width="13.6640625" style="37" bestFit="1" customWidth="1"/>
    <col min="262" max="262" width="0.5546875" style="37" customWidth="1"/>
    <col min="263" max="263" width="12.33203125" style="37" bestFit="1" customWidth="1"/>
    <col min="264" max="265" width="13.6640625" style="37" bestFit="1" customWidth="1"/>
    <col min="266" max="266" width="0.6640625" style="37" customWidth="1"/>
    <col min="267" max="268" width="12.33203125" style="37" bestFit="1" customWidth="1"/>
    <col min="269" max="269" width="13.6640625" style="37" bestFit="1" customWidth="1"/>
    <col min="270" max="512" width="8.88671875" style="37"/>
    <col min="513" max="513" width="7" style="37" bestFit="1" customWidth="1"/>
    <col min="514" max="514" width="40.5546875" style="37" bestFit="1" customWidth="1"/>
    <col min="515" max="517" width="13.6640625" style="37" bestFit="1" customWidth="1"/>
    <col min="518" max="518" width="0.5546875" style="37" customWidth="1"/>
    <col min="519" max="519" width="12.33203125" style="37" bestFit="1" customWidth="1"/>
    <col min="520" max="521" width="13.6640625" style="37" bestFit="1" customWidth="1"/>
    <col min="522" max="522" width="0.6640625" style="37" customWidth="1"/>
    <col min="523" max="524" width="12.33203125" style="37" bestFit="1" customWidth="1"/>
    <col min="525" max="525" width="13.6640625" style="37" bestFit="1" customWidth="1"/>
    <col min="526" max="768" width="8.88671875" style="37"/>
    <col min="769" max="769" width="7" style="37" bestFit="1" customWidth="1"/>
    <col min="770" max="770" width="40.5546875" style="37" bestFit="1" customWidth="1"/>
    <col min="771" max="773" width="13.6640625" style="37" bestFit="1" customWidth="1"/>
    <col min="774" max="774" width="0.5546875" style="37" customWidth="1"/>
    <col min="775" max="775" width="12.33203125" style="37" bestFit="1" customWidth="1"/>
    <col min="776" max="777" width="13.6640625" style="37" bestFit="1" customWidth="1"/>
    <col min="778" max="778" width="0.6640625" style="37" customWidth="1"/>
    <col min="779" max="780" width="12.33203125" style="37" bestFit="1" customWidth="1"/>
    <col min="781" max="781" width="13.6640625" style="37" bestFit="1" customWidth="1"/>
    <col min="782" max="1024" width="8.88671875" style="37"/>
    <col min="1025" max="1025" width="7" style="37" bestFit="1" customWidth="1"/>
    <col min="1026" max="1026" width="40.5546875" style="37" bestFit="1" customWidth="1"/>
    <col min="1027" max="1029" width="13.6640625" style="37" bestFit="1" customWidth="1"/>
    <col min="1030" max="1030" width="0.5546875" style="37" customWidth="1"/>
    <col min="1031" max="1031" width="12.33203125" style="37" bestFit="1" customWidth="1"/>
    <col min="1032" max="1033" width="13.6640625" style="37" bestFit="1" customWidth="1"/>
    <col min="1034" max="1034" width="0.6640625" style="37" customWidth="1"/>
    <col min="1035" max="1036" width="12.33203125" style="37" bestFit="1" customWidth="1"/>
    <col min="1037" max="1037" width="13.6640625" style="37" bestFit="1" customWidth="1"/>
    <col min="1038" max="1280" width="8.88671875" style="37"/>
    <col min="1281" max="1281" width="7" style="37" bestFit="1" customWidth="1"/>
    <col min="1282" max="1282" width="40.5546875" style="37" bestFit="1" customWidth="1"/>
    <col min="1283" max="1285" width="13.6640625" style="37" bestFit="1" customWidth="1"/>
    <col min="1286" max="1286" width="0.5546875" style="37" customWidth="1"/>
    <col min="1287" max="1287" width="12.33203125" style="37" bestFit="1" customWidth="1"/>
    <col min="1288" max="1289" width="13.6640625" style="37" bestFit="1" customWidth="1"/>
    <col min="1290" max="1290" width="0.6640625" style="37" customWidth="1"/>
    <col min="1291" max="1292" width="12.33203125" style="37" bestFit="1" customWidth="1"/>
    <col min="1293" max="1293" width="13.6640625" style="37" bestFit="1" customWidth="1"/>
    <col min="1294" max="1536" width="8.88671875" style="37"/>
    <col min="1537" max="1537" width="7" style="37" bestFit="1" customWidth="1"/>
    <col min="1538" max="1538" width="40.5546875" style="37" bestFit="1" customWidth="1"/>
    <col min="1539" max="1541" width="13.6640625" style="37" bestFit="1" customWidth="1"/>
    <col min="1542" max="1542" width="0.5546875" style="37" customWidth="1"/>
    <col min="1543" max="1543" width="12.33203125" style="37" bestFit="1" customWidth="1"/>
    <col min="1544" max="1545" width="13.6640625" style="37" bestFit="1" customWidth="1"/>
    <col min="1546" max="1546" width="0.6640625" style="37" customWidth="1"/>
    <col min="1547" max="1548" width="12.33203125" style="37" bestFit="1" customWidth="1"/>
    <col min="1549" max="1549" width="13.6640625" style="37" bestFit="1" customWidth="1"/>
    <col min="1550" max="1792" width="8.88671875" style="37"/>
    <col min="1793" max="1793" width="7" style="37" bestFit="1" customWidth="1"/>
    <col min="1794" max="1794" width="40.5546875" style="37" bestFit="1" customWidth="1"/>
    <col min="1795" max="1797" width="13.6640625" style="37" bestFit="1" customWidth="1"/>
    <col min="1798" max="1798" width="0.5546875" style="37" customWidth="1"/>
    <col min="1799" max="1799" width="12.33203125" style="37" bestFit="1" customWidth="1"/>
    <col min="1800" max="1801" width="13.6640625" style="37" bestFit="1" customWidth="1"/>
    <col min="1802" max="1802" width="0.6640625" style="37" customWidth="1"/>
    <col min="1803" max="1804" width="12.33203125" style="37" bestFit="1" customWidth="1"/>
    <col min="1805" max="1805" width="13.6640625" style="37" bestFit="1" customWidth="1"/>
    <col min="1806" max="2048" width="8.88671875" style="37"/>
    <col min="2049" max="2049" width="7" style="37" bestFit="1" customWidth="1"/>
    <col min="2050" max="2050" width="40.5546875" style="37" bestFit="1" customWidth="1"/>
    <col min="2051" max="2053" width="13.6640625" style="37" bestFit="1" customWidth="1"/>
    <col min="2054" max="2054" width="0.5546875" style="37" customWidth="1"/>
    <col min="2055" max="2055" width="12.33203125" style="37" bestFit="1" customWidth="1"/>
    <col min="2056" max="2057" width="13.6640625" style="37" bestFit="1" customWidth="1"/>
    <col min="2058" max="2058" width="0.6640625" style="37" customWidth="1"/>
    <col min="2059" max="2060" width="12.33203125" style="37" bestFit="1" customWidth="1"/>
    <col min="2061" max="2061" width="13.6640625" style="37" bestFit="1" customWidth="1"/>
    <col min="2062" max="2304" width="8.88671875" style="37"/>
    <col min="2305" max="2305" width="7" style="37" bestFit="1" customWidth="1"/>
    <col min="2306" max="2306" width="40.5546875" style="37" bestFit="1" customWidth="1"/>
    <col min="2307" max="2309" width="13.6640625" style="37" bestFit="1" customWidth="1"/>
    <col min="2310" max="2310" width="0.5546875" style="37" customWidth="1"/>
    <col min="2311" max="2311" width="12.33203125" style="37" bestFit="1" customWidth="1"/>
    <col min="2312" max="2313" width="13.6640625" style="37" bestFit="1" customWidth="1"/>
    <col min="2314" max="2314" width="0.6640625" style="37" customWidth="1"/>
    <col min="2315" max="2316" width="12.33203125" style="37" bestFit="1" customWidth="1"/>
    <col min="2317" max="2317" width="13.6640625" style="37" bestFit="1" customWidth="1"/>
    <col min="2318" max="2560" width="8.88671875" style="37"/>
    <col min="2561" max="2561" width="7" style="37" bestFit="1" customWidth="1"/>
    <col min="2562" max="2562" width="40.5546875" style="37" bestFit="1" customWidth="1"/>
    <col min="2563" max="2565" width="13.6640625" style="37" bestFit="1" customWidth="1"/>
    <col min="2566" max="2566" width="0.5546875" style="37" customWidth="1"/>
    <col min="2567" max="2567" width="12.33203125" style="37" bestFit="1" customWidth="1"/>
    <col min="2568" max="2569" width="13.6640625" style="37" bestFit="1" customWidth="1"/>
    <col min="2570" max="2570" width="0.6640625" style="37" customWidth="1"/>
    <col min="2571" max="2572" width="12.33203125" style="37" bestFit="1" customWidth="1"/>
    <col min="2573" max="2573" width="13.6640625" style="37" bestFit="1" customWidth="1"/>
    <col min="2574" max="2816" width="8.88671875" style="37"/>
    <col min="2817" max="2817" width="7" style="37" bestFit="1" customWidth="1"/>
    <col min="2818" max="2818" width="40.5546875" style="37" bestFit="1" customWidth="1"/>
    <col min="2819" max="2821" width="13.6640625" style="37" bestFit="1" customWidth="1"/>
    <col min="2822" max="2822" width="0.5546875" style="37" customWidth="1"/>
    <col min="2823" max="2823" width="12.33203125" style="37" bestFit="1" customWidth="1"/>
    <col min="2824" max="2825" width="13.6640625" style="37" bestFit="1" customWidth="1"/>
    <col min="2826" max="2826" width="0.6640625" style="37" customWidth="1"/>
    <col min="2827" max="2828" width="12.33203125" style="37" bestFit="1" customWidth="1"/>
    <col min="2829" max="2829" width="13.6640625" style="37" bestFit="1" customWidth="1"/>
    <col min="2830" max="3072" width="8.88671875" style="37"/>
    <col min="3073" max="3073" width="7" style="37" bestFit="1" customWidth="1"/>
    <col min="3074" max="3074" width="40.5546875" style="37" bestFit="1" customWidth="1"/>
    <col min="3075" max="3077" width="13.6640625" style="37" bestFit="1" customWidth="1"/>
    <col min="3078" max="3078" width="0.5546875" style="37" customWidth="1"/>
    <col min="3079" max="3079" width="12.33203125" style="37" bestFit="1" customWidth="1"/>
    <col min="3080" max="3081" width="13.6640625" style="37" bestFit="1" customWidth="1"/>
    <col min="3082" max="3082" width="0.6640625" style="37" customWidth="1"/>
    <col min="3083" max="3084" width="12.33203125" style="37" bestFit="1" customWidth="1"/>
    <col min="3085" max="3085" width="13.6640625" style="37" bestFit="1" customWidth="1"/>
    <col min="3086" max="3328" width="8.88671875" style="37"/>
    <col min="3329" max="3329" width="7" style="37" bestFit="1" customWidth="1"/>
    <col min="3330" max="3330" width="40.5546875" style="37" bestFit="1" customWidth="1"/>
    <col min="3331" max="3333" width="13.6640625" style="37" bestFit="1" customWidth="1"/>
    <col min="3334" max="3334" width="0.5546875" style="37" customWidth="1"/>
    <col min="3335" max="3335" width="12.33203125" style="37" bestFit="1" customWidth="1"/>
    <col min="3336" max="3337" width="13.6640625" style="37" bestFit="1" customWidth="1"/>
    <col min="3338" max="3338" width="0.6640625" style="37" customWidth="1"/>
    <col min="3339" max="3340" width="12.33203125" style="37" bestFit="1" customWidth="1"/>
    <col min="3341" max="3341" width="13.6640625" style="37" bestFit="1" customWidth="1"/>
    <col min="3342" max="3584" width="8.88671875" style="37"/>
    <col min="3585" max="3585" width="7" style="37" bestFit="1" customWidth="1"/>
    <col min="3586" max="3586" width="40.5546875" style="37" bestFit="1" customWidth="1"/>
    <col min="3587" max="3589" width="13.6640625" style="37" bestFit="1" customWidth="1"/>
    <col min="3590" max="3590" width="0.5546875" style="37" customWidth="1"/>
    <col min="3591" max="3591" width="12.33203125" style="37" bestFit="1" customWidth="1"/>
    <col min="3592" max="3593" width="13.6640625" style="37" bestFit="1" customWidth="1"/>
    <col min="3594" max="3594" width="0.6640625" style="37" customWidth="1"/>
    <col min="3595" max="3596" width="12.33203125" style="37" bestFit="1" customWidth="1"/>
    <col min="3597" max="3597" width="13.6640625" style="37" bestFit="1" customWidth="1"/>
    <col min="3598" max="3840" width="8.88671875" style="37"/>
    <col min="3841" max="3841" width="7" style="37" bestFit="1" customWidth="1"/>
    <col min="3842" max="3842" width="40.5546875" style="37" bestFit="1" customWidth="1"/>
    <col min="3843" max="3845" width="13.6640625" style="37" bestFit="1" customWidth="1"/>
    <col min="3846" max="3846" width="0.5546875" style="37" customWidth="1"/>
    <col min="3847" max="3847" width="12.33203125" style="37" bestFit="1" customWidth="1"/>
    <col min="3848" max="3849" width="13.6640625" style="37" bestFit="1" customWidth="1"/>
    <col min="3850" max="3850" width="0.6640625" style="37" customWidth="1"/>
    <col min="3851" max="3852" width="12.33203125" style="37" bestFit="1" customWidth="1"/>
    <col min="3853" max="3853" width="13.6640625" style="37" bestFit="1" customWidth="1"/>
    <col min="3854" max="4096" width="8.88671875" style="37"/>
    <col min="4097" max="4097" width="7" style="37" bestFit="1" customWidth="1"/>
    <col min="4098" max="4098" width="40.5546875" style="37" bestFit="1" customWidth="1"/>
    <col min="4099" max="4101" width="13.6640625" style="37" bestFit="1" customWidth="1"/>
    <col min="4102" max="4102" width="0.5546875" style="37" customWidth="1"/>
    <col min="4103" max="4103" width="12.33203125" style="37" bestFit="1" customWidth="1"/>
    <col min="4104" max="4105" width="13.6640625" style="37" bestFit="1" customWidth="1"/>
    <col min="4106" max="4106" width="0.6640625" style="37" customWidth="1"/>
    <col min="4107" max="4108" width="12.33203125" style="37" bestFit="1" customWidth="1"/>
    <col min="4109" max="4109" width="13.6640625" style="37" bestFit="1" customWidth="1"/>
    <col min="4110" max="4352" width="8.88671875" style="37"/>
    <col min="4353" max="4353" width="7" style="37" bestFit="1" customWidth="1"/>
    <col min="4354" max="4354" width="40.5546875" style="37" bestFit="1" customWidth="1"/>
    <col min="4355" max="4357" width="13.6640625" style="37" bestFit="1" customWidth="1"/>
    <col min="4358" max="4358" width="0.5546875" style="37" customWidth="1"/>
    <col min="4359" max="4359" width="12.33203125" style="37" bestFit="1" customWidth="1"/>
    <col min="4360" max="4361" width="13.6640625" style="37" bestFit="1" customWidth="1"/>
    <col min="4362" max="4362" width="0.6640625" style="37" customWidth="1"/>
    <col min="4363" max="4364" width="12.33203125" style="37" bestFit="1" customWidth="1"/>
    <col min="4365" max="4365" width="13.6640625" style="37" bestFit="1" customWidth="1"/>
    <col min="4366" max="4608" width="8.88671875" style="37"/>
    <col min="4609" max="4609" width="7" style="37" bestFit="1" customWidth="1"/>
    <col min="4610" max="4610" width="40.5546875" style="37" bestFit="1" customWidth="1"/>
    <col min="4611" max="4613" width="13.6640625" style="37" bestFit="1" customWidth="1"/>
    <col min="4614" max="4614" width="0.5546875" style="37" customWidth="1"/>
    <col min="4615" max="4615" width="12.33203125" style="37" bestFit="1" customWidth="1"/>
    <col min="4616" max="4617" width="13.6640625" style="37" bestFit="1" customWidth="1"/>
    <col min="4618" max="4618" width="0.6640625" style="37" customWidth="1"/>
    <col min="4619" max="4620" width="12.33203125" style="37" bestFit="1" customWidth="1"/>
    <col min="4621" max="4621" width="13.6640625" style="37" bestFit="1" customWidth="1"/>
    <col min="4622" max="4864" width="8.88671875" style="37"/>
    <col min="4865" max="4865" width="7" style="37" bestFit="1" customWidth="1"/>
    <col min="4866" max="4866" width="40.5546875" style="37" bestFit="1" customWidth="1"/>
    <col min="4867" max="4869" width="13.6640625" style="37" bestFit="1" customWidth="1"/>
    <col min="4870" max="4870" width="0.5546875" style="37" customWidth="1"/>
    <col min="4871" max="4871" width="12.33203125" style="37" bestFit="1" customWidth="1"/>
    <col min="4872" max="4873" width="13.6640625" style="37" bestFit="1" customWidth="1"/>
    <col min="4874" max="4874" width="0.6640625" style="37" customWidth="1"/>
    <col min="4875" max="4876" width="12.33203125" style="37" bestFit="1" customWidth="1"/>
    <col min="4877" max="4877" width="13.6640625" style="37" bestFit="1" customWidth="1"/>
    <col min="4878" max="5120" width="8.88671875" style="37"/>
    <col min="5121" max="5121" width="7" style="37" bestFit="1" customWidth="1"/>
    <col min="5122" max="5122" width="40.5546875" style="37" bestFit="1" customWidth="1"/>
    <col min="5123" max="5125" width="13.6640625" style="37" bestFit="1" customWidth="1"/>
    <col min="5126" max="5126" width="0.5546875" style="37" customWidth="1"/>
    <col min="5127" max="5127" width="12.33203125" style="37" bestFit="1" customWidth="1"/>
    <col min="5128" max="5129" width="13.6640625" style="37" bestFit="1" customWidth="1"/>
    <col min="5130" max="5130" width="0.6640625" style="37" customWidth="1"/>
    <col min="5131" max="5132" width="12.33203125" style="37" bestFit="1" customWidth="1"/>
    <col min="5133" max="5133" width="13.6640625" style="37" bestFit="1" customWidth="1"/>
    <col min="5134" max="5376" width="8.88671875" style="37"/>
    <col min="5377" max="5377" width="7" style="37" bestFit="1" customWidth="1"/>
    <col min="5378" max="5378" width="40.5546875" style="37" bestFit="1" customWidth="1"/>
    <col min="5379" max="5381" width="13.6640625" style="37" bestFit="1" customWidth="1"/>
    <col min="5382" max="5382" width="0.5546875" style="37" customWidth="1"/>
    <col min="5383" max="5383" width="12.33203125" style="37" bestFit="1" customWidth="1"/>
    <col min="5384" max="5385" width="13.6640625" style="37" bestFit="1" customWidth="1"/>
    <col min="5386" max="5386" width="0.6640625" style="37" customWidth="1"/>
    <col min="5387" max="5388" width="12.33203125" style="37" bestFit="1" customWidth="1"/>
    <col min="5389" max="5389" width="13.6640625" style="37" bestFit="1" customWidth="1"/>
    <col min="5390" max="5632" width="8.88671875" style="37"/>
    <col min="5633" max="5633" width="7" style="37" bestFit="1" customWidth="1"/>
    <col min="5634" max="5634" width="40.5546875" style="37" bestFit="1" customWidth="1"/>
    <col min="5635" max="5637" width="13.6640625" style="37" bestFit="1" customWidth="1"/>
    <col min="5638" max="5638" width="0.5546875" style="37" customWidth="1"/>
    <col min="5639" max="5639" width="12.33203125" style="37" bestFit="1" customWidth="1"/>
    <col min="5640" max="5641" width="13.6640625" style="37" bestFit="1" customWidth="1"/>
    <col min="5642" max="5642" width="0.6640625" style="37" customWidth="1"/>
    <col min="5643" max="5644" width="12.33203125" style="37" bestFit="1" customWidth="1"/>
    <col min="5645" max="5645" width="13.6640625" style="37" bestFit="1" customWidth="1"/>
    <col min="5646" max="5888" width="8.88671875" style="37"/>
    <col min="5889" max="5889" width="7" style="37" bestFit="1" customWidth="1"/>
    <col min="5890" max="5890" width="40.5546875" style="37" bestFit="1" customWidth="1"/>
    <col min="5891" max="5893" width="13.6640625" style="37" bestFit="1" customWidth="1"/>
    <col min="5894" max="5894" width="0.5546875" style="37" customWidth="1"/>
    <col min="5895" max="5895" width="12.33203125" style="37" bestFit="1" customWidth="1"/>
    <col min="5896" max="5897" width="13.6640625" style="37" bestFit="1" customWidth="1"/>
    <col min="5898" max="5898" width="0.6640625" style="37" customWidth="1"/>
    <col min="5899" max="5900" width="12.33203125" style="37" bestFit="1" customWidth="1"/>
    <col min="5901" max="5901" width="13.6640625" style="37" bestFit="1" customWidth="1"/>
    <col min="5902" max="6144" width="8.88671875" style="37"/>
    <col min="6145" max="6145" width="7" style="37" bestFit="1" customWidth="1"/>
    <col min="6146" max="6146" width="40.5546875" style="37" bestFit="1" customWidth="1"/>
    <col min="6147" max="6149" width="13.6640625" style="37" bestFit="1" customWidth="1"/>
    <col min="6150" max="6150" width="0.5546875" style="37" customWidth="1"/>
    <col min="6151" max="6151" width="12.33203125" style="37" bestFit="1" customWidth="1"/>
    <col min="6152" max="6153" width="13.6640625" style="37" bestFit="1" customWidth="1"/>
    <col min="6154" max="6154" width="0.6640625" style="37" customWidth="1"/>
    <col min="6155" max="6156" width="12.33203125" style="37" bestFit="1" customWidth="1"/>
    <col min="6157" max="6157" width="13.6640625" style="37" bestFit="1" customWidth="1"/>
    <col min="6158" max="6400" width="8.88671875" style="37"/>
    <col min="6401" max="6401" width="7" style="37" bestFit="1" customWidth="1"/>
    <col min="6402" max="6402" width="40.5546875" style="37" bestFit="1" customWidth="1"/>
    <col min="6403" max="6405" width="13.6640625" style="37" bestFit="1" customWidth="1"/>
    <col min="6406" max="6406" width="0.5546875" style="37" customWidth="1"/>
    <col min="6407" max="6407" width="12.33203125" style="37" bestFit="1" customWidth="1"/>
    <col min="6408" max="6409" width="13.6640625" style="37" bestFit="1" customWidth="1"/>
    <col min="6410" max="6410" width="0.6640625" style="37" customWidth="1"/>
    <col min="6411" max="6412" width="12.33203125" style="37" bestFit="1" customWidth="1"/>
    <col min="6413" max="6413" width="13.6640625" style="37" bestFit="1" customWidth="1"/>
    <col min="6414" max="6656" width="8.88671875" style="37"/>
    <col min="6657" max="6657" width="7" style="37" bestFit="1" customWidth="1"/>
    <col min="6658" max="6658" width="40.5546875" style="37" bestFit="1" customWidth="1"/>
    <col min="6659" max="6661" width="13.6640625" style="37" bestFit="1" customWidth="1"/>
    <col min="6662" max="6662" width="0.5546875" style="37" customWidth="1"/>
    <col min="6663" max="6663" width="12.33203125" style="37" bestFit="1" customWidth="1"/>
    <col min="6664" max="6665" width="13.6640625" style="37" bestFit="1" customWidth="1"/>
    <col min="6666" max="6666" width="0.6640625" style="37" customWidth="1"/>
    <col min="6667" max="6668" width="12.33203125" style="37" bestFit="1" customWidth="1"/>
    <col min="6669" max="6669" width="13.6640625" style="37" bestFit="1" customWidth="1"/>
    <col min="6670" max="6912" width="8.88671875" style="37"/>
    <col min="6913" max="6913" width="7" style="37" bestFit="1" customWidth="1"/>
    <col min="6914" max="6914" width="40.5546875" style="37" bestFit="1" customWidth="1"/>
    <col min="6915" max="6917" width="13.6640625" style="37" bestFit="1" customWidth="1"/>
    <col min="6918" max="6918" width="0.5546875" style="37" customWidth="1"/>
    <col min="6919" max="6919" width="12.33203125" style="37" bestFit="1" customWidth="1"/>
    <col min="6920" max="6921" width="13.6640625" style="37" bestFit="1" customWidth="1"/>
    <col min="6922" max="6922" width="0.6640625" style="37" customWidth="1"/>
    <col min="6923" max="6924" width="12.33203125" style="37" bestFit="1" customWidth="1"/>
    <col min="6925" max="6925" width="13.6640625" style="37" bestFit="1" customWidth="1"/>
    <col min="6926" max="7168" width="8.88671875" style="37"/>
    <col min="7169" max="7169" width="7" style="37" bestFit="1" customWidth="1"/>
    <col min="7170" max="7170" width="40.5546875" style="37" bestFit="1" customWidth="1"/>
    <col min="7171" max="7173" width="13.6640625" style="37" bestFit="1" customWidth="1"/>
    <col min="7174" max="7174" width="0.5546875" style="37" customWidth="1"/>
    <col min="7175" max="7175" width="12.33203125" style="37" bestFit="1" customWidth="1"/>
    <col min="7176" max="7177" width="13.6640625" style="37" bestFit="1" customWidth="1"/>
    <col min="7178" max="7178" width="0.6640625" style="37" customWidth="1"/>
    <col min="7179" max="7180" width="12.33203125" style="37" bestFit="1" customWidth="1"/>
    <col min="7181" max="7181" width="13.6640625" style="37" bestFit="1" customWidth="1"/>
    <col min="7182" max="7424" width="8.88671875" style="37"/>
    <col min="7425" max="7425" width="7" style="37" bestFit="1" customWidth="1"/>
    <col min="7426" max="7426" width="40.5546875" style="37" bestFit="1" customWidth="1"/>
    <col min="7427" max="7429" width="13.6640625" style="37" bestFit="1" customWidth="1"/>
    <col min="7430" max="7430" width="0.5546875" style="37" customWidth="1"/>
    <col min="7431" max="7431" width="12.33203125" style="37" bestFit="1" customWidth="1"/>
    <col min="7432" max="7433" width="13.6640625" style="37" bestFit="1" customWidth="1"/>
    <col min="7434" max="7434" width="0.6640625" style="37" customWidth="1"/>
    <col min="7435" max="7436" width="12.33203125" style="37" bestFit="1" customWidth="1"/>
    <col min="7437" max="7437" width="13.6640625" style="37" bestFit="1" customWidth="1"/>
    <col min="7438" max="7680" width="8.88671875" style="37"/>
    <col min="7681" max="7681" width="7" style="37" bestFit="1" customWidth="1"/>
    <col min="7682" max="7682" width="40.5546875" style="37" bestFit="1" customWidth="1"/>
    <col min="7683" max="7685" width="13.6640625" style="37" bestFit="1" customWidth="1"/>
    <col min="7686" max="7686" width="0.5546875" style="37" customWidth="1"/>
    <col min="7687" max="7687" width="12.33203125" style="37" bestFit="1" customWidth="1"/>
    <col min="7688" max="7689" width="13.6640625" style="37" bestFit="1" customWidth="1"/>
    <col min="7690" max="7690" width="0.6640625" style="37" customWidth="1"/>
    <col min="7691" max="7692" width="12.33203125" style="37" bestFit="1" customWidth="1"/>
    <col min="7693" max="7693" width="13.6640625" style="37" bestFit="1" customWidth="1"/>
    <col min="7694" max="7936" width="8.88671875" style="37"/>
    <col min="7937" max="7937" width="7" style="37" bestFit="1" customWidth="1"/>
    <col min="7938" max="7938" width="40.5546875" style="37" bestFit="1" customWidth="1"/>
    <col min="7939" max="7941" width="13.6640625" style="37" bestFit="1" customWidth="1"/>
    <col min="7942" max="7942" width="0.5546875" style="37" customWidth="1"/>
    <col min="7943" max="7943" width="12.33203125" style="37" bestFit="1" customWidth="1"/>
    <col min="7944" max="7945" width="13.6640625" style="37" bestFit="1" customWidth="1"/>
    <col min="7946" max="7946" width="0.6640625" style="37" customWidth="1"/>
    <col min="7947" max="7948" width="12.33203125" style="37" bestFit="1" customWidth="1"/>
    <col min="7949" max="7949" width="13.6640625" style="37" bestFit="1" customWidth="1"/>
    <col min="7950" max="8192" width="8.88671875" style="37"/>
    <col min="8193" max="8193" width="7" style="37" bestFit="1" customWidth="1"/>
    <col min="8194" max="8194" width="40.5546875" style="37" bestFit="1" customWidth="1"/>
    <col min="8195" max="8197" width="13.6640625" style="37" bestFit="1" customWidth="1"/>
    <col min="8198" max="8198" width="0.5546875" style="37" customWidth="1"/>
    <col min="8199" max="8199" width="12.33203125" style="37" bestFit="1" customWidth="1"/>
    <col min="8200" max="8201" width="13.6640625" style="37" bestFit="1" customWidth="1"/>
    <col min="8202" max="8202" width="0.6640625" style="37" customWidth="1"/>
    <col min="8203" max="8204" width="12.33203125" style="37" bestFit="1" customWidth="1"/>
    <col min="8205" max="8205" width="13.6640625" style="37" bestFit="1" customWidth="1"/>
    <col min="8206" max="8448" width="8.88671875" style="37"/>
    <col min="8449" max="8449" width="7" style="37" bestFit="1" customWidth="1"/>
    <col min="8450" max="8450" width="40.5546875" style="37" bestFit="1" customWidth="1"/>
    <col min="8451" max="8453" width="13.6640625" style="37" bestFit="1" customWidth="1"/>
    <col min="8454" max="8454" width="0.5546875" style="37" customWidth="1"/>
    <col min="8455" max="8455" width="12.33203125" style="37" bestFit="1" customWidth="1"/>
    <col min="8456" max="8457" width="13.6640625" style="37" bestFit="1" customWidth="1"/>
    <col min="8458" max="8458" width="0.6640625" style="37" customWidth="1"/>
    <col min="8459" max="8460" width="12.33203125" style="37" bestFit="1" customWidth="1"/>
    <col min="8461" max="8461" width="13.6640625" style="37" bestFit="1" customWidth="1"/>
    <col min="8462" max="8704" width="8.88671875" style="37"/>
    <col min="8705" max="8705" width="7" style="37" bestFit="1" customWidth="1"/>
    <col min="8706" max="8706" width="40.5546875" style="37" bestFit="1" customWidth="1"/>
    <col min="8707" max="8709" width="13.6640625" style="37" bestFit="1" customWidth="1"/>
    <col min="8710" max="8710" width="0.5546875" style="37" customWidth="1"/>
    <col min="8711" max="8711" width="12.33203125" style="37" bestFit="1" customWidth="1"/>
    <col min="8712" max="8713" width="13.6640625" style="37" bestFit="1" customWidth="1"/>
    <col min="8714" max="8714" width="0.6640625" style="37" customWidth="1"/>
    <col min="8715" max="8716" width="12.33203125" style="37" bestFit="1" customWidth="1"/>
    <col min="8717" max="8717" width="13.6640625" style="37" bestFit="1" customWidth="1"/>
    <col min="8718" max="8960" width="8.88671875" style="37"/>
    <col min="8961" max="8961" width="7" style="37" bestFit="1" customWidth="1"/>
    <col min="8962" max="8962" width="40.5546875" style="37" bestFit="1" customWidth="1"/>
    <col min="8963" max="8965" width="13.6640625" style="37" bestFit="1" customWidth="1"/>
    <col min="8966" max="8966" width="0.5546875" style="37" customWidth="1"/>
    <col min="8967" max="8967" width="12.33203125" style="37" bestFit="1" customWidth="1"/>
    <col min="8968" max="8969" width="13.6640625" style="37" bestFit="1" customWidth="1"/>
    <col min="8970" max="8970" width="0.6640625" style="37" customWidth="1"/>
    <col min="8971" max="8972" width="12.33203125" style="37" bestFit="1" customWidth="1"/>
    <col min="8973" max="8973" width="13.6640625" style="37" bestFit="1" customWidth="1"/>
    <col min="8974" max="9216" width="8.88671875" style="37"/>
    <col min="9217" max="9217" width="7" style="37" bestFit="1" customWidth="1"/>
    <col min="9218" max="9218" width="40.5546875" style="37" bestFit="1" customWidth="1"/>
    <col min="9219" max="9221" width="13.6640625" style="37" bestFit="1" customWidth="1"/>
    <col min="9222" max="9222" width="0.5546875" style="37" customWidth="1"/>
    <col min="9223" max="9223" width="12.33203125" style="37" bestFit="1" customWidth="1"/>
    <col min="9224" max="9225" width="13.6640625" style="37" bestFit="1" customWidth="1"/>
    <col min="9226" max="9226" width="0.6640625" style="37" customWidth="1"/>
    <col min="9227" max="9228" width="12.33203125" style="37" bestFit="1" customWidth="1"/>
    <col min="9229" max="9229" width="13.6640625" style="37" bestFit="1" customWidth="1"/>
    <col min="9230" max="9472" width="8.88671875" style="37"/>
    <col min="9473" max="9473" width="7" style="37" bestFit="1" customWidth="1"/>
    <col min="9474" max="9474" width="40.5546875" style="37" bestFit="1" customWidth="1"/>
    <col min="9475" max="9477" width="13.6640625" style="37" bestFit="1" customWidth="1"/>
    <col min="9478" max="9478" width="0.5546875" style="37" customWidth="1"/>
    <col min="9479" max="9479" width="12.33203125" style="37" bestFit="1" customWidth="1"/>
    <col min="9480" max="9481" width="13.6640625" style="37" bestFit="1" customWidth="1"/>
    <col min="9482" max="9482" width="0.6640625" style="37" customWidth="1"/>
    <col min="9483" max="9484" width="12.33203125" style="37" bestFit="1" customWidth="1"/>
    <col min="9485" max="9485" width="13.6640625" style="37" bestFit="1" customWidth="1"/>
    <col min="9486" max="9728" width="8.88671875" style="37"/>
    <col min="9729" max="9729" width="7" style="37" bestFit="1" customWidth="1"/>
    <col min="9730" max="9730" width="40.5546875" style="37" bestFit="1" customWidth="1"/>
    <col min="9731" max="9733" width="13.6640625" style="37" bestFit="1" customWidth="1"/>
    <col min="9734" max="9734" width="0.5546875" style="37" customWidth="1"/>
    <col min="9735" max="9735" width="12.33203125" style="37" bestFit="1" customWidth="1"/>
    <col min="9736" max="9737" width="13.6640625" style="37" bestFit="1" customWidth="1"/>
    <col min="9738" max="9738" width="0.6640625" style="37" customWidth="1"/>
    <col min="9739" max="9740" width="12.33203125" style="37" bestFit="1" customWidth="1"/>
    <col min="9741" max="9741" width="13.6640625" style="37" bestFit="1" customWidth="1"/>
    <col min="9742" max="9984" width="8.88671875" style="37"/>
    <col min="9985" max="9985" width="7" style="37" bestFit="1" customWidth="1"/>
    <col min="9986" max="9986" width="40.5546875" style="37" bestFit="1" customWidth="1"/>
    <col min="9987" max="9989" width="13.6640625" style="37" bestFit="1" customWidth="1"/>
    <col min="9990" max="9990" width="0.5546875" style="37" customWidth="1"/>
    <col min="9991" max="9991" width="12.33203125" style="37" bestFit="1" customWidth="1"/>
    <col min="9992" max="9993" width="13.6640625" style="37" bestFit="1" customWidth="1"/>
    <col min="9994" max="9994" width="0.6640625" style="37" customWidth="1"/>
    <col min="9995" max="9996" width="12.33203125" style="37" bestFit="1" customWidth="1"/>
    <col min="9997" max="9997" width="13.6640625" style="37" bestFit="1" customWidth="1"/>
    <col min="9998" max="10240" width="8.88671875" style="37"/>
    <col min="10241" max="10241" width="7" style="37" bestFit="1" customWidth="1"/>
    <col min="10242" max="10242" width="40.5546875" style="37" bestFit="1" customWidth="1"/>
    <col min="10243" max="10245" width="13.6640625" style="37" bestFit="1" customWidth="1"/>
    <col min="10246" max="10246" width="0.5546875" style="37" customWidth="1"/>
    <col min="10247" max="10247" width="12.33203125" style="37" bestFit="1" customWidth="1"/>
    <col min="10248" max="10249" width="13.6640625" style="37" bestFit="1" customWidth="1"/>
    <col min="10250" max="10250" width="0.6640625" style="37" customWidth="1"/>
    <col min="10251" max="10252" width="12.33203125" style="37" bestFit="1" customWidth="1"/>
    <col min="10253" max="10253" width="13.6640625" style="37" bestFit="1" customWidth="1"/>
    <col min="10254" max="10496" width="8.88671875" style="37"/>
    <col min="10497" max="10497" width="7" style="37" bestFit="1" customWidth="1"/>
    <col min="10498" max="10498" width="40.5546875" style="37" bestFit="1" customWidth="1"/>
    <col min="10499" max="10501" width="13.6640625" style="37" bestFit="1" customWidth="1"/>
    <col min="10502" max="10502" width="0.5546875" style="37" customWidth="1"/>
    <col min="10503" max="10503" width="12.33203125" style="37" bestFit="1" customWidth="1"/>
    <col min="10504" max="10505" width="13.6640625" style="37" bestFit="1" customWidth="1"/>
    <col min="10506" max="10506" width="0.6640625" style="37" customWidth="1"/>
    <col min="10507" max="10508" width="12.33203125" style="37" bestFit="1" customWidth="1"/>
    <col min="10509" max="10509" width="13.6640625" style="37" bestFit="1" customWidth="1"/>
    <col min="10510" max="10752" width="8.88671875" style="37"/>
    <col min="10753" max="10753" width="7" style="37" bestFit="1" customWidth="1"/>
    <col min="10754" max="10754" width="40.5546875" style="37" bestFit="1" customWidth="1"/>
    <col min="10755" max="10757" width="13.6640625" style="37" bestFit="1" customWidth="1"/>
    <col min="10758" max="10758" width="0.5546875" style="37" customWidth="1"/>
    <col min="10759" max="10759" width="12.33203125" style="37" bestFit="1" customWidth="1"/>
    <col min="10760" max="10761" width="13.6640625" style="37" bestFit="1" customWidth="1"/>
    <col min="10762" max="10762" width="0.6640625" style="37" customWidth="1"/>
    <col min="10763" max="10764" width="12.33203125" style="37" bestFit="1" customWidth="1"/>
    <col min="10765" max="10765" width="13.6640625" style="37" bestFit="1" customWidth="1"/>
    <col min="10766" max="11008" width="8.88671875" style="37"/>
    <col min="11009" max="11009" width="7" style="37" bestFit="1" customWidth="1"/>
    <col min="11010" max="11010" width="40.5546875" style="37" bestFit="1" customWidth="1"/>
    <col min="11011" max="11013" width="13.6640625" style="37" bestFit="1" customWidth="1"/>
    <col min="11014" max="11014" width="0.5546875" style="37" customWidth="1"/>
    <col min="11015" max="11015" width="12.33203125" style="37" bestFit="1" customWidth="1"/>
    <col min="11016" max="11017" width="13.6640625" style="37" bestFit="1" customWidth="1"/>
    <col min="11018" max="11018" width="0.6640625" style="37" customWidth="1"/>
    <col min="11019" max="11020" width="12.33203125" style="37" bestFit="1" customWidth="1"/>
    <col min="11021" max="11021" width="13.6640625" style="37" bestFit="1" customWidth="1"/>
    <col min="11022" max="11264" width="8.88671875" style="37"/>
    <col min="11265" max="11265" width="7" style="37" bestFit="1" customWidth="1"/>
    <col min="11266" max="11266" width="40.5546875" style="37" bestFit="1" customWidth="1"/>
    <col min="11267" max="11269" width="13.6640625" style="37" bestFit="1" customWidth="1"/>
    <col min="11270" max="11270" width="0.5546875" style="37" customWidth="1"/>
    <col min="11271" max="11271" width="12.33203125" style="37" bestFit="1" customWidth="1"/>
    <col min="11272" max="11273" width="13.6640625" style="37" bestFit="1" customWidth="1"/>
    <col min="11274" max="11274" width="0.6640625" style="37" customWidth="1"/>
    <col min="11275" max="11276" width="12.33203125" style="37" bestFit="1" customWidth="1"/>
    <col min="11277" max="11277" width="13.6640625" style="37" bestFit="1" customWidth="1"/>
    <col min="11278" max="11520" width="8.88671875" style="37"/>
    <col min="11521" max="11521" width="7" style="37" bestFit="1" customWidth="1"/>
    <col min="11522" max="11522" width="40.5546875" style="37" bestFit="1" customWidth="1"/>
    <col min="11523" max="11525" width="13.6640625" style="37" bestFit="1" customWidth="1"/>
    <col min="11526" max="11526" width="0.5546875" style="37" customWidth="1"/>
    <col min="11527" max="11527" width="12.33203125" style="37" bestFit="1" customWidth="1"/>
    <col min="11528" max="11529" width="13.6640625" style="37" bestFit="1" customWidth="1"/>
    <col min="11530" max="11530" width="0.6640625" style="37" customWidth="1"/>
    <col min="11531" max="11532" width="12.33203125" style="37" bestFit="1" customWidth="1"/>
    <col min="11533" max="11533" width="13.6640625" style="37" bestFit="1" customWidth="1"/>
    <col min="11534" max="11776" width="8.88671875" style="37"/>
    <col min="11777" max="11777" width="7" style="37" bestFit="1" customWidth="1"/>
    <col min="11778" max="11778" width="40.5546875" style="37" bestFit="1" customWidth="1"/>
    <col min="11779" max="11781" width="13.6640625" style="37" bestFit="1" customWidth="1"/>
    <col min="11782" max="11782" width="0.5546875" style="37" customWidth="1"/>
    <col min="11783" max="11783" width="12.33203125" style="37" bestFit="1" customWidth="1"/>
    <col min="11784" max="11785" width="13.6640625" style="37" bestFit="1" customWidth="1"/>
    <col min="11786" max="11786" width="0.6640625" style="37" customWidth="1"/>
    <col min="11787" max="11788" width="12.33203125" style="37" bestFit="1" customWidth="1"/>
    <col min="11789" max="11789" width="13.6640625" style="37" bestFit="1" customWidth="1"/>
    <col min="11790" max="12032" width="8.88671875" style="37"/>
    <col min="12033" max="12033" width="7" style="37" bestFit="1" customWidth="1"/>
    <col min="12034" max="12034" width="40.5546875" style="37" bestFit="1" customWidth="1"/>
    <col min="12035" max="12037" width="13.6640625" style="37" bestFit="1" customWidth="1"/>
    <col min="12038" max="12038" width="0.5546875" style="37" customWidth="1"/>
    <col min="12039" max="12039" width="12.33203125" style="37" bestFit="1" customWidth="1"/>
    <col min="12040" max="12041" width="13.6640625" style="37" bestFit="1" customWidth="1"/>
    <col min="12042" max="12042" width="0.6640625" style="37" customWidth="1"/>
    <col min="12043" max="12044" width="12.33203125" style="37" bestFit="1" customWidth="1"/>
    <col min="12045" max="12045" width="13.6640625" style="37" bestFit="1" customWidth="1"/>
    <col min="12046" max="12288" width="8.88671875" style="37"/>
    <col min="12289" max="12289" width="7" style="37" bestFit="1" customWidth="1"/>
    <col min="12290" max="12290" width="40.5546875" style="37" bestFit="1" customWidth="1"/>
    <col min="12291" max="12293" width="13.6640625" style="37" bestFit="1" customWidth="1"/>
    <col min="12294" max="12294" width="0.5546875" style="37" customWidth="1"/>
    <col min="12295" max="12295" width="12.33203125" style="37" bestFit="1" customWidth="1"/>
    <col min="12296" max="12297" width="13.6640625" style="37" bestFit="1" customWidth="1"/>
    <col min="12298" max="12298" width="0.6640625" style="37" customWidth="1"/>
    <col min="12299" max="12300" width="12.33203125" style="37" bestFit="1" customWidth="1"/>
    <col min="12301" max="12301" width="13.6640625" style="37" bestFit="1" customWidth="1"/>
    <col min="12302" max="12544" width="8.88671875" style="37"/>
    <col min="12545" max="12545" width="7" style="37" bestFit="1" customWidth="1"/>
    <col min="12546" max="12546" width="40.5546875" style="37" bestFit="1" customWidth="1"/>
    <col min="12547" max="12549" width="13.6640625" style="37" bestFit="1" customWidth="1"/>
    <col min="12550" max="12550" width="0.5546875" style="37" customWidth="1"/>
    <col min="12551" max="12551" width="12.33203125" style="37" bestFit="1" customWidth="1"/>
    <col min="12552" max="12553" width="13.6640625" style="37" bestFit="1" customWidth="1"/>
    <col min="12554" max="12554" width="0.6640625" style="37" customWidth="1"/>
    <col min="12555" max="12556" width="12.33203125" style="37" bestFit="1" customWidth="1"/>
    <col min="12557" max="12557" width="13.6640625" style="37" bestFit="1" customWidth="1"/>
    <col min="12558" max="12800" width="8.88671875" style="37"/>
    <col min="12801" max="12801" width="7" style="37" bestFit="1" customWidth="1"/>
    <col min="12802" max="12802" width="40.5546875" style="37" bestFit="1" customWidth="1"/>
    <col min="12803" max="12805" width="13.6640625" style="37" bestFit="1" customWidth="1"/>
    <col min="12806" max="12806" width="0.5546875" style="37" customWidth="1"/>
    <col min="12807" max="12807" width="12.33203125" style="37" bestFit="1" customWidth="1"/>
    <col min="12808" max="12809" width="13.6640625" style="37" bestFit="1" customWidth="1"/>
    <col min="12810" max="12810" width="0.6640625" style="37" customWidth="1"/>
    <col min="12811" max="12812" width="12.33203125" style="37" bestFit="1" customWidth="1"/>
    <col min="12813" max="12813" width="13.6640625" style="37" bestFit="1" customWidth="1"/>
    <col min="12814" max="13056" width="8.88671875" style="37"/>
    <col min="13057" max="13057" width="7" style="37" bestFit="1" customWidth="1"/>
    <col min="13058" max="13058" width="40.5546875" style="37" bestFit="1" customWidth="1"/>
    <col min="13059" max="13061" width="13.6640625" style="37" bestFit="1" customWidth="1"/>
    <col min="13062" max="13062" width="0.5546875" style="37" customWidth="1"/>
    <col min="13063" max="13063" width="12.33203125" style="37" bestFit="1" customWidth="1"/>
    <col min="13064" max="13065" width="13.6640625" style="37" bestFit="1" customWidth="1"/>
    <col min="13066" max="13066" width="0.6640625" style="37" customWidth="1"/>
    <col min="13067" max="13068" width="12.33203125" style="37" bestFit="1" customWidth="1"/>
    <col min="13069" max="13069" width="13.6640625" style="37" bestFit="1" customWidth="1"/>
    <col min="13070" max="13312" width="8.88671875" style="37"/>
    <col min="13313" max="13313" width="7" style="37" bestFit="1" customWidth="1"/>
    <col min="13314" max="13314" width="40.5546875" style="37" bestFit="1" customWidth="1"/>
    <col min="13315" max="13317" width="13.6640625" style="37" bestFit="1" customWidth="1"/>
    <col min="13318" max="13318" width="0.5546875" style="37" customWidth="1"/>
    <col min="13319" max="13319" width="12.33203125" style="37" bestFit="1" customWidth="1"/>
    <col min="13320" max="13321" width="13.6640625" style="37" bestFit="1" customWidth="1"/>
    <col min="13322" max="13322" width="0.6640625" style="37" customWidth="1"/>
    <col min="13323" max="13324" width="12.33203125" style="37" bestFit="1" customWidth="1"/>
    <col min="13325" max="13325" width="13.6640625" style="37" bestFit="1" customWidth="1"/>
    <col min="13326" max="13568" width="8.88671875" style="37"/>
    <col min="13569" max="13569" width="7" style="37" bestFit="1" customWidth="1"/>
    <col min="13570" max="13570" width="40.5546875" style="37" bestFit="1" customWidth="1"/>
    <col min="13571" max="13573" width="13.6640625" style="37" bestFit="1" customWidth="1"/>
    <col min="13574" max="13574" width="0.5546875" style="37" customWidth="1"/>
    <col min="13575" max="13575" width="12.33203125" style="37" bestFit="1" customWidth="1"/>
    <col min="13576" max="13577" width="13.6640625" style="37" bestFit="1" customWidth="1"/>
    <col min="13578" max="13578" width="0.6640625" style="37" customWidth="1"/>
    <col min="13579" max="13580" width="12.33203125" style="37" bestFit="1" customWidth="1"/>
    <col min="13581" max="13581" width="13.6640625" style="37" bestFit="1" customWidth="1"/>
    <col min="13582" max="13824" width="8.88671875" style="37"/>
    <col min="13825" max="13825" width="7" style="37" bestFit="1" customWidth="1"/>
    <col min="13826" max="13826" width="40.5546875" style="37" bestFit="1" customWidth="1"/>
    <col min="13827" max="13829" width="13.6640625" style="37" bestFit="1" customWidth="1"/>
    <col min="13830" max="13830" width="0.5546875" style="37" customWidth="1"/>
    <col min="13831" max="13831" width="12.33203125" style="37" bestFit="1" customWidth="1"/>
    <col min="13832" max="13833" width="13.6640625" style="37" bestFit="1" customWidth="1"/>
    <col min="13834" max="13834" width="0.6640625" style="37" customWidth="1"/>
    <col min="13835" max="13836" width="12.33203125" style="37" bestFit="1" customWidth="1"/>
    <col min="13837" max="13837" width="13.6640625" style="37" bestFit="1" customWidth="1"/>
    <col min="13838" max="14080" width="8.88671875" style="37"/>
    <col min="14081" max="14081" width="7" style="37" bestFit="1" customWidth="1"/>
    <col min="14082" max="14082" width="40.5546875" style="37" bestFit="1" customWidth="1"/>
    <col min="14083" max="14085" width="13.6640625" style="37" bestFit="1" customWidth="1"/>
    <col min="14086" max="14086" width="0.5546875" style="37" customWidth="1"/>
    <col min="14087" max="14087" width="12.33203125" style="37" bestFit="1" customWidth="1"/>
    <col min="14088" max="14089" width="13.6640625" style="37" bestFit="1" customWidth="1"/>
    <col min="14090" max="14090" width="0.6640625" style="37" customWidth="1"/>
    <col min="14091" max="14092" width="12.33203125" style="37" bestFit="1" customWidth="1"/>
    <col min="14093" max="14093" width="13.6640625" style="37" bestFit="1" customWidth="1"/>
    <col min="14094" max="14336" width="8.88671875" style="37"/>
    <col min="14337" max="14337" width="7" style="37" bestFit="1" customWidth="1"/>
    <col min="14338" max="14338" width="40.5546875" style="37" bestFit="1" customWidth="1"/>
    <col min="14339" max="14341" width="13.6640625" style="37" bestFit="1" customWidth="1"/>
    <col min="14342" max="14342" width="0.5546875" style="37" customWidth="1"/>
    <col min="14343" max="14343" width="12.33203125" style="37" bestFit="1" customWidth="1"/>
    <col min="14344" max="14345" width="13.6640625" style="37" bestFit="1" customWidth="1"/>
    <col min="14346" max="14346" width="0.6640625" style="37" customWidth="1"/>
    <col min="14347" max="14348" width="12.33203125" style="37" bestFit="1" customWidth="1"/>
    <col min="14349" max="14349" width="13.6640625" style="37" bestFit="1" customWidth="1"/>
    <col min="14350" max="14592" width="8.88671875" style="37"/>
    <col min="14593" max="14593" width="7" style="37" bestFit="1" customWidth="1"/>
    <col min="14594" max="14594" width="40.5546875" style="37" bestFit="1" customWidth="1"/>
    <col min="14595" max="14597" width="13.6640625" style="37" bestFit="1" customWidth="1"/>
    <col min="14598" max="14598" width="0.5546875" style="37" customWidth="1"/>
    <col min="14599" max="14599" width="12.33203125" style="37" bestFit="1" customWidth="1"/>
    <col min="14600" max="14601" width="13.6640625" style="37" bestFit="1" customWidth="1"/>
    <col min="14602" max="14602" width="0.6640625" style="37" customWidth="1"/>
    <col min="14603" max="14604" width="12.33203125" style="37" bestFit="1" customWidth="1"/>
    <col min="14605" max="14605" width="13.6640625" style="37" bestFit="1" customWidth="1"/>
    <col min="14606" max="14848" width="8.88671875" style="37"/>
    <col min="14849" max="14849" width="7" style="37" bestFit="1" customWidth="1"/>
    <col min="14850" max="14850" width="40.5546875" style="37" bestFit="1" customWidth="1"/>
    <col min="14851" max="14853" width="13.6640625" style="37" bestFit="1" customWidth="1"/>
    <col min="14854" max="14854" width="0.5546875" style="37" customWidth="1"/>
    <col min="14855" max="14855" width="12.33203125" style="37" bestFit="1" customWidth="1"/>
    <col min="14856" max="14857" width="13.6640625" style="37" bestFit="1" customWidth="1"/>
    <col min="14858" max="14858" width="0.6640625" style="37" customWidth="1"/>
    <col min="14859" max="14860" width="12.33203125" style="37" bestFit="1" customWidth="1"/>
    <col min="14861" max="14861" width="13.6640625" style="37" bestFit="1" customWidth="1"/>
    <col min="14862" max="15104" width="8.88671875" style="37"/>
    <col min="15105" max="15105" width="7" style="37" bestFit="1" customWidth="1"/>
    <col min="15106" max="15106" width="40.5546875" style="37" bestFit="1" customWidth="1"/>
    <col min="15107" max="15109" width="13.6640625" style="37" bestFit="1" customWidth="1"/>
    <col min="15110" max="15110" width="0.5546875" style="37" customWidth="1"/>
    <col min="15111" max="15111" width="12.33203125" style="37" bestFit="1" customWidth="1"/>
    <col min="15112" max="15113" width="13.6640625" style="37" bestFit="1" customWidth="1"/>
    <col min="15114" max="15114" width="0.6640625" style="37" customWidth="1"/>
    <col min="15115" max="15116" width="12.33203125" style="37" bestFit="1" customWidth="1"/>
    <col min="15117" max="15117" width="13.6640625" style="37" bestFit="1" customWidth="1"/>
    <col min="15118" max="15360" width="8.88671875" style="37"/>
    <col min="15361" max="15361" width="7" style="37" bestFit="1" customWidth="1"/>
    <col min="15362" max="15362" width="40.5546875" style="37" bestFit="1" customWidth="1"/>
    <col min="15363" max="15365" width="13.6640625" style="37" bestFit="1" customWidth="1"/>
    <col min="15366" max="15366" width="0.5546875" style="37" customWidth="1"/>
    <col min="15367" max="15367" width="12.33203125" style="37" bestFit="1" customWidth="1"/>
    <col min="15368" max="15369" width="13.6640625" style="37" bestFit="1" customWidth="1"/>
    <col min="15370" max="15370" width="0.6640625" style="37" customWidth="1"/>
    <col min="15371" max="15372" width="12.33203125" style="37" bestFit="1" customWidth="1"/>
    <col min="15373" max="15373" width="13.6640625" style="37" bestFit="1" customWidth="1"/>
    <col min="15374" max="15616" width="8.88671875" style="37"/>
    <col min="15617" max="15617" width="7" style="37" bestFit="1" customWidth="1"/>
    <col min="15618" max="15618" width="40.5546875" style="37" bestFit="1" customWidth="1"/>
    <col min="15619" max="15621" width="13.6640625" style="37" bestFit="1" customWidth="1"/>
    <col min="15622" max="15622" width="0.5546875" style="37" customWidth="1"/>
    <col min="15623" max="15623" width="12.33203125" style="37" bestFit="1" customWidth="1"/>
    <col min="15624" max="15625" width="13.6640625" style="37" bestFit="1" customWidth="1"/>
    <col min="15626" max="15626" width="0.6640625" style="37" customWidth="1"/>
    <col min="15627" max="15628" width="12.33203125" style="37" bestFit="1" customWidth="1"/>
    <col min="15629" max="15629" width="13.6640625" style="37" bestFit="1" customWidth="1"/>
    <col min="15630" max="15872" width="8.88671875" style="37"/>
    <col min="15873" max="15873" width="7" style="37" bestFit="1" customWidth="1"/>
    <col min="15874" max="15874" width="40.5546875" style="37" bestFit="1" customWidth="1"/>
    <col min="15875" max="15877" width="13.6640625" style="37" bestFit="1" customWidth="1"/>
    <col min="15878" max="15878" width="0.5546875" style="37" customWidth="1"/>
    <col min="15879" max="15879" width="12.33203125" style="37" bestFit="1" customWidth="1"/>
    <col min="15880" max="15881" width="13.6640625" style="37" bestFit="1" customWidth="1"/>
    <col min="15882" max="15882" width="0.6640625" style="37" customWidth="1"/>
    <col min="15883" max="15884" width="12.33203125" style="37" bestFit="1" customWidth="1"/>
    <col min="15885" max="15885" width="13.6640625" style="37" bestFit="1" customWidth="1"/>
    <col min="15886" max="16128" width="8.88671875" style="37"/>
    <col min="16129" max="16129" width="7" style="37" bestFit="1" customWidth="1"/>
    <col min="16130" max="16130" width="40.5546875" style="37" bestFit="1" customWidth="1"/>
    <col min="16131" max="16133" width="13.6640625" style="37" bestFit="1" customWidth="1"/>
    <col min="16134" max="16134" width="0.5546875" style="37" customWidth="1"/>
    <col min="16135" max="16135" width="12.33203125" style="37" bestFit="1" customWidth="1"/>
    <col min="16136" max="16137" width="13.6640625" style="37" bestFit="1" customWidth="1"/>
    <col min="16138" max="16138" width="0.6640625" style="37" customWidth="1"/>
    <col min="16139" max="16140" width="12.33203125" style="37" bestFit="1" customWidth="1"/>
    <col min="16141" max="16141" width="13.6640625" style="37" bestFit="1" customWidth="1"/>
    <col min="16142" max="16384" width="8.88671875" style="37"/>
  </cols>
  <sheetData>
    <row r="1" spans="1:13" ht="13.8" thickBot="1"/>
    <row r="2" spans="1:13" ht="13.8" thickBot="1">
      <c r="C2" s="121" t="s">
        <v>4</v>
      </c>
      <c r="D2" s="122"/>
      <c r="E2" s="123"/>
      <c r="G2" s="121" t="s">
        <v>84</v>
      </c>
      <c r="H2" s="122"/>
      <c r="I2" s="123"/>
      <c r="K2" s="121" t="s">
        <v>85</v>
      </c>
      <c r="L2" s="122"/>
      <c r="M2" s="123"/>
    </row>
    <row r="3" spans="1:13">
      <c r="A3" s="37" t="s">
        <v>94</v>
      </c>
      <c r="C3" s="75" t="s">
        <v>33</v>
      </c>
      <c r="D3" s="75" t="s">
        <v>95</v>
      </c>
      <c r="E3" s="75" t="s">
        <v>65</v>
      </c>
      <c r="F3" s="75"/>
      <c r="G3" s="75" t="s">
        <v>33</v>
      </c>
      <c r="H3" s="75" t="s">
        <v>95</v>
      </c>
      <c r="I3" s="75" t="s">
        <v>65</v>
      </c>
      <c r="J3" s="75"/>
      <c r="K3" s="75" t="s">
        <v>33</v>
      </c>
      <c r="L3" s="75" t="s">
        <v>95</v>
      </c>
      <c r="M3" s="75" t="s">
        <v>65</v>
      </c>
    </row>
    <row r="4" spans="1:13">
      <c r="A4" s="76">
        <v>182324</v>
      </c>
      <c r="B4" s="77" t="s">
        <v>96</v>
      </c>
      <c r="C4" s="78">
        <f>SUM(G4,K4)</f>
        <v>0</v>
      </c>
      <c r="D4" s="78">
        <f>SUM(H4,L4)</f>
        <v>8050000</v>
      </c>
      <c r="E4" s="78">
        <f>SUM(C4:D4)</f>
        <v>8050000</v>
      </c>
      <c r="F4" s="78"/>
      <c r="G4" s="79">
        <v>0</v>
      </c>
      <c r="H4" s="79">
        <v>5284020</v>
      </c>
      <c r="I4" s="78">
        <f>SUM(G4:H4)</f>
        <v>5284020</v>
      </c>
      <c r="J4" s="78"/>
      <c r="K4" s="79">
        <v>0</v>
      </c>
      <c r="L4" s="79">
        <v>2765980</v>
      </c>
      <c r="M4" s="78">
        <f>SUM(K4:L4)</f>
        <v>2765980</v>
      </c>
    </row>
    <row r="5" spans="1:13">
      <c r="A5" s="76">
        <v>182325</v>
      </c>
      <c r="B5" s="77" t="s">
        <v>22</v>
      </c>
      <c r="C5" s="78">
        <f t="shared" ref="C5:D11" si="0">SUM(G5,K5)</f>
        <v>0</v>
      </c>
      <c r="D5" s="78">
        <f t="shared" si="0"/>
        <v>2000000</v>
      </c>
      <c r="E5" s="78">
        <f t="shared" ref="E5:E11" si="1">SUM(C5:D5)</f>
        <v>2000000</v>
      </c>
      <c r="F5" s="78"/>
      <c r="G5" s="79">
        <v>0</v>
      </c>
      <c r="H5" s="79">
        <v>1312800</v>
      </c>
      <c r="I5" s="78">
        <f t="shared" ref="I5:I12" si="2">SUM(G5:H5)</f>
        <v>1312800</v>
      </c>
      <c r="J5" s="78"/>
      <c r="K5" s="79">
        <v>0</v>
      </c>
      <c r="L5" s="79">
        <v>687200</v>
      </c>
      <c r="M5" s="78">
        <f t="shared" ref="M5:M12" si="3">SUM(K5:L5)</f>
        <v>687200</v>
      </c>
    </row>
    <row r="6" spans="1:13">
      <c r="A6" s="76">
        <v>182333</v>
      </c>
      <c r="B6" s="77" t="s">
        <v>97</v>
      </c>
      <c r="C6" s="78">
        <f t="shared" si="0"/>
        <v>0</v>
      </c>
      <c r="D6" s="78">
        <f t="shared" si="0"/>
        <v>1130184</v>
      </c>
      <c r="E6" s="78">
        <f t="shared" si="1"/>
        <v>1130184</v>
      </c>
      <c r="F6" s="78"/>
      <c r="G6" s="79">
        <v>0</v>
      </c>
      <c r="H6" s="79">
        <v>741853</v>
      </c>
      <c r="I6" s="78">
        <f t="shared" si="2"/>
        <v>741853</v>
      </c>
      <c r="J6" s="78"/>
      <c r="K6" s="79">
        <v>0</v>
      </c>
      <c r="L6" s="79">
        <v>388331</v>
      </c>
      <c r="M6" s="78">
        <f t="shared" si="3"/>
        <v>388331</v>
      </c>
    </row>
    <row r="7" spans="1:13">
      <c r="A7" s="76">
        <v>182381</v>
      </c>
      <c r="B7" s="77" t="s">
        <v>98</v>
      </c>
      <c r="C7" s="78">
        <f t="shared" si="0"/>
        <v>0</v>
      </c>
      <c r="D7" s="78">
        <f t="shared" si="0"/>
        <v>30537791</v>
      </c>
      <c r="E7" s="78">
        <f t="shared" si="1"/>
        <v>30537791</v>
      </c>
      <c r="F7" s="78"/>
      <c r="G7" s="79">
        <v>0</v>
      </c>
      <c r="H7" s="79">
        <v>20045006</v>
      </c>
      <c r="I7" s="78">
        <f t="shared" si="2"/>
        <v>20045006</v>
      </c>
      <c r="J7" s="78"/>
      <c r="K7" s="79">
        <v>0</v>
      </c>
      <c r="L7" s="79">
        <v>10492785</v>
      </c>
      <c r="M7" s="78">
        <f t="shared" si="3"/>
        <v>10492785</v>
      </c>
    </row>
    <row r="8" spans="1:13">
      <c r="A8" s="80">
        <v>302000</v>
      </c>
      <c r="B8" s="81" t="s">
        <v>99</v>
      </c>
      <c r="C8" s="78">
        <f t="shared" si="0"/>
        <v>591118</v>
      </c>
      <c r="D8" s="78">
        <f t="shared" si="0"/>
        <v>44049218</v>
      </c>
      <c r="E8" s="78">
        <f t="shared" si="1"/>
        <v>44640336</v>
      </c>
      <c r="F8" s="78"/>
      <c r="G8" s="79">
        <v>591118</v>
      </c>
      <c r="H8" s="79">
        <v>28913907</v>
      </c>
      <c r="I8" s="78">
        <f t="shared" si="2"/>
        <v>29505025</v>
      </c>
      <c r="J8" s="78"/>
      <c r="K8" s="79">
        <v>0</v>
      </c>
      <c r="L8" s="79">
        <v>15135311</v>
      </c>
      <c r="M8" s="78">
        <f t="shared" si="3"/>
        <v>15135311</v>
      </c>
    </row>
    <row r="9" spans="1:13">
      <c r="A9" s="80">
        <v>303000</v>
      </c>
      <c r="B9" s="77" t="s">
        <v>100</v>
      </c>
      <c r="C9" s="78">
        <f t="shared" si="0"/>
        <v>479443</v>
      </c>
      <c r="D9" s="78">
        <f t="shared" si="0"/>
        <v>17608859</v>
      </c>
      <c r="E9" s="78">
        <f t="shared" si="1"/>
        <v>18088302</v>
      </c>
      <c r="F9" s="78"/>
      <c r="G9" s="79">
        <v>479443</v>
      </c>
      <c r="H9" s="79">
        <v>11805501</v>
      </c>
      <c r="I9" s="78">
        <f t="shared" si="2"/>
        <v>12284944</v>
      </c>
      <c r="J9" s="78"/>
      <c r="K9" s="79">
        <v>0</v>
      </c>
      <c r="L9" s="79">
        <v>5803358</v>
      </c>
      <c r="M9" s="78">
        <f t="shared" si="3"/>
        <v>5803358</v>
      </c>
    </row>
    <row r="10" spans="1:13">
      <c r="A10" s="80">
        <v>303100</v>
      </c>
      <c r="B10" s="81" t="s">
        <v>101</v>
      </c>
      <c r="C10" s="78">
        <f t="shared" si="0"/>
        <v>1572839</v>
      </c>
      <c r="D10" s="78">
        <f t="shared" si="0"/>
        <v>87640652</v>
      </c>
      <c r="E10" s="78">
        <f t="shared" si="1"/>
        <v>89213491</v>
      </c>
      <c r="F10" s="78"/>
      <c r="G10" s="79">
        <v>1540186</v>
      </c>
      <c r="H10" s="79">
        <v>60637691</v>
      </c>
      <c r="I10" s="78">
        <f t="shared" si="2"/>
        <v>62177877</v>
      </c>
      <c r="J10" s="78"/>
      <c r="K10" s="79">
        <v>32653</v>
      </c>
      <c r="L10" s="79">
        <v>27002961</v>
      </c>
      <c r="M10" s="78">
        <f t="shared" si="3"/>
        <v>27035614</v>
      </c>
    </row>
    <row r="11" spans="1:13">
      <c r="A11" s="80">
        <v>303110</v>
      </c>
      <c r="B11" s="81" t="s">
        <v>102</v>
      </c>
      <c r="C11" s="78">
        <f t="shared" si="0"/>
        <v>0</v>
      </c>
      <c r="D11" s="78">
        <f t="shared" si="0"/>
        <v>319253</v>
      </c>
      <c r="E11" s="78">
        <f t="shared" si="1"/>
        <v>319253</v>
      </c>
      <c r="F11" s="78"/>
      <c r="G11" s="79">
        <v>0</v>
      </c>
      <c r="H11" s="79">
        <v>220888</v>
      </c>
      <c r="I11" s="78">
        <f t="shared" si="2"/>
        <v>220888</v>
      </c>
      <c r="J11" s="78"/>
      <c r="K11" s="79">
        <v>0</v>
      </c>
      <c r="L11" s="79">
        <v>98365</v>
      </c>
      <c r="M11" s="78">
        <f t="shared" si="3"/>
        <v>98365</v>
      </c>
    </row>
    <row r="12" spans="1:13">
      <c r="A12" s="80" t="s">
        <v>122</v>
      </c>
      <c r="B12" s="81" t="s">
        <v>102</v>
      </c>
      <c r="C12" s="78">
        <f t="shared" ref="C12" si="4">SUM(G12,K12)</f>
        <v>14412224</v>
      </c>
      <c r="D12" s="78">
        <f t="shared" ref="D12" si="5">SUM(H12,L12)</f>
        <v>94018777</v>
      </c>
      <c r="E12" s="78">
        <f t="shared" ref="E12" si="6">SUM(C12:D12)</f>
        <v>108431001</v>
      </c>
      <c r="F12" s="78"/>
      <c r="G12" s="79">
        <v>14412224</v>
      </c>
      <c r="H12" s="79">
        <f>49238107+14784796+1027749</f>
        <v>65050652</v>
      </c>
      <c r="I12" s="78">
        <f t="shared" si="2"/>
        <v>79462876</v>
      </c>
      <c r="J12" s="78"/>
      <c r="K12" s="79"/>
      <c r="L12" s="79">
        <f>21926539+6583913+457673</f>
        <v>28968125</v>
      </c>
      <c r="M12" s="78">
        <f t="shared" si="3"/>
        <v>28968125</v>
      </c>
    </row>
    <row r="13" spans="1:13">
      <c r="A13" s="82"/>
      <c r="B13" s="81" t="s">
        <v>103</v>
      </c>
      <c r="C13" s="83">
        <f>SUM(C4:C12)</f>
        <v>17055624</v>
      </c>
      <c r="D13" s="83">
        <f t="shared" ref="D13" si="7">SUM(D4:D12)</f>
        <v>285354734</v>
      </c>
      <c r="E13" s="83">
        <f t="shared" ref="E13" si="8">SUM(E4:E12)</f>
        <v>302410358</v>
      </c>
      <c r="F13" s="78"/>
      <c r="G13" s="83">
        <f>SUM(G4:G12)</f>
        <v>17022971</v>
      </c>
      <c r="H13" s="83">
        <f t="shared" ref="H13:I13" si="9">SUM(H4:H12)</f>
        <v>194012318</v>
      </c>
      <c r="I13" s="83">
        <f t="shared" si="9"/>
        <v>211035289</v>
      </c>
      <c r="J13" s="78"/>
      <c r="K13" s="83">
        <f>SUM(K4:K12)</f>
        <v>32653</v>
      </c>
      <c r="L13" s="83">
        <f t="shared" ref="L13" si="10">SUM(L4:L12)</f>
        <v>91342416</v>
      </c>
      <c r="M13" s="83">
        <f t="shared" ref="M13" si="11">SUM(M4:M12)</f>
        <v>91375069</v>
      </c>
    </row>
    <row r="14" spans="1:13"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</row>
    <row r="15" spans="1:13">
      <c r="B15" s="37" t="s">
        <v>11</v>
      </c>
      <c r="C15" s="78">
        <f t="shared" ref="C15:D18" si="12">SUM(G15,K15)</f>
        <v>0</v>
      </c>
      <c r="D15" s="78">
        <f t="shared" si="12"/>
        <v>1418084853</v>
      </c>
      <c r="E15" s="78">
        <f>SUM(C15:D15)</f>
        <v>1418084853</v>
      </c>
      <c r="F15" s="78"/>
      <c r="G15" s="79">
        <v>0</v>
      </c>
      <c r="H15" s="79">
        <v>930160150</v>
      </c>
      <c r="I15" s="78">
        <f>SUM(G15:H15)</f>
        <v>930160150</v>
      </c>
      <c r="J15" s="78"/>
      <c r="K15" s="79"/>
      <c r="L15" s="79">
        <v>487924703</v>
      </c>
      <c r="M15" s="78">
        <f>SUM(K15:L15)</f>
        <v>487924703</v>
      </c>
    </row>
    <row r="16" spans="1:13">
      <c r="B16" s="37" t="s">
        <v>12</v>
      </c>
      <c r="C16" s="78">
        <f t="shared" si="12"/>
        <v>0</v>
      </c>
      <c r="D16" s="78">
        <f t="shared" si="12"/>
        <v>776937563</v>
      </c>
      <c r="E16" s="78">
        <f>SUM(C16:D16)</f>
        <v>776937563</v>
      </c>
      <c r="F16" s="78"/>
      <c r="G16" s="79">
        <v>0</v>
      </c>
      <c r="H16" s="79">
        <v>509896912</v>
      </c>
      <c r="I16" s="78">
        <f>SUM(G16:H16)</f>
        <v>509896912</v>
      </c>
      <c r="J16" s="78"/>
      <c r="K16" s="79"/>
      <c r="L16" s="79">
        <v>267040651</v>
      </c>
      <c r="M16" s="78">
        <f>SUM(K16:L16)</f>
        <v>267040651</v>
      </c>
    </row>
    <row r="17" spans="1:13">
      <c r="B17" s="37" t="s">
        <v>13</v>
      </c>
      <c r="C17" s="78">
        <f t="shared" si="12"/>
        <v>1800328498</v>
      </c>
      <c r="D17" s="78">
        <f t="shared" si="12"/>
        <v>3048699</v>
      </c>
      <c r="E17" s="78">
        <f>SUM(C17:D17)</f>
        <v>1803377197</v>
      </c>
      <c r="F17" s="78"/>
      <c r="G17" s="79">
        <v>1192361165</v>
      </c>
      <c r="H17" s="79">
        <v>2115248</v>
      </c>
      <c r="I17" s="78">
        <f>SUM(G17:H17)</f>
        <v>1194476413</v>
      </c>
      <c r="J17" s="78"/>
      <c r="K17" s="79">
        <v>607967333</v>
      </c>
      <c r="L17" s="79">
        <v>933451</v>
      </c>
      <c r="M17" s="78">
        <f>SUM(K17:L17)</f>
        <v>608900784</v>
      </c>
    </row>
    <row r="18" spans="1:13">
      <c r="B18" s="37" t="s">
        <v>104</v>
      </c>
      <c r="C18" s="78">
        <f t="shared" si="12"/>
        <v>113825188</v>
      </c>
      <c r="D18" s="78">
        <f t="shared" si="12"/>
        <v>297489697</v>
      </c>
      <c r="E18" s="78">
        <f>SUM(C18:D18)</f>
        <v>411314885</v>
      </c>
      <c r="F18" s="78"/>
      <c r="G18" s="79">
        <v>73726103</v>
      </c>
      <c r="H18" s="79">
        <v>205830146</v>
      </c>
      <c r="I18" s="78">
        <f>SUM(G18:H18)</f>
        <v>279556249</v>
      </c>
      <c r="J18" s="78"/>
      <c r="K18" s="79">
        <v>40099085</v>
      </c>
      <c r="L18" s="79">
        <v>91659551</v>
      </c>
      <c r="M18" s="78">
        <f>SUM(K18:L18)</f>
        <v>131758636</v>
      </c>
    </row>
    <row r="19" spans="1:13">
      <c r="C19" s="78"/>
      <c r="D19" s="78"/>
      <c r="E19" s="78"/>
      <c r="F19" s="78"/>
      <c r="G19" s="79"/>
      <c r="H19" s="79"/>
      <c r="I19" s="78"/>
      <c r="J19" s="78"/>
      <c r="K19" s="79"/>
      <c r="L19" s="79"/>
      <c r="M19" s="78">
        <f>SUM(K19:L19)</f>
        <v>0</v>
      </c>
    </row>
    <row r="20" spans="1:13" ht="13.8" thickBot="1">
      <c r="B20" s="37" t="s">
        <v>105</v>
      </c>
      <c r="C20" s="84">
        <f t="shared" ref="C20:I20" si="13">SUM(C13:C19)</f>
        <v>1931209310</v>
      </c>
      <c r="D20" s="84">
        <f t="shared" si="13"/>
        <v>2780915546</v>
      </c>
      <c r="E20" s="116">
        <f t="shared" si="13"/>
        <v>4712124856</v>
      </c>
      <c r="F20" s="78">
        <f t="shared" si="13"/>
        <v>0</v>
      </c>
      <c r="G20" s="84">
        <f t="shared" si="13"/>
        <v>1283110239</v>
      </c>
      <c r="H20" s="84">
        <f t="shared" si="13"/>
        <v>1842014774</v>
      </c>
      <c r="I20" s="84">
        <f t="shared" si="13"/>
        <v>3125125013</v>
      </c>
      <c r="J20" s="78"/>
      <c r="K20" s="84">
        <f>SUM(K13:K19)</f>
        <v>648099071</v>
      </c>
      <c r="L20" s="84">
        <f>SUM(L13:L19)</f>
        <v>938900772</v>
      </c>
      <c r="M20" s="84">
        <f>SUM(M13:M19)</f>
        <v>1586999843</v>
      </c>
    </row>
    <row r="21" spans="1:13"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</row>
    <row r="22" spans="1:13"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</row>
    <row r="23" spans="1:13"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</row>
    <row r="24" spans="1:13">
      <c r="A24" s="37" t="s">
        <v>106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</row>
    <row r="25" spans="1:13">
      <c r="A25" s="37">
        <v>303000</v>
      </c>
      <c r="B25" s="37" t="s">
        <v>17</v>
      </c>
      <c r="C25" s="78">
        <f t="shared" ref="C25:C31" si="14">SUM(G25,K25)</f>
        <v>0</v>
      </c>
      <c r="D25" s="79">
        <v>6961001</v>
      </c>
      <c r="E25" s="78">
        <f t="shared" ref="E25:E31" si="15">SUM(C25:D25)</f>
        <v>6961001</v>
      </c>
      <c r="F25" s="78"/>
      <c r="G25" s="79">
        <v>0</v>
      </c>
      <c r="H25" s="78">
        <f>D25*H37</f>
        <v>4816246.9818900004</v>
      </c>
      <c r="I25" s="78">
        <f t="shared" ref="I25:I31" si="16">SUM(G25:H25)</f>
        <v>4816246.9818900004</v>
      </c>
      <c r="J25" s="78"/>
      <c r="K25" s="79">
        <v>0</v>
      </c>
      <c r="L25" s="78">
        <f t="shared" ref="L25:L31" si="17">D25-H25</f>
        <v>2144754.0181099996</v>
      </c>
      <c r="M25" s="78">
        <f t="shared" ref="M25:M31" si="18">SUM(K25:L25)</f>
        <v>2144754.0181099996</v>
      </c>
    </row>
    <row r="26" spans="1:13">
      <c r="B26" s="37" t="s">
        <v>19</v>
      </c>
      <c r="C26" s="78">
        <f t="shared" si="14"/>
        <v>0</v>
      </c>
      <c r="D26" s="79">
        <v>151119</v>
      </c>
      <c r="E26" s="78">
        <f t="shared" si="15"/>
        <v>151119</v>
      </c>
      <c r="F26" s="78"/>
      <c r="G26" s="79">
        <v>0</v>
      </c>
      <c r="H26" s="78">
        <f>D26*H36</f>
        <v>99194.511599999998</v>
      </c>
      <c r="I26" s="78">
        <f t="shared" si="16"/>
        <v>99194.511599999998</v>
      </c>
      <c r="J26" s="78"/>
      <c r="K26" s="79">
        <v>0</v>
      </c>
      <c r="L26" s="78">
        <f t="shared" si="17"/>
        <v>51924.488400000002</v>
      </c>
      <c r="M26" s="78">
        <f t="shared" si="18"/>
        <v>51924.488400000002</v>
      </c>
    </row>
    <row r="27" spans="1:13">
      <c r="A27" s="37">
        <v>303100</v>
      </c>
      <c r="B27" s="37" t="s">
        <v>17</v>
      </c>
      <c r="C27" s="78">
        <f t="shared" si="14"/>
        <v>0</v>
      </c>
      <c r="D27" s="79">
        <v>73511605</v>
      </c>
      <c r="E27" s="78">
        <f t="shared" si="15"/>
        <v>73511605</v>
      </c>
      <c r="F27" s="78"/>
      <c r="G27" s="79">
        <v>0</v>
      </c>
      <c r="H27" s="78">
        <f>D27*H37</f>
        <v>50861944.383450001</v>
      </c>
      <c r="I27" s="78">
        <f t="shared" si="16"/>
        <v>50861944.383450001</v>
      </c>
      <c r="J27" s="78"/>
      <c r="K27" s="79">
        <v>0</v>
      </c>
      <c r="L27" s="78">
        <f t="shared" si="17"/>
        <v>22649660.616549999</v>
      </c>
      <c r="M27" s="78">
        <f t="shared" si="18"/>
        <v>22649660.616549999</v>
      </c>
    </row>
    <row r="28" spans="1:13">
      <c r="B28" s="37" t="s">
        <v>19</v>
      </c>
      <c r="C28" s="78">
        <f t="shared" si="14"/>
        <v>0</v>
      </c>
      <c r="D28" s="79">
        <v>315015</v>
      </c>
      <c r="E28" s="78">
        <f t="shared" si="15"/>
        <v>315015</v>
      </c>
      <c r="F28" s="78"/>
      <c r="G28" s="79">
        <v>0</v>
      </c>
      <c r="H28" s="78">
        <f>D28*H37</f>
        <v>217955.72834999999</v>
      </c>
      <c r="I28" s="78">
        <f t="shared" si="16"/>
        <v>217955.72834999999</v>
      </c>
      <c r="J28" s="78"/>
      <c r="K28" s="79">
        <v>0</v>
      </c>
      <c r="L28" s="78">
        <f t="shared" si="17"/>
        <v>97059.27165000001</v>
      </c>
      <c r="M28" s="78">
        <f t="shared" si="18"/>
        <v>97059.27165000001</v>
      </c>
    </row>
    <row r="29" spans="1:13">
      <c r="A29" s="37">
        <v>303110</v>
      </c>
      <c r="B29" s="37" t="s">
        <v>17</v>
      </c>
      <c r="C29" s="78">
        <f t="shared" si="14"/>
        <v>0</v>
      </c>
      <c r="D29" s="79">
        <v>319253</v>
      </c>
      <c r="E29" s="78">
        <f t="shared" si="15"/>
        <v>319253</v>
      </c>
      <c r="F29" s="78"/>
      <c r="G29" s="79">
        <v>0</v>
      </c>
      <c r="H29" s="78">
        <f>D29*H38</f>
        <v>220887.95817</v>
      </c>
      <c r="I29" s="78">
        <f t="shared" si="16"/>
        <v>220887.95817</v>
      </c>
      <c r="J29" s="78"/>
      <c r="K29" s="79">
        <v>0</v>
      </c>
      <c r="L29" s="78">
        <f t="shared" si="17"/>
        <v>98365.041830000002</v>
      </c>
      <c r="M29" s="78">
        <f t="shared" si="18"/>
        <v>98365.041830000002</v>
      </c>
    </row>
    <row r="30" spans="1:13">
      <c r="B30" s="37" t="s">
        <v>19</v>
      </c>
      <c r="C30" s="78">
        <f t="shared" ref="C30" si="19">SUM(G30,K30)</f>
        <v>0</v>
      </c>
      <c r="D30" s="79">
        <v>0</v>
      </c>
      <c r="E30" s="78">
        <f t="shared" ref="E30" si="20">SUM(C30:D30)</f>
        <v>0</v>
      </c>
      <c r="F30" s="78"/>
      <c r="G30" s="79">
        <v>0</v>
      </c>
      <c r="H30" s="78">
        <f>D30*H38</f>
        <v>0</v>
      </c>
      <c r="I30" s="78">
        <f t="shared" ref="I30" si="21">SUM(G30:H30)</f>
        <v>0</v>
      </c>
      <c r="J30" s="78"/>
      <c r="K30" s="79">
        <v>0</v>
      </c>
      <c r="L30" s="78">
        <f t="shared" ref="L30" si="22">D30-H30</f>
        <v>0</v>
      </c>
      <c r="M30" s="78">
        <f t="shared" ref="M30" si="23">SUM(K30:L30)</f>
        <v>0</v>
      </c>
    </row>
    <row r="31" spans="1:13">
      <c r="A31" s="37" t="s">
        <v>122</v>
      </c>
      <c r="B31" s="37" t="s">
        <v>17</v>
      </c>
      <c r="C31" s="78">
        <f t="shared" si="14"/>
        <v>0</v>
      </c>
      <c r="D31" s="79">
        <f>71164647+21368709+1485422</f>
        <v>94018778</v>
      </c>
      <c r="E31" s="78">
        <f t="shared" si="15"/>
        <v>94018778</v>
      </c>
      <c r="F31" s="78"/>
      <c r="G31" s="79">
        <v>0</v>
      </c>
      <c r="H31" s="78">
        <f>D31*H39</f>
        <v>65050652.310419999</v>
      </c>
      <c r="I31" s="78">
        <f t="shared" si="16"/>
        <v>65050652.310419999</v>
      </c>
      <c r="J31" s="78"/>
      <c r="K31" s="79">
        <v>0</v>
      </c>
      <c r="L31" s="78">
        <f t="shared" si="17"/>
        <v>28968125.689580001</v>
      </c>
      <c r="M31" s="78">
        <f t="shared" si="18"/>
        <v>28968125.689580001</v>
      </c>
    </row>
    <row r="32" spans="1:13" ht="13.8" thickBot="1">
      <c r="C32" s="84">
        <f>SUM(C25:C31)</f>
        <v>0</v>
      </c>
      <c r="D32" s="85">
        <f>SUM(D25:D31)</f>
        <v>175276771</v>
      </c>
      <c r="E32" s="116">
        <f>SUM(E25:E31)</f>
        <v>175276771</v>
      </c>
      <c r="F32" s="78"/>
      <c r="G32" s="84">
        <f>SUM(G25:G31)</f>
        <v>0</v>
      </c>
      <c r="H32" s="84">
        <f>SUM(H25:H31)</f>
        <v>121266881.87388</v>
      </c>
      <c r="I32" s="84">
        <f>SUM(I25:I31)</f>
        <v>121266881.87388</v>
      </c>
      <c r="J32" s="78"/>
      <c r="K32" s="84">
        <f>SUM(K25:K31)</f>
        <v>0</v>
      </c>
      <c r="L32" s="84">
        <f>SUM(L25:L31)</f>
        <v>54009889.126120001</v>
      </c>
      <c r="M32" s="84">
        <f>SUM(M25:M31)</f>
        <v>54009889.126120001</v>
      </c>
    </row>
    <row r="33" spans="1:13"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</row>
    <row r="34" spans="1:13"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</row>
    <row r="35" spans="1:13">
      <c r="A35" s="37" t="s">
        <v>107</v>
      </c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</row>
    <row r="36" spans="1:13">
      <c r="A36" s="37">
        <v>1</v>
      </c>
      <c r="B36" s="37">
        <v>303000</v>
      </c>
      <c r="C36" s="78"/>
      <c r="D36" s="78"/>
      <c r="E36" s="78"/>
      <c r="F36" s="78"/>
      <c r="G36" s="78"/>
      <c r="H36" s="99">
        <v>0.65639999999999998</v>
      </c>
      <c r="I36" s="100"/>
      <c r="J36" s="100"/>
      <c r="K36" s="100"/>
      <c r="L36" s="101">
        <f>1-H36</f>
        <v>0.34360000000000002</v>
      </c>
      <c r="M36" s="78"/>
    </row>
    <row r="37" spans="1:13">
      <c r="A37" s="37">
        <v>4</v>
      </c>
      <c r="B37" s="37">
        <v>303100</v>
      </c>
      <c r="H37" s="102">
        <v>0.69189000000000001</v>
      </c>
      <c r="I37" s="103"/>
      <c r="J37" s="103"/>
      <c r="K37" s="103"/>
      <c r="L37" s="101">
        <f>1-H37</f>
        <v>0.30810999999999999</v>
      </c>
    </row>
    <row r="38" spans="1:13">
      <c r="A38" s="37">
        <v>4</v>
      </c>
      <c r="B38" s="37">
        <v>303110</v>
      </c>
      <c r="H38" s="101">
        <f>H37</f>
        <v>0.69189000000000001</v>
      </c>
      <c r="I38" s="103"/>
      <c r="J38" s="103"/>
      <c r="K38" s="103"/>
      <c r="L38" s="101">
        <f>1-H38</f>
        <v>0.30810999999999999</v>
      </c>
    </row>
    <row r="39" spans="1:13">
      <c r="A39" s="37">
        <v>4</v>
      </c>
      <c r="B39" s="37">
        <v>303115</v>
      </c>
      <c r="H39" s="101">
        <f>H37</f>
        <v>0.69189000000000001</v>
      </c>
      <c r="I39" s="103"/>
      <c r="J39" s="103"/>
      <c r="K39" s="103"/>
      <c r="L39" s="101">
        <f>1-H39</f>
        <v>0.30810999999999999</v>
      </c>
    </row>
  </sheetData>
  <mergeCells count="3">
    <mergeCell ref="C2:E2"/>
    <mergeCell ref="G2:I2"/>
    <mergeCell ref="K2:M2"/>
  </mergeCells>
  <pageMargins left="0.2" right="0.2" top="0.75" bottom="0.75" header="0.3" footer="0.3"/>
  <pageSetup scale="81" orientation="landscape" r:id="rId1"/>
  <headerFooter>
    <oddFooter>&amp;L&amp;F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>
      <selection activeCell="E27" activeCellId="1" sqref="E14 E27"/>
    </sheetView>
  </sheetViews>
  <sheetFormatPr defaultRowHeight="13.2"/>
  <cols>
    <col min="1" max="1" width="7" style="37" bestFit="1" customWidth="1"/>
    <col min="2" max="2" width="40.5546875" style="37" bestFit="1" customWidth="1"/>
    <col min="3" max="5" width="13.6640625" style="37" bestFit="1" customWidth="1"/>
    <col min="6" max="6" width="0.5546875" style="37" customWidth="1"/>
    <col min="7" max="7" width="12.33203125" style="37" bestFit="1" customWidth="1"/>
    <col min="8" max="9" width="13.6640625" style="37" bestFit="1" customWidth="1"/>
    <col min="10" max="10" width="0.6640625" style="37" customWidth="1"/>
    <col min="11" max="12" width="12.33203125" style="37" bestFit="1" customWidth="1"/>
    <col min="13" max="13" width="13.6640625" style="37" bestFit="1" customWidth="1"/>
    <col min="14" max="256" width="8.88671875" style="37"/>
    <col min="257" max="257" width="7" style="37" bestFit="1" customWidth="1"/>
    <col min="258" max="258" width="40.5546875" style="37" bestFit="1" customWidth="1"/>
    <col min="259" max="261" width="13.6640625" style="37" bestFit="1" customWidth="1"/>
    <col min="262" max="262" width="0.5546875" style="37" customWidth="1"/>
    <col min="263" max="263" width="12.33203125" style="37" bestFit="1" customWidth="1"/>
    <col min="264" max="265" width="13.6640625" style="37" bestFit="1" customWidth="1"/>
    <col min="266" max="266" width="0.6640625" style="37" customWidth="1"/>
    <col min="267" max="268" width="12.33203125" style="37" bestFit="1" customWidth="1"/>
    <col min="269" max="269" width="13.6640625" style="37" bestFit="1" customWidth="1"/>
    <col min="270" max="512" width="8.88671875" style="37"/>
    <col min="513" max="513" width="7" style="37" bestFit="1" customWidth="1"/>
    <col min="514" max="514" width="40.5546875" style="37" bestFit="1" customWidth="1"/>
    <col min="515" max="517" width="13.6640625" style="37" bestFit="1" customWidth="1"/>
    <col min="518" max="518" width="0.5546875" style="37" customWidth="1"/>
    <col min="519" max="519" width="12.33203125" style="37" bestFit="1" customWidth="1"/>
    <col min="520" max="521" width="13.6640625" style="37" bestFit="1" customWidth="1"/>
    <col min="522" max="522" width="0.6640625" style="37" customWidth="1"/>
    <col min="523" max="524" width="12.33203125" style="37" bestFit="1" customWidth="1"/>
    <col min="525" max="525" width="13.6640625" style="37" bestFit="1" customWidth="1"/>
    <col min="526" max="768" width="8.88671875" style="37"/>
    <col min="769" max="769" width="7" style="37" bestFit="1" customWidth="1"/>
    <col min="770" max="770" width="40.5546875" style="37" bestFit="1" customWidth="1"/>
    <col min="771" max="773" width="13.6640625" style="37" bestFit="1" customWidth="1"/>
    <col min="774" max="774" width="0.5546875" style="37" customWidth="1"/>
    <col min="775" max="775" width="12.33203125" style="37" bestFit="1" customWidth="1"/>
    <col min="776" max="777" width="13.6640625" style="37" bestFit="1" customWidth="1"/>
    <col min="778" max="778" width="0.6640625" style="37" customWidth="1"/>
    <col min="779" max="780" width="12.33203125" style="37" bestFit="1" customWidth="1"/>
    <col min="781" max="781" width="13.6640625" style="37" bestFit="1" customWidth="1"/>
    <col min="782" max="1024" width="8.88671875" style="37"/>
    <col min="1025" max="1025" width="7" style="37" bestFit="1" customWidth="1"/>
    <col min="1026" max="1026" width="40.5546875" style="37" bestFit="1" customWidth="1"/>
    <col min="1027" max="1029" width="13.6640625" style="37" bestFit="1" customWidth="1"/>
    <col min="1030" max="1030" width="0.5546875" style="37" customWidth="1"/>
    <col min="1031" max="1031" width="12.33203125" style="37" bestFit="1" customWidth="1"/>
    <col min="1032" max="1033" width="13.6640625" style="37" bestFit="1" customWidth="1"/>
    <col min="1034" max="1034" width="0.6640625" style="37" customWidth="1"/>
    <col min="1035" max="1036" width="12.33203125" style="37" bestFit="1" customWidth="1"/>
    <col min="1037" max="1037" width="13.6640625" style="37" bestFit="1" customWidth="1"/>
    <col min="1038" max="1280" width="8.88671875" style="37"/>
    <col min="1281" max="1281" width="7" style="37" bestFit="1" customWidth="1"/>
    <col min="1282" max="1282" width="40.5546875" style="37" bestFit="1" customWidth="1"/>
    <col min="1283" max="1285" width="13.6640625" style="37" bestFit="1" customWidth="1"/>
    <col min="1286" max="1286" width="0.5546875" style="37" customWidth="1"/>
    <col min="1287" max="1287" width="12.33203125" style="37" bestFit="1" customWidth="1"/>
    <col min="1288" max="1289" width="13.6640625" style="37" bestFit="1" customWidth="1"/>
    <col min="1290" max="1290" width="0.6640625" style="37" customWidth="1"/>
    <col min="1291" max="1292" width="12.33203125" style="37" bestFit="1" customWidth="1"/>
    <col min="1293" max="1293" width="13.6640625" style="37" bestFit="1" customWidth="1"/>
    <col min="1294" max="1536" width="8.88671875" style="37"/>
    <col min="1537" max="1537" width="7" style="37" bestFit="1" customWidth="1"/>
    <col min="1538" max="1538" width="40.5546875" style="37" bestFit="1" customWidth="1"/>
    <col min="1539" max="1541" width="13.6640625" style="37" bestFit="1" customWidth="1"/>
    <col min="1542" max="1542" width="0.5546875" style="37" customWidth="1"/>
    <col min="1543" max="1543" width="12.33203125" style="37" bestFit="1" customWidth="1"/>
    <col min="1544" max="1545" width="13.6640625" style="37" bestFit="1" customWidth="1"/>
    <col min="1546" max="1546" width="0.6640625" style="37" customWidth="1"/>
    <col min="1547" max="1548" width="12.33203125" style="37" bestFit="1" customWidth="1"/>
    <col min="1549" max="1549" width="13.6640625" style="37" bestFit="1" customWidth="1"/>
    <col min="1550" max="1792" width="8.88671875" style="37"/>
    <col min="1793" max="1793" width="7" style="37" bestFit="1" customWidth="1"/>
    <col min="1794" max="1794" width="40.5546875" style="37" bestFit="1" customWidth="1"/>
    <col min="1795" max="1797" width="13.6640625" style="37" bestFit="1" customWidth="1"/>
    <col min="1798" max="1798" width="0.5546875" style="37" customWidth="1"/>
    <col min="1799" max="1799" width="12.33203125" style="37" bestFit="1" customWidth="1"/>
    <col min="1800" max="1801" width="13.6640625" style="37" bestFit="1" customWidth="1"/>
    <col min="1802" max="1802" width="0.6640625" style="37" customWidth="1"/>
    <col min="1803" max="1804" width="12.33203125" style="37" bestFit="1" customWidth="1"/>
    <col min="1805" max="1805" width="13.6640625" style="37" bestFit="1" customWidth="1"/>
    <col min="1806" max="2048" width="8.88671875" style="37"/>
    <col min="2049" max="2049" width="7" style="37" bestFit="1" customWidth="1"/>
    <col min="2050" max="2050" width="40.5546875" style="37" bestFit="1" customWidth="1"/>
    <col min="2051" max="2053" width="13.6640625" style="37" bestFit="1" customWidth="1"/>
    <col min="2054" max="2054" width="0.5546875" style="37" customWidth="1"/>
    <col min="2055" max="2055" width="12.33203125" style="37" bestFit="1" customWidth="1"/>
    <col min="2056" max="2057" width="13.6640625" style="37" bestFit="1" customWidth="1"/>
    <col min="2058" max="2058" width="0.6640625" style="37" customWidth="1"/>
    <col min="2059" max="2060" width="12.33203125" style="37" bestFit="1" customWidth="1"/>
    <col min="2061" max="2061" width="13.6640625" style="37" bestFit="1" customWidth="1"/>
    <col min="2062" max="2304" width="8.88671875" style="37"/>
    <col min="2305" max="2305" width="7" style="37" bestFit="1" customWidth="1"/>
    <col min="2306" max="2306" width="40.5546875" style="37" bestFit="1" customWidth="1"/>
    <col min="2307" max="2309" width="13.6640625" style="37" bestFit="1" customWidth="1"/>
    <col min="2310" max="2310" width="0.5546875" style="37" customWidth="1"/>
    <col min="2311" max="2311" width="12.33203125" style="37" bestFit="1" customWidth="1"/>
    <col min="2312" max="2313" width="13.6640625" style="37" bestFit="1" customWidth="1"/>
    <col min="2314" max="2314" width="0.6640625" style="37" customWidth="1"/>
    <col min="2315" max="2316" width="12.33203125" style="37" bestFit="1" customWidth="1"/>
    <col min="2317" max="2317" width="13.6640625" style="37" bestFit="1" customWidth="1"/>
    <col min="2318" max="2560" width="8.88671875" style="37"/>
    <col min="2561" max="2561" width="7" style="37" bestFit="1" customWidth="1"/>
    <col min="2562" max="2562" width="40.5546875" style="37" bestFit="1" customWidth="1"/>
    <col min="2563" max="2565" width="13.6640625" style="37" bestFit="1" customWidth="1"/>
    <col min="2566" max="2566" width="0.5546875" style="37" customWidth="1"/>
    <col min="2567" max="2567" width="12.33203125" style="37" bestFit="1" customWidth="1"/>
    <col min="2568" max="2569" width="13.6640625" style="37" bestFit="1" customWidth="1"/>
    <col min="2570" max="2570" width="0.6640625" style="37" customWidth="1"/>
    <col min="2571" max="2572" width="12.33203125" style="37" bestFit="1" customWidth="1"/>
    <col min="2573" max="2573" width="13.6640625" style="37" bestFit="1" customWidth="1"/>
    <col min="2574" max="2816" width="8.88671875" style="37"/>
    <col min="2817" max="2817" width="7" style="37" bestFit="1" customWidth="1"/>
    <col min="2818" max="2818" width="40.5546875" style="37" bestFit="1" customWidth="1"/>
    <col min="2819" max="2821" width="13.6640625" style="37" bestFit="1" customWidth="1"/>
    <col min="2822" max="2822" width="0.5546875" style="37" customWidth="1"/>
    <col min="2823" max="2823" width="12.33203125" style="37" bestFit="1" customWidth="1"/>
    <col min="2824" max="2825" width="13.6640625" style="37" bestFit="1" customWidth="1"/>
    <col min="2826" max="2826" width="0.6640625" style="37" customWidth="1"/>
    <col min="2827" max="2828" width="12.33203125" style="37" bestFit="1" customWidth="1"/>
    <col min="2829" max="2829" width="13.6640625" style="37" bestFit="1" customWidth="1"/>
    <col min="2830" max="3072" width="8.88671875" style="37"/>
    <col min="3073" max="3073" width="7" style="37" bestFit="1" customWidth="1"/>
    <col min="3074" max="3074" width="40.5546875" style="37" bestFit="1" customWidth="1"/>
    <col min="3075" max="3077" width="13.6640625" style="37" bestFit="1" customWidth="1"/>
    <col min="3078" max="3078" width="0.5546875" style="37" customWidth="1"/>
    <col min="3079" max="3079" width="12.33203125" style="37" bestFit="1" customWidth="1"/>
    <col min="3080" max="3081" width="13.6640625" style="37" bestFit="1" customWidth="1"/>
    <col min="3082" max="3082" width="0.6640625" style="37" customWidth="1"/>
    <col min="3083" max="3084" width="12.33203125" style="37" bestFit="1" customWidth="1"/>
    <col min="3085" max="3085" width="13.6640625" style="37" bestFit="1" customWidth="1"/>
    <col min="3086" max="3328" width="8.88671875" style="37"/>
    <col min="3329" max="3329" width="7" style="37" bestFit="1" customWidth="1"/>
    <col min="3330" max="3330" width="40.5546875" style="37" bestFit="1" customWidth="1"/>
    <col min="3331" max="3333" width="13.6640625" style="37" bestFit="1" customWidth="1"/>
    <col min="3334" max="3334" width="0.5546875" style="37" customWidth="1"/>
    <col min="3335" max="3335" width="12.33203125" style="37" bestFit="1" customWidth="1"/>
    <col min="3336" max="3337" width="13.6640625" style="37" bestFit="1" customWidth="1"/>
    <col min="3338" max="3338" width="0.6640625" style="37" customWidth="1"/>
    <col min="3339" max="3340" width="12.33203125" style="37" bestFit="1" customWidth="1"/>
    <col min="3341" max="3341" width="13.6640625" style="37" bestFit="1" customWidth="1"/>
    <col min="3342" max="3584" width="8.88671875" style="37"/>
    <col min="3585" max="3585" width="7" style="37" bestFit="1" customWidth="1"/>
    <col min="3586" max="3586" width="40.5546875" style="37" bestFit="1" customWidth="1"/>
    <col min="3587" max="3589" width="13.6640625" style="37" bestFit="1" customWidth="1"/>
    <col min="3590" max="3590" width="0.5546875" style="37" customWidth="1"/>
    <col min="3591" max="3591" width="12.33203125" style="37" bestFit="1" customWidth="1"/>
    <col min="3592" max="3593" width="13.6640625" style="37" bestFit="1" customWidth="1"/>
    <col min="3594" max="3594" width="0.6640625" style="37" customWidth="1"/>
    <col min="3595" max="3596" width="12.33203125" style="37" bestFit="1" customWidth="1"/>
    <col min="3597" max="3597" width="13.6640625" style="37" bestFit="1" customWidth="1"/>
    <col min="3598" max="3840" width="8.88671875" style="37"/>
    <col min="3841" max="3841" width="7" style="37" bestFit="1" customWidth="1"/>
    <col min="3842" max="3842" width="40.5546875" style="37" bestFit="1" customWidth="1"/>
    <col min="3843" max="3845" width="13.6640625" style="37" bestFit="1" customWidth="1"/>
    <col min="3846" max="3846" width="0.5546875" style="37" customWidth="1"/>
    <col min="3847" max="3847" width="12.33203125" style="37" bestFit="1" customWidth="1"/>
    <col min="3848" max="3849" width="13.6640625" style="37" bestFit="1" customWidth="1"/>
    <col min="3850" max="3850" width="0.6640625" style="37" customWidth="1"/>
    <col min="3851" max="3852" width="12.33203125" style="37" bestFit="1" customWidth="1"/>
    <col min="3853" max="3853" width="13.6640625" style="37" bestFit="1" customWidth="1"/>
    <col min="3854" max="4096" width="8.88671875" style="37"/>
    <col min="4097" max="4097" width="7" style="37" bestFit="1" customWidth="1"/>
    <col min="4098" max="4098" width="40.5546875" style="37" bestFit="1" customWidth="1"/>
    <col min="4099" max="4101" width="13.6640625" style="37" bestFit="1" customWidth="1"/>
    <col min="4102" max="4102" width="0.5546875" style="37" customWidth="1"/>
    <col min="4103" max="4103" width="12.33203125" style="37" bestFit="1" customWidth="1"/>
    <col min="4104" max="4105" width="13.6640625" style="37" bestFit="1" customWidth="1"/>
    <col min="4106" max="4106" width="0.6640625" style="37" customWidth="1"/>
    <col min="4107" max="4108" width="12.33203125" style="37" bestFit="1" customWidth="1"/>
    <col min="4109" max="4109" width="13.6640625" style="37" bestFit="1" customWidth="1"/>
    <col min="4110" max="4352" width="8.88671875" style="37"/>
    <col min="4353" max="4353" width="7" style="37" bestFit="1" customWidth="1"/>
    <col min="4354" max="4354" width="40.5546875" style="37" bestFit="1" customWidth="1"/>
    <col min="4355" max="4357" width="13.6640625" style="37" bestFit="1" customWidth="1"/>
    <col min="4358" max="4358" width="0.5546875" style="37" customWidth="1"/>
    <col min="4359" max="4359" width="12.33203125" style="37" bestFit="1" customWidth="1"/>
    <col min="4360" max="4361" width="13.6640625" style="37" bestFit="1" customWidth="1"/>
    <col min="4362" max="4362" width="0.6640625" style="37" customWidth="1"/>
    <col min="4363" max="4364" width="12.33203125" style="37" bestFit="1" customWidth="1"/>
    <col min="4365" max="4365" width="13.6640625" style="37" bestFit="1" customWidth="1"/>
    <col min="4366" max="4608" width="8.88671875" style="37"/>
    <col min="4609" max="4609" width="7" style="37" bestFit="1" customWidth="1"/>
    <col min="4610" max="4610" width="40.5546875" style="37" bestFit="1" customWidth="1"/>
    <col min="4611" max="4613" width="13.6640625" style="37" bestFit="1" customWidth="1"/>
    <col min="4614" max="4614" width="0.5546875" style="37" customWidth="1"/>
    <col min="4615" max="4615" width="12.33203125" style="37" bestFit="1" customWidth="1"/>
    <col min="4616" max="4617" width="13.6640625" style="37" bestFit="1" customWidth="1"/>
    <col min="4618" max="4618" width="0.6640625" style="37" customWidth="1"/>
    <col min="4619" max="4620" width="12.33203125" style="37" bestFit="1" customWidth="1"/>
    <col min="4621" max="4621" width="13.6640625" style="37" bestFit="1" customWidth="1"/>
    <col min="4622" max="4864" width="8.88671875" style="37"/>
    <col min="4865" max="4865" width="7" style="37" bestFit="1" customWidth="1"/>
    <col min="4866" max="4866" width="40.5546875" style="37" bestFit="1" customWidth="1"/>
    <col min="4867" max="4869" width="13.6640625" style="37" bestFit="1" customWidth="1"/>
    <col min="4870" max="4870" width="0.5546875" style="37" customWidth="1"/>
    <col min="4871" max="4871" width="12.33203125" style="37" bestFit="1" customWidth="1"/>
    <col min="4872" max="4873" width="13.6640625" style="37" bestFit="1" customWidth="1"/>
    <col min="4874" max="4874" width="0.6640625" style="37" customWidth="1"/>
    <col min="4875" max="4876" width="12.33203125" style="37" bestFit="1" customWidth="1"/>
    <col min="4877" max="4877" width="13.6640625" style="37" bestFit="1" customWidth="1"/>
    <col min="4878" max="5120" width="8.88671875" style="37"/>
    <col min="5121" max="5121" width="7" style="37" bestFit="1" customWidth="1"/>
    <col min="5122" max="5122" width="40.5546875" style="37" bestFit="1" customWidth="1"/>
    <col min="5123" max="5125" width="13.6640625" style="37" bestFit="1" customWidth="1"/>
    <col min="5126" max="5126" width="0.5546875" style="37" customWidth="1"/>
    <col min="5127" max="5127" width="12.33203125" style="37" bestFit="1" customWidth="1"/>
    <col min="5128" max="5129" width="13.6640625" style="37" bestFit="1" customWidth="1"/>
    <col min="5130" max="5130" width="0.6640625" style="37" customWidth="1"/>
    <col min="5131" max="5132" width="12.33203125" style="37" bestFit="1" customWidth="1"/>
    <col min="5133" max="5133" width="13.6640625" style="37" bestFit="1" customWidth="1"/>
    <col min="5134" max="5376" width="8.88671875" style="37"/>
    <col min="5377" max="5377" width="7" style="37" bestFit="1" customWidth="1"/>
    <col min="5378" max="5378" width="40.5546875" style="37" bestFit="1" customWidth="1"/>
    <col min="5379" max="5381" width="13.6640625" style="37" bestFit="1" customWidth="1"/>
    <col min="5382" max="5382" width="0.5546875" style="37" customWidth="1"/>
    <col min="5383" max="5383" width="12.33203125" style="37" bestFit="1" customWidth="1"/>
    <col min="5384" max="5385" width="13.6640625" style="37" bestFit="1" customWidth="1"/>
    <col min="5386" max="5386" width="0.6640625" style="37" customWidth="1"/>
    <col min="5387" max="5388" width="12.33203125" style="37" bestFit="1" customWidth="1"/>
    <col min="5389" max="5389" width="13.6640625" style="37" bestFit="1" customWidth="1"/>
    <col min="5390" max="5632" width="8.88671875" style="37"/>
    <col min="5633" max="5633" width="7" style="37" bestFit="1" customWidth="1"/>
    <col min="5634" max="5634" width="40.5546875" style="37" bestFit="1" customWidth="1"/>
    <col min="5635" max="5637" width="13.6640625" style="37" bestFit="1" customWidth="1"/>
    <col min="5638" max="5638" width="0.5546875" style="37" customWidth="1"/>
    <col min="5639" max="5639" width="12.33203125" style="37" bestFit="1" customWidth="1"/>
    <col min="5640" max="5641" width="13.6640625" style="37" bestFit="1" customWidth="1"/>
    <col min="5642" max="5642" width="0.6640625" style="37" customWidth="1"/>
    <col min="5643" max="5644" width="12.33203125" style="37" bestFit="1" customWidth="1"/>
    <col min="5645" max="5645" width="13.6640625" style="37" bestFit="1" customWidth="1"/>
    <col min="5646" max="5888" width="8.88671875" style="37"/>
    <col min="5889" max="5889" width="7" style="37" bestFit="1" customWidth="1"/>
    <col min="5890" max="5890" width="40.5546875" style="37" bestFit="1" customWidth="1"/>
    <col min="5891" max="5893" width="13.6640625" style="37" bestFit="1" customWidth="1"/>
    <col min="5894" max="5894" width="0.5546875" style="37" customWidth="1"/>
    <col min="5895" max="5895" width="12.33203125" style="37" bestFit="1" customWidth="1"/>
    <col min="5896" max="5897" width="13.6640625" style="37" bestFit="1" customWidth="1"/>
    <col min="5898" max="5898" width="0.6640625" style="37" customWidth="1"/>
    <col min="5899" max="5900" width="12.33203125" style="37" bestFit="1" customWidth="1"/>
    <col min="5901" max="5901" width="13.6640625" style="37" bestFit="1" customWidth="1"/>
    <col min="5902" max="6144" width="8.88671875" style="37"/>
    <col min="6145" max="6145" width="7" style="37" bestFit="1" customWidth="1"/>
    <col min="6146" max="6146" width="40.5546875" style="37" bestFit="1" customWidth="1"/>
    <col min="6147" max="6149" width="13.6640625" style="37" bestFit="1" customWidth="1"/>
    <col min="6150" max="6150" width="0.5546875" style="37" customWidth="1"/>
    <col min="6151" max="6151" width="12.33203125" style="37" bestFit="1" customWidth="1"/>
    <col min="6152" max="6153" width="13.6640625" style="37" bestFit="1" customWidth="1"/>
    <col min="6154" max="6154" width="0.6640625" style="37" customWidth="1"/>
    <col min="6155" max="6156" width="12.33203125" style="37" bestFit="1" customWidth="1"/>
    <col min="6157" max="6157" width="13.6640625" style="37" bestFit="1" customWidth="1"/>
    <col min="6158" max="6400" width="8.88671875" style="37"/>
    <col min="6401" max="6401" width="7" style="37" bestFit="1" customWidth="1"/>
    <col min="6402" max="6402" width="40.5546875" style="37" bestFit="1" customWidth="1"/>
    <col min="6403" max="6405" width="13.6640625" style="37" bestFit="1" customWidth="1"/>
    <col min="6406" max="6406" width="0.5546875" style="37" customWidth="1"/>
    <col min="6407" max="6407" width="12.33203125" style="37" bestFit="1" customWidth="1"/>
    <col min="6408" max="6409" width="13.6640625" style="37" bestFit="1" customWidth="1"/>
    <col min="6410" max="6410" width="0.6640625" style="37" customWidth="1"/>
    <col min="6411" max="6412" width="12.33203125" style="37" bestFit="1" customWidth="1"/>
    <col min="6413" max="6413" width="13.6640625" style="37" bestFit="1" customWidth="1"/>
    <col min="6414" max="6656" width="8.88671875" style="37"/>
    <col min="6657" max="6657" width="7" style="37" bestFit="1" customWidth="1"/>
    <col min="6658" max="6658" width="40.5546875" style="37" bestFit="1" customWidth="1"/>
    <col min="6659" max="6661" width="13.6640625" style="37" bestFit="1" customWidth="1"/>
    <col min="6662" max="6662" width="0.5546875" style="37" customWidth="1"/>
    <col min="6663" max="6663" width="12.33203125" style="37" bestFit="1" customWidth="1"/>
    <col min="6664" max="6665" width="13.6640625" style="37" bestFit="1" customWidth="1"/>
    <col min="6666" max="6666" width="0.6640625" style="37" customWidth="1"/>
    <col min="6667" max="6668" width="12.33203125" style="37" bestFit="1" customWidth="1"/>
    <col min="6669" max="6669" width="13.6640625" style="37" bestFit="1" customWidth="1"/>
    <col min="6670" max="6912" width="8.88671875" style="37"/>
    <col min="6913" max="6913" width="7" style="37" bestFit="1" customWidth="1"/>
    <col min="6914" max="6914" width="40.5546875" style="37" bestFit="1" customWidth="1"/>
    <col min="6915" max="6917" width="13.6640625" style="37" bestFit="1" customWidth="1"/>
    <col min="6918" max="6918" width="0.5546875" style="37" customWidth="1"/>
    <col min="6919" max="6919" width="12.33203125" style="37" bestFit="1" customWidth="1"/>
    <col min="6920" max="6921" width="13.6640625" style="37" bestFit="1" customWidth="1"/>
    <col min="6922" max="6922" width="0.6640625" style="37" customWidth="1"/>
    <col min="6923" max="6924" width="12.33203125" style="37" bestFit="1" customWidth="1"/>
    <col min="6925" max="6925" width="13.6640625" style="37" bestFit="1" customWidth="1"/>
    <col min="6926" max="7168" width="8.88671875" style="37"/>
    <col min="7169" max="7169" width="7" style="37" bestFit="1" customWidth="1"/>
    <col min="7170" max="7170" width="40.5546875" style="37" bestFit="1" customWidth="1"/>
    <col min="7171" max="7173" width="13.6640625" style="37" bestFit="1" customWidth="1"/>
    <col min="7174" max="7174" width="0.5546875" style="37" customWidth="1"/>
    <col min="7175" max="7175" width="12.33203125" style="37" bestFit="1" customWidth="1"/>
    <col min="7176" max="7177" width="13.6640625" style="37" bestFit="1" customWidth="1"/>
    <col min="7178" max="7178" width="0.6640625" style="37" customWidth="1"/>
    <col min="7179" max="7180" width="12.33203125" style="37" bestFit="1" customWidth="1"/>
    <col min="7181" max="7181" width="13.6640625" style="37" bestFit="1" customWidth="1"/>
    <col min="7182" max="7424" width="8.88671875" style="37"/>
    <col min="7425" max="7425" width="7" style="37" bestFit="1" customWidth="1"/>
    <col min="7426" max="7426" width="40.5546875" style="37" bestFit="1" customWidth="1"/>
    <col min="7427" max="7429" width="13.6640625" style="37" bestFit="1" customWidth="1"/>
    <col min="7430" max="7430" width="0.5546875" style="37" customWidth="1"/>
    <col min="7431" max="7431" width="12.33203125" style="37" bestFit="1" customWidth="1"/>
    <col min="7432" max="7433" width="13.6640625" style="37" bestFit="1" customWidth="1"/>
    <col min="7434" max="7434" width="0.6640625" style="37" customWidth="1"/>
    <col min="7435" max="7436" width="12.33203125" style="37" bestFit="1" customWidth="1"/>
    <col min="7437" max="7437" width="13.6640625" style="37" bestFit="1" customWidth="1"/>
    <col min="7438" max="7680" width="8.88671875" style="37"/>
    <col min="7681" max="7681" width="7" style="37" bestFit="1" customWidth="1"/>
    <col min="7682" max="7682" width="40.5546875" style="37" bestFit="1" customWidth="1"/>
    <col min="7683" max="7685" width="13.6640625" style="37" bestFit="1" customWidth="1"/>
    <col min="7686" max="7686" width="0.5546875" style="37" customWidth="1"/>
    <col min="7687" max="7687" width="12.33203125" style="37" bestFit="1" customWidth="1"/>
    <col min="7688" max="7689" width="13.6640625" style="37" bestFit="1" customWidth="1"/>
    <col min="7690" max="7690" width="0.6640625" style="37" customWidth="1"/>
    <col min="7691" max="7692" width="12.33203125" style="37" bestFit="1" customWidth="1"/>
    <col min="7693" max="7693" width="13.6640625" style="37" bestFit="1" customWidth="1"/>
    <col min="7694" max="7936" width="8.88671875" style="37"/>
    <col min="7937" max="7937" width="7" style="37" bestFit="1" customWidth="1"/>
    <col min="7938" max="7938" width="40.5546875" style="37" bestFit="1" customWidth="1"/>
    <col min="7939" max="7941" width="13.6640625" style="37" bestFit="1" customWidth="1"/>
    <col min="7942" max="7942" width="0.5546875" style="37" customWidth="1"/>
    <col min="7943" max="7943" width="12.33203125" style="37" bestFit="1" customWidth="1"/>
    <col min="7944" max="7945" width="13.6640625" style="37" bestFit="1" customWidth="1"/>
    <col min="7946" max="7946" width="0.6640625" style="37" customWidth="1"/>
    <col min="7947" max="7948" width="12.33203125" style="37" bestFit="1" customWidth="1"/>
    <col min="7949" max="7949" width="13.6640625" style="37" bestFit="1" customWidth="1"/>
    <col min="7950" max="8192" width="8.88671875" style="37"/>
    <col min="8193" max="8193" width="7" style="37" bestFit="1" customWidth="1"/>
    <col min="8194" max="8194" width="40.5546875" style="37" bestFit="1" customWidth="1"/>
    <col min="8195" max="8197" width="13.6640625" style="37" bestFit="1" customWidth="1"/>
    <col min="8198" max="8198" width="0.5546875" style="37" customWidth="1"/>
    <col min="8199" max="8199" width="12.33203125" style="37" bestFit="1" customWidth="1"/>
    <col min="8200" max="8201" width="13.6640625" style="37" bestFit="1" customWidth="1"/>
    <col min="8202" max="8202" width="0.6640625" style="37" customWidth="1"/>
    <col min="8203" max="8204" width="12.33203125" style="37" bestFit="1" customWidth="1"/>
    <col min="8205" max="8205" width="13.6640625" style="37" bestFit="1" customWidth="1"/>
    <col min="8206" max="8448" width="8.88671875" style="37"/>
    <col min="8449" max="8449" width="7" style="37" bestFit="1" customWidth="1"/>
    <col min="8450" max="8450" width="40.5546875" style="37" bestFit="1" customWidth="1"/>
    <col min="8451" max="8453" width="13.6640625" style="37" bestFit="1" customWidth="1"/>
    <col min="8454" max="8454" width="0.5546875" style="37" customWidth="1"/>
    <col min="8455" max="8455" width="12.33203125" style="37" bestFit="1" customWidth="1"/>
    <col min="8456" max="8457" width="13.6640625" style="37" bestFit="1" customWidth="1"/>
    <col min="8458" max="8458" width="0.6640625" style="37" customWidth="1"/>
    <col min="8459" max="8460" width="12.33203125" style="37" bestFit="1" customWidth="1"/>
    <col min="8461" max="8461" width="13.6640625" style="37" bestFit="1" customWidth="1"/>
    <col min="8462" max="8704" width="8.88671875" style="37"/>
    <col min="8705" max="8705" width="7" style="37" bestFit="1" customWidth="1"/>
    <col min="8706" max="8706" width="40.5546875" style="37" bestFit="1" customWidth="1"/>
    <col min="8707" max="8709" width="13.6640625" style="37" bestFit="1" customWidth="1"/>
    <col min="8710" max="8710" width="0.5546875" style="37" customWidth="1"/>
    <col min="8711" max="8711" width="12.33203125" style="37" bestFit="1" customWidth="1"/>
    <col min="8712" max="8713" width="13.6640625" style="37" bestFit="1" customWidth="1"/>
    <col min="8714" max="8714" width="0.6640625" style="37" customWidth="1"/>
    <col min="8715" max="8716" width="12.33203125" style="37" bestFit="1" customWidth="1"/>
    <col min="8717" max="8717" width="13.6640625" style="37" bestFit="1" customWidth="1"/>
    <col min="8718" max="8960" width="8.88671875" style="37"/>
    <col min="8961" max="8961" width="7" style="37" bestFit="1" customWidth="1"/>
    <col min="8962" max="8962" width="40.5546875" style="37" bestFit="1" customWidth="1"/>
    <col min="8963" max="8965" width="13.6640625" style="37" bestFit="1" customWidth="1"/>
    <col min="8966" max="8966" width="0.5546875" style="37" customWidth="1"/>
    <col min="8967" max="8967" width="12.33203125" style="37" bestFit="1" customWidth="1"/>
    <col min="8968" max="8969" width="13.6640625" style="37" bestFit="1" customWidth="1"/>
    <col min="8970" max="8970" width="0.6640625" style="37" customWidth="1"/>
    <col min="8971" max="8972" width="12.33203125" style="37" bestFit="1" customWidth="1"/>
    <col min="8973" max="8973" width="13.6640625" style="37" bestFit="1" customWidth="1"/>
    <col min="8974" max="9216" width="8.88671875" style="37"/>
    <col min="9217" max="9217" width="7" style="37" bestFit="1" customWidth="1"/>
    <col min="9218" max="9218" width="40.5546875" style="37" bestFit="1" customWidth="1"/>
    <col min="9219" max="9221" width="13.6640625" style="37" bestFit="1" customWidth="1"/>
    <col min="9222" max="9222" width="0.5546875" style="37" customWidth="1"/>
    <col min="9223" max="9223" width="12.33203125" style="37" bestFit="1" customWidth="1"/>
    <col min="9224" max="9225" width="13.6640625" style="37" bestFit="1" customWidth="1"/>
    <col min="9226" max="9226" width="0.6640625" style="37" customWidth="1"/>
    <col min="9227" max="9228" width="12.33203125" style="37" bestFit="1" customWidth="1"/>
    <col min="9229" max="9229" width="13.6640625" style="37" bestFit="1" customWidth="1"/>
    <col min="9230" max="9472" width="8.88671875" style="37"/>
    <col min="9473" max="9473" width="7" style="37" bestFit="1" customWidth="1"/>
    <col min="9474" max="9474" width="40.5546875" style="37" bestFit="1" customWidth="1"/>
    <col min="9475" max="9477" width="13.6640625" style="37" bestFit="1" customWidth="1"/>
    <col min="9478" max="9478" width="0.5546875" style="37" customWidth="1"/>
    <col min="9479" max="9479" width="12.33203125" style="37" bestFit="1" customWidth="1"/>
    <col min="9480" max="9481" width="13.6640625" style="37" bestFit="1" customWidth="1"/>
    <col min="9482" max="9482" width="0.6640625" style="37" customWidth="1"/>
    <col min="9483" max="9484" width="12.33203125" style="37" bestFit="1" customWidth="1"/>
    <col min="9485" max="9485" width="13.6640625" style="37" bestFit="1" customWidth="1"/>
    <col min="9486" max="9728" width="8.88671875" style="37"/>
    <col min="9729" max="9729" width="7" style="37" bestFit="1" customWidth="1"/>
    <col min="9730" max="9730" width="40.5546875" style="37" bestFit="1" customWidth="1"/>
    <col min="9731" max="9733" width="13.6640625" style="37" bestFit="1" customWidth="1"/>
    <col min="9734" max="9734" width="0.5546875" style="37" customWidth="1"/>
    <col min="9735" max="9735" width="12.33203125" style="37" bestFit="1" customWidth="1"/>
    <col min="9736" max="9737" width="13.6640625" style="37" bestFit="1" customWidth="1"/>
    <col min="9738" max="9738" width="0.6640625" style="37" customWidth="1"/>
    <col min="9739" max="9740" width="12.33203125" style="37" bestFit="1" customWidth="1"/>
    <col min="9741" max="9741" width="13.6640625" style="37" bestFit="1" customWidth="1"/>
    <col min="9742" max="9984" width="8.88671875" style="37"/>
    <col min="9985" max="9985" width="7" style="37" bestFit="1" customWidth="1"/>
    <col min="9986" max="9986" width="40.5546875" style="37" bestFit="1" customWidth="1"/>
    <col min="9987" max="9989" width="13.6640625" style="37" bestFit="1" customWidth="1"/>
    <col min="9990" max="9990" width="0.5546875" style="37" customWidth="1"/>
    <col min="9991" max="9991" width="12.33203125" style="37" bestFit="1" customWidth="1"/>
    <col min="9992" max="9993" width="13.6640625" style="37" bestFit="1" customWidth="1"/>
    <col min="9994" max="9994" width="0.6640625" style="37" customWidth="1"/>
    <col min="9995" max="9996" width="12.33203125" style="37" bestFit="1" customWidth="1"/>
    <col min="9997" max="9997" width="13.6640625" style="37" bestFit="1" customWidth="1"/>
    <col min="9998" max="10240" width="8.88671875" style="37"/>
    <col min="10241" max="10241" width="7" style="37" bestFit="1" customWidth="1"/>
    <col min="10242" max="10242" width="40.5546875" style="37" bestFit="1" customWidth="1"/>
    <col min="10243" max="10245" width="13.6640625" style="37" bestFit="1" customWidth="1"/>
    <col min="10246" max="10246" width="0.5546875" style="37" customWidth="1"/>
    <col min="10247" max="10247" width="12.33203125" style="37" bestFit="1" customWidth="1"/>
    <col min="10248" max="10249" width="13.6640625" style="37" bestFit="1" customWidth="1"/>
    <col min="10250" max="10250" width="0.6640625" style="37" customWidth="1"/>
    <col min="10251" max="10252" width="12.33203125" style="37" bestFit="1" customWidth="1"/>
    <col min="10253" max="10253" width="13.6640625" style="37" bestFit="1" customWidth="1"/>
    <col min="10254" max="10496" width="8.88671875" style="37"/>
    <col min="10497" max="10497" width="7" style="37" bestFit="1" customWidth="1"/>
    <col min="10498" max="10498" width="40.5546875" style="37" bestFit="1" customWidth="1"/>
    <col min="10499" max="10501" width="13.6640625" style="37" bestFit="1" customWidth="1"/>
    <col min="10502" max="10502" width="0.5546875" style="37" customWidth="1"/>
    <col min="10503" max="10503" width="12.33203125" style="37" bestFit="1" customWidth="1"/>
    <col min="10504" max="10505" width="13.6640625" style="37" bestFit="1" customWidth="1"/>
    <col min="10506" max="10506" width="0.6640625" style="37" customWidth="1"/>
    <col min="10507" max="10508" width="12.33203125" style="37" bestFit="1" customWidth="1"/>
    <col min="10509" max="10509" width="13.6640625" style="37" bestFit="1" customWidth="1"/>
    <col min="10510" max="10752" width="8.88671875" style="37"/>
    <col min="10753" max="10753" width="7" style="37" bestFit="1" customWidth="1"/>
    <col min="10754" max="10754" width="40.5546875" style="37" bestFit="1" customWidth="1"/>
    <col min="10755" max="10757" width="13.6640625" style="37" bestFit="1" customWidth="1"/>
    <col min="10758" max="10758" width="0.5546875" style="37" customWidth="1"/>
    <col min="10759" max="10759" width="12.33203125" style="37" bestFit="1" customWidth="1"/>
    <col min="10760" max="10761" width="13.6640625" style="37" bestFit="1" customWidth="1"/>
    <col min="10762" max="10762" width="0.6640625" style="37" customWidth="1"/>
    <col min="10763" max="10764" width="12.33203125" style="37" bestFit="1" customWidth="1"/>
    <col min="10765" max="10765" width="13.6640625" style="37" bestFit="1" customWidth="1"/>
    <col min="10766" max="11008" width="8.88671875" style="37"/>
    <col min="11009" max="11009" width="7" style="37" bestFit="1" customWidth="1"/>
    <col min="11010" max="11010" width="40.5546875" style="37" bestFit="1" customWidth="1"/>
    <col min="11011" max="11013" width="13.6640625" style="37" bestFit="1" customWidth="1"/>
    <col min="11014" max="11014" width="0.5546875" style="37" customWidth="1"/>
    <col min="11015" max="11015" width="12.33203125" style="37" bestFit="1" customWidth="1"/>
    <col min="11016" max="11017" width="13.6640625" style="37" bestFit="1" customWidth="1"/>
    <col min="11018" max="11018" width="0.6640625" style="37" customWidth="1"/>
    <col min="11019" max="11020" width="12.33203125" style="37" bestFit="1" customWidth="1"/>
    <col min="11021" max="11021" width="13.6640625" style="37" bestFit="1" customWidth="1"/>
    <col min="11022" max="11264" width="8.88671875" style="37"/>
    <col min="11265" max="11265" width="7" style="37" bestFit="1" customWidth="1"/>
    <col min="11266" max="11266" width="40.5546875" style="37" bestFit="1" customWidth="1"/>
    <col min="11267" max="11269" width="13.6640625" style="37" bestFit="1" customWidth="1"/>
    <col min="11270" max="11270" width="0.5546875" style="37" customWidth="1"/>
    <col min="11271" max="11271" width="12.33203125" style="37" bestFit="1" customWidth="1"/>
    <col min="11272" max="11273" width="13.6640625" style="37" bestFit="1" customWidth="1"/>
    <col min="11274" max="11274" width="0.6640625" style="37" customWidth="1"/>
    <col min="11275" max="11276" width="12.33203125" style="37" bestFit="1" customWidth="1"/>
    <col min="11277" max="11277" width="13.6640625" style="37" bestFit="1" customWidth="1"/>
    <col min="11278" max="11520" width="8.88671875" style="37"/>
    <col min="11521" max="11521" width="7" style="37" bestFit="1" customWidth="1"/>
    <col min="11522" max="11522" width="40.5546875" style="37" bestFit="1" customWidth="1"/>
    <col min="11523" max="11525" width="13.6640625" style="37" bestFit="1" customWidth="1"/>
    <col min="11526" max="11526" width="0.5546875" style="37" customWidth="1"/>
    <col min="11527" max="11527" width="12.33203125" style="37" bestFit="1" customWidth="1"/>
    <col min="11528" max="11529" width="13.6640625" style="37" bestFit="1" customWidth="1"/>
    <col min="11530" max="11530" width="0.6640625" style="37" customWidth="1"/>
    <col min="11531" max="11532" width="12.33203125" style="37" bestFit="1" customWidth="1"/>
    <col min="11533" max="11533" width="13.6640625" style="37" bestFit="1" customWidth="1"/>
    <col min="11534" max="11776" width="8.88671875" style="37"/>
    <col min="11777" max="11777" width="7" style="37" bestFit="1" customWidth="1"/>
    <col min="11778" max="11778" width="40.5546875" style="37" bestFit="1" customWidth="1"/>
    <col min="11779" max="11781" width="13.6640625" style="37" bestFit="1" customWidth="1"/>
    <col min="11782" max="11782" width="0.5546875" style="37" customWidth="1"/>
    <col min="11783" max="11783" width="12.33203125" style="37" bestFit="1" customWidth="1"/>
    <col min="11784" max="11785" width="13.6640625" style="37" bestFit="1" customWidth="1"/>
    <col min="11786" max="11786" width="0.6640625" style="37" customWidth="1"/>
    <col min="11787" max="11788" width="12.33203125" style="37" bestFit="1" customWidth="1"/>
    <col min="11789" max="11789" width="13.6640625" style="37" bestFit="1" customWidth="1"/>
    <col min="11790" max="12032" width="8.88671875" style="37"/>
    <col min="12033" max="12033" width="7" style="37" bestFit="1" customWidth="1"/>
    <col min="12034" max="12034" width="40.5546875" style="37" bestFit="1" customWidth="1"/>
    <col min="12035" max="12037" width="13.6640625" style="37" bestFit="1" customWidth="1"/>
    <col min="12038" max="12038" width="0.5546875" style="37" customWidth="1"/>
    <col min="12039" max="12039" width="12.33203125" style="37" bestFit="1" customWidth="1"/>
    <col min="12040" max="12041" width="13.6640625" style="37" bestFit="1" customWidth="1"/>
    <col min="12042" max="12042" width="0.6640625" style="37" customWidth="1"/>
    <col min="12043" max="12044" width="12.33203125" style="37" bestFit="1" customWidth="1"/>
    <col min="12045" max="12045" width="13.6640625" style="37" bestFit="1" customWidth="1"/>
    <col min="12046" max="12288" width="8.88671875" style="37"/>
    <col min="12289" max="12289" width="7" style="37" bestFit="1" customWidth="1"/>
    <col min="12290" max="12290" width="40.5546875" style="37" bestFit="1" customWidth="1"/>
    <col min="12291" max="12293" width="13.6640625" style="37" bestFit="1" customWidth="1"/>
    <col min="12294" max="12294" width="0.5546875" style="37" customWidth="1"/>
    <col min="12295" max="12295" width="12.33203125" style="37" bestFit="1" customWidth="1"/>
    <col min="12296" max="12297" width="13.6640625" style="37" bestFit="1" customWidth="1"/>
    <col min="12298" max="12298" width="0.6640625" style="37" customWidth="1"/>
    <col min="12299" max="12300" width="12.33203125" style="37" bestFit="1" customWidth="1"/>
    <col min="12301" max="12301" width="13.6640625" style="37" bestFit="1" customWidth="1"/>
    <col min="12302" max="12544" width="8.88671875" style="37"/>
    <col min="12545" max="12545" width="7" style="37" bestFit="1" customWidth="1"/>
    <col min="12546" max="12546" width="40.5546875" style="37" bestFit="1" customWidth="1"/>
    <col min="12547" max="12549" width="13.6640625" style="37" bestFit="1" customWidth="1"/>
    <col min="12550" max="12550" width="0.5546875" style="37" customWidth="1"/>
    <col min="12551" max="12551" width="12.33203125" style="37" bestFit="1" customWidth="1"/>
    <col min="12552" max="12553" width="13.6640625" style="37" bestFit="1" customWidth="1"/>
    <col min="12554" max="12554" width="0.6640625" style="37" customWidth="1"/>
    <col min="12555" max="12556" width="12.33203125" style="37" bestFit="1" customWidth="1"/>
    <col min="12557" max="12557" width="13.6640625" style="37" bestFit="1" customWidth="1"/>
    <col min="12558" max="12800" width="8.88671875" style="37"/>
    <col min="12801" max="12801" width="7" style="37" bestFit="1" customWidth="1"/>
    <col min="12802" max="12802" width="40.5546875" style="37" bestFit="1" customWidth="1"/>
    <col min="12803" max="12805" width="13.6640625" style="37" bestFit="1" customWidth="1"/>
    <col min="12806" max="12806" width="0.5546875" style="37" customWidth="1"/>
    <col min="12807" max="12807" width="12.33203125" style="37" bestFit="1" customWidth="1"/>
    <col min="12808" max="12809" width="13.6640625" style="37" bestFit="1" customWidth="1"/>
    <col min="12810" max="12810" width="0.6640625" style="37" customWidth="1"/>
    <col min="12811" max="12812" width="12.33203125" style="37" bestFit="1" customWidth="1"/>
    <col min="12813" max="12813" width="13.6640625" style="37" bestFit="1" customWidth="1"/>
    <col min="12814" max="13056" width="8.88671875" style="37"/>
    <col min="13057" max="13057" width="7" style="37" bestFit="1" customWidth="1"/>
    <col min="13058" max="13058" width="40.5546875" style="37" bestFit="1" customWidth="1"/>
    <col min="13059" max="13061" width="13.6640625" style="37" bestFit="1" customWidth="1"/>
    <col min="13062" max="13062" width="0.5546875" style="37" customWidth="1"/>
    <col min="13063" max="13063" width="12.33203125" style="37" bestFit="1" customWidth="1"/>
    <col min="13064" max="13065" width="13.6640625" style="37" bestFit="1" customWidth="1"/>
    <col min="13066" max="13066" width="0.6640625" style="37" customWidth="1"/>
    <col min="13067" max="13068" width="12.33203125" style="37" bestFit="1" customWidth="1"/>
    <col min="13069" max="13069" width="13.6640625" style="37" bestFit="1" customWidth="1"/>
    <col min="13070" max="13312" width="8.88671875" style="37"/>
    <col min="13313" max="13313" width="7" style="37" bestFit="1" customWidth="1"/>
    <col min="13314" max="13314" width="40.5546875" style="37" bestFit="1" customWidth="1"/>
    <col min="13315" max="13317" width="13.6640625" style="37" bestFit="1" customWidth="1"/>
    <col min="13318" max="13318" width="0.5546875" style="37" customWidth="1"/>
    <col min="13319" max="13319" width="12.33203125" style="37" bestFit="1" customWidth="1"/>
    <col min="13320" max="13321" width="13.6640625" style="37" bestFit="1" customWidth="1"/>
    <col min="13322" max="13322" width="0.6640625" style="37" customWidth="1"/>
    <col min="13323" max="13324" width="12.33203125" style="37" bestFit="1" customWidth="1"/>
    <col min="13325" max="13325" width="13.6640625" style="37" bestFit="1" customWidth="1"/>
    <col min="13326" max="13568" width="8.88671875" style="37"/>
    <col min="13569" max="13569" width="7" style="37" bestFit="1" customWidth="1"/>
    <col min="13570" max="13570" width="40.5546875" style="37" bestFit="1" customWidth="1"/>
    <col min="13571" max="13573" width="13.6640625" style="37" bestFit="1" customWidth="1"/>
    <col min="13574" max="13574" width="0.5546875" style="37" customWidth="1"/>
    <col min="13575" max="13575" width="12.33203125" style="37" bestFit="1" customWidth="1"/>
    <col min="13576" max="13577" width="13.6640625" style="37" bestFit="1" customWidth="1"/>
    <col min="13578" max="13578" width="0.6640625" style="37" customWidth="1"/>
    <col min="13579" max="13580" width="12.33203125" style="37" bestFit="1" customWidth="1"/>
    <col min="13581" max="13581" width="13.6640625" style="37" bestFit="1" customWidth="1"/>
    <col min="13582" max="13824" width="8.88671875" style="37"/>
    <col min="13825" max="13825" width="7" style="37" bestFit="1" customWidth="1"/>
    <col min="13826" max="13826" width="40.5546875" style="37" bestFit="1" customWidth="1"/>
    <col min="13827" max="13829" width="13.6640625" style="37" bestFit="1" customWidth="1"/>
    <col min="13830" max="13830" width="0.5546875" style="37" customWidth="1"/>
    <col min="13831" max="13831" width="12.33203125" style="37" bestFit="1" customWidth="1"/>
    <col min="13832" max="13833" width="13.6640625" style="37" bestFit="1" customWidth="1"/>
    <col min="13834" max="13834" width="0.6640625" style="37" customWidth="1"/>
    <col min="13835" max="13836" width="12.33203125" style="37" bestFit="1" customWidth="1"/>
    <col min="13837" max="13837" width="13.6640625" style="37" bestFit="1" customWidth="1"/>
    <col min="13838" max="14080" width="8.88671875" style="37"/>
    <col min="14081" max="14081" width="7" style="37" bestFit="1" customWidth="1"/>
    <col min="14082" max="14082" width="40.5546875" style="37" bestFit="1" customWidth="1"/>
    <col min="14083" max="14085" width="13.6640625" style="37" bestFit="1" customWidth="1"/>
    <col min="14086" max="14086" width="0.5546875" style="37" customWidth="1"/>
    <col min="14087" max="14087" width="12.33203125" style="37" bestFit="1" customWidth="1"/>
    <col min="14088" max="14089" width="13.6640625" style="37" bestFit="1" customWidth="1"/>
    <col min="14090" max="14090" width="0.6640625" style="37" customWidth="1"/>
    <col min="14091" max="14092" width="12.33203125" style="37" bestFit="1" customWidth="1"/>
    <col min="14093" max="14093" width="13.6640625" style="37" bestFit="1" customWidth="1"/>
    <col min="14094" max="14336" width="8.88671875" style="37"/>
    <col min="14337" max="14337" width="7" style="37" bestFit="1" customWidth="1"/>
    <col min="14338" max="14338" width="40.5546875" style="37" bestFit="1" customWidth="1"/>
    <col min="14339" max="14341" width="13.6640625" style="37" bestFit="1" customWidth="1"/>
    <col min="14342" max="14342" width="0.5546875" style="37" customWidth="1"/>
    <col min="14343" max="14343" width="12.33203125" style="37" bestFit="1" customWidth="1"/>
    <col min="14344" max="14345" width="13.6640625" style="37" bestFit="1" customWidth="1"/>
    <col min="14346" max="14346" width="0.6640625" style="37" customWidth="1"/>
    <col min="14347" max="14348" width="12.33203125" style="37" bestFit="1" customWidth="1"/>
    <col min="14349" max="14349" width="13.6640625" style="37" bestFit="1" customWidth="1"/>
    <col min="14350" max="14592" width="8.88671875" style="37"/>
    <col min="14593" max="14593" width="7" style="37" bestFit="1" customWidth="1"/>
    <col min="14594" max="14594" width="40.5546875" style="37" bestFit="1" customWidth="1"/>
    <col min="14595" max="14597" width="13.6640625" style="37" bestFit="1" customWidth="1"/>
    <col min="14598" max="14598" width="0.5546875" style="37" customWidth="1"/>
    <col min="14599" max="14599" width="12.33203125" style="37" bestFit="1" customWidth="1"/>
    <col min="14600" max="14601" width="13.6640625" style="37" bestFit="1" customWidth="1"/>
    <col min="14602" max="14602" width="0.6640625" style="37" customWidth="1"/>
    <col min="14603" max="14604" width="12.33203125" style="37" bestFit="1" customWidth="1"/>
    <col min="14605" max="14605" width="13.6640625" style="37" bestFit="1" customWidth="1"/>
    <col min="14606" max="14848" width="8.88671875" style="37"/>
    <col min="14849" max="14849" width="7" style="37" bestFit="1" customWidth="1"/>
    <col min="14850" max="14850" width="40.5546875" style="37" bestFit="1" customWidth="1"/>
    <col min="14851" max="14853" width="13.6640625" style="37" bestFit="1" customWidth="1"/>
    <col min="14854" max="14854" width="0.5546875" style="37" customWidth="1"/>
    <col min="14855" max="14855" width="12.33203125" style="37" bestFit="1" customWidth="1"/>
    <col min="14856" max="14857" width="13.6640625" style="37" bestFit="1" customWidth="1"/>
    <col min="14858" max="14858" width="0.6640625" style="37" customWidth="1"/>
    <col min="14859" max="14860" width="12.33203125" style="37" bestFit="1" customWidth="1"/>
    <col min="14861" max="14861" width="13.6640625" style="37" bestFit="1" customWidth="1"/>
    <col min="14862" max="15104" width="8.88671875" style="37"/>
    <col min="15105" max="15105" width="7" style="37" bestFit="1" customWidth="1"/>
    <col min="15106" max="15106" width="40.5546875" style="37" bestFit="1" customWidth="1"/>
    <col min="15107" max="15109" width="13.6640625" style="37" bestFit="1" customWidth="1"/>
    <col min="15110" max="15110" width="0.5546875" style="37" customWidth="1"/>
    <col min="15111" max="15111" width="12.33203125" style="37" bestFit="1" customWidth="1"/>
    <col min="15112" max="15113" width="13.6640625" style="37" bestFit="1" customWidth="1"/>
    <col min="15114" max="15114" width="0.6640625" style="37" customWidth="1"/>
    <col min="15115" max="15116" width="12.33203125" style="37" bestFit="1" customWidth="1"/>
    <col min="15117" max="15117" width="13.6640625" style="37" bestFit="1" customWidth="1"/>
    <col min="15118" max="15360" width="8.88671875" style="37"/>
    <col min="15361" max="15361" width="7" style="37" bestFit="1" customWidth="1"/>
    <col min="15362" max="15362" width="40.5546875" style="37" bestFit="1" customWidth="1"/>
    <col min="15363" max="15365" width="13.6640625" style="37" bestFit="1" customWidth="1"/>
    <col min="15366" max="15366" width="0.5546875" style="37" customWidth="1"/>
    <col min="15367" max="15367" width="12.33203125" style="37" bestFit="1" customWidth="1"/>
    <col min="15368" max="15369" width="13.6640625" style="37" bestFit="1" customWidth="1"/>
    <col min="15370" max="15370" width="0.6640625" style="37" customWidth="1"/>
    <col min="15371" max="15372" width="12.33203125" style="37" bestFit="1" customWidth="1"/>
    <col min="15373" max="15373" width="13.6640625" style="37" bestFit="1" customWidth="1"/>
    <col min="15374" max="15616" width="8.88671875" style="37"/>
    <col min="15617" max="15617" width="7" style="37" bestFit="1" customWidth="1"/>
    <col min="15618" max="15618" width="40.5546875" style="37" bestFit="1" customWidth="1"/>
    <col min="15619" max="15621" width="13.6640625" style="37" bestFit="1" customWidth="1"/>
    <col min="15622" max="15622" width="0.5546875" style="37" customWidth="1"/>
    <col min="15623" max="15623" width="12.33203125" style="37" bestFit="1" customWidth="1"/>
    <col min="15624" max="15625" width="13.6640625" style="37" bestFit="1" customWidth="1"/>
    <col min="15626" max="15626" width="0.6640625" style="37" customWidth="1"/>
    <col min="15627" max="15628" width="12.33203125" style="37" bestFit="1" customWidth="1"/>
    <col min="15629" max="15629" width="13.6640625" style="37" bestFit="1" customWidth="1"/>
    <col min="15630" max="15872" width="8.88671875" style="37"/>
    <col min="15873" max="15873" width="7" style="37" bestFit="1" customWidth="1"/>
    <col min="15874" max="15874" width="40.5546875" style="37" bestFit="1" customWidth="1"/>
    <col min="15875" max="15877" width="13.6640625" style="37" bestFit="1" customWidth="1"/>
    <col min="15878" max="15878" width="0.5546875" style="37" customWidth="1"/>
    <col min="15879" max="15879" width="12.33203125" style="37" bestFit="1" customWidth="1"/>
    <col min="15880" max="15881" width="13.6640625" style="37" bestFit="1" customWidth="1"/>
    <col min="15882" max="15882" width="0.6640625" style="37" customWidth="1"/>
    <col min="15883" max="15884" width="12.33203125" style="37" bestFit="1" customWidth="1"/>
    <col min="15885" max="15885" width="13.6640625" style="37" bestFit="1" customWidth="1"/>
    <col min="15886" max="16128" width="8.88671875" style="37"/>
    <col min="16129" max="16129" width="7" style="37" bestFit="1" customWidth="1"/>
    <col min="16130" max="16130" width="40.5546875" style="37" bestFit="1" customWidth="1"/>
    <col min="16131" max="16133" width="13.6640625" style="37" bestFit="1" customWidth="1"/>
    <col min="16134" max="16134" width="0.5546875" style="37" customWidth="1"/>
    <col min="16135" max="16135" width="12.33203125" style="37" bestFit="1" customWidth="1"/>
    <col min="16136" max="16137" width="13.6640625" style="37" bestFit="1" customWidth="1"/>
    <col min="16138" max="16138" width="0.6640625" style="37" customWidth="1"/>
    <col min="16139" max="16140" width="12.33203125" style="37" bestFit="1" customWidth="1"/>
    <col min="16141" max="16141" width="13.6640625" style="37" bestFit="1" customWidth="1"/>
    <col min="16142" max="16384" width="8.88671875" style="37"/>
  </cols>
  <sheetData>
    <row r="1" spans="1:13" ht="13.8" thickBot="1"/>
    <row r="2" spans="1:13" ht="13.8" thickBot="1">
      <c r="C2" s="121" t="s">
        <v>4</v>
      </c>
      <c r="D2" s="122"/>
      <c r="E2" s="123"/>
      <c r="G2" s="121" t="s">
        <v>84</v>
      </c>
      <c r="H2" s="122"/>
      <c r="I2" s="123"/>
      <c r="K2" s="121" t="s">
        <v>85</v>
      </c>
      <c r="L2" s="122"/>
      <c r="M2" s="123"/>
    </row>
    <row r="3" spans="1:13">
      <c r="A3" s="37" t="s">
        <v>94</v>
      </c>
      <c r="C3" s="75" t="s">
        <v>33</v>
      </c>
      <c r="D3" s="75" t="s">
        <v>95</v>
      </c>
      <c r="E3" s="75" t="s">
        <v>65</v>
      </c>
      <c r="F3" s="75"/>
      <c r="G3" s="75" t="s">
        <v>33</v>
      </c>
      <c r="H3" s="75" t="s">
        <v>95</v>
      </c>
      <c r="I3" s="75" t="s">
        <v>65</v>
      </c>
      <c r="J3" s="75"/>
      <c r="K3" s="75" t="s">
        <v>33</v>
      </c>
      <c r="L3" s="75" t="s">
        <v>95</v>
      </c>
      <c r="M3" s="75" t="s">
        <v>65</v>
      </c>
    </row>
    <row r="4" spans="1:13">
      <c r="A4" s="80">
        <v>302000</v>
      </c>
      <c r="B4" s="81" t="s">
        <v>99</v>
      </c>
      <c r="C4" s="78">
        <f t="shared" ref="C4:D7" si="0">SUM(G4,K4)</f>
        <v>0</v>
      </c>
      <c r="D4" s="78">
        <f t="shared" si="0"/>
        <v>0</v>
      </c>
      <c r="E4" s="78">
        <f>SUM(C4:D4)</f>
        <v>0</v>
      </c>
      <c r="F4" s="78"/>
      <c r="G4" s="79">
        <v>0</v>
      </c>
      <c r="H4" s="79">
        <v>0</v>
      </c>
      <c r="I4" s="78">
        <f>SUM(G4:H4)</f>
        <v>0</v>
      </c>
      <c r="J4" s="78"/>
      <c r="K4" s="79">
        <v>0</v>
      </c>
      <c r="L4" s="79">
        <v>0</v>
      </c>
      <c r="M4" s="78">
        <f>SUM(K4:L4)</f>
        <v>0</v>
      </c>
    </row>
    <row r="5" spans="1:13">
      <c r="A5" s="80">
        <v>303000</v>
      </c>
      <c r="B5" s="77" t="s">
        <v>100</v>
      </c>
      <c r="C5" s="78">
        <f t="shared" si="0"/>
        <v>1801863</v>
      </c>
      <c r="D5" s="78">
        <f t="shared" si="0"/>
        <v>2066105</v>
      </c>
      <c r="E5" s="78">
        <f>SUM(C5:D5)</f>
        <v>3867968</v>
      </c>
      <c r="F5" s="78"/>
      <c r="G5" s="79">
        <v>1022566</v>
      </c>
      <c r="H5" s="79">
        <v>1499848</v>
      </c>
      <c r="I5" s="78">
        <f>SUM(G5:H5)</f>
        <v>2522414</v>
      </c>
      <c r="J5" s="78"/>
      <c r="K5" s="79">
        <v>779297</v>
      </c>
      <c r="L5" s="79">
        <v>566257</v>
      </c>
      <c r="M5" s="78">
        <f>SUM(K5:L5)</f>
        <v>1345554</v>
      </c>
    </row>
    <row r="6" spans="1:13">
      <c r="A6" s="80" t="s">
        <v>108</v>
      </c>
      <c r="B6" s="81" t="s">
        <v>101</v>
      </c>
      <c r="C6" s="78">
        <f t="shared" si="0"/>
        <v>4086592</v>
      </c>
      <c r="D6" s="78">
        <f t="shared" si="0"/>
        <v>49361081</v>
      </c>
      <c r="E6" s="78">
        <f>SUM(C6:D6)</f>
        <v>53447673</v>
      </c>
      <c r="F6" s="78"/>
      <c r="G6" s="79">
        <v>4077302</v>
      </c>
      <c r="H6" s="79">
        <v>35832689</v>
      </c>
      <c r="I6" s="78">
        <f>SUM(G6:H6)</f>
        <v>39909991</v>
      </c>
      <c r="J6" s="78"/>
      <c r="K6" s="79">
        <v>9290</v>
      </c>
      <c r="L6" s="79">
        <v>13528392</v>
      </c>
      <c r="M6" s="78">
        <f>SUM(K6:L6)</f>
        <v>13537682</v>
      </c>
    </row>
    <row r="7" spans="1:13">
      <c r="A7" s="80">
        <v>303110</v>
      </c>
      <c r="B7" s="81" t="s">
        <v>102</v>
      </c>
      <c r="C7" s="78">
        <f t="shared" si="0"/>
        <v>0</v>
      </c>
      <c r="D7" s="78">
        <f t="shared" si="0"/>
        <v>0</v>
      </c>
      <c r="E7" s="78">
        <f>SUM(C7:D7)</f>
        <v>0</v>
      </c>
      <c r="F7" s="78"/>
      <c r="G7" s="79">
        <v>0</v>
      </c>
      <c r="H7" s="79">
        <v>0</v>
      </c>
      <c r="I7" s="78">
        <f>SUM(G7:H7)</f>
        <v>0</v>
      </c>
      <c r="J7" s="78"/>
      <c r="K7" s="79">
        <v>0</v>
      </c>
      <c r="L7" s="79">
        <v>0</v>
      </c>
      <c r="M7" s="78">
        <f>SUM(K7:L7)</f>
        <v>0</v>
      </c>
    </row>
    <row r="8" spans="1:13">
      <c r="A8" s="82"/>
      <c r="B8" s="81" t="s">
        <v>103</v>
      </c>
      <c r="C8" s="83">
        <f>SUM(C4:C7)</f>
        <v>5888455</v>
      </c>
      <c r="D8" s="83">
        <f>SUM(D4:D7)</f>
        <v>51427186</v>
      </c>
      <c r="E8" s="83">
        <f>SUM(E4:E7)</f>
        <v>57315641</v>
      </c>
      <c r="F8" s="78"/>
      <c r="G8" s="83">
        <f>SUM(G4:G7)</f>
        <v>5099868</v>
      </c>
      <c r="H8" s="83">
        <f>SUM(H4:H7)</f>
        <v>37332537</v>
      </c>
      <c r="I8" s="83">
        <f>SUM(I4:I7)</f>
        <v>42432405</v>
      </c>
      <c r="J8" s="78"/>
      <c r="K8" s="83">
        <f>SUM(K4:K7)</f>
        <v>788587</v>
      </c>
      <c r="L8" s="83">
        <f>SUM(L4:L7)</f>
        <v>14094649</v>
      </c>
      <c r="M8" s="83">
        <f>SUM(M4:M7)</f>
        <v>14883236</v>
      </c>
    </row>
    <row r="9" spans="1:13"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</row>
    <row r="10" spans="1:13">
      <c r="B10" s="37" t="s">
        <v>40</v>
      </c>
      <c r="C10" s="78">
        <f t="shared" ref="C10:D12" si="1">SUM(G10,K10)</f>
        <v>0</v>
      </c>
      <c r="D10" s="78">
        <f t="shared" si="1"/>
        <v>43217516</v>
      </c>
      <c r="E10" s="78">
        <f>SUM(C10:D10)</f>
        <v>43217516</v>
      </c>
      <c r="F10" s="78"/>
      <c r="G10" s="79">
        <v>0</v>
      </c>
      <c r="H10" s="79">
        <v>29713591</v>
      </c>
      <c r="I10" s="78">
        <f>SUM(G10:H10)</f>
        <v>29713591</v>
      </c>
      <c r="J10" s="78"/>
      <c r="K10" s="79"/>
      <c r="L10" s="79">
        <v>13503925</v>
      </c>
      <c r="M10" s="78">
        <f>SUM(K10:L10)</f>
        <v>13503925</v>
      </c>
    </row>
    <row r="11" spans="1:13">
      <c r="B11" s="37" t="s">
        <v>13</v>
      </c>
      <c r="C11" s="78">
        <f t="shared" si="1"/>
        <v>752288955</v>
      </c>
      <c r="D11" s="78">
        <f t="shared" si="1"/>
        <v>2518894</v>
      </c>
      <c r="E11" s="78">
        <f>SUM(C11:D11)</f>
        <v>754807849</v>
      </c>
      <c r="F11" s="78"/>
      <c r="G11" s="79">
        <v>504140137</v>
      </c>
      <c r="H11" s="79">
        <v>1723402</v>
      </c>
      <c r="I11" s="78">
        <f>SUM(G11:H11)</f>
        <v>505863539</v>
      </c>
      <c r="J11" s="78"/>
      <c r="K11" s="79">
        <v>248148818</v>
      </c>
      <c r="L11" s="79">
        <v>795492</v>
      </c>
      <c r="M11" s="78">
        <f>SUM(K11:L11)</f>
        <v>248944310</v>
      </c>
    </row>
    <row r="12" spans="1:13">
      <c r="B12" s="37" t="s">
        <v>104</v>
      </c>
      <c r="C12" s="78">
        <f t="shared" si="1"/>
        <v>53817089</v>
      </c>
      <c r="D12" s="78">
        <f t="shared" si="1"/>
        <v>72466033</v>
      </c>
      <c r="E12" s="78">
        <f>SUM(C12:D12)</f>
        <v>126283122</v>
      </c>
      <c r="F12" s="78"/>
      <c r="G12" s="79">
        <v>46623712</v>
      </c>
      <c r="H12" s="79">
        <v>52605268</v>
      </c>
      <c r="I12" s="78">
        <f>SUM(G12:H12)</f>
        <v>99228980</v>
      </c>
      <c r="J12" s="78"/>
      <c r="K12" s="79">
        <v>7193377</v>
      </c>
      <c r="L12" s="79">
        <v>19860765</v>
      </c>
      <c r="M12" s="78">
        <f>SUM(K12:L12)</f>
        <v>27054142</v>
      </c>
    </row>
    <row r="13" spans="1:13">
      <c r="C13" s="78"/>
      <c r="D13" s="78"/>
      <c r="E13" s="78"/>
      <c r="F13" s="78"/>
      <c r="G13" s="79"/>
      <c r="H13" s="79"/>
      <c r="I13" s="78"/>
      <c r="J13" s="78"/>
      <c r="K13" s="79"/>
      <c r="L13" s="79"/>
      <c r="M13" s="78">
        <f>SUM(K13:L13)</f>
        <v>0</v>
      </c>
    </row>
    <row r="14" spans="1:13" ht="13.8" thickBot="1">
      <c r="B14" s="37" t="s">
        <v>105</v>
      </c>
      <c r="C14" s="84">
        <f t="shared" ref="C14:I14" si="2">SUM(C8:C13)</f>
        <v>811994499</v>
      </c>
      <c r="D14" s="84">
        <f t="shared" si="2"/>
        <v>169629629</v>
      </c>
      <c r="E14" s="116">
        <f t="shared" si="2"/>
        <v>981624128</v>
      </c>
      <c r="F14" s="78">
        <f t="shared" si="2"/>
        <v>0</v>
      </c>
      <c r="G14" s="84">
        <f t="shared" si="2"/>
        <v>555863717</v>
      </c>
      <c r="H14" s="84">
        <f t="shared" si="2"/>
        <v>121374798</v>
      </c>
      <c r="I14" s="84">
        <f t="shared" si="2"/>
        <v>677238515</v>
      </c>
      <c r="J14" s="78"/>
      <c r="K14" s="84">
        <f>SUM(K8:K13)</f>
        <v>256130782</v>
      </c>
      <c r="L14" s="84">
        <f>SUM(L8:L13)</f>
        <v>48254831</v>
      </c>
      <c r="M14" s="84">
        <f>SUM(M8:M13)</f>
        <v>304385613</v>
      </c>
    </row>
    <row r="15" spans="1:13"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</row>
    <row r="16" spans="1:13"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</row>
    <row r="17" spans="1:13"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</row>
    <row r="18" spans="1:13">
      <c r="A18" s="37" t="s">
        <v>109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</row>
    <row r="19" spans="1:13">
      <c r="A19" s="37">
        <v>303000</v>
      </c>
      <c r="B19" s="37" t="s">
        <v>17</v>
      </c>
      <c r="C19" s="78">
        <f t="shared" ref="C19:C24" si="3">SUM(G19,K19)</f>
        <v>0</v>
      </c>
      <c r="D19" s="79">
        <v>2023166</v>
      </c>
      <c r="E19" s="78">
        <f t="shared" ref="E19:E24" si="4">SUM(C19:D19)</f>
        <v>2023166</v>
      </c>
      <c r="F19" s="78"/>
      <c r="G19" s="79">
        <v>0</v>
      </c>
      <c r="H19" s="78">
        <f>D19*H31</f>
        <v>1468676.89438</v>
      </c>
      <c r="I19" s="78">
        <f t="shared" ref="I19:I24" si="5">SUM(G19:H19)</f>
        <v>1468676.89438</v>
      </c>
      <c r="J19" s="78"/>
      <c r="K19" s="79">
        <v>0</v>
      </c>
      <c r="L19" s="78">
        <f t="shared" ref="L19:L24" si="6">D19-H19</f>
        <v>554489.10562000005</v>
      </c>
      <c r="M19" s="78">
        <f t="shared" ref="M19:M24" si="7">SUM(K19:L19)</f>
        <v>554489.10562000005</v>
      </c>
    </row>
    <row r="20" spans="1:13">
      <c r="B20" s="37" t="s">
        <v>19</v>
      </c>
      <c r="C20" s="78">
        <f t="shared" si="3"/>
        <v>0</v>
      </c>
      <c r="D20" s="79">
        <v>42939</v>
      </c>
      <c r="E20" s="78">
        <f t="shared" si="4"/>
        <v>42939</v>
      </c>
      <c r="F20" s="78"/>
      <c r="G20" s="79">
        <v>0</v>
      </c>
      <c r="H20" s="78">
        <f>D20*H31</f>
        <v>31170.708269999999</v>
      </c>
      <c r="I20" s="78">
        <f t="shared" si="5"/>
        <v>31170.708269999999</v>
      </c>
      <c r="J20" s="78"/>
      <c r="K20" s="79">
        <v>0</v>
      </c>
      <c r="L20" s="78">
        <f t="shared" si="6"/>
        <v>11768.291730000001</v>
      </c>
      <c r="M20" s="78">
        <f t="shared" si="7"/>
        <v>11768.291730000001</v>
      </c>
    </row>
    <row r="21" spans="1:13">
      <c r="A21" s="37">
        <v>303100</v>
      </c>
      <c r="B21" s="37" t="s">
        <v>17</v>
      </c>
      <c r="C21" s="78">
        <f t="shared" si="3"/>
        <v>0</v>
      </c>
      <c r="D21" s="79">
        <v>21365632</v>
      </c>
      <c r="E21" s="78">
        <f t="shared" si="4"/>
        <v>21365632</v>
      </c>
      <c r="F21" s="78"/>
      <c r="G21" s="79">
        <v>0</v>
      </c>
      <c r="H21" s="78">
        <f>D21*H32</f>
        <v>15509953.23776</v>
      </c>
      <c r="I21" s="78">
        <f t="shared" si="5"/>
        <v>15509953.23776</v>
      </c>
      <c r="J21" s="78"/>
      <c r="K21" s="79">
        <v>0</v>
      </c>
      <c r="L21" s="78">
        <f t="shared" si="6"/>
        <v>5855678.7622400001</v>
      </c>
      <c r="M21" s="78">
        <f t="shared" si="7"/>
        <v>5855678.7622400001</v>
      </c>
    </row>
    <row r="22" spans="1:13">
      <c r="B22" s="37" t="s">
        <v>19</v>
      </c>
      <c r="C22" s="78">
        <f t="shared" si="3"/>
        <v>0</v>
      </c>
      <c r="D22" s="79">
        <v>89509</v>
      </c>
      <c r="E22" s="78">
        <f t="shared" si="4"/>
        <v>89509</v>
      </c>
      <c r="F22" s="78"/>
      <c r="G22" s="79">
        <v>0</v>
      </c>
      <c r="H22" s="78"/>
      <c r="I22" s="78">
        <f t="shared" si="5"/>
        <v>0</v>
      </c>
      <c r="J22" s="78"/>
      <c r="K22" s="79">
        <v>0</v>
      </c>
      <c r="L22" s="78">
        <f t="shared" si="6"/>
        <v>89509</v>
      </c>
      <c r="M22" s="78">
        <f t="shared" si="7"/>
        <v>89509</v>
      </c>
    </row>
    <row r="23" spans="1:13">
      <c r="A23" s="37">
        <v>303110</v>
      </c>
      <c r="B23" s="37" t="s">
        <v>17</v>
      </c>
      <c r="C23" s="78">
        <f t="shared" si="3"/>
        <v>0</v>
      </c>
      <c r="D23" s="79">
        <v>92789</v>
      </c>
      <c r="E23" s="78">
        <f t="shared" si="4"/>
        <v>92789</v>
      </c>
      <c r="F23" s="78"/>
      <c r="G23" s="79">
        <v>0</v>
      </c>
      <c r="H23" s="78">
        <f>D23*H33</f>
        <v>67358.318769999998</v>
      </c>
      <c r="I23" s="78">
        <f t="shared" si="5"/>
        <v>67358.318769999998</v>
      </c>
      <c r="J23" s="78"/>
      <c r="K23" s="79">
        <v>0</v>
      </c>
      <c r="L23" s="78">
        <f t="shared" si="6"/>
        <v>25430.681230000002</v>
      </c>
      <c r="M23" s="78">
        <f t="shared" si="7"/>
        <v>25430.681230000002</v>
      </c>
    </row>
    <row r="24" spans="1:13">
      <c r="B24" s="37" t="s">
        <v>19</v>
      </c>
      <c r="C24" s="78">
        <f t="shared" si="3"/>
        <v>0</v>
      </c>
      <c r="D24" s="79">
        <v>0</v>
      </c>
      <c r="E24" s="78">
        <f t="shared" si="4"/>
        <v>0</v>
      </c>
      <c r="F24" s="78"/>
      <c r="G24" s="79">
        <v>0</v>
      </c>
      <c r="H24" s="78"/>
      <c r="I24" s="78">
        <f t="shared" si="5"/>
        <v>0</v>
      </c>
      <c r="J24" s="78"/>
      <c r="K24" s="79">
        <v>0</v>
      </c>
      <c r="L24" s="78">
        <f t="shared" si="6"/>
        <v>0</v>
      </c>
      <c r="M24" s="78">
        <f t="shared" si="7"/>
        <v>0</v>
      </c>
    </row>
    <row r="25" spans="1:13">
      <c r="A25" s="37">
        <v>303115</v>
      </c>
      <c r="B25" s="37" t="s">
        <v>17</v>
      </c>
      <c r="C25" s="78">
        <f t="shared" ref="C25:C26" si="8">SUM(G25,K25)</f>
        <v>0</v>
      </c>
      <c r="D25" s="79">
        <f>20683505+6210665+431727</f>
        <v>27325897</v>
      </c>
      <c r="E25" s="78">
        <f t="shared" ref="E25:E26" si="9">SUM(C25:D25)</f>
        <v>27325897</v>
      </c>
      <c r="F25" s="78"/>
      <c r="G25" s="79">
        <v>0</v>
      </c>
      <c r="H25" s="78">
        <f>D25*H34</f>
        <v>19836688.40921</v>
      </c>
      <c r="I25" s="78">
        <f t="shared" ref="I25:I26" si="10">SUM(G25:H25)</f>
        <v>19836688.40921</v>
      </c>
      <c r="J25" s="78"/>
      <c r="K25" s="79">
        <v>0</v>
      </c>
      <c r="L25" s="78">
        <f t="shared" ref="L25:L26" si="11">D25-H25</f>
        <v>7489208.5907899998</v>
      </c>
      <c r="M25" s="78">
        <f t="shared" ref="M25:M26" si="12">SUM(K25:L25)</f>
        <v>7489208.5907899998</v>
      </c>
    </row>
    <row r="26" spans="1:13">
      <c r="B26" s="37" t="s">
        <v>19</v>
      </c>
      <c r="C26" s="78">
        <f t="shared" si="8"/>
        <v>0</v>
      </c>
      <c r="D26" s="79">
        <v>0</v>
      </c>
      <c r="E26" s="78">
        <f t="shared" si="9"/>
        <v>0</v>
      </c>
      <c r="F26" s="78"/>
      <c r="G26" s="79">
        <v>0</v>
      </c>
      <c r="H26" s="78"/>
      <c r="I26" s="78">
        <f t="shared" si="10"/>
        <v>0</v>
      </c>
      <c r="J26" s="78"/>
      <c r="K26" s="79">
        <v>0</v>
      </c>
      <c r="L26" s="78">
        <f t="shared" si="11"/>
        <v>0</v>
      </c>
      <c r="M26" s="78">
        <f t="shared" si="12"/>
        <v>0</v>
      </c>
    </row>
    <row r="27" spans="1:13" ht="13.8" thickBot="1">
      <c r="C27" s="84">
        <f>SUM(C19:C26)</f>
        <v>0</v>
      </c>
      <c r="D27" s="85">
        <f>SUM(D19:D26)</f>
        <v>50939932</v>
      </c>
      <c r="E27" s="116">
        <f>SUM(E19:E26)</f>
        <v>50939932</v>
      </c>
      <c r="F27" s="78"/>
      <c r="G27" s="84">
        <f>SUM(G19:G26)</f>
        <v>0</v>
      </c>
      <c r="H27" s="84">
        <f t="shared" ref="H27:I27" si="13">SUM(H19:H26)</f>
        <v>36913847.568389997</v>
      </c>
      <c r="I27" s="84">
        <f t="shared" si="13"/>
        <v>36913847.568389997</v>
      </c>
      <c r="J27" s="78"/>
      <c r="K27" s="84">
        <f>SUM(K19:K26)</f>
        <v>0</v>
      </c>
      <c r="L27" s="84">
        <f t="shared" ref="L27:M27" si="14">SUM(L19:L26)</f>
        <v>14026084.431609999</v>
      </c>
      <c r="M27" s="84">
        <f t="shared" si="14"/>
        <v>14026084.431609999</v>
      </c>
    </row>
    <row r="28" spans="1:13"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</row>
    <row r="29" spans="1:13"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</row>
    <row r="30" spans="1:13">
      <c r="A30" s="37" t="s">
        <v>107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</row>
    <row r="31" spans="1:13">
      <c r="A31" s="37">
        <v>4</v>
      </c>
      <c r="B31" s="37">
        <v>303000</v>
      </c>
      <c r="C31" s="78"/>
      <c r="D31" s="78"/>
      <c r="E31" s="78"/>
      <c r="F31" s="78"/>
      <c r="G31" s="78"/>
      <c r="H31" s="99">
        <v>0.72592999999999996</v>
      </c>
      <c r="I31" s="100"/>
      <c r="J31" s="100"/>
      <c r="K31" s="100"/>
      <c r="L31" s="101">
        <f>1-H31</f>
        <v>0.27407000000000004</v>
      </c>
      <c r="M31" s="78"/>
    </row>
    <row r="32" spans="1:13">
      <c r="A32" s="37">
        <v>4</v>
      </c>
      <c r="B32" s="37">
        <v>303100</v>
      </c>
      <c r="H32" s="105">
        <f>H31</f>
        <v>0.72592999999999996</v>
      </c>
      <c r="I32" s="103"/>
      <c r="J32" s="103"/>
      <c r="K32" s="103"/>
      <c r="L32" s="101">
        <f>1-H32</f>
        <v>0.27407000000000004</v>
      </c>
    </row>
    <row r="33" spans="1:12">
      <c r="A33" s="37">
        <v>4</v>
      </c>
      <c r="B33" s="37">
        <v>303110</v>
      </c>
      <c r="H33" s="105">
        <f t="shared" ref="H33:H34" si="15">H32</f>
        <v>0.72592999999999996</v>
      </c>
      <c r="I33" s="103"/>
      <c r="J33" s="103"/>
      <c r="K33" s="103"/>
      <c r="L33" s="101">
        <f>1-H33</f>
        <v>0.27407000000000004</v>
      </c>
    </row>
    <row r="34" spans="1:12">
      <c r="A34" s="37">
        <v>4</v>
      </c>
      <c r="B34" s="37">
        <v>303115</v>
      </c>
      <c r="H34" s="105">
        <f t="shared" si="15"/>
        <v>0.72592999999999996</v>
      </c>
      <c r="I34" s="103"/>
      <c r="J34" s="103"/>
      <c r="K34" s="103"/>
      <c r="L34" s="101">
        <f>1-H34</f>
        <v>0.27407000000000004</v>
      </c>
    </row>
  </sheetData>
  <mergeCells count="3">
    <mergeCell ref="C2:E2"/>
    <mergeCell ref="G2:I2"/>
    <mergeCell ref="K2:M2"/>
  </mergeCells>
  <pageMargins left="0.2" right="0.2" top="0.75" bottom="0.75" header="0.3" footer="0.3"/>
  <pageSetup scale="82" orientation="landscape" r:id="rId1"/>
  <headerFooter>
    <oddFooter>&amp;L&amp;F 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41CBB18-2849-41ED-82E9-FA8EADD28F72}"/>
</file>

<file path=customXml/itemProps2.xml><?xml version="1.0" encoding="utf-8"?>
<ds:datastoreItem xmlns:ds="http://schemas.openxmlformats.org/officeDocument/2006/customXml" ds:itemID="{FEDF4C02-7733-481B-B473-81F6967EE458}"/>
</file>

<file path=customXml/itemProps3.xml><?xml version="1.0" encoding="utf-8"?>
<ds:datastoreItem xmlns:ds="http://schemas.openxmlformats.org/officeDocument/2006/customXml" ds:itemID="{BFCD9930-9C7D-4BED-A1B4-4E9B3785D895}"/>
</file>

<file path=customXml/itemProps4.xml><?xml version="1.0" encoding="utf-8"?>
<ds:datastoreItem xmlns:ds="http://schemas.openxmlformats.org/officeDocument/2006/customXml" ds:itemID="{0C885FA0-A1AD-4586-BF04-AE4753F39B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Elec-Dec20</vt:lpstr>
      <vt:lpstr>Gas North-Dec20</vt:lpstr>
      <vt:lpstr>SYS-Dec20</vt:lpstr>
      <vt:lpstr>AvgCalc</vt:lpstr>
      <vt:lpstr>283324 ED AN</vt:lpstr>
      <vt:lpstr>283325. ED AN </vt:lpstr>
      <vt:lpstr>E-PLT</vt:lpstr>
      <vt:lpstr>G-PLT</vt:lpstr>
      <vt:lpstr>AvgCalc!Print_Area</vt:lpstr>
      <vt:lpstr>'Elec-Dec20'!Print_Area</vt:lpstr>
      <vt:lpstr>'Gas North-Dec20'!Print_Area</vt:lpstr>
      <vt:lpstr>'SYS-Dec20'!Print_Area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 Pluth</dc:creator>
  <cp:lastModifiedBy>Pluth, Jeanne</cp:lastModifiedBy>
  <cp:lastPrinted>2018-10-11T14:39:41Z</cp:lastPrinted>
  <dcterms:created xsi:type="dcterms:W3CDTF">2012-08-06T15:48:58Z</dcterms:created>
  <dcterms:modified xsi:type="dcterms:W3CDTF">2020-10-06T17:04:38Z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